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https://nzgbc.sharepoint.com/sites/GreenStarTeamSite/Performance/Shared Documents/02_Performance_Tech/01 Tools &amp; Calculators/Calculators/"/>
    </mc:Choice>
  </mc:AlternateContent>
  <xr:revisionPtr revIDLastSave="368" documentId="8_{B4DD2CAD-6832-430A-B1A3-37877A7226BF}" xr6:coauthVersionLast="47" xr6:coauthVersionMax="47" xr10:uidLastSave="{DFABEA45-CB7A-44BF-811C-E35879C16E8E}"/>
  <workbookProtection workbookAlgorithmName="SHA-512" workbookHashValue="AMRGeL/Z4LKSWEod1wNecUXGLVpBMyHmqmf61shdCF4O9M7+LlS4Qe+4btceaY4NSESsSBOSe5w9G8sT0Bwa2Q==" workbookSaltValue="72nzP3vK5/KKEJkyaRGj4Q==" workbookSpinCount="100000" lockStructure="1"/>
  <bookViews>
    <workbookView xWindow="-108" yWindow="-108" windowWidth="23256" windowHeight="12456" tabRatio="793" firstSheet="1" activeTab="3" xr2:uid="{00000000-000D-0000-FFFF-FFFF00000000}"/>
  </bookViews>
  <sheets>
    <sheet name="Disclaimer" sheetId="1" r:id="rId1"/>
    <sheet name="Change Log" sheetId="2" r:id="rId2"/>
    <sheet name="Instructions" sheetId="3" r:id="rId3"/>
    <sheet name="15B Building Details" sheetId="4" r:id="rId4"/>
    <sheet name="15B Calculation" sheetId="5" r:id="rId5"/>
    <sheet name="15B Baseline Tables" sheetId="6" state="hidden" r:id="rId6"/>
    <sheet name="Location Based Approach" sheetId="7" state="hidden" r:id="rId7"/>
    <sheet name="Market Based Approach" sheetId="8" state="hidden" r:id="rId8"/>
    <sheet name="NGER Emission Factors" sheetId="10" state="hidden" r:id="rId9"/>
    <sheet name="Carbon Neutral Summary" sheetId="9" state="hidden" r:id="rId10"/>
    <sheet name="AGO Emission Factors" sheetId="11" state="hidden" r:id="rId11"/>
    <sheet name="CDD &amp; HDD table" sheetId="12" state="hidden" r:id="rId12"/>
    <sheet name="Points Table" sheetId="13" state="hidden" r:id="rId13"/>
  </sheets>
  <definedNames>
    <definedName name="ANZSIC">'AGO Emission Factors'!$A$157:$A$175</definedName>
    <definedName name="BldUse">'AGO Emission Factors'!$A$111:$A$154</definedName>
    <definedName name="FunctionalUses">'15B Baseline Tables'!$A$73:$A$98</definedName>
    <definedName name="Metro">'AGO Emission Factors'!$C$7:$C$8</definedName>
    <definedName name="_xlnm.Print_Area" localSheetId="4">'15B Calculation'!$B$1:$Z$97</definedName>
    <definedName name="RatingType">'AGO Emission Factors'!$E$7:$E$8</definedName>
    <definedName name="STATES">'AGO Emission Factors'!$A$34:$A$43</definedName>
    <definedName name="truefalse">'AGO Emission Factors'!$A$178:$A$180</definedName>
    <definedName name="yesno">'AGO Emission Factors'!$A$183:$A$185</definedName>
    <definedName name="YN">'AGO Emission Factors'!$A$7:$A$8</definedName>
    <definedName name="Z_3BAF3D14_B16A_4103_B9D6_D1D9B6381E90_.wvu.Cols" localSheetId="3" hidden="1">'15B Building Details'!$L:$XFD</definedName>
    <definedName name="Z_3BAF3D14_B16A_4103_B9D6_D1D9B6381E90_.wvu.Cols" localSheetId="12" hidden="1">'Points Table'!$J:$XFD</definedName>
    <definedName name="Z_3BAF3D14_B16A_4103_B9D6_D1D9B6381E90_.wvu.PrintArea" localSheetId="4" hidden="1">'15B Calculation'!$B$1:$Z$97</definedName>
    <definedName name="Z_3BAF3D14_B16A_4103_B9D6_D1D9B6381E90_.wvu.Rows" localSheetId="4" hidden="1">'15B Calculation'!$221:$1048576</definedName>
    <definedName name="Z_3BAF3D14_B16A_4103_B9D6_D1D9B6381E90_.wvu.Rows" localSheetId="9" hidden="1">'Carbon Neutral Summary'!$58:$58</definedName>
    <definedName name="Z_3BAF3D14_B16A_4103_B9D6_D1D9B6381E90_.wvu.Rows" localSheetId="8" hidden="1">'NGER Emission Factors'!$29:$51</definedName>
    <definedName name="Z_3BAF3D14_B16A_4103_B9D6_D1D9B6381E90_.wvu.Rows" localSheetId="12" hidden="1">'Points Table'!$63:$1048576,'Points Table'!$54:$60</definedName>
    <definedName name="Z_555478C2_F620_47D7_88F9_4C1EE7AEE227_.wvu.Cols" localSheetId="3" hidden="1">'15B Building Details'!$L:$XFD</definedName>
    <definedName name="Z_555478C2_F620_47D7_88F9_4C1EE7AEE227_.wvu.Cols" localSheetId="9" hidden="1">'Carbon Neutral Summary'!$L:$XFD</definedName>
    <definedName name="Z_555478C2_F620_47D7_88F9_4C1EE7AEE227_.wvu.Cols" localSheetId="12" hidden="1">'Points Table'!$J:$XFD</definedName>
    <definedName name="Z_555478C2_F620_47D7_88F9_4C1EE7AEE227_.wvu.PrintArea" localSheetId="4" hidden="1">'15B Calculation'!$B$1:$Z$97</definedName>
    <definedName name="Z_555478C2_F620_47D7_88F9_4C1EE7AEE227_.wvu.Rows" localSheetId="4" hidden="1">'15B Calculation'!$221:$1048576</definedName>
    <definedName name="Z_555478C2_F620_47D7_88F9_4C1EE7AEE227_.wvu.Rows" localSheetId="12" hidden="1">'Points Table'!$63:$1048576,'Points Table'!$54:$60</definedName>
    <definedName name="Z_5E2E109E_4BFE_44CE_A2A0_BB9B6CC0D139_.wvu.Cols" localSheetId="3" hidden="1">'15B Building Details'!$L:$XFD</definedName>
    <definedName name="Z_5E2E109E_4BFE_44CE_A2A0_BB9B6CC0D139_.wvu.Cols" localSheetId="9" hidden="1">'Carbon Neutral Summary'!$L:$XFD</definedName>
    <definedName name="Z_5E2E109E_4BFE_44CE_A2A0_BB9B6CC0D139_.wvu.Cols" localSheetId="12" hidden="1">'Points Table'!$J:$XFD</definedName>
    <definedName name="Z_5E2E109E_4BFE_44CE_A2A0_BB9B6CC0D139_.wvu.PrintArea" localSheetId="4" hidden="1">'15B Calculation'!$B$1:$Z$97</definedName>
    <definedName name="Z_5E2E109E_4BFE_44CE_A2A0_BB9B6CC0D139_.wvu.Rows" localSheetId="4" hidden="1">'15B Calculation'!$221:$1048576</definedName>
    <definedName name="Z_5E2E109E_4BFE_44CE_A2A0_BB9B6CC0D139_.wvu.Rows" localSheetId="12" hidden="1">'Points Table'!$63:$1048576,'Points Table'!$54:$60</definedName>
    <definedName name="Z_9E23992E_45A8_4DF8_9DFB_C5F9BB498A06_.wvu.Cols" localSheetId="3" hidden="1">'15B Building Details'!$M:$M</definedName>
    <definedName name="Z_9E23992E_45A8_4DF8_9DFB_C5F9BB498A06_.wvu.Cols" localSheetId="9" hidden="1">'Carbon Neutral Summary'!$L:$N</definedName>
    <definedName name="Z_9E23992E_45A8_4DF8_9DFB_C5F9BB498A06_.wvu.PrintArea" localSheetId="4" hidden="1">'15B Calculation'!$B$1:$Z$97</definedName>
    <definedName name="Z_9E23992E_45A8_4DF8_9DFB_C5F9BB498A06_.wvu.Rows" localSheetId="3" hidden="1">'15B Building Details'!$36:$36,'15B Building Details'!$338:$359</definedName>
    <definedName name="Z_9E23992E_45A8_4DF8_9DFB_C5F9BB498A06_.wvu.Rows" localSheetId="4" hidden="1">'15B Calculation'!$28:$28,'15B Calculation'!$160:$181</definedName>
    <definedName name="Z_9E23992E_45A8_4DF8_9DFB_C5F9BB498A06_.wvu.Rows" localSheetId="9" hidden="1">'Carbon Neutral Summary'!$33:$56,'Carbon Neutral Summary'!$58:$58</definedName>
    <definedName name="Z_9E23992E_45A8_4DF8_9DFB_C5F9BB498A06_.wvu.Rows" localSheetId="1" hidden="1">'Change Log'!$40:$1166</definedName>
    <definedName name="Z_9E23992E_45A8_4DF8_9DFB_C5F9BB498A06_.wvu.Rows" localSheetId="6" hidden="1">'Location Based Approach'!$15:$15</definedName>
    <definedName name="Z_9E23992E_45A8_4DF8_9DFB_C5F9BB498A06_.wvu.Rows" localSheetId="8" hidden="1">'NGER Emission Factors'!$30:$51,'NGER Emission Factors'!$54:$54,'NGER Emission Factors'!$97:$104</definedName>
    <definedName name="Z_9E23992E_45A8_4DF8_9DFB_C5F9BB498A06_.wvu.Rows" localSheetId="12" hidden="1">'Points Table'!$54:$60</definedName>
    <definedName name="Z_C362DBBD_8226_4073_BE04_D615B3B4BF31_.wvu.Cols" localSheetId="3" hidden="1">'15B Building Details'!$M:$M</definedName>
    <definedName name="Z_C362DBBD_8226_4073_BE04_D615B3B4BF31_.wvu.Cols" localSheetId="9" hidden="1">'Carbon Neutral Summary'!$L:$N</definedName>
    <definedName name="Z_C362DBBD_8226_4073_BE04_D615B3B4BF31_.wvu.PrintArea" localSheetId="4" hidden="1">'15B Calculation'!$B$1:$Z$97</definedName>
    <definedName name="Z_C362DBBD_8226_4073_BE04_D615B3B4BF31_.wvu.Rows" localSheetId="3" hidden="1">'15B Building Details'!$36:$36,'15B Building Details'!$87:$96,'15B Building Details'!$110:$119,'15B Building Details'!$132:$141,'15B Building Details'!$154:$163,'15B Building Details'!$176:$185,'15B Building Details'!$198:$207,'15B Building Details'!$221:$230,'15B Building Details'!$243:$252,'15B Building Details'!$264:$273,'15B Building Details'!$285:$294,'15B Building Details'!$327:$336,'15B Building Details'!$306:$315,'15B Building Details'!$338:$359</definedName>
    <definedName name="Z_C362DBBD_8226_4073_BE04_D615B3B4BF31_.wvu.Rows" localSheetId="4" hidden="1">'15B Calculation'!$28:$28,'15B Calculation'!$160:$181</definedName>
    <definedName name="Z_C362DBBD_8226_4073_BE04_D615B3B4BF31_.wvu.Rows" localSheetId="9" hidden="1">'Carbon Neutral Summary'!$33:$56,'Carbon Neutral Summary'!$58:$58</definedName>
    <definedName name="Z_C362DBBD_8226_4073_BE04_D615B3B4BF31_.wvu.Rows" localSheetId="1" hidden="1">'Change Log'!$40:$499</definedName>
    <definedName name="Z_C362DBBD_8226_4073_BE04_D615B3B4BF31_.wvu.Rows" localSheetId="6" hidden="1">'Location Based Approach'!$15:$15</definedName>
    <definedName name="Z_C362DBBD_8226_4073_BE04_D615B3B4BF31_.wvu.Rows" localSheetId="12" hidden="1">'Points Table'!$54:$60</definedName>
  </definedNames>
  <calcPr calcId="191028"/>
  <customWorkbookViews>
    <customWorkbookView name="Francisca Joyce - Personal View" guid="{555478C2-F620-47D7-88F9-4C1EE7AEE227}" mergeInterval="0" personalView="1" maximized="1" xWindow="-8" yWindow="-8" windowWidth="1936" windowHeight="1176" tabRatio="851" activeSheetId="1"/>
    <customWorkbookView name="Ulises Cervantes - Personal View" guid="{5E2E109E-4BFE-44CE-A2A0-BB9B6CC0D139}" mergeInterval="0" personalView="1" maximized="1" xWindow="-8" yWindow="-8" windowWidth="1552" windowHeight="678" tabRatio="851" activeSheetId="9"/>
    <customWorkbookView name="Simon Ng - Personal View" guid="{3BAF3D14-B16A-4103-B9D6-D1D9B6381E90}" mergeInterval="0" personalView="1" maximized="1" xWindow="-8" yWindow="-8" windowWidth="1296" windowHeight="776" tabRatio="696" activeSheetId="1"/>
    <customWorkbookView name="Deejan Ferrao - Personal View" guid="{C362DBBD-8226-4073-BE04-D615B3B4BF31}" mergeInterval="0" personalView="1" maximized="1" xWindow="-8" yWindow="-8" windowWidth="2576" windowHeight="1056" tabRatio="793" activeSheetId="2"/>
    <customWorkbookView name="Edwin Chu - Personal View" guid="{9E23992E-45A8-4DF8-9DFB-C5F9BB498A06}" mergeInterval="0" personalView="1" maximized="1" xWindow="-8" yWindow="-8" windowWidth="1936" windowHeight="1176" tabRatio="793"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0" i="10" l="1"/>
  <c r="F49" i="10"/>
  <c r="E49" i="10"/>
  <c r="D49" i="10"/>
  <c r="F48" i="10"/>
  <c r="E48" i="10"/>
  <c r="D48" i="10"/>
  <c r="F46" i="10"/>
  <c r="E46" i="10"/>
  <c r="D46" i="10"/>
  <c r="F45" i="10"/>
  <c r="E45" i="10"/>
  <c r="D45" i="10"/>
  <c r="G45" i="10" s="1"/>
  <c r="AA36" i="6"/>
  <c r="Z36" i="6"/>
  <c r="Y36" i="6"/>
  <c r="AA35" i="6"/>
  <c r="Z35" i="6"/>
  <c r="Y35" i="6"/>
  <c r="AA34" i="6"/>
  <c r="Z34" i="6"/>
  <c r="Y34" i="6"/>
  <c r="E12" i="4"/>
  <c r="C191" i="4" a="1"/>
  <c r="C191" i="4" s="1"/>
  <c r="C169" i="4" a="1"/>
  <c r="C169" i="4" s="1"/>
  <c r="C147" i="4" a="1"/>
  <c r="C147" i="4" s="1"/>
  <c r="C125" i="4" a="1"/>
  <c r="C125" i="4" s="1"/>
  <c r="C80" i="4" a="1"/>
  <c r="C80" i="4" s="1"/>
  <c r="G44" i="10"/>
  <c r="D44" i="10"/>
  <c r="G43" i="10"/>
  <c r="F43" i="10"/>
  <c r="E43" i="10"/>
  <c r="D43" i="10"/>
  <c r="F42" i="10"/>
  <c r="G42" i="10" s="1"/>
  <c r="E42" i="10"/>
  <c r="D42" i="10"/>
  <c r="G41" i="10"/>
  <c r="F40" i="10"/>
  <c r="E40" i="10"/>
  <c r="D40" i="10"/>
  <c r="G40" i="10" s="1"/>
  <c r="G39" i="10"/>
  <c r="F39" i="10"/>
  <c r="E39" i="10"/>
  <c r="D39" i="10"/>
  <c r="E55" i="10"/>
  <c r="G47" i="10"/>
  <c r="D38" i="10"/>
  <c r="F37" i="10"/>
  <c r="E37" i="10"/>
  <c r="D37" i="10"/>
  <c r="F36" i="10"/>
  <c r="E36" i="10"/>
  <c r="D36" i="10"/>
  <c r="F34" i="10"/>
  <c r="E34" i="10"/>
  <c r="D34" i="10"/>
  <c r="F33" i="10"/>
  <c r="E33" i="10"/>
  <c r="D33" i="10"/>
  <c r="G50" i="10"/>
  <c r="E56" i="10"/>
  <c r="L47" i="5"/>
  <c r="L48" i="5"/>
  <c r="L49" i="5"/>
  <c r="L50" i="5"/>
  <c r="L51" i="5"/>
  <c r="L52" i="5"/>
  <c r="K47" i="5"/>
  <c r="K48" i="5"/>
  <c r="K49" i="5"/>
  <c r="K50" i="5"/>
  <c r="K51" i="5"/>
  <c r="K52" i="5"/>
  <c r="J47" i="5"/>
  <c r="J48" i="5"/>
  <c r="J49" i="5"/>
  <c r="J50" i="5"/>
  <c r="J51" i="5"/>
  <c r="J52" i="5"/>
  <c r="I47" i="5"/>
  <c r="I48" i="5"/>
  <c r="I49" i="5"/>
  <c r="I50" i="5"/>
  <c r="I51" i="5"/>
  <c r="I52" i="5"/>
  <c r="G46" i="10" l="1"/>
  <c r="G49" i="10"/>
  <c r="G48" i="10"/>
  <c r="AA66" i="6"/>
  <c r="G47" i="5"/>
  <c r="O47" i="5" s="1"/>
  <c r="G48" i="5"/>
  <c r="O48" i="5" s="1"/>
  <c r="G49" i="5"/>
  <c r="O49" i="5" s="1"/>
  <c r="G50" i="5"/>
  <c r="O50" i="5" s="1"/>
  <c r="G51" i="5"/>
  <c r="O51" i="5" s="1"/>
  <c r="G52" i="5"/>
  <c r="O52" i="5" s="1"/>
  <c r="H13" i="4"/>
  <c r="D43" i="11"/>
  <c r="H50" i="5" l="1"/>
  <c r="H49" i="5"/>
  <c r="H48" i="5"/>
  <c r="H47" i="5"/>
  <c r="H51" i="5"/>
  <c r="H52" i="5"/>
  <c r="AA38" i="6"/>
  <c r="Z38" i="6"/>
  <c r="Y38" i="6"/>
  <c r="AA37" i="6"/>
  <c r="Z37" i="6"/>
  <c r="Y37" i="6"/>
  <c r="Y61" i="6"/>
  <c r="E54" i="10"/>
  <c r="G22" i="10"/>
  <c r="G21" i="10"/>
  <c r="G20" i="10"/>
  <c r="G19" i="10"/>
  <c r="G18" i="10"/>
  <c r="G17" i="10"/>
  <c r="G16" i="10"/>
  <c r="G15" i="10"/>
  <c r="G14" i="10"/>
  <c r="G13" i="10"/>
  <c r="G12" i="10"/>
  <c r="G11" i="10"/>
  <c r="G10" i="10"/>
  <c r="G9" i="10"/>
  <c r="G8" i="10"/>
  <c r="G7" i="10"/>
  <c r="G6" i="10"/>
  <c r="G5" i="10"/>
  <c r="E63" i="10"/>
  <c r="E64" i="10"/>
  <c r="E73" i="10"/>
  <c r="E74" i="10"/>
  <c r="E83" i="10"/>
  <c r="E84" i="10"/>
  <c r="AA61" i="6" l="1"/>
  <c r="Z61" i="6"/>
  <c r="X61" i="6"/>
  <c r="W61" i="6"/>
  <c r="V61" i="6"/>
  <c r="U61" i="6"/>
  <c r="T61" i="6"/>
  <c r="S61" i="6"/>
  <c r="R61" i="6"/>
  <c r="Q61" i="6"/>
  <c r="K61" i="6"/>
  <c r="G177" i="10" l="1"/>
  <c r="F177" i="10"/>
  <c r="C35" i="4"/>
  <c r="C18" i="8" s="1"/>
  <c r="C33" i="8" s="1"/>
  <c r="C369" i="4"/>
  <c r="B25" i="7"/>
  <c r="B26" i="7"/>
  <c r="B27" i="7"/>
  <c r="B24" i="7"/>
  <c r="F182" i="10" l="1"/>
  <c r="F181" i="10"/>
  <c r="G175" i="10"/>
  <c r="G176" i="10"/>
  <c r="G178" i="10"/>
  <c r="G179" i="10"/>
  <c r="G180" i="10"/>
  <c r="G181" i="10"/>
  <c r="G182" i="10"/>
  <c r="F180" i="10"/>
  <c r="F179" i="10"/>
  <c r="F178" i="10"/>
  <c r="F176" i="10"/>
  <c r="F175" i="10"/>
  <c r="C31" i="8" l="1"/>
  <c r="D27" i="5" l="1"/>
  <c r="D26" i="5"/>
  <c r="D25" i="5"/>
  <c r="B28" i="5"/>
  <c r="B27" i="5"/>
  <c r="B26" i="5"/>
  <c r="B25" i="5"/>
  <c r="B24" i="5"/>
  <c r="B23" i="5"/>
  <c r="B22" i="5"/>
  <c r="B21" i="5"/>
  <c r="B20" i="5"/>
  <c r="B19" i="5"/>
  <c r="B18" i="5"/>
  <c r="C34" i="4"/>
  <c r="C33" i="4"/>
  <c r="C10" i="8" s="1"/>
  <c r="C30" i="8" s="1"/>
  <c r="C32" i="4"/>
  <c r="C9" i="8" s="1"/>
  <c r="C29" i="8" s="1"/>
  <c r="C15" i="8" l="1"/>
  <c r="C12" i="7"/>
  <c r="C25" i="5"/>
  <c r="C14" i="7"/>
  <c r="C28" i="7" s="1"/>
  <c r="C13" i="7"/>
  <c r="C17" i="8"/>
  <c r="C32" i="8" s="1"/>
  <c r="C16" i="8"/>
  <c r="C10" i="7"/>
  <c r="C27" i="7" s="1"/>
  <c r="C15" i="7"/>
  <c r="C9" i="7"/>
  <c r="C26" i="7" s="1"/>
  <c r="C24" i="5"/>
  <c r="G262" i="4"/>
  <c r="E38" i="4" l="1"/>
  <c r="D11" i="8" l="1"/>
  <c r="E30" i="5"/>
  <c r="D31" i="8" l="1"/>
  <c r="E31" i="8" s="1"/>
  <c r="C27" i="5"/>
  <c r="C26" i="5"/>
  <c r="H305" i="4" l="1"/>
  <c r="H306" i="4"/>
  <c r="H307" i="4"/>
  <c r="H308" i="4"/>
  <c r="H309" i="4"/>
  <c r="H310" i="4"/>
  <c r="H311" i="4"/>
  <c r="H312" i="4"/>
  <c r="H313" i="4"/>
  <c r="H314" i="4"/>
  <c r="H315" i="4"/>
  <c r="H304" i="4"/>
  <c r="H284" i="4"/>
  <c r="H285" i="4"/>
  <c r="H286" i="4"/>
  <c r="H287" i="4"/>
  <c r="H288" i="4"/>
  <c r="H289" i="4"/>
  <c r="H290" i="4"/>
  <c r="H291" i="4"/>
  <c r="H292" i="4"/>
  <c r="H293" i="4"/>
  <c r="H294" i="4"/>
  <c r="H283" i="4"/>
  <c r="H326" i="4"/>
  <c r="H327" i="4"/>
  <c r="H328" i="4"/>
  <c r="H329" i="4"/>
  <c r="H330" i="4"/>
  <c r="H331" i="4"/>
  <c r="H332" i="4"/>
  <c r="H333" i="4"/>
  <c r="H334" i="4"/>
  <c r="H335" i="4"/>
  <c r="H336" i="4"/>
  <c r="H325" i="4"/>
  <c r="H263" i="4"/>
  <c r="H264" i="4"/>
  <c r="H265" i="4"/>
  <c r="H266" i="4"/>
  <c r="H267" i="4"/>
  <c r="H268" i="4"/>
  <c r="H269" i="4"/>
  <c r="H270" i="4"/>
  <c r="H271" i="4"/>
  <c r="H272" i="4"/>
  <c r="H273" i="4"/>
  <c r="H262" i="4"/>
  <c r="H242" i="4"/>
  <c r="H243" i="4"/>
  <c r="H244" i="4"/>
  <c r="H245" i="4"/>
  <c r="H246" i="4"/>
  <c r="H247" i="4"/>
  <c r="H248" i="4"/>
  <c r="H249" i="4"/>
  <c r="H250" i="4"/>
  <c r="H251" i="4"/>
  <c r="H252" i="4"/>
  <c r="H241" i="4"/>
  <c r="I315" i="4" l="1"/>
  <c r="G315" i="4"/>
  <c r="I314" i="4"/>
  <c r="G314" i="4"/>
  <c r="I313" i="4"/>
  <c r="G313" i="4"/>
  <c r="I312" i="4"/>
  <c r="G312" i="4"/>
  <c r="I311" i="4"/>
  <c r="G311" i="4"/>
  <c r="I310" i="4"/>
  <c r="G310" i="4"/>
  <c r="I309" i="4"/>
  <c r="G309" i="4"/>
  <c r="I308" i="4"/>
  <c r="G308" i="4"/>
  <c r="I307" i="4"/>
  <c r="G307" i="4"/>
  <c r="I306" i="4"/>
  <c r="G306" i="4"/>
  <c r="I305" i="4"/>
  <c r="G305" i="4"/>
  <c r="G304" i="4"/>
  <c r="I294" i="4"/>
  <c r="G294" i="4"/>
  <c r="I293" i="4"/>
  <c r="G293" i="4"/>
  <c r="I292" i="4"/>
  <c r="G292" i="4"/>
  <c r="I291" i="4"/>
  <c r="G291" i="4"/>
  <c r="I290" i="4"/>
  <c r="G290" i="4"/>
  <c r="I289" i="4"/>
  <c r="G289" i="4"/>
  <c r="I288" i="4"/>
  <c r="G288" i="4"/>
  <c r="I287" i="4"/>
  <c r="G287" i="4"/>
  <c r="I286" i="4"/>
  <c r="G286" i="4"/>
  <c r="I285" i="4"/>
  <c r="G285" i="4"/>
  <c r="I284" i="4"/>
  <c r="G284" i="4"/>
  <c r="G283" i="4"/>
  <c r="I336" i="4"/>
  <c r="G336" i="4"/>
  <c r="I335" i="4"/>
  <c r="G335" i="4"/>
  <c r="I334" i="4"/>
  <c r="G334" i="4"/>
  <c r="I333" i="4"/>
  <c r="G333" i="4"/>
  <c r="I332" i="4"/>
  <c r="G332" i="4"/>
  <c r="I331" i="4"/>
  <c r="G331" i="4"/>
  <c r="I330" i="4"/>
  <c r="G330" i="4"/>
  <c r="I329" i="4"/>
  <c r="G329" i="4"/>
  <c r="I328" i="4"/>
  <c r="G328" i="4"/>
  <c r="I327" i="4"/>
  <c r="G327" i="4"/>
  <c r="I326" i="4"/>
  <c r="G326" i="4"/>
  <c r="G325" i="4"/>
  <c r="I273" i="4"/>
  <c r="G273" i="4"/>
  <c r="I272" i="4"/>
  <c r="G272" i="4"/>
  <c r="I271" i="4"/>
  <c r="G271" i="4"/>
  <c r="I270" i="4"/>
  <c r="G270" i="4"/>
  <c r="I269" i="4"/>
  <c r="G269" i="4"/>
  <c r="I268" i="4"/>
  <c r="G268" i="4"/>
  <c r="I267" i="4"/>
  <c r="G267" i="4"/>
  <c r="I266" i="4"/>
  <c r="G266" i="4"/>
  <c r="I265" i="4"/>
  <c r="G265" i="4"/>
  <c r="I264" i="4"/>
  <c r="G264" i="4"/>
  <c r="I263" i="4"/>
  <c r="G263" i="4"/>
  <c r="W99" i="5" l="1"/>
  <c r="D103" i="5" l="1"/>
  <c r="C103" i="5"/>
  <c r="I230" i="4" l="1"/>
  <c r="G230" i="4"/>
  <c r="I229" i="4"/>
  <c r="G229" i="4"/>
  <c r="I228" i="4"/>
  <c r="G228" i="4"/>
  <c r="I227" i="4"/>
  <c r="G227" i="4"/>
  <c r="I226" i="4"/>
  <c r="G226" i="4"/>
  <c r="I225" i="4"/>
  <c r="G225" i="4"/>
  <c r="I224" i="4"/>
  <c r="G224" i="4"/>
  <c r="I223" i="4"/>
  <c r="G223" i="4"/>
  <c r="I222" i="4"/>
  <c r="G222" i="4"/>
  <c r="I221" i="4"/>
  <c r="G221" i="4"/>
  <c r="I220" i="4"/>
  <c r="G220" i="4"/>
  <c r="G219" i="4"/>
  <c r="F218" i="4"/>
  <c r="D212" i="4"/>
  <c r="H8" i="9" l="1"/>
  <c r="C15" i="9" l="1"/>
  <c r="G161" i="4" l="1"/>
  <c r="C56" i="9" l="1"/>
  <c r="D44" i="9" l="1"/>
  <c r="D45" i="9"/>
  <c r="D46" i="9"/>
  <c r="D47" i="9"/>
  <c r="D43" i="9"/>
  <c r="W166" i="5" l="1"/>
  <c r="W165" i="5"/>
  <c r="W164" i="5"/>
  <c r="W163" i="5"/>
  <c r="W173" i="5"/>
  <c r="I252" i="4" l="1"/>
  <c r="G252" i="4"/>
  <c r="I251" i="4"/>
  <c r="G251" i="4"/>
  <c r="I250" i="4"/>
  <c r="G250" i="4"/>
  <c r="I249" i="4"/>
  <c r="G249" i="4"/>
  <c r="I248" i="4"/>
  <c r="G248" i="4"/>
  <c r="I247" i="4"/>
  <c r="G247" i="4"/>
  <c r="I246" i="4"/>
  <c r="G246" i="4"/>
  <c r="I245" i="4"/>
  <c r="G245" i="4"/>
  <c r="I244" i="4"/>
  <c r="G244" i="4"/>
  <c r="I243" i="4"/>
  <c r="G243" i="4"/>
  <c r="I242" i="4"/>
  <c r="G242" i="4"/>
  <c r="G241" i="4"/>
  <c r="G152" i="4" l="1"/>
  <c r="H130" i="4" l="1"/>
  <c r="H96" i="4"/>
  <c r="H86" i="4"/>
  <c r="H87" i="4"/>
  <c r="H88" i="4"/>
  <c r="H89" i="4"/>
  <c r="H90" i="4"/>
  <c r="H91" i="4"/>
  <c r="H92" i="4"/>
  <c r="H93" i="4"/>
  <c r="H94" i="4"/>
  <c r="H95" i="4"/>
  <c r="H85" i="4"/>
  <c r="D101" i="4" l="1"/>
  <c r="G12" i="4" l="1"/>
  <c r="H14" i="4"/>
  <c r="D105" i="11" l="1"/>
  <c r="D90" i="11"/>
  <c r="E75" i="11"/>
  <c r="G75" i="11" s="1"/>
  <c r="E59" i="11"/>
  <c r="D42" i="11"/>
  <c r="G34" i="10"/>
  <c r="G33" i="10"/>
  <c r="G38" i="10"/>
  <c r="G37" i="10"/>
  <c r="G36" i="10"/>
  <c r="G35" i="10"/>
  <c r="F47" i="6"/>
  <c r="G47" i="6"/>
  <c r="H47" i="6"/>
  <c r="I47" i="6"/>
  <c r="J47" i="6"/>
  <c r="K47" i="6"/>
  <c r="L47" i="6"/>
  <c r="H9" i="4" l="1"/>
  <c r="C19" i="9"/>
  <c r="B19" i="9"/>
  <c r="I109" i="4"/>
  <c r="I110" i="4"/>
  <c r="I111" i="4"/>
  <c r="I112" i="4"/>
  <c r="I113" i="4"/>
  <c r="I114" i="4"/>
  <c r="I115" i="4"/>
  <c r="I116" i="4"/>
  <c r="I117" i="4"/>
  <c r="I118" i="4"/>
  <c r="I119" i="4"/>
  <c r="I132" i="4"/>
  <c r="I137" i="4"/>
  <c r="I138" i="4"/>
  <c r="I140" i="4"/>
  <c r="I153" i="4"/>
  <c r="I154" i="4"/>
  <c r="I155" i="4"/>
  <c r="I156" i="4"/>
  <c r="I157" i="4"/>
  <c r="I158" i="4"/>
  <c r="I159" i="4"/>
  <c r="I160" i="4"/>
  <c r="I161" i="4"/>
  <c r="I162" i="4"/>
  <c r="I163" i="4"/>
  <c r="I175" i="4"/>
  <c r="I176" i="4"/>
  <c r="I177" i="4"/>
  <c r="I178" i="4"/>
  <c r="I179" i="4"/>
  <c r="I180" i="4"/>
  <c r="I181" i="4"/>
  <c r="I182" i="4"/>
  <c r="I183" i="4"/>
  <c r="I184" i="4"/>
  <c r="I185" i="4"/>
  <c r="I197" i="4"/>
  <c r="I198" i="4"/>
  <c r="I199" i="4"/>
  <c r="I200" i="4"/>
  <c r="I201" i="4"/>
  <c r="I202" i="4"/>
  <c r="I203" i="4"/>
  <c r="I204" i="4"/>
  <c r="I205" i="4"/>
  <c r="I206" i="4"/>
  <c r="I207" i="4"/>
  <c r="G85" i="4"/>
  <c r="I347" i="4"/>
  <c r="I348" i="4"/>
  <c r="I349" i="4"/>
  <c r="I350" i="4"/>
  <c r="I351" i="4"/>
  <c r="I352" i="4"/>
  <c r="I353" i="4"/>
  <c r="I354" i="4"/>
  <c r="I355" i="4"/>
  <c r="I356" i="4"/>
  <c r="I357" i="4"/>
  <c r="I358" i="4"/>
  <c r="C18" i="9"/>
  <c r="C16" i="9"/>
  <c r="C17" i="9"/>
  <c r="C9" i="9"/>
  <c r="C10" i="9"/>
  <c r="C11" i="9"/>
  <c r="C12" i="9"/>
  <c r="C13" i="9"/>
  <c r="C8" i="9"/>
  <c r="C27" i="4"/>
  <c r="C28" i="4"/>
  <c r="C29" i="4"/>
  <c r="C30" i="4"/>
  <c r="C31" i="4"/>
  <c r="C23" i="5" s="1"/>
  <c r="C36" i="4"/>
  <c r="C26" i="4"/>
  <c r="C7" i="7" s="1"/>
  <c r="C24" i="7" s="1"/>
  <c r="D152" i="5"/>
  <c r="D153" i="5" s="1"/>
  <c r="B151" i="5"/>
  <c r="B144" i="5"/>
  <c r="B137" i="5"/>
  <c r="B130" i="5"/>
  <c r="B123" i="5"/>
  <c r="F7" i="13"/>
  <c r="D28" i="5"/>
  <c r="F346" i="4"/>
  <c r="H355" i="4"/>
  <c r="AE33" i="6"/>
  <c r="AE32" i="6"/>
  <c r="AE31" i="6"/>
  <c r="AE29" i="6"/>
  <c r="AE28" i="6"/>
  <c r="AE26" i="6"/>
  <c r="AE25" i="6"/>
  <c r="AE23" i="6"/>
  <c r="AE22" i="6"/>
  <c r="AE20" i="6"/>
  <c r="AE19" i="6"/>
  <c r="AE17" i="6"/>
  <c r="AE16" i="6"/>
  <c r="AE14" i="6"/>
  <c r="AE13" i="6"/>
  <c r="AE11" i="6"/>
  <c r="AE10" i="6"/>
  <c r="AE8" i="6"/>
  <c r="AE7" i="6"/>
  <c r="AD33" i="6"/>
  <c r="AD32" i="6"/>
  <c r="AD31" i="6"/>
  <c r="AD29" i="6"/>
  <c r="AD28" i="6"/>
  <c r="AD26" i="6"/>
  <c r="AD25" i="6"/>
  <c r="AD23" i="6"/>
  <c r="AD22" i="6"/>
  <c r="AD20" i="6"/>
  <c r="AD19" i="6"/>
  <c r="AD17" i="6"/>
  <c r="AD16" i="6"/>
  <c r="AD14" i="6"/>
  <c r="AD13" i="6"/>
  <c r="AD11" i="6"/>
  <c r="AD10" i="6"/>
  <c r="AD8" i="6"/>
  <c r="AD7" i="6"/>
  <c r="J80" i="5"/>
  <c r="J79" i="5"/>
  <c r="J78" i="5"/>
  <c r="E61" i="5"/>
  <c r="I67" i="5"/>
  <c r="O37" i="5"/>
  <c r="I70" i="4"/>
  <c r="H70" i="4"/>
  <c r="G70" i="4"/>
  <c r="B49" i="4"/>
  <c r="B48" i="4"/>
  <c r="B47" i="4"/>
  <c r="D34" i="11"/>
  <c r="C81" i="5"/>
  <c r="AA47" i="6"/>
  <c r="Z47" i="6"/>
  <c r="C14" i="5"/>
  <c r="G199" i="4"/>
  <c r="G198" i="4"/>
  <c r="G178" i="4"/>
  <c r="G177" i="4"/>
  <c r="F195" i="4"/>
  <c r="F173" i="4"/>
  <c r="F151" i="4"/>
  <c r="F129" i="4"/>
  <c r="F84" i="4"/>
  <c r="F107" i="4"/>
  <c r="D27" i="4"/>
  <c r="G119" i="4"/>
  <c r="G118" i="4"/>
  <c r="G117" i="4"/>
  <c r="G116" i="4"/>
  <c r="G115" i="4"/>
  <c r="G114" i="4"/>
  <c r="G113" i="4"/>
  <c r="G112" i="4"/>
  <c r="G111" i="4"/>
  <c r="G110" i="4"/>
  <c r="G109" i="4"/>
  <c r="G108" i="4"/>
  <c r="I80" i="5"/>
  <c r="H80" i="5"/>
  <c r="I79" i="5"/>
  <c r="H79" i="5"/>
  <c r="I78" i="5"/>
  <c r="H78" i="5"/>
  <c r="I77" i="5"/>
  <c r="H77" i="5"/>
  <c r="I76" i="5"/>
  <c r="H76" i="5"/>
  <c r="H75" i="5"/>
  <c r="I74" i="5"/>
  <c r="H74" i="5"/>
  <c r="H73" i="5"/>
  <c r="H72" i="5"/>
  <c r="H71" i="5"/>
  <c r="I70" i="5"/>
  <c r="H70" i="5"/>
  <c r="I69" i="5"/>
  <c r="H69" i="5"/>
  <c r="I68" i="5"/>
  <c r="E30" i="6"/>
  <c r="D30" i="6"/>
  <c r="E27" i="6"/>
  <c r="D27" i="6"/>
  <c r="E24" i="6"/>
  <c r="D24" i="6"/>
  <c r="E21" i="6"/>
  <c r="D21" i="6"/>
  <c r="E18" i="6"/>
  <c r="D18" i="6"/>
  <c r="E15" i="6"/>
  <c r="D15" i="6"/>
  <c r="E9" i="6"/>
  <c r="D9" i="6"/>
  <c r="E32" i="6"/>
  <c r="D32" i="6"/>
  <c r="F61" i="5"/>
  <c r="X47" i="6"/>
  <c r="W47" i="6"/>
  <c r="V47" i="6"/>
  <c r="U47" i="6"/>
  <c r="T47" i="6"/>
  <c r="S47" i="6"/>
  <c r="R47" i="6"/>
  <c r="Q47" i="6"/>
  <c r="P47" i="6"/>
  <c r="O47" i="6"/>
  <c r="N47" i="6"/>
  <c r="M47" i="6"/>
  <c r="E39" i="5"/>
  <c r="E40" i="5"/>
  <c r="E41" i="5"/>
  <c r="E42" i="5"/>
  <c r="E43" i="5"/>
  <c r="E44" i="5"/>
  <c r="E45" i="5"/>
  <c r="E46" i="5"/>
  <c r="E47" i="5"/>
  <c r="E48" i="5"/>
  <c r="E49" i="5"/>
  <c r="E50" i="5"/>
  <c r="E51" i="5"/>
  <c r="E52" i="5"/>
  <c r="E38" i="5"/>
  <c r="D52" i="5"/>
  <c r="C52" i="5"/>
  <c r="D51" i="5"/>
  <c r="C51" i="5"/>
  <c r="D50" i="5"/>
  <c r="C50" i="5"/>
  <c r="D49" i="5"/>
  <c r="C49" i="5"/>
  <c r="D48" i="5"/>
  <c r="C48" i="5"/>
  <c r="D47" i="5"/>
  <c r="C47" i="5"/>
  <c r="D46" i="5"/>
  <c r="C46" i="5"/>
  <c r="D45" i="5"/>
  <c r="C45" i="5"/>
  <c r="D44" i="5"/>
  <c r="C44" i="5"/>
  <c r="D43" i="5"/>
  <c r="C43" i="5"/>
  <c r="D42" i="5"/>
  <c r="C42" i="5"/>
  <c r="D41" i="5"/>
  <c r="C41" i="5"/>
  <c r="D40" i="5"/>
  <c r="G40" i="5" s="1"/>
  <c r="C40" i="5"/>
  <c r="D39" i="5"/>
  <c r="C39" i="5"/>
  <c r="D38" i="5"/>
  <c r="C38" i="5"/>
  <c r="C13" i="5"/>
  <c r="C12" i="5"/>
  <c r="C11" i="5"/>
  <c r="C10" i="5"/>
  <c r="C9" i="5"/>
  <c r="A33" i="6"/>
  <c r="A30" i="6"/>
  <c r="A27" i="6"/>
  <c r="A24" i="6"/>
  <c r="A21" i="6"/>
  <c r="A18" i="6"/>
  <c r="A15" i="6"/>
  <c r="A32" i="6"/>
  <c r="A31" i="6"/>
  <c r="A29" i="6"/>
  <c r="A28" i="6"/>
  <c r="A26" i="6"/>
  <c r="A25" i="6"/>
  <c r="A23" i="6"/>
  <c r="A22" i="6"/>
  <c r="A20" i="6"/>
  <c r="A19" i="6"/>
  <c r="A17" i="6"/>
  <c r="A16" i="6"/>
  <c r="A14" i="6"/>
  <c r="A13" i="6"/>
  <c r="A12" i="6"/>
  <c r="A11" i="6"/>
  <c r="A10" i="6"/>
  <c r="A9" i="6"/>
  <c r="A8" i="6"/>
  <c r="A7" i="6"/>
  <c r="R30" i="6"/>
  <c r="AE30" i="6" s="1"/>
  <c r="R27" i="6"/>
  <c r="AE27" i="6" s="1"/>
  <c r="R24" i="6"/>
  <c r="AE24" i="6" s="1"/>
  <c r="R21" i="6"/>
  <c r="AE21" i="6" s="1"/>
  <c r="R18" i="6"/>
  <c r="AE18" i="6" s="1"/>
  <c r="R15" i="6"/>
  <c r="AE15" i="6" s="1"/>
  <c r="R12" i="6"/>
  <c r="AE12" i="6" s="1"/>
  <c r="R9" i="6"/>
  <c r="AE9" i="6" s="1"/>
  <c r="T30" i="6"/>
  <c r="T27" i="6"/>
  <c r="T24" i="6"/>
  <c r="T21" i="6"/>
  <c r="T18" i="6"/>
  <c r="T15" i="6"/>
  <c r="T12" i="6"/>
  <c r="T9" i="6"/>
  <c r="X30" i="6"/>
  <c r="W30" i="6"/>
  <c r="V30" i="6"/>
  <c r="U30" i="6"/>
  <c r="S30" i="6"/>
  <c r="Q30" i="6"/>
  <c r="AD30" i="6" s="1"/>
  <c r="P30" i="6"/>
  <c r="O30" i="6"/>
  <c r="N30" i="6"/>
  <c r="M30" i="6"/>
  <c r="L30" i="6"/>
  <c r="K30" i="6"/>
  <c r="J30" i="6"/>
  <c r="I30" i="6"/>
  <c r="H30" i="6"/>
  <c r="G30" i="6"/>
  <c r="F30" i="6"/>
  <c r="X27" i="6"/>
  <c r="W27" i="6"/>
  <c r="V27" i="6"/>
  <c r="U27" i="6"/>
  <c r="S27" i="6"/>
  <c r="Q27" i="6"/>
  <c r="AD27" i="6" s="1"/>
  <c r="P27" i="6"/>
  <c r="O27" i="6"/>
  <c r="N27" i="6"/>
  <c r="M27" i="6"/>
  <c r="L27" i="6"/>
  <c r="K27" i="6"/>
  <c r="J27" i="6"/>
  <c r="I27" i="6"/>
  <c r="H27" i="6"/>
  <c r="G27" i="6"/>
  <c r="F27" i="6"/>
  <c r="X24" i="6"/>
  <c r="W24" i="6"/>
  <c r="V24" i="6"/>
  <c r="U24" i="6"/>
  <c r="S24" i="6"/>
  <c r="Q24" i="6"/>
  <c r="AD24" i="6" s="1"/>
  <c r="P24" i="6"/>
  <c r="O24" i="6"/>
  <c r="N24" i="6"/>
  <c r="M24" i="6"/>
  <c r="L24" i="6"/>
  <c r="K24" i="6"/>
  <c r="J24" i="6"/>
  <c r="I24" i="6"/>
  <c r="H24" i="6"/>
  <c r="G24" i="6"/>
  <c r="F24" i="6"/>
  <c r="X21" i="6"/>
  <c r="W21" i="6"/>
  <c r="V21" i="6"/>
  <c r="U21" i="6"/>
  <c r="S21" i="6"/>
  <c r="Q21" i="6"/>
  <c r="AD21" i="6" s="1"/>
  <c r="P21" i="6"/>
  <c r="O21" i="6"/>
  <c r="N21" i="6"/>
  <c r="M21" i="6"/>
  <c r="L21" i="6"/>
  <c r="K21" i="6"/>
  <c r="J21" i="6"/>
  <c r="I21" i="6"/>
  <c r="H21" i="6"/>
  <c r="G21" i="6"/>
  <c r="F21" i="6"/>
  <c r="X18" i="6"/>
  <c r="W18" i="6"/>
  <c r="V18" i="6"/>
  <c r="U18" i="6"/>
  <c r="S18" i="6"/>
  <c r="Q18" i="6"/>
  <c r="AD18" i="6" s="1"/>
  <c r="P18" i="6"/>
  <c r="O18" i="6"/>
  <c r="N18" i="6"/>
  <c r="M18" i="6"/>
  <c r="L18" i="6"/>
  <c r="K18" i="6"/>
  <c r="J18" i="6"/>
  <c r="I18" i="6"/>
  <c r="H18" i="6"/>
  <c r="G18" i="6"/>
  <c r="F18" i="6"/>
  <c r="X15" i="6"/>
  <c r="W15" i="6"/>
  <c r="V15" i="6"/>
  <c r="U15" i="6"/>
  <c r="S15" i="6"/>
  <c r="Q15" i="6"/>
  <c r="AD15" i="6" s="1"/>
  <c r="P15" i="6"/>
  <c r="O15" i="6"/>
  <c r="N15" i="6"/>
  <c r="M15" i="6"/>
  <c r="L15" i="6"/>
  <c r="K15" i="6"/>
  <c r="J15" i="6"/>
  <c r="I15" i="6"/>
  <c r="H15" i="6"/>
  <c r="G15" i="6"/>
  <c r="F15" i="6"/>
  <c r="X12" i="6"/>
  <c r="W12" i="6"/>
  <c r="V12" i="6"/>
  <c r="U12" i="6"/>
  <c r="S12" i="6"/>
  <c r="Q12" i="6"/>
  <c r="AD12" i="6" s="1"/>
  <c r="P12" i="6"/>
  <c r="O12" i="6"/>
  <c r="N12" i="6"/>
  <c r="M12" i="6"/>
  <c r="L12" i="6"/>
  <c r="K12" i="6"/>
  <c r="J12" i="6"/>
  <c r="I12" i="6"/>
  <c r="H12" i="6"/>
  <c r="G12" i="6"/>
  <c r="F12" i="6"/>
  <c r="X9" i="6"/>
  <c r="W9" i="6"/>
  <c r="V9" i="6"/>
  <c r="U9" i="6"/>
  <c r="S9" i="6"/>
  <c r="Q9" i="6"/>
  <c r="AD9" i="6" s="1"/>
  <c r="P9" i="6"/>
  <c r="O9" i="6"/>
  <c r="N9" i="6"/>
  <c r="M9" i="6"/>
  <c r="L9" i="6"/>
  <c r="K9" i="6"/>
  <c r="J9" i="6"/>
  <c r="I9" i="6"/>
  <c r="H9" i="6"/>
  <c r="G9" i="6"/>
  <c r="F9" i="6"/>
  <c r="D33" i="6"/>
  <c r="E33" i="6"/>
  <c r="D12" i="6"/>
  <c r="D31" i="6"/>
  <c r="E12" i="6"/>
  <c r="E31" i="6"/>
  <c r="J77" i="5"/>
  <c r="J74" i="5"/>
  <c r="J75" i="5"/>
  <c r="J76" i="5"/>
  <c r="I75" i="5"/>
  <c r="I73" i="5"/>
  <c r="G358" i="4"/>
  <c r="G357" i="4"/>
  <c r="G356" i="4"/>
  <c r="G355" i="4"/>
  <c r="G354" i="4"/>
  <c r="G353" i="4"/>
  <c r="G352" i="4"/>
  <c r="G351" i="4"/>
  <c r="G350" i="4"/>
  <c r="G349" i="4"/>
  <c r="G348" i="4"/>
  <c r="G347" i="4"/>
  <c r="G207" i="4"/>
  <c r="G206" i="4"/>
  <c r="G205" i="4"/>
  <c r="G204" i="4"/>
  <c r="G203" i="4"/>
  <c r="G202" i="4"/>
  <c r="G201" i="4"/>
  <c r="G200" i="4"/>
  <c r="G197" i="4"/>
  <c r="G196" i="4"/>
  <c r="G185" i="4"/>
  <c r="G184" i="4"/>
  <c r="G183" i="4"/>
  <c r="G182" i="4"/>
  <c r="G181" i="4"/>
  <c r="G180" i="4"/>
  <c r="G179" i="4"/>
  <c r="G176" i="4"/>
  <c r="G175" i="4"/>
  <c r="G174" i="4"/>
  <c r="G163" i="4"/>
  <c r="G162" i="4"/>
  <c r="G160" i="4"/>
  <c r="G159" i="4"/>
  <c r="G158" i="4"/>
  <c r="G157" i="4"/>
  <c r="G156" i="4"/>
  <c r="G155" i="4"/>
  <c r="G154" i="4"/>
  <c r="G153" i="4"/>
  <c r="G141" i="4"/>
  <c r="I141" i="4" s="1"/>
  <c r="G140" i="4"/>
  <c r="G139" i="4"/>
  <c r="I139" i="4" s="1"/>
  <c r="G138" i="4"/>
  <c r="G137" i="4"/>
  <c r="G136" i="4"/>
  <c r="I136" i="4" s="1"/>
  <c r="G135" i="4"/>
  <c r="I135" i="4" s="1"/>
  <c r="G134" i="4"/>
  <c r="I134" i="4" s="1"/>
  <c r="G133" i="4"/>
  <c r="I133" i="4" s="1"/>
  <c r="G132" i="4"/>
  <c r="G131" i="4"/>
  <c r="I131" i="4" s="1"/>
  <c r="G130" i="4"/>
  <c r="G96" i="4"/>
  <c r="I96" i="4" s="1"/>
  <c r="G95" i="4"/>
  <c r="I95" i="4" s="1"/>
  <c r="G94" i="4"/>
  <c r="I94" i="4" s="1"/>
  <c r="G93" i="4"/>
  <c r="I93" i="4" s="1"/>
  <c r="G92" i="4"/>
  <c r="I92" i="4" s="1"/>
  <c r="G91" i="4"/>
  <c r="I91" i="4" s="1"/>
  <c r="G90" i="4"/>
  <c r="I90" i="4" s="1"/>
  <c r="G89" i="4"/>
  <c r="I89" i="4" s="1"/>
  <c r="G88" i="4"/>
  <c r="I88" i="4" s="1"/>
  <c r="G87" i="4"/>
  <c r="I87" i="4" s="1"/>
  <c r="G86" i="4"/>
  <c r="B104" i="11"/>
  <c r="D104" i="11" s="1"/>
  <c r="B103" i="11"/>
  <c r="D103" i="11" s="1"/>
  <c r="B102" i="11"/>
  <c r="D102" i="11" s="1"/>
  <c r="B101" i="11"/>
  <c r="D101" i="11" s="1"/>
  <c r="B100" i="11"/>
  <c r="D100" i="11" s="1"/>
  <c r="B99" i="11"/>
  <c r="D99" i="11" s="1"/>
  <c r="B98" i="11"/>
  <c r="D98" i="11" s="1"/>
  <c r="B97" i="11"/>
  <c r="D97" i="11" s="1"/>
  <c r="D23" i="11"/>
  <c r="B89" i="11"/>
  <c r="D89" i="11" s="1"/>
  <c r="B88" i="11"/>
  <c r="D88" i="11" s="1"/>
  <c r="B87" i="11"/>
  <c r="D87" i="11" s="1"/>
  <c r="B86" i="11"/>
  <c r="D86" i="11" s="1"/>
  <c r="B85" i="11"/>
  <c r="D85" i="11" s="1"/>
  <c r="B84" i="11"/>
  <c r="D84" i="11" s="1"/>
  <c r="B83" i="11"/>
  <c r="D83" i="11" s="1"/>
  <c r="B82" i="11"/>
  <c r="D82" i="11" s="1"/>
  <c r="D25" i="11"/>
  <c r="D27" i="11"/>
  <c r="E74" i="11"/>
  <c r="G74" i="11" s="1"/>
  <c r="E73" i="11"/>
  <c r="G73" i="11" s="1"/>
  <c r="E72" i="11"/>
  <c r="G72" i="11" s="1"/>
  <c r="E71" i="11"/>
  <c r="G71" i="11" s="1"/>
  <c r="E70" i="11"/>
  <c r="G70" i="11" s="1"/>
  <c r="E69" i="11"/>
  <c r="G69" i="11" s="1"/>
  <c r="E68" i="11"/>
  <c r="G68" i="11" s="1"/>
  <c r="E67" i="11"/>
  <c r="G67" i="11" s="1"/>
  <c r="D41" i="11"/>
  <c r="D40" i="11"/>
  <c r="D39" i="11"/>
  <c r="D38" i="11"/>
  <c r="D37" i="11"/>
  <c r="D36" i="11"/>
  <c r="D35" i="11"/>
  <c r="E58" i="11"/>
  <c r="H58" i="11" s="1"/>
  <c r="E57" i="11"/>
  <c r="H57" i="11" s="1"/>
  <c r="E56" i="11"/>
  <c r="H56" i="11" s="1"/>
  <c r="E55" i="11"/>
  <c r="H55" i="11" s="1"/>
  <c r="E54" i="11"/>
  <c r="H54" i="11" s="1"/>
  <c r="E53" i="11"/>
  <c r="H53" i="11" s="1"/>
  <c r="E52" i="11"/>
  <c r="H52" i="11" s="1"/>
  <c r="E51" i="11"/>
  <c r="H51" i="11" s="1"/>
  <c r="G39" i="5" l="1"/>
  <c r="O39" i="5" s="1"/>
  <c r="I46" i="5"/>
  <c r="K46" i="5"/>
  <c r="L46" i="5"/>
  <c r="J46" i="5"/>
  <c r="G46" i="5"/>
  <c r="O46" i="5" s="1"/>
  <c r="J45" i="5"/>
  <c r="L45" i="5"/>
  <c r="K45" i="5"/>
  <c r="I45" i="5"/>
  <c r="G45" i="5"/>
  <c r="O45" i="5" s="1"/>
  <c r="L44" i="5"/>
  <c r="I44" i="5"/>
  <c r="J44" i="5"/>
  <c r="K44" i="5"/>
  <c r="L43" i="5"/>
  <c r="J43" i="5"/>
  <c r="K43" i="5"/>
  <c r="I43" i="5"/>
  <c r="L42" i="5"/>
  <c r="I42" i="5"/>
  <c r="J42" i="5"/>
  <c r="K42" i="5"/>
  <c r="L41" i="5"/>
  <c r="I41" i="5"/>
  <c r="J41" i="5"/>
  <c r="K41" i="5"/>
  <c r="I40" i="5"/>
  <c r="J40" i="5"/>
  <c r="K40" i="5"/>
  <c r="L40" i="5"/>
  <c r="J39" i="5"/>
  <c r="K39" i="5"/>
  <c r="L39" i="5"/>
  <c r="I39" i="5"/>
  <c r="I38" i="5"/>
  <c r="J38" i="5"/>
  <c r="L38" i="5"/>
  <c r="K38" i="5"/>
  <c r="G44" i="5"/>
  <c r="O44" i="5" s="1"/>
  <c r="G43" i="5"/>
  <c r="O43" i="5" s="1"/>
  <c r="G42" i="5"/>
  <c r="O42" i="5" s="1"/>
  <c r="G41" i="5"/>
  <c r="O41" i="5" s="1"/>
  <c r="O40" i="5"/>
  <c r="G38" i="5"/>
  <c r="O38" i="5" s="1"/>
  <c r="D19" i="5"/>
  <c r="C8" i="8"/>
  <c r="C28" i="8" s="1"/>
  <c r="C8" i="7"/>
  <c r="C25" i="7" s="1"/>
  <c r="C22" i="8"/>
  <c r="C19" i="7"/>
  <c r="C21" i="8"/>
  <c r="C18" i="7"/>
  <c r="C20" i="8"/>
  <c r="C17" i="7"/>
  <c r="C23" i="8"/>
  <c r="C20" i="7"/>
  <c r="I325" i="4"/>
  <c r="I304" i="4"/>
  <c r="I283" i="4"/>
  <c r="D13" i="7" s="1"/>
  <c r="I262" i="4"/>
  <c r="C18" i="5"/>
  <c r="C28" i="5"/>
  <c r="C22" i="5"/>
  <c r="C21" i="5"/>
  <c r="C19" i="5"/>
  <c r="H229" i="4"/>
  <c r="H225" i="4"/>
  <c r="H221" i="4"/>
  <c r="H230" i="4"/>
  <c r="H226" i="4"/>
  <c r="H222" i="4"/>
  <c r="H228" i="4"/>
  <c r="H227" i="4"/>
  <c r="H223" i="4"/>
  <c r="H219" i="4"/>
  <c r="I219" i="4" s="1"/>
  <c r="E32" i="4" s="1"/>
  <c r="E24" i="5" s="1"/>
  <c r="W108" i="5" s="1"/>
  <c r="H224" i="4"/>
  <c r="H220" i="4"/>
  <c r="B58" i="9"/>
  <c r="I86" i="4"/>
  <c r="I241" i="4"/>
  <c r="E33" i="4" s="1"/>
  <c r="C20" i="5"/>
  <c r="E54" i="5"/>
  <c r="F52" i="5" s="1"/>
  <c r="N51" i="5"/>
  <c r="H10" i="4"/>
  <c r="C214" i="4" s="1" a="1"/>
  <c r="C214" i="4" s="1"/>
  <c r="I85" i="4"/>
  <c r="M49" i="5"/>
  <c r="N52" i="5"/>
  <c r="N48" i="5"/>
  <c r="H112" i="4"/>
  <c r="H116" i="4"/>
  <c r="H108" i="4"/>
  <c r="I108" i="4" s="1"/>
  <c r="H109" i="4"/>
  <c r="H113" i="4"/>
  <c r="H117" i="4"/>
  <c r="H110" i="4"/>
  <c r="H114" i="4"/>
  <c r="H118" i="4"/>
  <c r="H111" i="4"/>
  <c r="H115" i="4"/>
  <c r="H119" i="4"/>
  <c r="C43" i="4"/>
  <c r="C44" i="4"/>
  <c r="N47" i="5"/>
  <c r="M47" i="5"/>
  <c r="M52" i="5"/>
  <c r="M51" i="5"/>
  <c r="M50" i="5"/>
  <c r="N49" i="5"/>
  <c r="M48" i="5"/>
  <c r="N50" i="5"/>
  <c r="G71" i="4"/>
  <c r="C47" i="4" s="1"/>
  <c r="H71" i="4"/>
  <c r="C48" i="4" s="1"/>
  <c r="H9" i="9"/>
  <c r="H205" i="4"/>
  <c r="I130" i="4"/>
  <c r="E28" i="4" s="1"/>
  <c r="D20" i="8" s="1"/>
  <c r="H181" i="4"/>
  <c r="F71" i="4"/>
  <c r="I71" i="4"/>
  <c r="C49" i="4" s="1"/>
  <c r="E71" i="4"/>
  <c r="H352" i="4"/>
  <c r="H349" i="4"/>
  <c r="H177" i="4"/>
  <c r="H353" i="4"/>
  <c r="H356" i="4"/>
  <c r="H350" i="4"/>
  <c r="H347" i="4"/>
  <c r="H354" i="4"/>
  <c r="H357" i="4"/>
  <c r="H351" i="4"/>
  <c r="H358" i="4"/>
  <c r="H348" i="4"/>
  <c r="D29" i="4" l="1"/>
  <c r="D91" i="5" s="1"/>
  <c r="D30" i="4"/>
  <c r="D92" i="5" s="1"/>
  <c r="D26" i="4"/>
  <c r="D89" i="5" s="1"/>
  <c r="D28" i="4"/>
  <c r="D90" i="5" s="1"/>
  <c r="D31" i="4"/>
  <c r="H46" i="5"/>
  <c r="N46" i="5"/>
  <c r="M46" i="5"/>
  <c r="H45" i="5"/>
  <c r="N45" i="5"/>
  <c r="M45" i="5"/>
  <c r="H39" i="5"/>
  <c r="H38" i="5"/>
  <c r="H40" i="5"/>
  <c r="H41" i="5"/>
  <c r="H42" i="5"/>
  <c r="H43" i="5"/>
  <c r="H44" i="5"/>
  <c r="M44" i="5"/>
  <c r="N44" i="5"/>
  <c r="M38" i="5"/>
  <c r="G20" i="7" a="1"/>
  <c r="G20" i="7" s="1"/>
  <c r="G19" i="7" a="1"/>
  <c r="G19" i="7" s="1"/>
  <c r="G18" i="7" a="1"/>
  <c r="G18" i="7" s="1"/>
  <c r="M39" i="5"/>
  <c r="M43" i="5"/>
  <c r="N39" i="5"/>
  <c r="N43" i="5"/>
  <c r="N40" i="5"/>
  <c r="M40" i="5"/>
  <c r="N41" i="5"/>
  <c r="M41" i="5"/>
  <c r="M42" i="5"/>
  <c r="N42" i="5"/>
  <c r="G20" i="8" a="1"/>
  <c r="G20" i="8" s="1"/>
  <c r="J20" i="8" s="1"/>
  <c r="G8" i="7" a="1"/>
  <c r="G8" i="7" s="1"/>
  <c r="G7" i="7" a="1"/>
  <c r="G7" i="7" s="1"/>
  <c r="G17" i="7" a="1"/>
  <c r="G17" i="7" s="1"/>
  <c r="G23" i="8" a="1"/>
  <c r="G23" i="8" s="1"/>
  <c r="G14" i="7" a="1"/>
  <c r="G14" i="7" s="1"/>
  <c r="G22" i="8" a="1"/>
  <c r="G22" i="8" s="1"/>
  <c r="G10" i="7" a="1"/>
  <c r="G10" i="7" s="1"/>
  <c r="G21" i="8" a="1"/>
  <c r="G21" i="8" s="1"/>
  <c r="G9" i="7" a="1"/>
  <c r="G9" i="7" s="1"/>
  <c r="F18" i="8"/>
  <c r="C7" i="8"/>
  <c r="C27" i="8" s="1"/>
  <c r="F17" i="8"/>
  <c r="F13" i="8"/>
  <c r="G17" i="8"/>
  <c r="G13" i="8"/>
  <c r="D15" i="8"/>
  <c r="I15" i="8" s="1"/>
  <c r="D12" i="7"/>
  <c r="D17" i="8"/>
  <c r="D32" i="8" s="1"/>
  <c r="D16" i="8"/>
  <c r="E35" i="4"/>
  <c r="E27" i="5" s="1"/>
  <c r="D18" i="8"/>
  <c r="E34" i="4"/>
  <c r="E26" i="5" s="1"/>
  <c r="D10" i="8"/>
  <c r="D30" i="8" s="1"/>
  <c r="E25" i="5"/>
  <c r="D9" i="7"/>
  <c r="D26" i="7" s="1"/>
  <c r="D9" i="8"/>
  <c r="D29" i="8" s="1"/>
  <c r="D17" i="7"/>
  <c r="D15" i="7"/>
  <c r="D14" i="7"/>
  <c r="D10" i="7"/>
  <c r="D27" i="7" s="1"/>
  <c r="E28" i="5"/>
  <c r="G28" i="5" s="1"/>
  <c r="E20" i="5"/>
  <c r="E26" i="4"/>
  <c r="F33" i="4"/>
  <c r="H10" i="9"/>
  <c r="E27" i="4"/>
  <c r="F39" i="5"/>
  <c r="F47" i="5"/>
  <c r="F51" i="5"/>
  <c r="F38" i="5"/>
  <c r="F41" i="5"/>
  <c r="F48" i="5"/>
  <c r="D155" i="5"/>
  <c r="F45" i="5"/>
  <c r="F49" i="5"/>
  <c r="F42" i="5"/>
  <c r="F44" i="5"/>
  <c r="F40" i="5"/>
  <c r="F46" i="5"/>
  <c r="F50" i="5"/>
  <c r="F43" i="5"/>
  <c r="N38" i="5"/>
  <c r="H184" i="4"/>
  <c r="H196" i="4"/>
  <c r="I196" i="4" s="1"/>
  <c r="E31" i="4" s="1"/>
  <c r="D20" i="7" s="1"/>
  <c r="H200" i="4"/>
  <c r="H132" i="4"/>
  <c r="H180" i="4"/>
  <c r="H199" i="4"/>
  <c r="H135" i="4"/>
  <c r="H204" i="4"/>
  <c r="H138" i="4"/>
  <c r="H206" i="4"/>
  <c r="H141" i="4"/>
  <c r="H176" i="4"/>
  <c r="H178" i="4"/>
  <c r="H202" i="4"/>
  <c r="H131" i="4"/>
  <c r="H198" i="4"/>
  <c r="H175" i="4"/>
  <c r="H179" i="4"/>
  <c r="H185" i="4"/>
  <c r="H182" i="4"/>
  <c r="H158" i="4"/>
  <c r="H157" i="4"/>
  <c r="H155" i="4"/>
  <c r="H162" i="4"/>
  <c r="H153" i="4"/>
  <c r="H152" i="4"/>
  <c r="I152" i="4" s="1"/>
  <c r="E29" i="4" s="1"/>
  <c r="H156" i="4"/>
  <c r="H154" i="4"/>
  <c r="H163" i="4"/>
  <c r="H160" i="4"/>
  <c r="H161" i="4"/>
  <c r="H159" i="4"/>
  <c r="H201" i="4"/>
  <c r="H207" i="4"/>
  <c r="H203" i="4"/>
  <c r="C45" i="4"/>
  <c r="H12" i="4"/>
  <c r="H12" i="9" s="1"/>
  <c r="H183" i="4"/>
  <c r="H174" i="4"/>
  <c r="I174" i="4" s="1"/>
  <c r="E30" i="4" s="1"/>
  <c r="E22" i="5" s="1"/>
  <c r="H140" i="4"/>
  <c r="H133" i="4"/>
  <c r="H197" i="4"/>
  <c r="H139" i="4"/>
  <c r="H137" i="4"/>
  <c r="H136" i="4"/>
  <c r="H134" i="4"/>
  <c r="C46" i="4"/>
  <c r="G61" i="5"/>
  <c r="J15" i="8" l="1"/>
  <c r="J18" i="8"/>
  <c r="D33" i="8"/>
  <c r="E33" i="8" s="1"/>
  <c r="E37" i="4"/>
  <c r="D164" i="5"/>
  <c r="J16" i="8"/>
  <c r="E21" i="5"/>
  <c r="F8" i="7"/>
  <c r="F9" i="7"/>
  <c r="I9" i="7" s="1"/>
  <c r="F7" i="7"/>
  <c r="F10" i="7"/>
  <c r="E27" i="7" s="1"/>
  <c r="D12" i="8"/>
  <c r="D7" i="8" s="1"/>
  <c r="I18" i="8"/>
  <c r="J14" i="7"/>
  <c r="D28" i="7"/>
  <c r="I12" i="7"/>
  <c r="J12" i="7"/>
  <c r="J9" i="7"/>
  <c r="J10" i="7"/>
  <c r="J20" i="7"/>
  <c r="J17" i="7"/>
  <c r="F35" i="4"/>
  <c r="F28" i="5"/>
  <c r="D8" i="8"/>
  <c r="D28" i="8" s="1"/>
  <c r="G26" i="5"/>
  <c r="D19" i="7"/>
  <c r="D23" i="8"/>
  <c r="D22" i="8"/>
  <c r="D18" i="7"/>
  <c r="D21" i="8"/>
  <c r="E23" i="5"/>
  <c r="E21" i="8"/>
  <c r="E18" i="7"/>
  <c r="E22" i="8"/>
  <c r="E19" i="7"/>
  <c r="D23" i="5"/>
  <c r="E23" i="8"/>
  <c r="E20" i="7"/>
  <c r="H20" i="7" s="1"/>
  <c r="D8" i="7"/>
  <c r="D25" i="7" s="1"/>
  <c r="D20" i="5"/>
  <c r="F20" i="5" s="1"/>
  <c r="E20" i="8"/>
  <c r="H20" i="8" s="1"/>
  <c r="E17" i="7"/>
  <c r="H17" i="7" s="1"/>
  <c r="F34" i="4"/>
  <c r="D7" i="7"/>
  <c r="D24" i="7" s="1"/>
  <c r="D32" i="4"/>
  <c r="E18" i="5"/>
  <c r="F27" i="4"/>
  <c r="E19" i="5"/>
  <c r="F26" i="5"/>
  <c r="D166" i="5"/>
  <c r="F26" i="4"/>
  <c r="D18" i="5"/>
  <c r="F30" i="5" s="1"/>
  <c r="K54" i="5"/>
  <c r="J54" i="5"/>
  <c r="I54" i="5"/>
  <c r="L54" i="5"/>
  <c r="N54" i="5"/>
  <c r="F62" i="5" s="1"/>
  <c r="F54" i="5"/>
  <c r="O54" i="5"/>
  <c r="G62" i="5" s="1"/>
  <c r="M54" i="5"/>
  <c r="E62" i="5" s="1"/>
  <c r="F31" i="4"/>
  <c r="F29" i="4"/>
  <c r="D21" i="5"/>
  <c r="F28" i="4"/>
  <c r="D22" i="5"/>
  <c r="G22" i="5" s="1"/>
  <c r="F30" i="4"/>
  <c r="H54" i="5"/>
  <c r="D79" i="5" s="1"/>
  <c r="K79" i="5" s="1"/>
  <c r="J72" i="5" l="1"/>
  <c r="J73" i="5"/>
  <c r="I71" i="5"/>
  <c r="I72" i="5"/>
  <c r="H68" i="5"/>
  <c r="H67" i="5"/>
  <c r="J71" i="5"/>
  <c r="J67" i="5"/>
  <c r="E28" i="8"/>
  <c r="E24" i="7"/>
  <c r="E26" i="7"/>
  <c r="F27" i="5"/>
  <c r="E30" i="8"/>
  <c r="D27" i="8"/>
  <c r="E29" i="5"/>
  <c r="D162" i="5"/>
  <c r="D168" i="5" s="1"/>
  <c r="D177" i="5" s="1"/>
  <c r="E25" i="7"/>
  <c r="F21" i="5"/>
  <c r="D13" i="8"/>
  <c r="D34" i="8" s="1"/>
  <c r="F32" i="4"/>
  <c r="F37" i="4" s="1"/>
  <c r="D24" i="5"/>
  <c r="F24" i="5" s="1"/>
  <c r="I10" i="7"/>
  <c r="J69" i="5"/>
  <c r="J68" i="5"/>
  <c r="J70" i="5"/>
  <c r="J17" i="8"/>
  <c r="H23" i="8"/>
  <c r="J23" i="8"/>
  <c r="J21" i="8"/>
  <c r="H21" i="8"/>
  <c r="J22" i="8"/>
  <c r="H22" i="8"/>
  <c r="J8" i="7"/>
  <c r="I8" i="7"/>
  <c r="J7" i="7"/>
  <c r="I7" i="7"/>
  <c r="J19" i="7"/>
  <c r="H19" i="7"/>
  <c r="H18" i="7"/>
  <c r="J18" i="7"/>
  <c r="G27" i="5"/>
  <c r="W107" i="5"/>
  <c r="W109" i="5" s="1"/>
  <c r="D163" i="5"/>
  <c r="G23" i="5"/>
  <c r="F23" i="5"/>
  <c r="G20" i="5"/>
  <c r="F25" i="5"/>
  <c r="F14" i="7"/>
  <c r="I14" i="7" s="1"/>
  <c r="E35" i="9"/>
  <c r="H56" i="5"/>
  <c r="G19" i="5"/>
  <c r="G25" i="5"/>
  <c r="G18" i="5"/>
  <c r="F19" i="5"/>
  <c r="E44" i="9"/>
  <c r="E45" i="9"/>
  <c r="E47" i="9"/>
  <c r="E43" i="9"/>
  <c r="E46" i="9"/>
  <c r="F18" i="5"/>
  <c r="G21" i="5"/>
  <c r="F22" i="5"/>
  <c r="D76" i="5"/>
  <c r="K76" i="5" s="1"/>
  <c r="D75" i="5"/>
  <c r="K75" i="5" s="1"/>
  <c r="D71" i="5"/>
  <c r="D78" i="5"/>
  <c r="K78" i="5" s="1"/>
  <c r="D74" i="5"/>
  <c r="K74" i="5" s="1"/>
  <c r="D69" i="5"/>
  <c r="D77" i="5"/>
  <c r="K77" i="5" s="1"/>
  <c r="D72" i="5"/>
  <c r="D67" i="5"/>
  <c r="D73" i="5"/>
  <c r="D68" i="5"/>
  <c r="D70" i="5"/>
  <c r="D80" i="5"/>
  <c r="K80" i="5" s="1"/>
  <c r="K73" i="5" l="1"/>
  <c r="K72" i="5"/>
  <c r="K71" i="5"/>
  <c r="K67" i="5"/>
  <c r="E27" i="8"/>
  <c r="D35" i="8"/>
  <c r="E34" i="8"/>
  <c r="E39" i="8"/>
  <c r="F29" i="5"/>
  <c r="F31" i="5" s="1"/>
  <c r="K70" i="5"/>
  <c r="G24" i="5"/>
  <c r="G29" i="5" s="1"/>
  <c r="G31" i="5" s="1"/>
  <c r="D104" i="5" s="1"/>
  <c r="E31" i="5"/>
  <c r="E32" i="5"/>
  <c r="K68" i="5"/>
  <c r="K69" i="5"/>
  <c r="E29" i="8"/>
  <c r="E32" i="8"/>
  <c r="E32" i="7"/>
  <c r="E34" i="7"/>
  <c r="I17" i="8"/>
  <c r="I16" i="8"/>
  <c r="E28" i="7"/>
  <c r="E29" i="7" s="1"/>
  <c r="E33" i="7"/>
  <c r="J13" i="8"/>
  <c r="E41" i="8" s="1"/>
  <c r="D167" i="5"/>
  <c r="D173" i="5" s="1"/>
  <c r="W171" i="5" s="1"/>
  <c r="D169" i="5"/>
  <c r="D174" i="5" s="1"/>
  <c r="W172" i="5" s="1"/>
  <c r="D165" i="5"/>
  <c r="C26" i="9"/>
  <c r="C28" i="9"/>
  <c r="M27" i="9"/>
  <c r="M26" i="9"/>
  <c r="E36" i="9"/>
  <c r="E168" i="5"/>
  <c r="E48" i="9"/>
  <c r="E38" i="9" s="1"/>
  <c r="E39" i="9"/>
  <c r="E37" i="9"/>
  <c r="D81" i="5"/>
  <c r="E36" i="8" l="1"/>
  <c r="K81" i="5"/>
  <c r="C92" i="5" s="1"/>
  <c r="E92" i="5" s="1"/>
  <c r="E35" i="7"/>
  <c r="I13" i="8"/>
  <c r="E40" i="8" s="1"/>
  <c r="T167" i="5"/>
  <c r="R167" i="5" s="1"/>
  <c r="T166" i="5"/>
  <c r="R166" i="5" s="1"/>
  <c r="T162" i="5"/>
  <c r="R162" i="5" s="1"/>
  <c r="T164" i="5"/>
  <c r="R164" i="5" s="1"/>
  <c r="T163" i="5"/>
  <c r="R163" i="5" s="1"/>
  <c r="T165" i="5"/>
  <c r="R165" i="5" s="1"/>
  <c r="C104" i="5"/>
  <c r="E40" i="9"/>
  <c r="C91" i="5" l="1"/>
  <c r="E91" i="5" s="1"/>
  <c r="C89" i="5"/>
  <c r="E89" i="5" s="1"/>
  <c r="C90" i="5"/>
  <c r="E90" i="5" s="1"/>
  <c r="N26" i="9"/>
  <c r="C27" i="9" s="1"/>
  <c r="N27" i="9"/>
  <c r="C29" i="9" s="1"/>
  <c r="E167" i="5"/>
  <c r="G166" i="5"/>
  <c r="E93" i="5" l="1"/>
  <c r="C99" i="5" s="1"/>
  <c r="C100" i="5" s="1"/>
  <c r="C101" i="5" s="1"/>
  <c r="C93" i="5"/>
  <c r="C30" i="9"/>
  <c r="E42" i="8"/>
  <c r="C106" i="5" l="1"/>
  <c r="D105" i="5"/>
  <c r="R172" i="5" s="1"/>
  <c r="D172" i="5" s="1"/>
  <c r="D175" i="5" s="1"/>
  <c r="D106" i="5"/>
  <c r="C108" i="5" s="1"/>
  <c r="W100" i="5" s="1"/>
  <c r="W101" i="5" s="1"/>
  <c r="D109" i="5" s="1"/>
  <c r="C105" i="5"/>
  <c r="C109" i="5" s="1"/>
  <c r="W110" i="5" s="1"/>
  <c r="W111" i="5" l="1"/>
  <c r="C110" i="5" s="1"/>
  <c r="C111" i="5" s="1"/>
  <c r="D157" i="5"/>
  <c r="W170" i="5"/>
  <c r="Y47"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SimsR</author>
    <author>Deejan Ferrao</author>
  </authors>
  <commentList>
    <comment ref="G37" authorId="0" shapeId="0" xr:uid="{00000000-0006-0000-0400-000001000000}">
      <text>
        <r>
          <rPr>
            <sz val="9"/>
            <color indexed="81"/>
            <rFont val="Tahoma"/>
            <family val="2"/>
          </rPr>
          <t>If the reference table doesn't contain a match for the State and Region, then can't find an exact match, then:
a) check for regional equivalent (i.e. "NSW-ALL")
b) check for Australian average for Region
c) check for Australian average for ALL</t>
        </r>
      </text>
    </comment>
    <comment ref="W101" authorId="1" shapeId="0" xr:uid="{00000000-0006-0000-0400-000002000000}">
      <text>
        <r>
          <rPr>
            <b/>
            <sz val="9"/>
            <color indexed="81"/>
            <rFont val="Tahoma"/>
            <family val="2"/>
          </rPr>
          <t xml:space="preserve">Deejan :
works only when CR is not met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Jack Manning</author>
  </authors>
  <commentList>
    <comment ref="I7" authorId="0" shapeId="0" xr:uid="{00000000-0006-0000-0A00-000001000000}">
      <text>
        <r>
          <rPr>
            <sz val="8"/>
            <color indexed="81"/>
            <rFont val="Tahoma"/>
            <family val="2"/>
          </rPr>
          <t>Minimum Performer is defined as being 30% more carbon intensive than the average performer.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<sst xmlns="http://schemas.openxmlformats.org/spreadsheetml/2006/main" count="12838" uniqueCount="2745">
  <si>
    <t>DISCLAIMER, AUTHORISATION AND ACKNOWLEDGEMENT</t>
  </si>
  <si>
    <t>Please ensure that you use the most up-to-date version of Green Star calculators They are routinely updated, and using the most current version will make filling in your calculator easier, clearer and more accurate.
This calculator provides an indication of the number of points available in the rating tool. It is not final, and it is only intended for feedback purposes.</t>
  </si>
  <si>
    <t>Change Log</t>
  </si>
  <si>
    <t>Calculator Release</t>
  </si>
  <si>
    <t>Summary of Changes</t>
  </si>
  <si>
    <t>Green Star - Performance Submission Guidelines Version 1.2</t>
  </si>
  <si>
    <t>Release 14 - 24/11/2022</t>
  </si>
  <si>
    <t>- Minor amendments to NGER Emission Factors</t>
  </si>
  <si>
    <t>Release 13 - 11/11/2022</t>
  </si>
  <si>
    <t>- Updated NGER Emission Factors with new values from Australian National Greenhouse Accounts Factors 2022</t>
  </si>
  <si>
    <t>Release 12 - 7/09/2022</t>
  </si>
  <si>
    <t>- Amended error with blank values in 15B Baseline Tables</t>
  </si>
  <si>
    <t>Release 11 - 23/08/2022</t>
  </si>
  <si>
    <t xml:space="preserve"> - Updated reference data so that 2021 data is used as a proxy only, for 2022, unitl 2022 data is released by NGERS</t>
  </si>
  <si>
    <t>Release 10 - 8/07/2022</t>
  </si>
  <si>
    <t>- Updated calculations for location based and market based to report electricity figures accurately.
- Updated an error with blank values in 15B Baseline Tables</t>
  </si>
  <si>
    <t>Release 9 - 14/12/2021</t>
  </si>
  <si>
    <t>- Minor amendment to points calculation</t>
  </si>
  <si>
    <t>Release 8 - 13/10/2021</t>
  </si>
  <si>
    <r>
      <t xml:space="preserve">- Incorporated the Renewables Scenario's in line with the </t>
    </r>
    <r>
      <rPr>
        <i/>
        <sz val="10"/>
        <color rgb="FF000000"/>
        <rFont val="Arial"/>
        <family val="2"/>
      </rPr>
      <t>Green Star Climate positive buildings &amp; our net zero ambitions: Guidance for Green Star on the use of offsets and renewables - Appendix A</t>
    </r>
    <r>
      <rPr>
        <sz val="10"/>
        <color indexed="8"/>
        <rFont val="Arial"/>
        <family val="2"/>
      </rPr>
      <t xml:space="preserve">
- Added the tab 'Location Based Approach' and 'Market Based Approach' for the purposes of Climate Active Certification.
- Updated NGERS Emission Factors in line with the National Greenhouse Gas Accounts Factors - August 2021.</t>
    </r>
  </si>
  <si>
    <t>Release 7 - 25/02/2021</t>
  </si>
  <si>
    <t>- Updated calculations for the tenant engagement section.
- Updated NGERS Emission Factors in line with the National Greenhouse Gas Accounts Factors - October 2020.</t>
  </si>
  <si>
    <t>Release 6 - 17/06/2020</t>
  </si>
  <si>
    <t>- Added input for project teams to select targeted Green Star rating for the project.
- Added prompt to notify project teams, when the Conditional Requirement for the 'Best Practice' or higher rating is not met.</t>
  </si>
  <si>
    <t>Release 5 - 11/03/2020</t>
  </si>
  <si>
    <t>Minor edits</t>
  </si>
  <si>
    <t>Release 4 - 29/11/2019</t>
  </si>
  <si>
    <t xml:space="preserve">- Addition of Powered by Renewables Innovation challenge.
- Addition of Carbon Neutral Certified Electricity input in the building details tab. 
- Renamed National Carbon Offset Standard to Climate Active Carbon Neutral Standard throughout the calculator. </t>
  </si>
  <si>
    <t>Release 3 - 08/10/2019</t>
  </si>
  <si>
    <t>- Updated NGERS Emission Factors in line with the National Greenhouse Gas Account Factors - 2019.</t>
  </si>
  <si>
    <t>Release 2 - 24/08/2018</t>
  </si>
  <si>
    <t>- Inclusion of the 'Carbon Neutral Summary' tab for proejcts targetting carbon neutral certification through the National Carbon Offset Standard for Buildings
- Updated NGER Emission Factors
- Addition of Renewable Energy inputs in the Building Details tab</t>
  </si>
  <si>
    <t>Release 1 - 29/11/2017</t>
  </si>
  <si>
    <t>Released for Green Star - Performance v1.2, 
- Inclusion of the selection of Electricity Networks
- Updated NGER Emission Factors 
- Inclusion of the National Carbon Offset Standard for Buildings tab
- Calculator applicable for NZ Projects
- Inclusion of Onsite Renewable energy inputs
- Inclusion of Innovaiton Challenge calculations
- Minor formatting throughout</t>
  </si>
  <si>
    <t>Green Star - Performance Submission Guidelines Version 1.1</t>
  </si>
  <si>
    <t>Release 2 - 14/06/2016</t>
  </si>
  <si>
    <t>Fixed references within '15B Baseline Tables' tab for Non Refrigerated Warehouses and Refrigerated Warehouses.</t>
  </si>
  <si>
    <t>Release 1 - 08/04/2016</t>
  </si>
  <si>
    <t>Released for Green Star - Performance v1.1,
- Amended functionality of Tenant Engagement Section of Calculation tab</t>
  </si>
  <si>
    <t>Green Star - Performance Submission Guidelines Version 1.0</t>
  </si>
  <si>
    <t>Release 1 - 13/04/2015</t>
  </si>
  <si>
    <t>Initial release.</t>
  </si>
  <si>
    <t>x</t>
  </si>
  <si>
    <t xml:space="preserve">Summary of Changes - Internal Use only </t>
  </si>
  <si>
    <t>Release Number</t>
  </si>
  <si>
    <t>Date</t>
  </si>
  <si>
    <t>Author</t>
  </si>
  <si>
    <t>Reviewer</t>
  </si>
  <si>
    <t>Approver</t>
  </si>
  <si>
    <t>Sheet</t>
  </si>
  <si>
    <t>Range</t>
  </si>
  <si>
    <t>New value</t>
  </si>
  <si>
    <t>Old value</t>
  </si>
  <si>
    <t>Comments</t>
  </si>
  <si>
    <t>Version 1.2, Release 1</t>
  </si>
  <si>
    <t>SN</t>
  </si>
  <si>
    <t>DF</t>
  </si>
  <si>
    <t>NGER Emission Factors</t>
  </si>
  <si>
    <t>G5:I10</t>
  </si>
  <si>
    <t>Updated figures for 2017</t>
  </si>
  <si>
    <t>NGERS Emission Factors from 2012</t>
  </si>
  <si>
    <t>Amended to reference correct 2017 data</t>
  </si>
  <si>
    <t>A29:J31</t>
  </si>
  <si>
    <t>Addition of various WA networks</t>
  </si>
  <si>
    <t>Single WA figure</t>
  </si>
  <si>
    <t>A39:K67</t>
  </si>
  <si>
    <t>Updated figures for 2016</t>
  </si>
  <si>
    <t>Various based on older NGER Emission Factors</t>
  </si>
  <si>
    <t>Included 2016 data for NCOS purposes</t>
  </si>
  <si>
    <t>15B Building Details</t>
  </si>
  <si>
    <t>H10</t>
  </si>
  <si>
    <t>=YEAR(H9)</t>
  </si>
  <si>
    <t>Included year formula used to determine appropriate NGERS emission factors</t>
  </si>
  <si>
    <t>B20:D20</t>
  </si>
  <si>
    <t>Drop down list for Electricity Network</t>
  </si>
  <si>
    <t>Included dropdown used to determine appropriate NGERS emission factors</t>
  </si>
  <si>
    <t>D25</t>
  </si>
  <si>
    <t>=$C$75/$C$77</t>
  </si>
  <si>
    <t>=IF(C23="Electricity",VLOOKUP($C$12,'NGER Emission Factors'!$A$23:$K$34,10,FALSE)/VLOOKUP($C$12,'NGER Emission Factors'!$A$23:$K$35,6,FALSE),IF(C23="GreenPower",VLOOKUP(C23,'NGER Emission Factors'!$A$23:$J$35,10,FALSE)/VLOOKUP(C23,'NGER Emission Factors'!$A$23:$J$35,6,FALSE),VLOOKUP(C23,'NGER Emission Factors'!$A$5:$K$10,10,FALSE)))</t>
  </si>
  <si>
    <t>Simplification of emission information</t>
  </si>
  <si>
    <t>C74</t>
  </si>
  <si>
    <t>Scope 2</t>
  </si>
  <si>
    <t>=IF(C73="Electricity",VLOOKUP($C$12,'NGER Emission Factors'!$A$23:$J$36,2,FALSE),IF(C73="GreenPower",VLOOKUP(C73,'NGER Emission Factors'!$A$23:$J$37,2,FALSE),VLOOKUP(C73,'NGER Emission Factors'!$A$5:$J$18,2,FALSE)))</t>
  </si>
  <si>
    <t>C75</t>
  </si>
  <si>
    <t>'=IF($H$10=2016,(VLOOKUP($C$20,'NGER Emission Factors'!D59:J69,7,FALSE)), VLOOKUP($C$20,'NGER Emission Factors'!D28:J38,7,FALSE))</t>
  </si>
  <si>
    <t>=IF(C71="Electricity",VLOOKUP($C$12,'NGER Emission Factors'!$A$23:$J$34,10,FALSE),IF(C71="GreenPower",VLOOKUP(C71,'NGER Emission Factors'!$A$23:$J$35,10,FALSE),VLOOKUP(C71,'NGER Emission Factors'!$A$5:$J$18,10,FALSE)))</t>
  </si>
  <si>
    <t>C76</t>
  </si>
  <si>
    <t>kWh</t>
  </si>
  <si>
    <t>=IF(C73="Electricity",VLOOKUP($C$12,'NGER Emission Factors'!$A$23:$J$36,5,FALSE),IF(C73="GreenPower",VLOOKUP(C73,'NGER Emission Factors'!$A$23:$J$37,5,FALSE),VLOOKUP(C73,'NGER Emission Factors'!$A$5:$J$18,5,FALSE)))</t>
  </si>
  <si>
    <t>C77</t>
  </si>
  <si>
    <t>=IF(C71="Electricity",VLOOKUP($C$12,'NGER Emission Factors'!$A$23:$J$34,6,FALSE),IF(C71="GreenPower",VLOOKUP(C71,'NGER Emission Factors'!$A$23:$J$35,6,FALSE),VLOOKUP(C71,'NGER Emission Factors'!$A$5:$J$18,6,FALSE)))</t>
  </si>
  <si>
    <t>C120</t>
  </si>
  <si>
    <t>Scope 1</t>
  </si>
  <si>
    <t>=IF(C119="Electricity",VLOOKUP($C$12,'NGER Emission Factors'!$A$23:$J$36,2,FALSE),IF(C119="GreenPower",VLOOKUP(C73,'NGER Emission Factors'!$A$23:$J$37,2,FALSE),VLOOKUP(119,'NGER Emission Factors'!$A$5:$J$18,2,FALSE)))</t>
  </si>
  <si>
    <t>C121</t>
  </si>
  <si>
    <t>'=IF(C12="NZ", 'NGER Emission Factors'!J16, IF(H10=2016, 'NGER Emission Factors'!J48,'NGER Emission Factors'!J5))</t>
  </si>
  <si>
    <t>=IF(C117="Electricity",VLOOKUP($C$12,'NGER Emission Factors'!$A$23:$J$34,10,FALSE),IF(C117="GreenPower",VLOOKUP(C117,'NGER Emission Factors'!$A$23:$J$35,10,FALSE),VLOOKUP(C117,'NGER Emission Factors'!$A$5:$J$18,10,FALSE)))</t>
  </si>
  <si>
    <t>C122</t>
  </si>
  <si>
    <t>MJ</t>
  </si>
  <si>
    <t>=IF(C119="Electricity",VLOOKUP($C$12,'NGER Emission Factors'!$A$23:$J$36,5,FALSE),IF(C119="GreenPower",VLOOKUP(C119,'NGER Emission Factors'!$A$23:$J$37,5,FALSE),VLOOKUP(C119,'NGER Emission Factors'!$A$5:$J$18,5,FALSE)))</t>
  </si>
  <si>
    <t>C123</t>
  </si>
  <si>
    <t>=IF(C117="Electricity",VLOOKUP($C$12,'NGER Emission Factors'!$A$23:$J$34,6,FALSE),IF(C117="GreenPower",VLOOKUP(C117,'NGER Emission Factors'!$A$23:$J$35,6,FALSE),VLOOKUP(C117,'NGER Emission Factors'!$A$5:$J$18,6,FALSE)))</t>
  </si>
  <si>
    <t>C143</t>
  </si>
  <si>
    <t>=IF(C142="Electricity",VLOOKUP($C$12,'NGER Emission Factors'!$A$23:$J$36,2,FALSE),IF(C142="GreenPower",VLOOKUP(C142,'NGER Emission Factors'!$A$23:$J$37,2,FALSE),VLOOKUP(C142,'NGER Emission Factors'!$A$5:$J$18,2,FALSE)))</t>
  </si>
  <si>
    <t>C144</t>
  </si>
  <si>
    <t>'=IF($C$12="NZ", 'NGER Emission Factors'!J19, IF($H$10=2016, 'NGER Emission Factors'!J51,'NGER Emission Factors'!J8))</t>
  </si>
  <si>
    <t>=IF(C140="Electricity",VLOOKUP($C$12,'NGER Emission Factors'!$A$23:$J$34,10,FALSE),IF(C140="GreenPower",VLOOKUP(C140,'NGER Emission Factors'!$A$23:$J$35,10,FALSE),VLOOKUP(C140,'NGER Emission Factors'!$A$5:$J$18,10,FALSE)))</t>
  </si>
  <si>
    <t>C145</t>
  </si>
  <si>
    <t>kL</t>
  </si>
  <si>
    <t>=IF(C142="Electricity",VLOOKUP($C$12,'NGER Emission Factors'!$A$23:$J$36,5,FALSE),IF(C142="GreenPower",VLOOKUP(C142,'NGER Emission Factors'!$A$23:$J$37,5,FALSE),VLOOKUP(C142,'NGER Emission Factors'!$A$5:$J$18,5,FALSE)))</t>
  </si>
  <si>
    <t>C146</t>
  </si>
  <si>
    <t>=IF(C140="Electricity",VLOOKUP($C$12,'NGER Emission Factors'!$A$23:$J$34,6,FALSE),IF(C140="GreenPower",VLOOKUP(C140,'NGER Emission Factors'!$A$23:$J$35,6,FALSE),VLOOKUP(C140,'NGER Emission Factors'!$A$5:$J$18,6,FALSE)))</t>
  </si>
  <si>
    <t>C166</t>
  </si>
  <si>
    <t>=IF(C165="Electricity",VLOOKUP($C$12,'NGER Emission Factors'!$A$23:$J$36,2,FALSE),IF(C165="GreenPower",VLOOKUP(C165,'NGER Emission Factors'!$A$23:$J$37,2,FALSE),VLOOKUP(C165,'NGER Emission Factors'!$A$5:$J$18,2,FALSE)))</t>
  </si>
  <si>
    <t>C167</t>
  </si>
  <si>
    <t>'=IF($C$12="NZ", 'NGER Emission Factors'!J17, IF($H$10=2016, 'NGER Emission Factors'!J49,'NGER Emission Factors'!J6))</t>
  </si>
  <si>
    <t>=IF(C163="Electricity",VLOOKUP($C$12,'NGER Emission Factors'!$A$23:$J$34,10,FALSE),IF(C163="GreenPower",VLOOKUP(C163,'NGER Emission Factors'!$A$23:$J$35,10,FALSE),VLOOKUP(C163,'NGER Emission Factors'!$A$5:$J$18,10,FALSE)))</t>
  </si>
  <si>
    <t>C168</t>
  </si>
  <si>
    <t>=IF(C165="Electricity",VLOOKUP($C$12,'NGER Emission Factors'!$A$23:$J$36,5,FALSE),IF(C165="GreenPower",VLOOKUP(C165,'NGER Emission Factors'!$A$23:$J$37,5,FALSE),VLOOKUP(C165,'NGER Emission Factors'!$A$5:$J$18,5,FALSE)))</t>
  </si>
  <si>
    <t>C169</t>
  </si>
  <si>
    <t>=IF(C163="Electricity",VLOOKUP($C$12,'NGER Emission Factors'!$A$23:$J$34,6,FALSE),IF(C163="GreenPower",VLOOKUP(C163,'NGER Emission Factors'!$A$23:$J$35,6,FALSE),VLOOKUP(C163,'NGER Emission Factors'!$A$5:$J$18,6,FALSE)))</t>
  </si>
  <si>
    <t>C189</t>
  </si>
  <si>
    <t>=IF(C188="Electricity",VLOOKUP($C$12,'NGER Emission Factors'!$A$23:$J$36,2,FALSE),IF(C188="GreenPower",VLOOKUP(C188,'NGER Emission Factors'!$A$23:$J$37,2,FALSE),VLOOKUP(C188,'NGER Emission Factors'!$A$5:$J$18,2,FALSE)))</t>
  </si>
  <si>
    <t>C190</t>
  </si>
  <si>
    <t>'=IF($C$12="NZ", 'NGER Emission Factors'!J20, IF($H$10=2016,'NGER Emission Factors'!J52,'NGER Emission Factors'!J9))</t>
  </si>
  <si>
    <t>=IF(C186="Electricity",VLOOKUP($C$12,'NGER Emission Factors'!$A$23:$J$34,10,FALSE),IF(C186="GreenPower",VLOOKUP(C186,'NGER Emission Factors'!$A$23:$J$35,10,FALSE),VLOOKUP(C186,'NGER Emission Factors'!$A$5:$J$18,10,FALSE)))</t>
  </si>
  <si>
    <t>C191</t>
  </si>
  <si>
    <t>Tonnes</t>
  </si>
  <si>
    <t>=IF(C188="Electricity",VLOOKUP($C$12,'NGER Emission Factors'!$A$23:$J$36,5,FALSE),IF(C188="GreenPower",VLOOKUP(C188,'NGER Emission Factors'!$A$23:$J$37,5,FALSE),VLOOKUP(C188,'NGER Emission Factors'!$A$5:$J$18,5,FALSE)))</t>
  </si>
  <si>
    <t>C192</t>
  </si>
  <si>
    <t>=IF(C186="Electricity",VLOOKUP($C$12,'NGER Emission Factors'!$A$23:$J$34,6,FALSE),IF(C186="GreenPower",VLOOKUP(C186,'NGER Emission Factors'!$A$23:$J$35,6,FALSE),VLOOKUP(C186,'NGER Emission Factors'!$A$5:$J$18,6,FALSE)))</t>
  </si>
  <si>
    <t>D27</t>
  </si>
  <si>
    <t>'=$C$121</t>
  </si>
  <si>
    <t>'=C27="Electricity" VLOOKUP($C$12,'NGER Emission Factors'!$A$23:$K$36,10,FALSE)/VLOOKUP($C$12,'NGER Emission Factors'!$A$23:$K$37,6,FALSE) C27="GreenPower" VLOOKUP(C27,'NGER Emission Factors'!$A$23:$J$37,10,FALSE) C27 'NGER Emission Factors'!</t>
  </si>
  <si>
    <t>D28</t>
  </si>
  <si>
    <t>'=$C$144</t>
  </si>
  <si>
    <t>'=C28="Electricity" VLOOKUP($C$12,'NGER Emission Factors'!$A$23:$K$36,10,FALSE)/VLOOKUP($C$12,'NGER Emission Factors'!$A$23:$K$37,6,FALSE) C28="GreenPower" VLOOKUP(C28,'NGER Emission Factors'!$A$23:$J$37,10,FALSE) C28 'NGER Emission Factors'!</t>
  </si>
  <si>
    <t>D29</t>
  </si>
  <si>
    <t>'=$C$167</t>
  </si>
  <si>
    <t>'=C29="Electricity" VLOOKUP($C$12,'NGER Emission Factors'!$A$23:$K$36,10,FALSE)/VLOOKUP($C$12,'NGER Emission Factors'!$A$23:$K$37,6,FALSE) C29="GreenPower" VLOOKUP(C29,'NGER Emission Factors'!$A$23:$J$37,10,FALSE) C29 'NGER Emission Factors'!</t>
  </si>
  <si>
    <t>D30</t>
  </si>
  <si>
    <t>'=C190</t>
  </si>
  <si>
    <t>'=C30="Electricity" VLOOKUP($C$12,'NGER Emission Factors'!$A$23:$K$36,10,FALSE)/VLOOKUP($C$12,'NGER Emission Factors'!$A$23:$K$37,6,FALSE) C30="GreenPower" VLOOKUP(C30,'NGER Emission Factors'!$A$23:$J$37,10,FALSE) C30 'NGER Emission Factors'!</t>
  </si>
  <si>
    <t>NZGBC</t>
  </si>
  <si>
    <t>E11</t>
  </si>
  <si>
    <t>'=IF(C12="NZ", CONCATENATE(0,C11),C11)</t>
  </si>
  <si>
    <t>Blank</t>
  </si>
  <si>
    <t>Amended for NZ projects</t>
  </si>
  <si>
    <t>G12</t>
  </si>
  <si>
    <t>'=IF(C12="NZ", "Net Lettable Area (m2)", "Gross building area (m2)")</t>
  </si>
  <si>
    <t>Gross building area (m2)</t>
  </si>
  <si>
    <t>H13</t>
  </si>
  <si>
    <t>'=IFERROR(VLOOKUP($E$11,'CDD &amp; HDD table'!$A:$D,3,FALSE),"")</t>
  </si>
  <si>
    <t>=IFERROR(VLOOKUP($C$11,'CDD &amp; HDD table'!$A:$D,3,FALSE),"")</t>
  </si>
  <si>
    <t>H14</t>
  </si>
  <si>
    <t>'=IFERROR(VLOOKUP($E$11,'CDD &amp; HDD table'!$A:$D,4,FALSE),"")</t>
  </si>
  <si>
    <t>=IFERROR(VLOOKUP($C$11,'CDD &amp; HDD table'!$A:$D,4,FALSE),"")</t>
  </si>
  <si>
    <t>D96</t>
  </si>
  <si>
    <t>'=IF($C$12="NZ", "Note: All NZ projects cannot utilise GreenPower in their ratings", "")</t>
  </si>
  <si>
    <t>15B Calculation</t>
  </si>
  <si>
    <t>D18</t>
  </si>
  <si>
    <t>'='15B Building Details'!D25</t>
  </si>
  <si>
    <t>'=C18="Electricity" VLOOKUP($C$13,'NGER Emission Factors'!$A$23:$K$36,10,FALSE)/VLOOKUP($C$13,'NGER Emission Factors'!$A$23:$K$37,6,FALSE) C18="GreenPower" VLOOKUP(C18,'NGER Emission Factors'!$A$23:$J$37,10,FALSE) C18 'NGER Emission Factors'!</t>
  </si>
  <si>
    <t>Simplified formula to reference Building Details tab</t>
  </si>
  <si>
    <t>D19</t>
  </si>
  <si>
    <t>'='15B Building Details'!D26</t>
  </si>
  <si>
    <t>'=C19="Electricity" VLOOKUP($C$13,'NGER Emission Factors'!$A$23:$K$36,10,FALSE)/VLOOKUP($C$13,'NGER Emission Factors'!$A$23:$K$37,6,FALSE) C19="GreenPower" VLOOKUP(C19,'NGER Emission Factors'!$A$23:$J$37,10,FALSE) C19 'NGER Emission Factors'!</t>
  </si>
  <si>
    <t>D20</t>
  </si>
  <si>
    <t>'='15B Building Details'!D27</t>
  </si>
  <si>
    <t>'=C20="Electricity" VLOOKUP($C$13,'NGER Emission Factors'!$A$23:$K$36,10,FALSE)/VLOOKUP($C$13,'NGER Emission Factors'!$A$23:$K$37,6,FALSE) C20="GreenPower" VLOOKUP(C20,'NGER Emission Factors'!$A$23:$J$37,10,FALSE) C20 'NGER Emission Factors'!</t>
  </si>
  <si>
    <t>D21</t>
  </si>
  <si>
    <t>'='15B Building Details'!D28</t>
  </si>
  <si>
    <t>'=C21="Electricity" VLOOKUP($C$13,'NGER Emission Factors'!$A$23:$K$36,10,FALSE)/VLOOKUP($C$13,'NGER Emission Factors'!$A$23:$K$37,6,FALSE) C21="GreenPower" VLOOKUP(C21,'NGER Emission Factors'!$A$23:$J$37,10,FALSE) C21 'NGER Emission Factors'!</t>
  </si>
  <si>
    <t>D22</t>
  </si>
  <si>
    <t>'='15B Building Details'!D29</t>
  </si>
  <si>
    <t>'=C22="Electricity" VLOOKUP($C$13,'NGER Emission Factors'!$A$23:$K$36,10,FALSE)/VLOOKUP($C$13,'NGER Emission Factors'!$A$23:$K$37,6,FALSE) C22="GreenPower" VLOOKUP(C22,'NGER Emission Factors'!$A$23:$J$37,10,FALSE) C22 'NGER Emission Factors'!</t>
  </si>
  <si>
    <t>D23</t>
  </si>
  <si>
    <t>'='15B Building Details'!D30</t>
  </si>
  <si>
    <t>'=C23="Electricity" VLOOKUP($C$13,'NGER Emission Factors'!$A$23:$K$36,10,FALSE)/VLOOKUP($C$13,'NGER Emission Factors'!$A$23:$K$37,6,FALSE) C23="GreenPower" VLOOKUP(C23,'NGER Emission Factors'!$A$23:$J$37,10,FALSE) C23 'NGER Emission Factors'!</t>
  </si>
  <si>
    <t>E18</t>
  </si>
  <si>
    <t>'='15B Building Details'!E25</t>
  </si>
  <si>
    <t>'=SUMIF('15B Building Details'!$C$25:$C$32,$C18,'15B Building Details'!$E$25:$E$31)</t>
  </si>
  <si>
    <t>E19</t>
  </si>
  <si>
    <t>'='15B Building Details'!E26</t>
  </si>
  <si>
    <t>'=SUMIF('15B Building Details'!$C$25:$C$32,$C19,'15B Building Details'!$E$25:$E$31)</t>
  </si>
  <si>
    <t>E20</t>
  </si>
  <si>
    <t>'='15B Building Details'!E27</t>
  </si>
  <si>
    <t>'=SUMIF('15B Building Details'!$C$25:$C$32,$C20,'15B Building Details'!$E$25:$E$31)</t>
  </si>
  <si>
    <t>E21</t>
  </si>
  <si>
    <t>'='15B Building Details'!E28</t>
  </si>
  <si>
    <t>'=SUMIF('15B Building Details'!$C$25:$C$32,$C21,'15B Building Details'!$E$25:$E$31)</t>
  </si>
  <si>
    <t>E22</t>
  </si>
  <si>
    <t>'='15B Building Details'!E29</t>
  </si>
  <si>
    <t>'=SUMIF('15B Building Details'!$C$25:$C$32,$C22,'15B Building Details'!$E$25:$E$31)</t>
  </si>
  <si>
    <t>E23</t>
  </si>
  <si>
    <t>'='15B Building Details'!E30</t>
  </si>
  <si>
    <t>'=SUMIF('15B Building Details'!$C$25:$C$32,$C23,'15B Building Details'!$E$25:$E$31)</t>
  </si>
  <si>
    <t>J33</t>
  </si>
  <si>
    <t>'=IF($I33="","",IF($I33="Custom",0,INDEX('15B Baseline Tables'!$6:$36,MATCH($I33,'15B Baseline Tables'!$A$6:$A$36,0),MATCH($D33,'15B Baseline Tables'!$6:$6,0))))</t>
  </si>
  <si>
    <t>=IF($I33="","",IF($I33="Custom",0,INDEX('15B Baseline Tables'!$6:$33,MATCH($I33,'15B Baseline Tables'!$A$6:$A$33,0),MATCH($D33,'15B Baseline Tables'!$6:$6,0))))</t>
  </si>
  <si>
    <t>Amended formula for NZ projects</t>
  </si>
  <si>
    <t>I33</t>
  </si>
  <si>
    <t xml:space="preserve">'=OR($D33="[Select functional use from drop down list]",$D33="") "" $D33="Custom" "Custom" VLOOKUP($C$13&amp;"-"&amp;$C$14,'15B Baseline Tables'!$6:$36,MATCH($D33,'15B Baseline Tables'!$6:$6,0),FALSE)="" $C$13&amp;"-ALL" '15B Baseline Tables'!$6:$36 </t>
  </si>
  <si>
    <t>=OR($D33="[Select functional use from drop down list]",$D33="") "" $D33="Custom" "Custom" VLOOKUP($C$13&amp;"-"&amp;$C$14,'15B Baseline Tables'!$6:$33,MATCH($D33,'15B Baseline Tables'!$6:$6,0),FALSE)="" $C$13&amp;"-ALL" '15B Baseline Tables'!$6:$33</t>
  </si>
  <si>
    <t>I34</t>
  </si>
  <si>
    <t xml:space="preserve">'=OR($D34="[Select functional use from drop down list]",$D34="") "" $D34="Custom" "Custom" VLOOKUP($C$13&amp;"-"&amp;$C$14,'15B Baseline Tables'!$6:$36,MATCH($D34,'15B Baseline Tables'!$6:$6,0),FALSE)="" $C$13&amp;"-ALL" '15B Baseline Tables'!$6:$36 </t>
  </si>
  <si>
    <t>=OR($D34="[Select functional use from drop down list]",$D34="") "" $D34="Custom" "Custom" VLOOKUP($C$13&amp;"-"&amp;$C$14,'15B Baseline Tables'!$6:$33,MATCH($D34,'15B Baseline Tables'!$6:$6,0),FALSE)="" $C$13&amp;"-ALL" '15B Baseline Tables'!$6:$33</t>
  </si>
  <si>
    <t>J34</t>
  </si>
  <si>
    <t>'=IF($I34="","",IF($I34="Custom",0,INDEX('15B Baseline Tables'!$6:$36,MATCH($I34,'15B Baseline Tables'!$A$6:$A$36,0),MATCH($D34,'15B Baseline Tables'!$6:$6,0))))</t>
  </si>
  <si>
    <t>=IF($I34="","",IF($I34="Custom",0,INDEX('15B Baseline Tables'!$6:$33,MATCH($I34,'15B Baseline Tables'!$A$6:$A$33,0),MATCH($D34,'15B Baseline Tables'!$6:$6,0))))</t>
  </si>
  <si>
    <t>I35</t>
  </si>
  <si>
    <t xml:space="preserve">'=OR($D35="[Select functional use from drop down list]",$D35="") "" $D35="Custom" "Custom" VLOOKUP($C$13&amp;"-"&amp;$C$14,'15B Baseline Tables'!$6:$36,MATCH($D35,'15B Baseline Tables'!$6:$6,0),FALSE)="" $C$13&amp;"-ALL" '15B Baseline Tables'!$6:$36 </t>
  </si>
  <si>
    <t>=OR($D35="[Select functional use from drop down list]",$D35="") "" $D35="Custom" "Custom" VLOOKUP($C$13&amp;"-"&amp;$C$14,'15B Baseline Tables'!$6:$33,MATCH($D35,'15B Baseline Tables'!$6:$6,0),FALSE)="" $C$13&amp;"-ALL" '15B Baseline Tables'!$6:$33</t>
  </si>
  <si>
    <t>J35</t>
  </si>
  <si>
    <t>'=IF($I35="","",IF($I35="Custom",0,INDEX('15B Baseline Tables'!$6:$36,MATCH($I35,'15B Baseline Tables'!$A$6:$A$36,0),MATCH($D35,'15B Baseline Tables'!$6:$6,0))))</t>
  </si>
  <si>
    <t>=IF($I35="","",IF($I35="Custom",0,INDEX('15B Baseline Tables'!$6:$33,MATCH($I35,'15B Baseline Tables'!$A$6:$A$33,0),MATCH($D35,'15B Baseline Tables'!$6:$6,0))))</t>
  </si>
  <si>
    <t>I36</t>
  </si>
  <si>
    <t xml:space="preserve">'=OR($D36="[Select functional use from drop down list]",$D36="") "" $D36="Custom" "Custom" VLOOKUP($C$13&amp;"-"&amp;$C$14,'15B Baseline Tables'!$6:$36,MATCH($D36,'15B Baseline Tables'!$6:$6,0),FALSE)="" $C$13&amp;"-ALL" '15B Baseline Tables'!$6:$36 </t>
  </si>
  <si>
    <t xml:space="preserve">=OR($D36="[Select functional use from drop down list]",$D36="") "" $D36="Custom" "Custom" VLOOKUP($C$13&amp;"-"&amp;$C$14,'15B Baseline Tables'!$6:$33,MATCH($D36,'15B Baseline Tables'!$6:$6,0),FALSE)="" $C$13&amp;"-ALL" '15B Baseline Tables'!$6:$33 </t>
  </si>
  <si>
    <t>J36</t>
  </si>
  <si>
    <t>'=IF($I36="","",IF($I36="Custom",0,INDEX('15B Baseline Tables'!$6:$36,MATCH($I36,'15B Baseline Tables'!$A$6:$A$36,0),MATCH($D36,'15B Baseline Tables'!$6:$6,0))))</t>
  </si>
  <si>
    <t>=IF($I36="","",IF($I36="Custom",0,INDEX('15B Baseline Tables'!$6:$33,MATCH($I36,'15B Baseline Tables'!$A$6:$A$33,0),MATCH($D36,'15B Baseline Tables'!$6:$6,0))))</t>
  </si>
  <si>
    <t>I37</t>
  </si>
  <si>
    <t xml:space="preserve">'=OR($D37="[Select functional use from drop down list]",$D37="") "" $D37="Custom" "Custom" VLOOKUP($C$13&amp;"-"&amp;$C$14,'15B Baseline Tables'!$6:$36,MATCH($D37,'15B Baseline Tables'!$6:$6,0),FALSE)="" $C$13&amp;"-ALL" '15B Baseline Tables'!$6:$36 </t>
  </si>
  <si>
    <t xml:space="preserve">=OR($D37="[Select functional use from drop down list]",$D37="") "" $D37="Custom" "Custom" VLOOKUP($C$13&amp;"-"&amp;$C$14,'15B Baseline Tables'!$6:$33,MATCH($D37,'15B Baseline Tables'!$6:$6,0),FALSE)="" $C$13&amp;"-ALL" '15B Baseline Tables'!$6:$33 </t>
  </si>
  <si>
    <t>J37</t>
  </si>
  <si>
    <t>'=IF($I37="","",IF($I37="Custom",0,INDEX('15B Baseline Tables'!$6:$36,MATCH($I37,'15B Baseline Tables'!$A$6:$A$36,0),MATCH($D37,'15B Baseline Tables'!$6:$6,0))))</t>
  </si>
  <si>
    <t>=IF($I37="","",IF($I37="Custom",0,INDEX('15B Baseline Tables'!$6:$33,MATCH($I37,'15B Baseline Tables'!$A$6:$A$33,0),MATCH($D37,'15B Baseline Tables'!$6:$6,0))))</t>
  </si>
  <si>
    <t>I38</t>
  </si>
  <si>
    <t xml:space="preserve">'=OR($D38="[Select functional use from drop down list]",$D38="") "" $D38="Custom" "Custom" VLOOKUP($C$13&amp;"-"&amp;$C$14,'15B Baseline Tables'!$6:$36,MATCH($D38,'15B Baseline Tables'!$6:$6,0),FALSE)="" $C$13&amp;"-ALL" '15B Baseline Tables'!$6:$36 </t>
  </si>
  <si>
    <t xml:space="preserve">=OR($D38="[Select functional use from drop down list]",$D38="") "" $D38="Custom" "Custom" VLOOKUP($C$13&amp;"-"&amp;$C$14,'15B Baseline Tables'!$6:$33,MATCH($D38,'15B Baseline Tables'!$6:$6,0),FALSE)="" $C$13&amp;"-ALL" '15B Baseline Tables'!$6:$33 </t>
  </si>
  <si>
    <t>J38</t>
  </si>
  <si>
    <t>'=IF($I38="","",IF($I38="Custom",0,INDEX('15B Baseline Tables'!$6:$36,MATCH($I38,'15B Baseline Tables'!$A$6:$A$36,0),MATCH($D38,'15B Baseline Tables'!$6:$6,0))))</t>
  </si>
  <si>
    <t>=IF($I38="","",IF($I38="Custom",0,INDEX('15B Baseline Tables'!$6:$33,MATCH($I38,'15B Baseline Tables'!$A$6:$A$33,0),MATCH($D38,'15B Baseline Tables'!$6:$6,0))))</t>
  </si>
  <si>
    <t>I39</t>
  </si>
  <si>
    <t xml:space="preserve">'=OR($D39="[Select functional use from drop down list]",$D39="") "" $D39="Custom" "Custom" VLOOKUP($C$13&amp;"-"&amp;$C$14,'15B Baseline Tables'!$6:$36,MATCH($D39,'15B Baseline Tables'!$6:$6,0),FALSE)="" $C$13&amp;"-ALL" '15B Baseline Tables'!$6:$36 </t>
  </si>
  <si>
    <t xml:space="preserve">=OR($D39="[Select functional use from drop down list]",$D39="") "" $D39="Custom" "Custom" VLOOKUP($C$13&amp;"-"&amp;$C$14,'15B Baseline Tables'!$6:$33,MATCH($D39,'15B Baseline Tables'!$6:$6,0),FALSE)="" $C$13&amp;"-ALL" '15B Baseline Tables'!$6:$33 </t>
  </si>
  <si>
    <t>J39</t>
  </si>
  <si>
    <t>'=IF($I39="","",IF($I39="Custom",0,INDEX('15B Baseline Tables'!$6:$36,MATCH($I39,'15B Baseline Tables'!$A$6:$A$36,0),MATCH($D39,'15B Baseline Tables'!$6:$6,0))))</t>
  </si>
  <si>
    <t>=IF($I39="","",IF($I39="Custom",0,INDEX('15B Baseline Tables'!$6:$33,MATCH($I39,'15B Baseline Tables'!$A$6:$A$33,0),MATCH($D39,'15B Baseline Tables'!$6:$6,0))))</t>
  </si>
  <si>
    <t>I40</t>
  </si>
  <si>
    <t xml:space="preserve">'=OR($D40="[Select functional use from drop down list]",$D40="") "" $D40="Custom" "Custom" VLOOKUP($C$13&amp;"-"&amp;$C$14,'15B Baseline Tables'!$6:$36,MATCH($D40,'15B Baseline Tables'!$6:$6,0),FALSE)="" $C$13&amp;"-ALL" '15B Baseline Tables'!$6:$36 </t>
  </si>
  <si>
    <t xml:space="preserve">=OR($D40="[Select functional use from drop down list]",$D40="") "" $D40="Custom" "Custom" VLOOKUP($C$13&amp;"-"&amp;$C$14,'15B Baseline Tables'!$6:$33,MATCH($D40,'15B Baseline Tables'!$6:$6,0),FALSE)="" $C$13&amp;"-ALL" '15B Baseline Tables'!$6:$33 </t>
  </si>
  <si>
    <t>J40</t>
  </si>
  <si>
    <t>'=IF($I40="","",IF($I40="Custom",0,INDEX('15B Baseline Tables'!$6:$36,MATCH($I40,'15B Baseline Tables'!$A$6:$A$36,0),MATCH($D40,'15B Baseline Tables'!$6:$6,0))))</t>
  </si>
  <si>
    <t>=IF($I40="","",IF($I40="Custom",0,INDEX('15B Baseline Tables'!$6:$33,MATCH($I40,'15B Baseline Tables'!$A$6:$A$33,0),MATCH($D40,'15B Baseline Tables'!$6:$6,0))))</t>
  </si>
  <si>
    <t>I41</t>
  </si>
  <si>
    <t xml:space="preserve">'=OR($D41="[Select functional use from drop down list]",$D41="") "" $D41="Custom" "Custom" VLOOKUP($C$13&amp;"-"&amp;$C$14,'15B Baseline Tables'!$6:$36,MATCH($D41,'15B Baseline Tables'!$6:$6,0),FALSE)="" $C$13&amp;"-ALL" '15B Baseline Tables'!$6:$36 </t>
  </si>
  <si>
    <t xml:space="preserve">=OR($D41="[Select functional use from drop down list]",$D41="") "" $D41="Custom" "Custom" VLOOKUP($C$13&amp;"-"&amp;$C$14,'15B Baseline Tables'!$6:$33,MATCH($D41,'15B Baseline Tables'!$6:$6,0),FALSE)="" $C$13&amp;"-ALL" '15B Baseline Tables'!$6:$33 </t>
  </si>
  <si>
    <t>J41</t>
  </si>
  <si>
    <t>'=IF($I41="","",IF($I41="Custom",0,INDEX('15B Baseline Tables'!$6:$36,MATCH($I41,'15B Baseline Tables'!$A$6:$A$36,0),MATCH($D41,'15B Baseline Tables'!$6:$6,0))))</t>
  </si>
  <si>
    <t>=IF($I41="","",IF($I41="Custom",0,INDEX('15B Baseline Tables'!$6:$33,MATCH($I41,'15B Baseline Tables'!$A$6:$A$33,0),MATCH($D41,'15B Baseline Tables'!$6:$6,0))))</t>
  </si>
  <si>
    <t>I42</t>
  </si>
  <si>
    <t xml:space="preserve">'=OR($D42="[Select functional use from drop down list]",$D42="") "" $D42="Custom" "Custom" VLOOKUP($C$13&amp;"-"&amp;$C$14,'15B Baseline Tables'!$6:$36,MATCH($D42,'15B Baseline Tables'!$6:$6,0),FALSE)="" $C$13&amp;"-ALL" '15B Baseline Tables'!$6:$36 </t>
  </si>
  <si>
    <t>=OR($D42="[Select functional use from drop down list]",$D42="") "" $D42="Custom" "Custom" VLOOKUP($C$13&amp;"-"&amp;$C$14,'15B Baseline Tables'!$6:$33,MATCH($D42,'15B Baseline Tables'!$6:$6,0),FALSE)="" $C$13&amp;"-ALL" '15B Baseline Tables'!$6:$33</t>
  </si>
  <si>
    <t>J42</t>
  </si>
  <si>
    <t>'=IF($I42="","",IF($I42="Custom",0,INDEX('15B Baseline Tables'!$6:$36,MATCH($I42,'15B Baseline Tables'!$A$6:$A$36,0),MATCH($D42,'15B Baseline Tables'!$6:$6,0))))</t>
  </si>
  <si>
    <t>=IF($I42="","",IF($I42="Custom",0,INDEX('15B Baseline Tables'!$6:$33,MATCH($I42,'15B Baseline Tables'!$A$6:$A$33,0),MATCH($D42,'15B Baseline Tables'!$6:$6,0))))</t>
  </si>
  <si>
    <t>I43</t>
  </si>
  <si>
    <t xml:space="preserve">'=OR($D43="[Select functional use from drop down list]",$D43="") "" $D43="Custom" "Custom" VLOOKUP($C$13&amp;"-"&amp;$C$14,'15B Baseline Tables'!$6:$36,MATCH($D43,'15B Baseline Tables'!$6:$6,0),FALSE)="" $C$13&amp;"-ALL" '15B Baseline Tables'!$6:$36 </t>
  </si>
  <si>
    <t xml:space="preserve">=OR($D43="[Select functional use from drop down list]",$D43="") "" $D43="Custom" "Custom" VLOOKUP($C$13&amp;"-"&amp;$C$14,'15B Baseline Tables'!$6:$33,MATCH($D43,'15B Baseline Tables'!$6:$6,0),FALSE)="" $C$13&amp;"-ALL" '15B Baseline Tables'!$6:$33 </t>
  </si>
  <si>
    <t>J43</t>
  </si>
  <si>
    <t>'=IF($I43="","",IF($I43="Custom",0,INDEX('15B Baseline Tables'!$6:$36,MATCH($I43,'15B Baseline Tables'!$A$6:$A$36,0),MATCH($D43,'15B Baseline Tables'!$6:$6,0))))</t>
  </si>
  <si>
    <t>=IF($I43="","",IF($I43="Custom",0,INDEX('15B Baseline Tables'!$6:$33,MATCH($I43,'15B Baseline Tables'!$A$6:$A$33,0),MATCH($D43,'15B Baseline Tables'!$6:$6,0))))</t>
  </si>
  <si>
    <t>I44</t>
  </si>
  <si>
    <t xml:space="preserve">'=OR($D44="[Select functional use from drop down list]",$D44="") "" $D44="Custom" "Custom" VLOOKUP($C$13&amp;"-"&amp;$C$14,'15B Baseline Tables'!$6:$36,MATCH($D44,'15B Baseline Tables'!$6:$6,0),FALSE)="" $C$13&amp;"-ALL" '15B Baseline Tables'!$6:$36 </t>
  </si>
  <si>
    <t xml:space="preserve">=OR($D44="[Select functional use from drop down list]",$D44="") "" $D44="Custom" "Custom" VLOOKUP($C$13&amp;"-"&amp;$C$14,'15B Baseline Tables'!$6:$33,MATCH($D44,'15B Baseline Tables'!$6:$6,0),FALSE)="" $C$13&amp;"-ALL" '15B Baseline Tables'!$6:$33 </t>
  </si>
  <si>
    <t>J44</t>
  </si>
  <si>
    <t>'=IF($I44="","",IF($I44="Custom",0,INDEX('15B Baseline Tables'!$6:$36,MATCH($I44,'15B Baseline Tables'!$A$6:$A$36,0),MATCH($D44,'15B Baseline Tables'!$6:$6,0))))</t>
  </si>
  <si>
    <t>=IF($I44="","",IF($I44="Custom",0,INDEX('15B Baseline Tables'!$6:$33,MATCH($I44,'15B Baseline Tables'!$A$6:$A$33,0),MATCH($D44,'15B Baseline Tables'!$6:$6,0))))</t>
  </si>
  <si>
    <t>I45</t>
  </si>
  <si>
    <t xml:space="preserve">'=OR($D45="[Select functional use from drop down list]",$D45="") "" $D45="Custom" "Custom" VLOOKUP($C$13&amp;"-"&amp;$C$14,'15B Baseline Tables'!$6:$36,MATCH($D45,'15B Baseline Tables'!$6:$6,0),FALSE)="" $C$13&amp;"-ALL" '15B Baseline Tables'!$6:$36 </t>
  </si>
  <si>
    <t xml:space="preserve">=OR($D45="[Select functional use from drop down list]",$D45="") "" $D45="Custom" "Custom" VLOOKUP($C$13&amp;"-"&amp;$C$14,'15B Baseline Tables'!$6:$33,MATCH($D45,'15B Baseline Tables'!$6:$6,0),FALSE)="" $C$13&amp;"-ALL" '15B Baseline Tables'!$6:$33 </t>
  </si>
  <si>
    <t>J45</t>
  </si>
  <si>
    <t>'=IF($I45="","",IF($I45="Custom",0,INDEX('15B Baseline Tables'!$6:$36,MATCH($I45,'15B Baseline Tables'!$A$6:$A$36,0),MATCH($D45,'15B Baseline Tables'!$6:$6,0))))</t>
  </si>
  <si>
    <t>=IF($I45="","",IF($I45="Custom",0,INDEX('15B Baseline Tables'!$6:$33,MATCH($I45,'15B Baseline Tables'!$A$6:$A$33,0),MATCH($D45,'15B Baseline Tables'!$6:$6,0))))</t>
  </si>
  <si>
    <t>I46</t>
  </si>
  <si>
    <t xml:space="preserve">'=OR($D46="[Select functional use from drop down list]",$D46="") "" $D46="Custom" "Custom" VLOOKUP($C$13&amp;"-"&amp;$C$14,'15B Baseline Tables'!$6:$36,MATCH($D46,'15B Baseline Tables'!$6:$6,0),FALSE)="" $C$13&amp;"-ALL" '15B Baseline Tables'!$6:$36 </t>
  </si>
  <si>
    <t xml:space="preserve">=OR($D46="[Select functional use from drop down list]",$D46="") "" $D46="Custom" "Custom" VLOOKUP($C$13&amp;"-"&amp;$C$14,'15B Baseline Tables'!$6:$33,MATCH($D46,'15B Baseline Tables'!$6:$6,0),FALSE)="" $C$13&amp;"-ALL" '15B Baseline Tables'!$6:$33 </t>
  </si>
  <si>
    <t>J46</t>
  </si>
  <si>
    <t>'=IF($I46="","",IF($I46="Custom",0,INDEX('15B Baseline Tables'!$6:$36,MATCH($I46,'15B Baseline Tables'!$A$6:$A$36,0),MATCH($D46,'15B Baseline Tables'!$6:$6,0))))</t>
  </si>
  <si>
    <t>=IF($I46="","",IF($I46="Custom",0,INDEX('15B Baseline Tables'!$6:$33,MATCH($I46,'15B Baseline Tables'!$A$6:$A$33,0),MATCH($D46,'15B Baseline Tables'!$6:$6,0))))</t>
  </si>
  <si>
    <t>I47</t>
  </si>
  <si>
    <t xml:space="preserve">'=OR($D47="[Select functional use from drop down list]",$D47="") "" $D47="Custom" "Custom" VLOOKUP($C$13&amp;"-"&amp;$C$14,'15B Baseline Tables'!$6:$36,MATCH($D47,'15B Baseline Tables'!$6:$6,0),FALSE)="" $C$13&amp;"-ALL" '15B Baseline Tables'!$6:$36 </t>
  </si>
  <si>
    <t xml:space="preserve">=OR($D47="[Select functional use from drop down list]",$D47="") "" $D47="Custom" "Custom" VLOOKUP($C$13&amp;"-"&amp;$C$14,'15B Baseline Tables'!$6:$33,MATCH($D47,'15B Baseline Tables'!$6:$6,0),FALSE)="" $C$13&amp;"-ALL" '15B Baseline Tables'!$6:$33 </t>
  </si>
  <si>
    <t>J47</t>
  </si>
  <si>
    <t>'=IF($I47="","",IF($I47="Custom",0,INDEX('15B Baseline Tables'!$6:$36,MATCH($I47,'15B Baseline Tables'!$A$6:$A$36,0),MATCH($D47,'15B Baseline Tables'!$6:$6,0))))</t>
  </si>
  <si>
    <t>=IF($I47="","",IF($I47="Custom",0,INDEX('15B Baseline Tables'!$6:$33,MATCH($I47,'15B Baseline Tables'!$A$6:$A$33,0),MATCH($D47,'15B Baseline Tables'!$6:$6,0))))</t>
  </si>
  <si>
    <t>Version 1.2, Release 2</t>
  </si>
  <si>
    <t>UD</t>
  </si>
  <si>
    <t>NCOS Outputs</t>
  </si>
  <si>
    <t>Whole Tab</t>
  </si>
  <si>
    <t>Referencing data from '15B Building Details' tab</t>
  </si>
  <si>
    <t>B234:I275</t>
  </si>
  <si>
    <t>Various new entries</t>
  </si>
  <si>
    <t>&lt;blank&gt;</t>
  </si>
  <si>
    <t>Creation of renewable energy inputs</t>
  </si>
  <si>
    <t>B32:F33</t>
  </si>
  <si>
    <t>Addition of renewable energy summary</t>
  </si>
  <si>
    <t>B154:T176</t>
  </si>
  <si>
    <t>Powered by Renewables Innovation Challenge</t>
  </si>
  <si>
    <t>Creation of Powered by Renewables Innovation Section</t>
  </si>
  <si>
    <t>B25:G26</t>
  </si>
  <si>
    <t>D8</t>
  </si>
  <si>
    <t xml:space="preserve">Liquefied petroleum gas </t>
  </si>
  <si>
    <t>Liquefied petroleum gas (post-2004 vehicle)</t>
  </si>
  <si>
    <t>F8</t>
  </si>
  <si>
    <t>H8</t>
  </si>
  <si>
    <t>I8</t>
  </si>
  <si>
    <t>F51</t>
  </si>
  <si>
    <t>H51</t>
  </si>
  <si>
    <t>I51</t>
  </si>
  <si>
    <t>Carbon Neutral Summary</t>
  </si>
  <si>
    <t>Energy Consumption
(GJ)</t>
  </si>
  <si>
    <t>E24</t>
  </si>
  <si>
    <t>'='15B Calculation'!E18</t>
  </si>
  <si>
    <t>E25</t>
  </si>
  <si>
    <t>'='15B Calculation'!E19</t>
  </si>
  <si>
    <t>E26</t>
  </si>
  <si>
    <t>'='15B Calculation'!E20</t>
  </si>
  <si>
    <t>E27</t>
  </si>
  <si>
    <t>'='15B Calculation'!E21</t>
  </si>
  <si>
    <t>E28</t>
  </si>
  <si>
    <t>'='15B Calculation'!E22</t>
  </si>
  <si>
    <t>E29</t>
  </si>
  <si>
    <t>'='15B Calculation'!E23</t>
  </si>
  <si>
    <t>E30</t>
  </si>
  <si>
    <t>'='15B Calculation'!E24</t>
  </si>
  <si>
    <t>E31</t>
  </si>
  <si>
    <t>'='15B Calculation'!E25</t>
  </si>
  <si>
    <t>E32</t>
  </si>
  <si>
    <t>'='15B Calculation'!E26</t>
  </si>
  <si>
    <t>B37</t>
  </si>
  <si>
    <t>TOTAL GREENHOUSE GAS EMISSIONS ( t CO2-e)</t>
  </si>
  <si>
    <t>TOTAL</t>
  </si>
  <si>
    <t>G37</t>
  </si>
  <si>
    <t>'=SUM(G24:G30)/1000</t>
  </si>
  <si>
    <t>'=SUM(G24:G30)</t>
  </si>
  <si>
    <t>B34</t>
  </si>
  <si>
    <t>Are Large-scale Generation Certificates (LGC's) created and retired by the responsible entity ?</t>
  </si>
  <si>
    <t>E38</t>
  </si>
  <si>
    <t>=SUMIF(D24:D32, "Scope 1", G24:G32)/1000</t>
  </si>
  <si>
    <t>E39</t>
  </si>
  <si>
    <t>=SUMIF(D24:D32, "Scope 2", G24:G32)/1000</t>
  </si>
  <si>
    <t>E40</t>
  </si>
  <si>
    <t>=IF(E35="No", (E31*0.0036*F24)/1000, 0)</t>
  </si>
  <si>
    <t>B38</t>
  </si>
  <si>
    <t xml:space="preserve">Total Scope 1 Emissions ( t CO2-e) </t>
  </si>
  <si>
    <t>B39</t>
  </si>
  <si>
    <t xml:space="preserve">Total Scope 2 Emissions ( t CO2-e) </t>
  </si>
  <si>
    <t>B40</t>
  </si>
  <si>
    <t xml:space="preserve">LGCS not voluntarily retired ( t CO2-e) </t>
  </si>
  <si>
    <t>FJ</t>
  </si>
  <si>
    <t>'42:42</t>
  </si>
  <si>
    <t>Row Insert</t>
  </si>
  <si>
    <t>'43:43</t>
  </si>
  <si>
    <t>B43</t>
  </si>
  <si>
    <t>Total Emissions</t>
  </si>
  <si>
    <t>B45</t>
  </si>
  <si>
    <t>Are Large-scale Generation Certificates (LGC's) generated on site?</t>
  </si>
  <si>
    <t>Are Large-scale Generation Certificates (LGC's) created on site?</t>
  </si>
  <si>
    <t>B46</t>
  </si>
  <si>
    <t>Have offset units been purchased?</t>
  </si>
  <si>
    <t>Are the Large-scale Generation Certificates (LGC's) retired?</t>
  </si>
  <si>
    <t>'47:47</t>
  </si>
  <si>
    <t>Row Delete</t>
  </si>
  <si>
    <t>E48</t>
  </si>
  <si>
    <t>'=SUMIF(D24:D32, "Scope 1", G24:G32)/1000</t>
  </si>
  <si>
    <t>'=SUMIF(J24:J32, "Scope 1", G24:G32)/1000</t>
  </si>
  <si>
    <t>E49</t>
  </si>
  <si>
    <t>'=SUMIF(D24:D32, "Scope 2", G24:G32)/1000</t>
  </si>
  <si>
    <t>'=SUMIF(J24:J32, "Scope 2", G24:G32)/1000</t>
  </si>
  <si>
    <t>F36</t>
  </si>
  <si>
    <t>Greenhouse Gas Emissions (kg.CO2-e p.a.)</t>
  </si>
  <si>
    <t>Greenhouse Gas Emisisons (kg.CO2-e p.a.)</t>
  </si>
  <si>
    <t>B51</t>
  </si>
  <si>
    <t>LGCS generated onsite and NOT voluntarily retired ( t CO2-e)</t>
  </si>
  <si>
    <t>LGCS not voluntarily retired ( t CO2-e)</t>
  </si>
  <si>
    <t>'54:54</t>
  </si>
  <si>
    <t>'52:52</t>
  </si>
  <si>
    <t>B52</t>
  </si>
  <si>
    <t>Total Large-scale Generation Certificates (LGC's) generated onsite and retired (t CO2-e)</t>
  </si>
  <si>
    <t>'53:53</t>
  </si>
  <si>
    <t>B53</t>
  </si>
  <si>
    <t>Total LGCs generated offsite (from purchased renewable electricity) and retired (t CO2-e)</t>
  </si>
  <si>
    <t>B54</t>
  </si>
  <si>
    <t>Total Offset units retired (t CO2-e)</t>
  </si>
  <si>
    <t>A67:B67, A100:B100</t>
  </si>
  <si>
    <t>Range Move</t>
  </si>
  <si>
    <t>B55</t>
  </si>
  <si>
    <t>TOTAL GREENHOUSE GAS EMISSIONS associated with energy consumption ( t CO2-e)</t>
  </si>
  <si>
    <t>B57</t>
  </si>
  <si>
    <t>Offsets retired</t>
  </si>
  <si>
    <t>C57</t>
  </si>
  <si>
    <t xml:space="preserve">t CO2 –e </t>
  </si>
  <si>
    <t>D57</t>
  </si>
  <si>
    <t>Vintage (date of issuance of the offset unit)</t>
  </si>
  <si>
    <t>E57</t>
  </si>
  <si>
    <t>Date of Cancellation</t>
  </si>
  <si>
    <t>F57</t>
  </si>
  <si>
    <t>Serial Numbers</t>
  </si>
  <si>
    <t>G57</t>
  </si>
  <si>
    <t>Supporting Documentation</t>
  </si>
  <si>
    <t>B58</t>
  </si>
  <si>
    <t>Include details of registry and type of offset unit. Provide enough information to allow readers to identify offsets used to maintain carbon neutral status. Include details on scheme and type of project e.g. Gold Standard VERs from XXX wind power project,</t>
  </si>
  <si>
    <t>D58</t>
  </si>
  <si>
    <t>See Appendix A of the standard for a list of eligible offset units. 
Note:  As of 1 November 
2018, all units must have a vintage year later than 2012 (as per Appendix A of the standard).</t>
  </si>
  <si>
    <t>F58</t>
  </si>
  <si>
    <t>Include serial numbers</t>
  </si>
  <si>
    <t>G58</t>
  </si>
  <si>
    <t>Provide link to publicly viewable page of the relevant offsets registry.
Provide enough information to allow readers to identify offsets used to maintain carbon neutral status. You should ensure that the publicly viewable page of the relevant offsets regi</t>
  </si>
  <si>
    <t>B63</t>
  </si>
  <si>
    <t>Total offset units retired</t>
  </si>
  <si>
    <t>C63</t>
  </si>
  <si>
    <t>'=SUM(C58:C62)</t>
  </si>
  <si>
    <t>B65</t>
  </si>
  <si>
    <t xml:space="preserve">Total LGCs generated offsite (from purchased renewable electricity) and retired (t CO2-e) </t>
  </si>
  <si>
    <t>C65</t>
  </si>
  <si>
    <t>D65</t>
  </si>
  <si>
    <t>E65</t>
  </si>
  <si>
    <t>F65</t>
  </si>
  <si>
    <t>G65</t>
  </si>
  <si>
    <t>B66</t>
  </si>
  <si>
    <t xml:space="preserve">Include details on electricity purchased (through a Power Purchasing Agreement or as a 16% RET liability charge applied to large consumers who have electricity contract) and ensure the LGCs associated with that energy have been voluntarily retired either </t>
  </si>
  <si>
    <t>D66</t>
  </si>
  <si>
    <t>Note: The 16% RET liability charge cannot be claimed as zero emissions, as the LGCs are retired by the retailer to meet their RET obligations. 
Note:  As of 1 November 
2018, all units must have a vintage year later than 2012 (as per Appendix A of the st</t>
  </si>
  <si>
    <t>F66</t>
  </si>
  <si>
    <t>G66</t>
  </si>
  <si>
    <t xml:space="preserve">Might need to folow up with the retailer. Sophie, please provide further clarification of what we would need to be checking for here. </t>
  </si>
  <si>
    <t>B71</t>
  </si>
  <si>
    <t>C71</t>
  </si>
  <si>
    <t>'=SUM(C66:C70)</t>
  </si>
  <si>
    <t>B73</t>
  </si>
  <si>
    <t>Offsets banked for future years</t>
  </si>
  <si>
    <t>C73</t>
  </si>
  <si>
    <t>D73</t>
  </si>
  <si>
    <t>E73</t>
  </si>
  <si>
    <t>F73</t>
  </si>
  <si>
    <t>G73</t>
  </si>
  <si>
    <t>B74</t>
  </si>
  <si>
    <t xml:space="preserve">According to the standard, offsets may be cancelled/retired in arrears or upfront/in advance, providing that annual validations and adjustment takes place.
You may include here additional information such as offsets purchased for future years and surplus </t>
  </si>
  <si>
    <t>D74</t>
  </si>
  <si>
    <t>As above</t>
  </si>
  <si>
    <t>E74</t>
  </si>
  <si>
    <t>n/a</t>
  </si>
  <si>
    <t>F74</t>
  </si>
  <si>
    <t>G74</t>
  </si>
  <si>
    <t>B79</t>
  </si>
  <si>
    <t>Total offset units banked for future years</t>
  </si>
  <si>
    <t>C79</t>
  </si>
  <si>
    <t>'=SUM(C74:C78)</t>
  </si>
  <si>
    <t>B81</t>
  </si>
  <si>
    <t>Large Scale Generation Certificates (LGCs) generated onsite and retired</t>
  </si>
  <si>
    <t>C81</t>
  </si>
  <si>
    <t>D81</t>
  </si>
  <si>
    <t>E81</t>
  </si>
  <si>
    <t>F81</t>
  </si>
  <si>
    <t>G81</t>
  </si>
  <si>
    <t>F82</t>
  </si>
  <si>
    <t>B87</t>
  </si>
  <si>
    <t>Total Emissions retired</t>
  </si>
  <si>
    <t>C87</t>
  </si>
  <si>
    <t>'=SUM(C82:C86)</t>
  </si>
  <si>
    <t>B89</t>
  </si>
  <si>
    <t>LGCs generated onsite and NOT voluntarily retired</t>
  </si>
  <si>
    <t>B95</t>
  </si>
  <si>
    <t>Total Emissions not retired</t>
  </si>
  <si>
    <t>C95</t>
  </si>
  <si>
    <t>'=SUM(C90:C94)</t>
  </si>
  <si>
    <t>A103:B103, A100:B100</t>
  </si>
  <si>
    <t>C89</t>
  </si>
  <si>
    <t>E51</t>
  </si>
  <si>
    <t>'=C95</t>
  </si>
  <si>
    <t>'=IF(E46="No", (E31*0.0036*F24)/1000, 0)</t>
  </si>
  <si>
    <t>E52</t>
  </si>
  <si>
    <t>'=C87</t>
  </si>
  <si>
    <t>E53</t>
  </si>
  <si>
    <t>'=C71</t>
  </si>
  <si>
    <t>E54</t>
  </si>
  <si>
    <t>'=C63</t>
  </si>
  <si>
    <t>E55</t>
  </si>
  <si>
    <t>'=SUM(E48:E51)-SUM(E52:E54)</t>
  </si>
  <si>
    <t>'=IF(AND($E$45="Yes", $E$46="No"), ((E31*F24)+SUM(G24:G30)+E50)/1000, SUM(G24:G30)+E50/1000)</t>
  </si>
  <si>
    <t>E36</t>
  </si>
  <si>
    <t>Emissions Factor (kg CO2-e / GJ)</t>
  </si>
  <si>
    <t>Scope 1
Emissions Factor (kg CO2-e / GJ)</t>
  </si>
  <si>
    <t>'46:46</t>
  </si>
  <si>
    <t>Are Large-scale Generation Certificates (LGC's) generated offsite?</t>
  </si>
  <si>
    <t>F32</t>
  </si>
  <si>
    <t>'=IFERROR(E32*$D32,0)</t>
  </si>
  <si>
    <t>Updated following DOEE comments</t>
  </si>
  <si>
    <t>F33</t>
  </si>
  <si>
    <t>'=IFERROR(E33*$D33,0)</t>
  </si>
  <si>
    <t>C94</t>
  </si>
  <si>
    <t>Table 38, National Greenhouse Account (NGA) Factors 2016</t>
  </si>
  <si>
    <t>Added Source for Scope 3 emissions</t>
  </si>
  <si>
    <t>C93</t>
  </si>
  <si>
    <t>Source</t>
  </si>
  <si>
    <t>C44</t>
  </si>
  <si>
    <t>C45</t>
  </si>
  <si>
    <t>Table 38, National Greenhouse Account (NGA) Factors 2017</t>
  </si>
  <si>
    <t>H24</t>
  </si>
  <si>
    <t>'=G24/1000</t>
  </si>
  <si>
    <t>Added row to make reporting in Submission Template easier</t>
  </si>
  <si>
    <t>H26</t>
  </si>
  <si>
    <t>'=G26/1000</t>
  </si>
  <si>
    <t>H27</t>
  </si>
  <si>
    <t>'=G27/1000</t>
  </si>
  <si>
    <t>H28</t>
  </si>
  <si>
    <t>'=G28/1000</t>
  </si>
  <si>
    <t>H29</t>
  </si>
  <si>
    <t>'=G29/1000</t>
  </si>
  <si>
    <t>H30</t>
  </si>
  <si>
    <t>'=G30/1000</t>
  </si>
  <si>
    <t>H31</t>
  </si>
  <si>
    <t>'=G31/1000</t>
  </si>
  <si>
    <t>H32</t>
  </si>
  <si>
    <t>'=G32/1000</t>
  </si>
  <si>
    <t>C66</t>
  </si>
  <si>
    <t>'=SUM(C61:C65)</t>
  </si>
  <si>
    <t>'=SUM(E61:E65)</t>
  </si>
  <si>
    <t>Version 1.2, Release 3</t>
  </si>
  <si>
    <t>15B Baseline Tables</t>
  </si>
  <si>
    <t>F47</t>
  </si>
  <si>
    <t>Privately Owned Standalone Office Tenancy</t>
  </si>
  <si>
    <t>updated cell to 100% - correction</t>
  </si>
  <si>
    <t>A2:M60</t>
  </si>
  <si>
    <t>Various</t>
  </si>
  <si>
    <t>Replaced NGA 2018 Emissions factors with NGA 2019 emission factors</t>
  </si>
  <si>
    <t>J66</t>
  </si>
  <si>
    <t>2018 Emission Factors</t>
  </si>
  <si>
    <t>2017 Emission Factors</t>
  </si>
  <si>
    <t>Replaced NGA 2017 Emissions factors with NGA 2018 emission factors</t>
  </si>
  <si>
    <t>A63:M109</t>
  </si>
  <si>
    <t>'=IF($H$10=2018,(VLOOKUP($C$20,'NGER Emission Factors'!D77:J87,7,FALSE)), VLOOKUP($C$20,'NGER Emission Factors'!D28:J38,7,FALSE))</t>
  </si>
  <si>
    <t>'=IF($H$10=2017,(VLOOKUP($C$20,'NGER Emission Factors'!D77:J87,7,FALSE)), VLOOKUP($C$20,'NGER Emission Factors'!D28:J38,7,FALSE))</t>
  </si>
  <si>
    <t>Updated to sources the updated emission factors for electricty</t>
  </si>
  <si>
    <t>'=IF(C12="NZ", 'NGER Emission Factors'!J16, IF(H10=2018, 'NGER Emission Factors'!J66,'NGER Emission Factors'!J5))</t>
  </si>
  <si>
    <t>'=IF(C12="NZ", 'NGER Emission Factors'!J16, IF(H10=2017, 'NGER Emission Factors'!J66,'NGER Emission Factors'!J5))</t>
  </si>
  <si>
    <t>Updated to sources the updated emission factors for Natural Gas</t>
  </si>
  <si>
    <t>'=IF($C$12="NZ", 'NGER Emission Factors'!J19, IF($H$10=2018, 'NGER Emission Factors'!J69,'NGER Emission Factors'!J8))</t>
  </si>
  <si>
    <t>'=IF($C$12="NZ", 'NGER Emission Factors'!J19, IF($H$10=2017, 'NGER Emission Factors'!J69,'NGER Emission Factors'!J8))</t>
  </si>
  <si>
    <t>Updated to sources the updated emission factors for electricty for LPG</t>
  </si>
  <si>
    <t>'=IF($C$12="NZ", 'NGER Emission Factors'!J17, IF($H$10=2018, 'NGER Emission Factors'!J67,'NGER Emission Factors'!J6))</t>
  </si>
  <si>
    <t>'=IF($C$12="NZ", 'NGER Emission Factors'!J17, IF($H$10=2017, 'NGER Emission Factors'!J67,'NGER Emission Factors'!J6))</t>
  </si>
  <si>
    <t>Updated to sources the updated emission factors for electricty for Diesel oil</t>
  </si>
  <si>
    <t>'=IF($C$12="NZ", 'NGER Emission Factors'!J20, IF($H$10=2018,'NGER Emission Factors'!J70,'NGER Emission Factors'!J9))</t>
  </si>
  <si>
    <t>'=IF($C$12="NZ", 'NGER Emission Factors'!J20, IF($H$10=2017,'NGER Emission Factors'!J70,'NGER Emission Factors'!J9))</t>
  </si>
  <si>
    <t>Updated to sources the updated emission factors for electricty for Black coal</t>
  </si>
  <si>
    <t>E37</t>
  </si>
  <si>
    <t>'=IF(H10="2018",VLOOKUP(C12,'NGER Emission Factors'!A77:L86,12,FALSE),VLOOKUP(C12,'NGER Emission Factors'!A28:L37,12,FALSE))</t>
  </si>
  <si>
    <t>'=IF(H10="2016",VLOOKUP(C12,'NGER Emission Factors'!A77:L86,12,FALSE),VLOOKUP(C12,'NGER Emission Factors'!A28:L37,12,FALSE))</t>
  </si>
  <si>
    <t>Updated to sources the updated emission factors for electricty - scope 3</t>
  </si>
  <si>
    <t>'=IF(H10="2018", VLOOKUP(B68,'NGER Emission Factors'!A94:B109,2,FALSE), VLOOKUP(B68, 'NGER Emission Factors'!A45:B60,2,FALSE))</t>
  </si>
  <si>
    <t>'=IF(H10="2016", VLOOKUP(B68,'NGER Emission Factors'!A94:B109,2,FALSE), VLOOKUP(B68, 'NGER Emission Factors'!A45:B60,2,FALSE))</t>
  </si>
  <si>
    <t>Updated to sources the updated emission factors for Natural Gas - Scope 3</t>
  </si>
  <si>
    <t>'=IF(H10="2018", 'NGER Emission Factors'!L69, 'NGER Emission Factors'!L8)</t>
  </si>
  <si>
    <t>'=IF(H10="2016", 'NGER Emission Factors'!L69, 'NGER Emission Factors'!L8)</t>
  </si>
  <si>
    <t>Updated to sources the updated emission factors for electricty for LPG - Scope 3</t>
  </si>
  <si>
    <t>'=IF(H10="2018", 'NGER Emission Factors'!L67, 'NGER Emission Factors'!L6)</t>
  </si>
  <si>
    <t>'=IF(H10="2016", 'NGER Emission Factors'!L67, 'NGER Emission Factors'!L6)</t>
  </si>
  <si>
    <t>Updated to sources the updated emission factors for electricty for Diesel oil - Scope 3</t>
  </si>
  <si>
    <t>E41</t>
  </si>
  <si>
    <t>'=IF(H10="2018", 'NGER Emission Factors'!L70, 'NGER Emission Factors'!L9)</t>
  </si>
  <si>
    <t>'=IF(H10="2016", 'NGER Emission Factors'!L70, 'NGER Emission Factors'!L9)</t>
  </si>
  <si>
    <t>Updated to sources the updated emission factors for electricty for Black coal - Scope 3</t>
  </si>
  <si>
    <t>Version 1.2, Release 4</t>
  </si>
  <si>
    <t>E35</t>
  </si>
  <si>
    <t>=SUM(E25:E34)</t>
  </si>
  <si>
    <t>'=SUM(E25:E31)</t>
  </si>
  <si>
    <t>Updated formula to calculate energy consumption of the building to include On-site, Purchased Renewable and Certified Carbon Neutral Electricity</t>
  </si>
  <si>
    <t>F35</t>
  </si>
  <si>
    <t>=SUM(F25:F34)</t>
  </si>
  <si>
    <t>'=SUM(F25:F31)</t>
  </si>
  <si>
    <t>B280</t>
  </si>
  <si>
    <t>Fuel Type</t>
  </si>
  <si>
    <t>Added a section for carbon neutral certified electricity</t>
  </si>
  <si>
    <t>D280</t>
  </si>
  <si>
    <t>E280</t>
  </si>
  <si>
    <t>Meter No.</t>
  </si>
  <si>
    <t>B281</t>
  </si>
  <si>
    <t>Emissions Scope</t>
  </si>
  <si>
    <t>E281</t>
  </si>
  <si>
    <t>Description of coverage</t>
  </si>
  <si>
    <t>B282</t>
  </si>
  <si>
    <t>NGER Emissions Factor</t>
  </si>
  <si>
    <t>B283</t>
  </si>
  <si>
    <t>Input Unit of Measure</t>
  </si>
  <si>
    <t>B284</t>
  </si>
  <si>
    <t>Conversion to GJ</t>
  </si>
  <si>
    <t>E284</t>
  </si>
  <si>
    <t>Note: Copies of Utility Bills to be submitted with rating.</t>
  </si>
  <si>
    <t>B287</t>
  </si>
  <si>
    <t>Supplier</t>
  </si>
  <si>
    <t>C287</t>
  </si>
  <si>
    <t>Account number</t>
  </si>
  <si>
    <t>D287</t>
  </si>
  <si>
    <t>Start of billed period</t>
  </si>
  <si>
    <t>E287</t>
  </si>
  <si>
    <t>End of billed period</t>
  </si>
  <si>
    <t>F287</t>
  </si>
  <si>
    <t>'="Billed Quantity ("&amp;C283&amp;")"</t>
  </si>
  <si>
    <t>G287</t>
  </si>
  <si>
    <t>Days in billing period</t>
  </si>
  <si>
    <t>H287</t>
  </si>
  <si>
    <t>I287</t>
  </si>
  <si>
    <t>Energy in performance period (GJ)</t>
  </si>
  <si>
    <t>G288</t>
  </si>
  <si>
    <t>'=IF(ISBLANK(D288),"",E288-D288+1)</t>
  </si>
  <si>
    <t>H288</t>
  </si>
  <si>
    <t>'=$C$103</t>
  </si>
  <si>
    <t>I288</t>
  </si>
  <si>
    <t>'=IF(F288&gt;0,F288*H288*IF(OR(D288&gt;$H$9,E288&lt;$H$8), 0, IF(D288&lt;$H$8,E288-$H$8,IF($H$9&lt;E288,E288-$H$9,G288)))/G288,0)</t>
  </si>
  <si>
    <t>G289</t>
  </si>
  <si>
    <t>'=IF(ISBLANK(D289),"",E289-D289+1)</t>
  </si>
  <si>
    <t>H289</t>
  </si>
  <si>
    <t>I289</t>
  </si>
  <si>
    <t>'=IF(F289&gt;0,F289*H289*IF(OR(D289&gt;$H$9,E289&lt;$H$8), 0, IF(D289&lt;$H$8,E289-$H$8,IF($H$9&lt;E289,E289-$H$9,G289)))/G289,0)</t>
  </si>
  <si>
    <t>G290</t>
  </si>
  <si>
    <t>'=IF(ISBLANK(D290),"",E290-D290+1)</t>
  </si>
  <si>
    <t>H290</t>
  </si>
  <si>
    <t>I290</t>
  </si>
  <si>
    <t>'=IF(F290&gt;0,F290*H290*IF(OR(D290&gt;$H$9,E290&lt;$H$8), 0, IF(D290&lt;$H$8,E290-$H$8,IF($H$9&lt;E290,E290-$H$9,G290)))/G290,0)</t>
  </si>
  <si>
    <t>G291</t>
  </si>
  <si>
    <t>'=IF(ISBLANK(D291),"",E291-D291+1)</t>
  </si>
  <si>
    <t>H291</t>
  </si>
  <si>
    <t>I291</t>
  </si>
  <si>
    <t>'=IF(F291&gt;0,F291*H291*IF(OR(D291&gt;$H$9,E291&lt;$H$8), 0, IF(D291&lt;$H$8,E291-$H$8,IF($H$9&lt;E291,E291-$H$9,G291)))/G291,0)</t>
  </si>
  <si>
    <t>G292</t>
  </si>
  <si>
    <t>'=IF(ISBLANK(D292),"",E292-D292+1)</t>
  </si>
  <si>
    <t>H292</t>
  </si>
  <si>
    <t>I292</t>
  </si>
  <si>
    <t>'=IF(F292&gt;0,F292*H292*IF(OR(D292&gt;$H$9,E292&lt;$H$8), 0, IF(D292&lt;$H$8,E292-$H$8,IF($H$9&lt;E292,E292-$H$9,G292)))/G292,0)</t>
  </si>
  <si>
    <t>G293</t>
  </si>
  <si>
    <t>'=IF(ISBLANK(D293),"",E293-D293+1)</t>
  </si>
  <si>
    <t>H293</t>
  </si>
  <si>
    <t>I293</t>
  </si>
  <si>
    <t>'=IF(F293&gt;0,F293*H293*IF(OR(D293&gt;$H$9,E293&lt;$H$8), 0, IF(D293&lt;$H$8,E293-$H$8,IF($H$9&lt;E293,E293-$H$9,G293)))/G293,0)</t>
  </si>
  <si>
    <t>G294</t>
  </si>
  <si>
    <t>'=IF(ISBLANK(D294),"",E294-D294+1)</t>
  </si>
  <si>
    <t>H294</t>
  </si>
  <si>
    <t>I294</t>
  </si>
  <si>
    <t>'=IF(F294&gt;0,F294*H294*IF(OR(D294&gt;$H$9,E294&lt;$H$8), 0, IF(D294&lt;$H$8,E294-$H$8,IF($H$9&lt;E294,E294-$H$9,G294)))/G294,0)</t>
  </si>
  <si>
    <t>G295</t>
  </si>
  <si>
    <t>'=IF(ISBLANK(D295),"",E295-D295+1)</t>
  </si>
  <si>
    <t>H295</t>
  </si>
  <si>
    <t>I295</t>
  </si>
  <si>
    <t>'=IF(F295&gt;0,F295*H295*IF(OR(D295&gt;$H$9,E295&lt;$H$8), 0, IF(D295&lt;$H$8,E295-$H$8,IF($H$9&lt;E295,E295-$H$9,G295)))/G295,0)</t>
  </si>
  <si>
    <t>G296</t>
  </si>
  <si>
    <t>'=IF(ISBLANK(D296),"",E296-D296+1)</t>
  </si>
  <si>
    <t>H296</t>
  </si>
  <si>
    <t>I296</t>
  </si>
  <si>
    <t>'=IF(F296&gt;0,F296*H296*IF(OR(D296&gt;$H$9,E296&lt;$H$8), 0, IF(D296&lt;$H$8,E296-$H$8,IF($H$9&lt;E296,E296-$H$9,G296)))/G296,0)</t>
  </si>
  <si>
    <t>G297</t>
  </si>
  <si>
    <t>'=IF(ISBLANK(D297),"",E297-D297+1)</t>
  </si>
  <si>
    <t>H297</t>
  </si>
  <si>
    <t>I297</t>
  </si>
  <si>
    <t>'=IF(F297&gt;0,F297*H297*IF(OR(D297&gt;$H$9,E297&lt;$H$8), 0, IF(D297&lt;$H$8,E297-$H$8,IF($H$9&lt;E297,E297-$H$9,G297)))/G297,0)</t>
  </si>
  <si>
    <t>G298</t>
  </si>
  <si>
    <t>'=IF(ISBLANK(D298),"",E298-D298+1)</t>
  </si>
  <si>
    <t>H298</t>
  </si>
  <si>
    <t>I298</t>
  </si>
  <si>
    <t>'=IF(F298&gt;0,F298*H298*IF(OR(D298&gt;$H$9,E298&lt;$H$8), 0, IF(D298&lt;$H$8,E298-$H$8,IF($H$9&lt;E298,E298-$H$9,G298)))/G298,0)</t>
  </si>
  <si>
    <t>G299</t>
  </si>
  <si>
    <t>'=IF(ISBLANK(D299),"",E299-D299+1)</t>
  </si>
  <si>
    <t>H299</t>
  </si>
  <si>
    <t>I299</t>
  </si>
  <si>
    <t>'=IF(F299&gt;0,F299*H299*IF(OR(D299&gt;$H$9,E299&lt;$H$8), 0, IF(D299&lt;$H$8,E299-$H$8,IF($H$9&lt;E299,E299-$H$9,G299)))/G299,0)</t>
  </si>
  <si>
    <t>B306</t>
  </si>
  <si>
    <t>certified as carbon neutral against the Australian Government’s National Carbon Offset Standard for Products and services</t>
  </si>
  <si>
    <t>B278</t>
  </si>
  <si>
    <t>Electricity certified as Carbon Neutral against the Climate Active Carbon Neutral Standard</t>
  </si>
  <si>
    <t>C280</t>
  </si>
  <si>
    <t>Electricity</t>
  </si>
  <si>
    <t>C281</t>
  </si>
  <si>
    <t>C283</t>
  </si>
  <si>
    <t>C284</t>
  </si>
  <si>
    <t>C282</t>
  </si>
  <si>
    <t>F281</t>
  </si>
  <si>
    <t>E.g.  Carbon neutral 10% of electricity supply</t>
  </si>
  <si>
    <t>'34:34</t>
  </si>
  <si>
    <t>Add a row to include 'Carbon Neutral electricity' in the summary seciton</t>
  </si>
  <si>
    <t>C34</t>
  </si>
  <si>
    <t>Carbon Neutral Certified Electricity</t>
  </si>
  <si>
    <t>D34</t>
  </si>
  <si>
    <t>=D25</t>
  </si>
  <si>
    <t xml:space="preserve">Calcualations to divide GHG emissions by 3 when Carbon neutral electricity is used in the building. </t>
  </si>
  <si>
    <t>E34</t>
  </si>
  <si>
    <t>'=SUM(I288:I299)</t>
  </si>
  <si>
    <t>F34</t>
  </si>
  <si>
    <t>'=IFERROR(E34*$D34,0)</t>
  </si>
  <si>
    <t>'27:27</t>
  </si>
  <si>
    <t>C27</t>
  </si>
  <si>
    <t>Carbon Neutral Electricity</t>
  </si>
  <si>
    <t>'='15B Building Details'!D34</t>
  </si>
  <si>
    <t>'='15B Building Details'!E34</t>
  </si>
  <si>
    <t>F27</t>
  </si>
  <si>
    <t>'=E27*D27</t>
  </si>
  <si>
    <t>G26</t>
  </si>
  <si>
    <t>'=IF(C26="Purchased renewable electricty",E26*$D$18,E26*D26)</t>
  </si>
  <si>
    <t>'=IF(C26="GreenPower",E26*$D$18,E26*D26)</t>
  </si>
  <si>
    <t>G27</t>
  </si>
  <si>
    <t>'=IF(C27="Carbon Neutral Electricity",E27*$D$18,E27*D27)</t>
  </si>
  <si>
    <t>F17</t>
  </si>
  <si>
    <t>Greenhouse Gas Emissions with GreenPower,Purchased Renewable electricity,Carbon Neutral Electricity (kg.CO2-e p.a.)</t>
  </si>
  <si>
    <t>Greenhouse Gas Emissions with GreenPower (kg.CO2-e p.a.)</t>
  </si>
  <si>
    <t>Updated section to include the term 'Purchased renewables and Certified Carbon neutral electricity'.</t>
  </si>
  <si>
    <t>G17</t>
  </si>
  <si>
    <t>Greenhouse Gas Emissions without GreenPower,Purchased Renewable electricity,Carbon Neutral Electricity (kg.CO2-e p.a.)</t>
  </si>
  <si>
    <t>Greenhouse Gas Emissions without GreenPower (kg.CO2-e p.a.)</t>
  </si>
  <si>
    <t>G28</t>
  </si>
  <si>
    <t>=SUM(G18:G27)</t>
  </si>
  <si>
    <t>'=SUM(G18:G24)</t>
  </si>
  <si>
    <t>F28</t>
  </si>
  <si>
    <t>=SUM(F18:F27)</t>
  </si>
  <si>
    <t>'=SUM(F18:F24)</t>
  </si>
  <si>
    <t>=SUM(E18:E27)</t>
  </si>
  <si>
    <t>'=SUM(E18:E24)</t>
  </si>
  <si>
    <t>R165</t>
  </si>
  <si>
    <t>Calculations for Energy effeciency points through on-site solutiosn</t>
  </si>
  <si>
    <t>Added back end section to calculate energy effeciency points achieved through on-site energy effeciency solutions.</t>
  </si>
  <si>
    <t>R166</t>
  </si>
  <si>
    <t xml:space="preserve">'='15B Building Details'!C19='AGO Emission Factors'!E8 VLOOKUP(D104,'Points Table'!B7:C30,2,TRUE) '15B Building Details'!C19='AGO Emission Factors'!E7 VLOOKUP(D104,'Points Table'!E7:F27,2,TRUE) "Please nominate scope of emissions in building details " </t>
  </si>
  <si>
    <t>D164</t>
  </si>
  <si>
    <t>'=IF(R166&gt;=9, "Yes", "No")</t>
  </si>
  <si>
    <t>'=IF(C108&gt;=9, "Yes", "No")</t>
  </si>
  <si>
    <t>Updated formula to capture energy effeciency points achieved through Onsite solutions</t>
  </si>
  <si>
    <t>D157</t>
  </si>
  <si>
    <t>=E18+E19+E25+E26+E27</t>
  </si>
  <si>
    <t>'=E18+E19</t>
  </si>
  <si>
    <t>Updated formula to calculate total electricity consumption to include PPA,On-site and carbon neutral electricity.</t>
  </si>
  <si>
    <t>'164:164</t>
  </si>
  <si>
    <t>Added minimum requirement as per the PBR inn challenge</t>
  </si>
  <si>
    <t>B164</t>
  </si>
  <si>
    <t>Has the Building manager publicly commit to maintaining a Green Star – Performance rating for two certification cycles or 6 years from initial certification</t>
  </si>
  <si>
    <t>D168</t>
  </si>
  <si>
    <t>'=IF(D164="No","Minimum requirement not met",IF(AND(D165="Yes",D166="Yes",D167="Yes"),"1 point achieved","No points achieved"))</t>
  </si>
  <si>
    <t>'=IF(AND(D165="Yes",D166="Yes",D167="Yes"),"1 point achieved","No points achieved")</t>
  </si>
  <si>
    <t>D170</t>
  </si>
  <si>
    <t>'=IF(D164="No","Minimum requirement not met",IF(D161&lt;0.15,"No points achieved",IF(D161&lt;0.3,IF(F161="Yes","1 point achieved","No points achieved"),IF(F161="Yes","2 points achieved","No points achieved"))))</t>
  </si>
  <si>
    <t>'=IF(D161&lt;0.15,"No points achieved",IF(D161&lt;0.3,IF(F161="Yes","1 point achieved","No points achieved"),IF(F161="Yes","2 points achieved","No points achieved")))</t>
  </si>
  <si>
    <t>B33</t>
  </si>
  <si>
    <t>'='15B Calculation'!B27</t>
  </si>
  <si>
    <t>Added Carbon Neutral electricity section for the Carbon Neutral Summary</t>
  </si>
  <si>
    <t>C33</t>
  </si>
  <si>
    <t>'='15B Calculation'!C27</t>
  </si>
  <si>
    <t>D33</t>
  </si>
  <si>
    <t>H33</t>
  </si>
  <si>
    <t>'=G33/1000</t>
  </si>
  <si>
    <t>E33</t>
  </si>
  <si>
    <t>'='15B Calculation'!E27</t>
  </si>
  <si>
    <t>G33</t>
  </si>
  <si>
    <t>'=E33*F33</t>
  </si>
  <si>
    <t>E46</t>
  </si>
  <si>
    <t>'=SUMIF(D24:D33, "Scope 1", G24:G33)/1000</t>
  </si>
  <si>
    <t>E47</t>
  </si>
  <si>
    <t>'=SUMIF(D24:D33, "Scope 2", G24:G33)/1000</t>
  </si>
  <si>
    <t>Version 1.2, Release 5</t>
  </si>
  <si>
    <t>EC</t>
  </si>
  <si>
    <t>-</t>
  </si>
  <si>
    <t>All sheets</t>
  </si>
  <si>
    <t>Password change</t>
  </si>
  <si>
    <t>6GT8bxo*`N</t>
  </si>
  <si>
    <t>captainplanet</t>
  </si>
  <si>
    <t>Password updates for all calculators and scorecards</t>
  </si>
  <si>
    <t>Version 1.2, Release 6</t>
  </si>
  <si>
    <t>'9:9</t>
  </si>
  <si>
    <t>Added additional rows for project teams to select the targeted Green Star rating for the project</t>
  </si>
  <si>
    <t>B9</t>
  </si>
  <si>
    <t>Please select the Green Star Rating targeted for the project</t>
  </si>
  <si>
    <t>N3</t>
  </si>
  <si>
    <t>Please Select</t>
  </si>
  <si>
    <t>Added Star Ratings available for project teams to select as Drop down menu</t>
  </si>
  <si>
    <t>N4</t>
  </si>
  <si>
    <t>0 Star</t>
  </si>
  <si>
    <t>N5</t>
  </si>
  <si>
    <t>1 star</t>
  </si>
  <si>
    <t>N6</t>
  </si>
  <si>
    <t>2 star</t>
  </si>
  <si>
    <t>N7</t>
  </si>
  <si>
    <t>3 star</t>
  </si>
  <si>
    <t>N8</t>
  </si>
  <si>
    <t xml:space="preserve">4 Star </t>
  </si>
  <si>
    <t>N9</t>
  </si>
  <si>
    <t>5 Star</t>
  </si>
  <si>
    <t>N10</t>
  </si>
  <si>
    <t>6 Star</t>
  </si>
  <si>
    <t>V97</t>
  </si>
  <si>
    <t>Conditional requirements for 4 Star, 5 Star and 6 Star</t>
  </si>
  <si>
    <t>Added back end calculations to calculate the conditional requirements for 4,5 and 6 Star</t>
  </si>
  <si>
    <t>V98</t>
  </si>
  <si>
    <t>Targeted Star Rating</t>
  </si>
  <si>
    <t>V99</t>
  </si>
  <si>
    <t>Requirement for Best Practice Rating Achieved</t>
  </si>
  <si>
    <t>W99</t>
  </si>
  <si>
    <t>'=C107</t>
  </si>
  <si>
    <t>V100</t>
  </si>
  <si>
    <t xml:space="preserve">Conditional Requirements Met for 4,5 &amp; 6 met? </t>
  </si>
  <si>
    <t>W100</t>
  </si>
  <si>
    <t>'=IF(AND(W99="No",IF(ISNUMBER(MATCH(W98,Y102:Y104,0)),1,0)=1),"No","")</t>
  </si>
  <si>
    <t>W98</t>
  </si>
  <si>
    <t>'='15B Building Details'!C9</t>
  </si>
  <si>
    <t>Y97</t>
  </si>
  <si>
    <t>Y98</t>
  </si>
  <si>
    <t>Y99</t>
  </si>
  <si>
    <t>Y100</t>
  </si>
  <si>
    <t>Y101</t>
  </si>
  <si>
    <t>Y102</t>
  </si>
  <si>
    <t>Y103</t>
  </si>
  <si>
    <t>Y104</t>
  </si>
  <si>
    <t>C108</t>
  </si>
  <si>
    <t>=IF(OR(W98="Please Select",W98=""),"Please select the Green Star Rating targeted",IF('15B Building Details'!C20='AGO Emission Factors'!E8,VLOOKUP(C104,'Points Table'!B7:C30,2,TRUE),IF('15B Building Details'!C20='AGO Emission Factors'!E7,VLOOKUP(C104,'Points Table'!E7:F27,2,TRUE),"Please nominate scope of emissions in building details sheet")))</t>
  </si>
  <si>
    <t>'='15B Building Details'!C20='AGO Emission Factors'!E8 VLOOKUP(C104,'Points Table'!B7:C30,2,TRUE) '15B Building Details'!C20='AGO Emission Factors'!E7 VLOOKUP(C104,'Points Table'!E7:F27,2,TRUE) "Please nominate scope of emissions in building details sheet"</t>
  </si>
  <si>
    <t>Amended formula to ensure project teams select the Green Star rating targeted for the project</t>
  </si>
  <si>
    <t>D108</t>
  </si>
  <si>
    <t>=IFERROR(IF(W100="No","Conditional Requirements not met for the Green Star Rating targeted",""),"")</t>
  </si>
  <si>
    <t>Added prompt when the conditional requirements for 4,5 and  are not met</t>
  </si>
  <si>
    <t>Version 1.2, Release 7</t>
  </si>
  <si>
    <t>TC</t>
  </si>
  <si>
    <t>A62</t>
  </si>
  <si>
    <t>2019 Emission Factors</t>
  </si>
  <si>
    <t>Replacing 2018 emission factors with 2019 and updating 2019 to 2020 emission factors</t>
  </si>
  <si>
    <t>K66</t>
  </si>
  <si>
    <t>NGA Factors - August 2019; Table 2</t>
  </si>
  <si>
    <t>NGER Determination 2018; Schedule 1 - Part 2</t>
  </si>
  <si>
    <t>Replacing 2018 Scope 1 emission factors with 2019 (most values were the same between the 2 years) for fuel combusted</t>
  </si>
  <si>
    <t>H67</t>
  </si>
  <si>
    <t>K67</t>
  </si>
  <si>
    <t>NGA Factors - August 2019; Table 3</t>
  </si>
  <si>
    <t>NGER Determination 2018; Schedule 1 - Part 3</t>
  </si>
  <si>
    <t>K68</t>
  </si>
  <si>
    <t>NGER Determination 2018; Schedule 1 - Part 4, Division 4.2</t>
  </si>
  <si>
    <t>K69</t>
  </si>
  <si>
    <t>K70</t>
  </si>
  <si>
    <t>NGA Factors - August 2019; Table 1</t>
  </si>
  <si>
    <t>NGER Determination 2018; Schedule 1 - Part 1</t>
  </si>
  <si>
    <t>K71</t>
  </si>
  <si>
    <t>M67</t>
  </si>
  <si>
    <t>NGA Factors - August 2019; Table 43</t>
  </si>
  <si>
    <t>NGA factors 2018, Table 40</t>
  </si>
  <si>
    <t>Replacing 2018 Scope 3 emission factors with 2019 (values were the same between the 2 years) for fuel combusted</t>
  </si>
  <si>
    <t>M68</t>
  </si>
  <si>
    <t>M69</t>
  </si>
  <si>
    <t>M70</t>
  </si>
  <si>
    <t>NGA Factors - August 2019; Table 40</t>
  </si>
  <si>
    <t>NGA factors 2018, Table 37</t>
  </si>
  <si>
    <t>M71</t>
  </si>
  <si>
    <t>G77</t>
  </si>
  <si>
    <t>Replacing 2018 Scope 1 emission factors with 2019 (most values were the same between the 2 years) for purchased electricity</t>
  </si>
  <si>
    <t>K77</t>
  </si>
  <si>
    <t>NGA Factors - August 2019; Table 5</t>
  </si>
  <si>
    <t>NGER Determination 2018; Schedule 1 - Part 6</t>
  </si>
  <si>
    <t>G78</t>
  </si>
  <si>
    <t>K78</t>
  </si>
  <si>
    <t>G79</t>
  </si>
  <si>
    <t>K79</t>
  </si>
  <si>
    <t>G80</t>
  </si>
  <si>
    <t>K80</t>
  </si>
  <si>
    <t>K81</t>
  </si>
  <si>
    <t>G82</t>
  </si>
  <si>
    <t>K82</t>
  </si>
  <si>
    <t>G83</t>
  </si>
  <si>
    <t>K83</t>
  </si>
  <si>
    <t>G84</t>
  </si>
  <si>
    <t>K84</t>
  </si>
  <si>
    <t>G85</t>
  </si>
  <si>
    <t>K85</t>
  </si>
  <si>
    <t>G86</t>
  </si>
  <si>
    <t>K86</t>
  </si>
  <si>
    <t>L77</t>
  </si>
  <si>
    <t>Replacing 2018 Scope 3 emission factors with 2019 for purchased electricity</t>
  </si>
  <si>
    <t>M77</t>
  </si>
  <si>
    <t>NGA Factors - August 2019; Table 49</t>
  </si>
  <si>
    <t>NGA factors 2018, Appendix 5</t>
  </si>
  <si>
    <t>L78</t>
  </si>
  <si>
    <t>M78</t>
  </si>
  <si>
    <t>L79</t>
  </si>
  <si>
    <t>M79</t>
  </si>
  <si>
    <t>L80</t>
  </si>
  <si>
    <t>M80</t>
  </si>
  <si>
    <t>L81</t>
  </si>
  <si>
    <t>M81</t>
  </si>
  <si>
    <t>L82</t>
  </si>
  <si>
    <t>M82</t>
  </si>
  <si>
    <t>L85</t>
  </si>
  <si>
    <t>M85</t>
  </si>
  <si>
    <t>L86</t>
  </si>
  <si>
    <t>M86</t>
  </si>
  <si>
    <t>B107</t>
  </si>
  <si>
    <t>NA</t>
  </si>
  <si>
    <t>na</t>
  </si>
  <si>
    <t>Replacing 2018 Scope 3 emission factors with 2019 (values were the same between the 2 years) for natural gas</t>
  </si>
  <si>
    <t>B108</t>
  </si>
  <si>
    <t>B109</t>
  </si>
  <si>
    <t>B110</t>
  </si>
  <si>
    <t>NGA Factors - August 2019; Table 41</t>
  </si>
  <si>
    <t>NGA Factors 2018; Table 38</t>
  </si>
  <si>
    <t>K5</t>
  </si>
  <si>
    <t>NGA Factors - October 2020; Table 2</t>
  </si>
  <si>
    <t>Replacing 2019 Scope 1 emission factors with 2020 (most values were the same between the 2 years) for fuel combusted</t>
  </si>
  <si>
    <t>H6</t>
  </si>
  <si>
    <t>K6</t>
  </si>
  <si>
    <t>NGA Factors - October 2020; Table 3</t>
  </si>
  <si>
    <t>K7</t>
  </si>
  <si>
    <t>K8</t>
  </si>
  <si>
    <t>H9</t>
  </si>
  <si>
    <t>K9</t>
  </si>
  <si>
    <t>NGA Factors - October 2020; Table 1</t>
  </si>
  <si>
    <t>K10</t>
  </si>
  <si>
    <t>M6</t>
  </si>
  <si>
    <t>NGA Factors - October 2020; Table 43</t>
  </si>
  <si>
    <t>Replacing 2019 Scope 3 emission factors with 2020 (values were the same between the 2 years) for fuel combusted</t>
  </si>
  <si>
    <t>M7</t>
  </si>
  <si>
    <t>M8</t>
  </si>
  <si>
    <t>M9</t>
  </si>
  <si>
    <t>NGA Factors - October 2020; Table 40</t>
  </si>
  <si>
    <t>M10</t>
  </si>
  <si>
    <t>K27</t>
  </si>
  <si>
    <t>NGA Factors - October 2020; Table 5</t>
  </si>
  <si>
    <t>Replacing 2019 Scope 1 emission factors with 2020 for purchased electricity</t>
  </si>
  <si>
    <t>K28</t>
  </si>
  <si>
    <t>G29</t>
  </si>
  <si>
    <t>K29</t>
  </si>
  <si>
    <t>K30</t>
  </si>
  <si>
    <t>G31</t>
  </si>
  <si>
    <t>K31</t>
  </si>
  <si>
    <t>G32</t>
  </si>
  <si>
    <t>K32</t>
  </si>
  <si>
    <t>K33</t>
  </si>
  <si>
    <t>G34</t>
  </si>
  <si>
    <t>K34</t>
  </si>
  <si>
    <t>G35</t>
  </si>
  <si>
    <t>K35</t>
  </si>
  <si>
    <t>G36</t>
  </si>
  <si>
    <t>K36</t>
  </si>
  <si>
    <t>L27</t>
  </si>
  <si>
    <t>Replacing 2019 Scope 3 emission factors with 2020 (some values were the same between the 2 years) for purchased electricity</t>
  </si>
  <si>
    <t>M27</t>
  </si>
  <si>
    <t>NGA Factors - October 2020; Table 44</t>
  </si>
  <si>
    <t>L28</t>
  </si>
  <si>
    <t>M28</t>
  </si>
  <si>
    <t>M29</t>
  </si>
  <si>
    <t>M30</t>
  </si>
  <si>
    <t>L31</t>
  </si>
  <si>
    <t>M31</t>
  </si>
  <si>
    <t>L32</t>
  </si>
  <si>
    <t>M32</t>
  </si>
  <si>
    <t>L35</t>
  </si>
  <si>
    <t>M35</t>
  </si>
  <si>
    <t>L36</t>
  </si>
  <si>
    <t>M36</t>
  </si>
  <si>
    <t>Replacing 2019 Scope 3 emission factors with 2020 for natural gas</t>
  </si>
  <si>
    <t>B47</t>
  </si>
  <si>
    <t>B48</t>
  </si>
  <si>
    <t>B49</t>
  </si>
  <si>
    <t>B50</t>
  </si>
  <si>
    <t>B56</t>
  </si>
  <si>
    <t>B59</t>
  </si>
  <si>
    <t>B60</t>
  </si>
  <si>
    <t>NGA Factors - October 2020; Table 41</t>
  </si>
  <si>
    <t>B8</t>
  </si>
  <si>
    <t>Project (asset) Green Star number</t>
  </si>
  <si>
    <t>Project's Green Star number</t>
  </si>
  <si>
    <t>Update wording so that project teams don't enter the portfolio GS number</t>
  </si>
  <si>
    <t>Please enter the project (asset) Green Star number</t>
  </si>
  <si>
    <t>Please enter the project's Green Star number.</t>
  </si>
  <si>
    <t>'112:113</t>
  </si>
  <si>
    <t>Updating calculation of Percentage of Engaged Tenant Area (%) to be a ratio of total tenant area instead of total building area</t>
  </si>
  <si>
    <t>B112</t>
  </si>
  <si>
    <t>Please enter the total area of all tenants</t>
  </si>
  <si>
    <t>D150</t>
  </si>
  <si>
    <t>'=IFERROR(D149/D112,0)</t>
  </si>
  <si>
    <t>'=IFERROR(D149/G52,0)</t>
  </si>
  <si>
    <t>Version 1.2, Release 8</t>
  </si>
  <si>
    <t>'=SUM(I268:I279)+SUM(I288:I299)</t>
  </si>
  <si>
    <t>Sum of energy consumption for source items 9 and 10</t>
  </si>
  <si>
    <t>'=SUM(I309:I320)+SUM(I331:I342)</t>
  </si>
  <si>
    <t>Sum of energy consumption for source items 11 and 12</t>
  </si>
  <si>
    <t>D36</t>
  </si>
  <si>
    <t>'=C36="Electricity" VLOOKUP($C$13,'NGER Emission Factors'!$A$26:$K$40,10,FALSE)/VLOOKUP($C$13,'NGER Emission Factors'!$A$26:$K$41,6,FALSE) C36="GreenPower" VLOOKUP(C36,'NGER Emission Factors'!$A$26:$J$41,10,FALSE) C36 'NGER Emission Factors'!</t>
  </si>
  <si>
    <t>Removed forumula for other energy sources. Project teams to contact the GBCA, if any other eneryg source is used by the building. 
This section if never used by the project teams (the row has been hidden)</t>
  </si>
  <si>
    <t>'=SUM(I354:I365)</t>
  </si>
  <si>
    <t>'=IFERROR(E36*$D36,0)</t>
  </si>
  <si>
    <t>TOTAL (excluding on-site renewable electricity consumption &amp; export)</t>
  </si>
  <si>
    <t>Updated wording</t>
  </si>
  <si>
    <t>LGC's purchased to retrospectively cover the amount of electricity used by the building</t>
  </si>
  <si>
    <t>Total energy consumption of LGCs</t>
  </si>
  <si>
    <t>'=H375</t>
  </si>
  <si>
    <t>B99</t>
  </si>
  <si>
    <t>Off-site renewables scenario E
Electricity purchased from retailers  accredited through:
- GreenPower®
- GreenPower Connect®</t>
  </si>
  <si>
    <t>Added scenario description for source item 2</t>
  </si>
  <si>
    <t>B210</t>
  </si>
  <si>
    <t>Offsets scenario L
Electricity is purchased and:
- The retail electricity product is certified as carbon neutral against the Australian Government’s Climate Active Carbon Neutral Standard for Products and services</t>
  </si>
  <si>
    <t>Added scenario description for source item 7</t>
  </si>
  <si>
    <t>B233</t>
  </si>
  <si>
    <t xml:space="preserve">Off-site renewables scenario F
Electricity purchased directly from a  generator / retailer through a PPA or contract where:
- LGCs are provided to  user
- LGCs are retired by the user
The GBCA notes that renewable electricity purchased directly from a generator/retailer through a PPA or contract must also provide evidence that the LGC's are provided to the user AND surrendered by the user.
Where LGC's are surrendered by the renewable energy provider, evidence must be provided that the surrender is allocated uniquely to  the user.  </t>
  </si>
  <si>
    <t>Added scenario description for source item 8</t>
  </si>
  <si>
    <t>'259:299</t>
  </si>
  <si>
    <t>Row add</t>
  </si>
  <si>
    <t>Added additional rows for On-site renewables for Climate Active Purposes and aligned with Climate positive
buildings &amp; our net zero ambitions - Guidance for Green Star on the use of offsets and renewables</t>
  </si>
  <si>
    <t>'300:300</t>
  </si>
  <si>
    <t>'301:343</t>
  </si>
  <si>
    <t>'321:321</t>
  </si>
  <si>
    <t>'344:365</t>
  </si>
  <si>
    <t>B256</t>
  </si>
  <si>
    <t>Source Item 9</t>
  </si>
  <si>
    <t>Added section for on-site renewables scenario A and B (generated and consumed)</t>
  </si>
  <si>
    <t>B255</t>
  </si>
  <si>
    <t>On-site renewables scenario A
Electricity from on site systems where:
- STCs are generated
- Certificates are sold
On-site renewables scenario B
Electricity from on-site systems where:
- LGCs are generated
- Certificates are retired
or
- No LGCs are generated</t>
  </si>
  <si>
    <t>B257</t>
  </si>
  <si>
    <t>Energy Source</t>
  </si>
  <si>
    <t>B258</t>
  </si>
  <si>
    <t>B259</t>
  </si>
  <si>
    <t>B261</t>
  </si>
  <si>
    <t>C261</t>
  </si>
  <si>
    <t>D261</t>
  </si>
  <si>
    <t>Start of metered period</t>
  </si>
  <si>
    <t>E261</t>
  </si>
  <si>
    <t>End of metered period</t>
  </si>
  <si>
    <t>F261</t>
  </si>
  <si>
    <t>Produced Amount (kWH)</t>
  </si>
  <si>
    <t>G261</t>
  </si>
  <si>
    <t>H261</t>
  </si>
  <si>
    <t>I261</t>
  </si>
  <si>
    <t>G261:G273</t>
  </si>
  <si>
    <t>=IF(ISBLANK(D262),"",E262-D262+1)</t>
  </si>
  <si>
    <t>H261:H273</t>
  </si>
  <si>
    <t>=$C$259</t>
  </si>
  <si>
    <t>I261:I273</t>
  </si>
  <si>
    <t>=IF(F262&gt;0,F262*H262*IF(OR(D262&gt;$H$9,E262&lt;$H$8), 0, IF(D262&lt;$H$8,E262-$H$8,IF($H$9&lt;E262,E262-$H$9,G262)))/G262,0)</t>
  </si>
  <si>
    <t>B275</t>
  </si>
  <si>
    <t>Source Item 10</t>
  </si>
  <si>
    <t>Added section for on-site renewables scenario C (generated and consumed)</t>
  </si>
  <si>
    <t>B276</t>
  </si>
  <si>
    <t>On-site renewables scenario C
Electricity from on-site systems where:
- LGCs are generated and sold
- Certificates are sold</t>
  </si>
  <si>
    <t>B279</t>
  </si>
  <si>
    <t>D282</t>
  </si>
  <si>
    <t>E282</t>
  </si>
  <si>
    <t>F282</t>
  </si>
  <si>
    <t>G282</t>
  </si>
  <si>
    <t>H282</t>
  </si>
  <si>
    <t>I282</t>
  </si>
  <si>
    <t>G283:G294</t>
  </si>
  <si>
    <t>=IF(ISBLANK(D283),"",E283-D283+1)</t>
  </si>
  <si>
    <t>H283:H294</t>
  </si>
  <si>
    <t>=$C$280</t>
  </si>
  <si>
    <t>I283:I294</t>
  </si>
  <si>
    <t>=IF(F283&gt;0,F283*H283*IF(OR(D283&gt;$H$9,E283&lt;$H$8), 0, IF(D283&lt;$H$8,E283-$H$8,IF($H$9&lt;E283,E283-$H$9,G283)))/G283,0)</t>
  </si>
  <si>
    <t>B296</t>
  </si>
  <si>
    <t>Source Item 11</t>
  </si>
  <si>
    <t>Added section for on-site renewables scenario B (generated and exported)</t>
  </si>
  <si>
    <t>B297</t>
  </si>
  <si>
    <t>On-site renewables scenario B
Electricity from on-site systems where:
- LGCs are generated
- Certificates are retired</t>
  </si>
  <si>
    <t>B299</t>
  </si>
  <si>
    <t>B300</t>
  </si>
  <si>
    <t>B301</t>
  </si>
  <si>
    <t>B303</t>
  </si>
  <si>
    <t>C303</t>
  </si>
  <si>
    <t>D303</t>
  </si>
  <si>
    <t>E303</t>
  </si>
  <si>
    <t>F303</t>
  </si>
  <si>
    <t>G303</t>
  </si>
  <si>
    <t>H303</t>
  </si>
  <si>
    <t>I303</t>
  </si>
  <si>
    <t>G304:G315</t>
  </si>
  <si>
    <t>=IF(ISBLANK(D304),"",E304-D304+1)</t>
  </si>
  <si>
    <t>H304:H315</t>
  </si>
  <si>
    <t>=$C$301</t>
  </si>
  <si>
    <t>I304:I315</t>
  </si>
  <si>
    <t>=IF(F304&gt;0,F304*H304*IF(OR(D304&gt;$H$9,E304&lt;$H$8), 0, IF(D304&lt;$H$8,E304-$H$8,IF($H$9&lt;E304,E304-$H$9,G304)))/G304,0)</t>
  </si>
  <si>
    <t>B317</t>
  </si>
  <si>
    <t>Source Item 12</t>
  </si>
  <si>
    <t>Added section for on-site renewables scenario C (generated and exported)</t>
  </si>
  <si>
    <t>B318</t>
  </si>
  <si>
    <t>B320</t>
  </si>
  <si>
    <t>B321</t>
  </si>
  <si>
    <t>B322</t>
  </si>
  <si>
    <t>B324</t>
  </si>
  <si>
    <t>C324</t>
  </si>
  <si>
    <t>D324</t>
  </si>
  <si>
    <t>E324</t>
  </si>
  <si>
    <t>F324</t>
  </si>
  <si>
    <t>G324</t>
  </si>
  <si>
    <t>H324</t>
  </si>
  <si>
    <t>I324</t>
  </si>
  <si>
    <t>G325:G336</t>
  </si>
  <si>
    <t>=IF(ISBLANK(D325),"",E325-D325+1)</t>
  </si>
  <si>
    <t>H325:H336</t>
  </si>
  <si>
    <t>=$C$322</t>
  </si>
  <si>
    <t>I325:I336</t>
  </si>
  <si>
    <t>=IF(F325&gt;0,F325*H325*IF(OR(D325&gt;$H$9,E325&lt;$H$8), 0, IF(D325&lt;$H$8,E325-$H$8,IF($H$9&lt;E325,E325-$H$9,G325)))/G325,0)</t>
  </si>
  <si>
    <t>C341</t>
  </si>
  <si>
    <t>Please Contact the GBCA</t>
  </si>
  <si>
    <t>'=IF(C346="Electricity",VLOOKUP($C$13,'NGER Emission Factors'!$A$26:$J$40,2,FALSE),IF(C346="GreenPower",VLOOKUP(C346,'NGER Emission Factors'!$A$26:$J$41,2,FALSE),VLOOKUP(C346,'NGER Emission Factors'!$A$5:$J$22,2,FALSE)))</t>
  </si>
  <si>
    <t>Updated section for 'Other Energy Sources'.
(Rows are hidden)</t>
  </si>
  <si>
    <t>C342</t>
  </si>
  <si>
    <t>'=IF(C346="Electricity",VLOOKUP($C$13,'NGER Emission Factors'!$A$26:$J$40,10,FALSE),IF(C346="GreenPower",VLOOKUP(C346,'NGER Emission Factors'!$A$26:$J$41,10,FALSE),VLOOKUP(C346,'NGER Emission Factors'!$A$5:$J$22,10,FALSE)))</t>
  </si>
  <si>
    <t>C343</t>
  </si>
  <si>
    <t>'=IF(C346="Electricity",VLOOKUP($C$13,'NGER Emission Factors'!$A$26:$J$40,5,FALSE),IF(C346="GreenPower",VLOOKUP(C346,'NGER Emission Factors'!$A$26:$J$41,5,FALSE),VLOOKUP(C346,'NGER Emission Factors'!$A$5:$J$22,5,FALSE)))</t>
  </si>
  <si>
    <t>C344</t>
  </si>
  <si>
    <t>'=IF(C346="Electricity",VLOOKUP($C$13,'NGER Emission Factors'!$A$26:$J$40,6,FALSE),IF(C346="GreenPower",VLOOKUP(C346,'NGER Emission Factors'!$A$26:$J$41,6,FALSE),VLOOKUP(C346,'NGER Emission Factors'!$A$5:$J$22,6,FALSE)))</t>
  </si>
  <si>
    <t>F343</t>
  </si>
  <si>
    <t>This section is used to address any other fuel types used as an energy source by the building. Please contact the GBCA</t>
  </si>
  <si>
    <t>B360</t>
  </si>
  <si>
    <t>Australian RECs (LGCs) purchased to retrospectively cover the amount of electricity used by the building</t>
  </si>
  <si>
    <t>Added section to capture LGC's purchased</t>
  </si>
  <si>
    <t>B361</t>
  </si>
  <si>
    <t>Off-site renewables scenario I
Electricity is purchased and:
- An equivalent amount of Australian RECs (LGCs) are purchased to retrospectively cover the amount of electricity used by the building
- These certificates are retired are retired by the  asset owner.</t>
  </si>
  <si>
    <t>B363</t>
  </si>
  <si>
    <t>C363</t>
  </si>
  <si>
    <t>Renewable Electricity</t>
  </si>
  <si>
    <t>B364</t>
  </si>
  <si>
    <t>C364</t>
  </si>
  <si>
    <t>B365</t>
  </si>
  <si>
    <t>C365</t>
  </si>
  <si>
    <t>MWh</t>
  </si>
  <si>
    <t>B366</t>
  </si>
  <si>
    <t>C366</t>
  </si>
  <si>
    <t>B368</t>
  </si>
  <si>
    <t>Purchased amount (MWh)</t>
  </si>
  <si>
    <t>C368</t>
  </si>
  <si>
    <t>Energy consumption (GJ)</t>
  </si>
  <si>
    <t>C369</t>
  </si>
  <si>
    <t>=F369*3.6</t>
  </si>
  <si>
    <t>C26</t>
  </si>
  <si>
    <t>='15B Building Details'!C34</t>
  </si>
  <si>
    <t>Onsite renewables</t>
  </si>
  <si>
    <t>Updated source items and energy sources</t>
  </si>
  <si>
    <t>='15B Building Details'!C35</t>
  </si>
  <si>
    <t>'='15B Building Details'!D36</t>
  </si>
  <si>
    <t>'=IFERROR('15B Building Details'!C357,0)</t>
  </si>
  <si>
    <t>=IFERROR('15B Building Details'!C342,0)</t>
  </si>
  <si>
    <t>'=SUMIF('15B Building Details'!$C$26:$C$37,$C28,'15B Building Details'!$E$26:$E$36)</t>
  </si>
  <si>
    <t>'=E28*D28</t>
  </si>
  <si>
    <t>'=IF(C28="GreenPower",E28*$D$18,E28*D28)</t>
  </si>
  <si>
    <t>'33:33</t>
  </si>
  <si>
    <t>Added section for LGC's purchased</t>
  </si>
  <si>
    <t>C30</t>
  </si>
  <si>
    <t>LGC's Purchased</t>
  </si>
  <si>
    <t>'='15B Building Details'!E38</t>
  </si>
  <si>
    <t>=(E29-E30)/$G$54</t>
  </si>
  <si>
    <t>'=E29/$G$55</t>
  </si>
  <si>
    <t>F30</t>
  </si>
  <si>
    <t>'=(E30*D18)</t>
  </si>
  <si>
    <t>F31</t>
  </si>
  <si>
    <t>=(F29-F30)/$G$54</t>
  </si>
  <si>
    <t>'=F29/$G$54</t>
  </si>
  <si>
    <t>D32</t>
  </si>
  <si>
    <t>Renewable energy procured by the project (%)</t>
  </si>
  <si>
    <t>% Green Power</t>
  </si>
  <si>
    <t>'=IFERROR((E19+E24+E30)/E29,0)</t>
  </si>
  <si>
    <t>'=E19/E29</t>
  </si>
  <si>
    <t>'=F19/F29</t>
  </si>
  <si>
    <t>'=G19/G29</t>
  </si>
  <si>
    <t>Points Awarded for Climate Active Carbon Neutral Electricity</t>
  </si>
  <si>
    <t>Added additional section for Climate Active Certified Carbon Neutral Electricity</t>
  </si>
  <si>
    <t>C110</t>
  </si>
  <si>
    <t>'=W111</t>
  </si>
  <si>
    <t>B111</t>
  </si>
  <si>
    <t>Points Awarded</t>
  </si>
  <si>
    <t>C111</t>
  </si>
  <si>
    <t>'=SUM(C109:C110)</t>
  </si>
  <si>
    <t>V107</t>
  </si>
  <si>
    <t>Total Electricity Consumption</t>
  </si>
  <si>
    <t>V108</t>
  </si>
  <si>
    <t>Total carbon neutral electricit</t>
  </si>
  <si>
    <t>V109</t>
  </si>
  <si>
    <t>% of carbon neutral electricity</t>
  </si>
  <si>
    <t>V110</t>
  </si>
  <si>
    <t>Points available for CACN certified electricity</t>
  </si>
  <si>
    <t>V111</t>
  </si>
  <si>
    <t>Points achieved at 3:1 ratio</t>
  </si>
  <si>
    <t>W107</t>
  </si>
  <si>
    <t>'=SUM(E18:E19,E24,E25)</t>
  </si>
  <si>
    <t>W108</t>
  </si>
  <si>
    <t>'=E25</t>
  </si>
  <si>
    <t>W109</t>
  </si>
  <si>
    <t>'=W108/W107</t>
  </si>
  <si>
    <t>W110</t>
  </si>
  <si>
    <t>'=C109</t>
  </si>
  <si>
    <t>W111</t>
  </si>
  <si>
    <t>'=(C108/3)*W108</t>
  </si>
  <si>
    <t>On-site renewable electricity generated by the project (GJ)</t>
  </si>
  <si>
    <t>Onsite Renewable Energy (GJ)</t>
  </si>
  <si>
    <t>Updated Powered by Renewables Innovation section.</t>
  </si>
  <si>
    <t>'=E26+E27</t>
  </si>
  <si>
    <t>'=E26</t>
  </si>
  <si>
    <t>B165</t>
  </si>
  <si>
    <t>On-site renewable electricity generated by the project relative to its electricity consumption (%)</t>
  </si>
  <si>
    <t>D165</t>
  </si>
  <si>
    <t>=IFERROR(D164/D162,0)</t>
  </si>
  <si>
    <t>D166</t>
  </si>
  <si>
    <t>B168</t>
  </si>
  <si>
    <t>On-site renewable electricity used (%)</t>
  </si>
  <si>
    <t>'=IFERROR(D166/D162,"0%")</t>
  </si>
  <si>
    <t>E168</t>
  </si>
  <si>
    <t>=IFERROR(IF(D168&gt;=0.15,"Is the renewable energy metered, monitored and validated?",""),"")</t>
  </si>
  <si>
    <t>'=IFERROR(IF(D169&gt;=0.15,"Is the renewable energy metered, monitored and validated?",""),"")</t>
  </si>
  <si>
    <t>B169</t>
  </si>
  <si>
    <t>Total renewable electricity used (%)</t>
  </si>
  <si>
    <t>D169</t>
  </si>
  <si>
    <t>=IFERROR((E19+E26+E24+E30)/D162,"0%")</t>
  </si>
  <si>
    <t>'=IFERROR(D165/D162,"0%")</t>
  </si>
  <si>
    <t>Location Based Method</t>
  </si>
  <si>
    <t>All</t>
  </si>
  <si>
    <t>New sheet</t>
  </si>
  <si>
    <t>Added a new tab ' Location Based Method' for the purposes of Climate Active Certification</t>
  </si>
  <si>
    <t>B2</t>
  </si>
  <si>
    <t xml:space="preserve">Location Based Method </t>
  </si>
  <si>
    <t>B4</t>
  </si>
  <si>
    <t>Source Item</t>
  </si>
  <si>
    <t>C4</t>
  </si>
  <si>
    <t>D4</t>
  </si>
  <si>
    <t>Energy Consumption (GJ)</t>
  </si>
  <si>
    <t>E4</t>
  </si>
  <si>
    <t>Emission Factors (kg CO2e/unit)</t>
  </si>
  <si>
    <t>H4</t>
  </si>
  <si>
    <t>Emissions (kg.CO2-e p.a.)</t>
  </si>
  <si>
    <t>E5</t>
  </si>
  <si>
    <t>F5</t>
  </si>
  <si>
    <t>G5</t>
  </si>
  <si>
    <t>Scope 3</t>
  </si>
  <si>
    <t>H5</t>
  </si>
  <si>
    <t>I5</t>
  </si>
  <si>
    <t>J5</t>
  </si>
  <si>
    <t>B6</t>
  </si>
  <si>
    <t>Grid purchased electricity</t>
  </si>
  <si>
    <t>B7</t>
  </si>
  <si>
    <t>B10</t>
  </si>
  <si>
    <t>B11</t>
  </si>
  <si>
    <t>On-site renewable electricity</t>
  </si>
  <si>
    <t>B12</t>
  </si>
  <si>
    <t>B13</t>
  </si>
  <si>
    <t>B14</t>
  </si>
  <si>
    <t>B15</t>
  </si>
  <si>
    <t>B16</t>
  </si>
  <si>
    <t>Other energy sources</t>
  </si>
  <si>
    <t>B17</t>
  </si>
  <si>
    <t>B18</t>
  </si>
  <si>
    <t>B19</t>
  </si>
  <si>
    <t>B20</t>
  </si>
  <si>
    <t>C7</t>
  </si>
  <si>
    <t>='15B Building Details'!C26</t>
  </si>
  <si>
    <t>C8</t>
  </si>
  <si>
    <t>='15B Building Details'!C27</t>
  </si>
  <si>
    <t>C9</t>
  </si>
  <si>
    <t>='15B Building Details'!C32</t>
  </si>
  <si>
    <t>C10</t>
  </si>
  <si>
    <t>='15B Building Details'!C33</t>
  </si>
  <si>
    <t>C12</t>
  </si>
  <si>
    <t>='15B Building Details'!C34&amp;" (LGCs are created and retired or STCs are created and retired/sold)"</t>
  </si>
  <si>
    <t>C13</t>
  </si>
  <si>
    <t>='15B Building Details'!C34&amp;" (LGCs are created and sold)"</t>
  </si>
  <si>
    <t>C14</t>
  </si>
  <si>
    <t>='15B Building Details'!C35&amp;" (LGCs are created and retired or none are created)"</t>
  </si>
  <si>
    <t>C15</t>
  </si>
  <si>
    <t>='15B Building Details'!C35&amp;" (LGCs are created and sold)"</t>
  </si>
  <si>
    <t>C17</t>
  </si>
  <si>
    <t>'='15B Building Details'!C28</t>
  </si>
  <si>
    <t>C18</t>
  </si>
  <si>
    <t>'='15B Building Details'!C29</t>
  </si>
  <si>
    <t>C19</t>
  </si>
  <si>
    <t>'='15B Building Details'!C30</t>
  </si>
  <si>
    <t>C20</t>
  </si>
  <si>
    <t>'='15B Building Details'!C31</t>
  </si>
  <si>
    <t>D7</t>
  </si>
  <si>
    <t>D9</t>
  </si>
  <si>
    <t>'='15B Building Details'!E32</t>
  </si>
  <si>
    <t>D10</t>
  </si>
  <si>
    <t>'='15B Building Details'!E33</t>
  </si>
  <si>
    <t>D12</t>
  </si>
  <si>
    <t>=SUM('15B Building Details'!I262:I273)</t>
  </si>
  <si>
    <t>D13</t>
  </si>
  <si>
    <t>=SUM('15B Building Details'!I283:I294)</t>
  </si>
  <si>
    <t>D14</t>
  </si>
  <si>
    <t>=SUM('15B Building Details'!I304:I315)</t>
  </si>
  <si>
    <t>D15</t>
  </si>
  <si>
    <t>=SUM('15B Building Details'!I325:I336)</t>
  </si>
  <si>
    <t>D17</t>
  </si>
  <si>
    <t>'='15B Building Details'!E31</t>
  </si>
  <si>
    <t>E7</t>
  </si>
  <si>
    <t>E8</t>
  </si>
  <si>
    <t>E9</t>
  </si>
  <si>
    <t>E10</t>
  </si>
  <si>
    <t>E12</t>
  </si>
  <si>
    <t>E13</t>
  </si>
  <si>
    <t>E14</t>
  </si>
  <si>
    <t>E15</t>
  </si>
  <si>
    <t>E17</t>
  </si>
  <si>
    <t>'='15B Building Details'!D31</t>
  </si>
  <si>
    <t>F7</t>
  </si>
  <si>
    <t>'='15B Building Details'!$D$26</t>
  </si>
  <si>
    <t>F9</t>
  </si>
  <si>
    <t>F10</t>
  </si>
  <si>
    <t>F12</t>
  </si>
  <si>
    <t>F13</t>
  </si>
  <si>
    <t>'=$F$7</t>
  </si>
  <si>
    <t>F14</t>
  </si>
  <si>
    <t>F15</t>
  </si>
  <si>
    <t>F18</t>
  </si>
  <si>
    <t>F19</t>
  </si>
  <si>
    <t>F20</t>
  </si>
  <si>
    <t>G7</t>
  </si>
  <si>
    <t>=IF('15B Building Details'!$H$10=2019,VLOOKUP('15B Building Details'!$C$13,'NGER Emission Factors'!$A$76:$M$91,12,FALSE),VLOOKUP('15B Building Details'!$C$13,'NGER Emission Factors'!$A$23:$M$41,12,FALSE))</t>
  </si>
  <si>
    <t>G8</t>
  </si>
  <si>
    <t>G9</t>
  </si>
  <si>
    <t>G10</t>
  </si>
  <si>
    <t>G13</t>
  </si>
  <si>
    <t>G14</t>
  </si>
  <si>
    <t>G15</t>
  </si>
  <si>
    <t>=IF('15B Building Details'!$H$10=2019,VLOOKUP(C17,'NGER Emission Factors'!$A$66:$M$71,12,FALSE),VLOOKUP(C17,'NGER Emission Factors'!$A$5:$M$10,12,FALSE))</t>
  </si>
  <si>
    <t>G18</t>
  </si>
  <si>
    <t>=IF('15B Building Details'!$H$10=2019,VLOOKUP(C18,'NGER Emission Factors'!$A$66:$M$71,12,FALSE),VLOOKUP(C18,'NGER Emission Factors'!$A$5:$M$10,12,FALSE))</t>
  </si>
  <si>
    <t>G19</t>
  </si>
  <si>
    <t>=IF('15B Building Details'!$H$10=2019,VLOOKUP(C19,'NGER Emission Factors'!$A$66:$M$71,12,FALSE),VLOOKUP(C19,'NGER Emission Factors'!$A$5:$M$10,12,FALSE))</t>
  </si>
  <si>
    <t>G20</t>
  </si>
  <si>
    <t>=IF('15B Building Details'!$H$10=2019,VLOOKUP(C20,'NGER Emission Factors'!$A$66:$M$71,12,FALSE),VLOOKUP(C20,'NGER Emission Factors'!$A$5:$M$10,12,FALSE))</t>
  </si>
  <si>
    <t>H7</t>
  </si>
  <si>
    <t>=$D7*E7</t>
  </si>
  <si>
    <t>=$D7*E8</t>
  </si>
  <si>
    <t>=$D7*E9</t>
  </si>
  <si>
    <t>=$D7*E10</t>
  </si>
  <si>
    <t>H12</t>
  </si>
  <si>
    <t>H15</t>
  </si>
  <si>
    <t>H17</t>
  </si>
  <si>
    <t>=$D17*E17</t>
  </si>
  <si>
    <t>H18</t>
  </si>
  <si>
    <t>=$D17*E18</t>
  </si>
  <si>
    <t>H19</t>
  </si>
  <si>
    <t>=$D17*E19</t>
  </si>
  <si>
    <t>H20</t>
  </si>
  <si>
    <t>=$D17*E20</t>
  </si>
  <si>
    <t>I7</t>
  </si>
  <si>
    <t>=$D7*F7</t>
  </si>
  <si>
    <t>=$D8*F8</t>
  </si>
  <si>
    <t>I9</t>
  </si>
  <si>
    <t>=-$D9*F9</t>
  </si>
  <si>
    <t>I10</t>
  </si>
  <si>
    <t>=$D10*F10</t>
  </si>
  <si>
    <t>I12</t>
  </si>
  <si>
    <t>=$D12*F12</t>
  </si>
  <si>
    <t>I13</t>
  </si>
  <si>
    <t>=$D13*F13</t>
  </si>
  <si>
    <t>I14</t>
  </si>
  <si>
    <t>=$D14*F14</t>
  </si>
  <si>
    <t>I15</t>
  </si>
  <si>
    <t>=$D15*F15</t>
  </si>
  <si>
    <t>I17</t>
  </si>
  <si>
    <t>I18</t>
  </si>
  <si>
    <t>I19</t>
  </si>
  <si>
    <t>I20</t>
  </si>
  <si>
    <t>J7</t>
  </si>
  <si>
    <t>=$D7*G7</t>
  </si>
  <si>
    <t>J8</t>
  </si>
  <si>
    <t>=$D8*G8</t>
  </si>
  <si>
    <t>J9</t>
  </si>
  <si>
    <t>=-$D9*G9</t>
  </si>
  <si>
    <t>J10</t>
  </si>
  <si>
    <t>=$D10*G10</t>
  </si>
  <si>
    <t>J12</t>
  </si>
  <si>
    <t>=$D12*G12</t>
  </si>
  <si>
    <t>J13</t>
  </si>
  <si>
    <t>=$D13*G13</t>
  </si>
  <si>
    <t>J14</t>
  </si>
  <si>
    <t>=$D14*G14</t>
  </si>
  <si>
    <t>J15</t>
  </si>
  <si>
    <t>=$D15*G15</t>
  </si>
  <si>
    <t>J17</t>
  </si>
  <si>
    <t>=$D17*G17</t>
  </si>
  <si>
    <t>J18</t>
  </si>
  <si>
    <t>=$D17*G18</t>
  </si>
  <si>
    <t>J19</t>
  </si>
  <si>
    <t>=$D17*G19</t>
  </si>
  <si>
    <t>J20</t>
  </si>
  <si>
    <t>=$D17*G20</t>
  </si>
  <si>
    <t>B22</t>
  </si>
  <si>
    <t>Electricity emissions</t>
  </si>
  <si>
    <t>B23</t>
  </si>
  <si>
    <t>State</t>
  </si>
  <si>
    <t>C23</t>
  </si>
  <si>
    <t>Electricity Inventory Emissions</t>
  </si>
  <si>
    <t>B24:B27</t>
  </si>
  <si>
    <t>='15B Building Details'!$C$21</t>
  </si>
  <si>
    <t>B28</t>
  </si>
  <si>
    <t>C24</t>
  </si>
  <si>
    <t>=C7</t>
  </si>
  <si>
    <t>C25</t>
  </si>
  <si>
    <t>=C8</t>
  </si>
  <si>
    <t>=C9</t>
  </si>
  <si>
    <t>=C10</t>
  </si>
  <si>
    <t>C28</t>
  </si>
  <si>
    <t>=C13</t>
  </si>
  <si>
    <t>C29</t>
  </si>
  <si>
    <t>Total emissions</t>
  </si>
  <si>
    <t>D24</t>
  </si>
  <si>
    <t>'=D7/0.0036</t>
  </si>
  <si>
    <t>=D8/0.0036</t>
  </si>
  <si>
    <t>D26</t>
  </si>
  <si>
    <t>=D9/0.0036</t>
  </si>
  <si>
    <t>=D10/0.0036</t>
  </si>
  <si>
    <t>'=D13/0.0036</t>
  </si>
  <si>
    <t>Emissions (t CO2e)</t>
  </si>
  <si>
    <t>=D24*((F7*0.0036)+(G7*0.0036))/1000</t>
  </si>
  <si>
    <t>=D25*((F8*0.0036)+(G8*0.0036))/1000</t>
  </si>
  <si>
    <t>=-D26*((F9*0.0036)+(G9*0.0036))/1000</t>
  </si>
  <si>
    <t>=D27*((F10*0.0036)+(G10*0.0036))/1000</t>
  </si>
  <si>
    <t>=D28*((F13*0.0036)+(G13*0.0036))/1000</t>
  </si>
  <si>
    <t>=SUM(E24:E28)</t>
  </si>
  <si>
    <t>B31</t>
  </si>
  <si>
    <t>Total energy emissions</t>
  </si>
  <si>
    <t>B32</t>
  </si>
  <si>
    <t>Scope 1 Emissions ( t CO2-e)</t>
  </si>
  <si>
    <t xml:space="preserve">Scope 2 Emissions ( t CO2-e) </t>
  </si>
  <si>
    <t xml:space="preserve">Scope 3 Emissions ( t CO2-e) </t>
  </si>
  <si>
    <t>B35</t>
  </si>
  <si>
    <t>'=SUM(H7:H20)/1000</t>
  </si>
  <si>
    <t>'=SUM(I7:I20)/1000</t>
  </si>
  <si>
    <t>'=SUM(J7:J20)/1000</t>
  </si>
  <si>
    <t>'=SUM(E31:E33)</t>
  </si>
  <si>
    <t>Market based Method</t>
  </si>
  <si>
    <t>Added a new tab 'Market Based Method' for the purposes of Climate Active Certification</t>
  </si>
  <si>
    <t>E6</t>
  </si>
  <si>
    <t>F6</t>
  </si>
  <si>
    <t>G6</t>
  </si>
  <si>
    <t>I6</t>
  </si>
  <si>
    <t>J6</t>
  </si>
  <si>
    <t>Grid Purchased Electricity</t>
  </si>
  <si>
    <t>All other Energy Sources</t>
  </si>
  <si>
    <t>B21</t>
  </si>
  <si>
    <t>="Renewable Energy Target = "&amp;ROUND('NGER Emission Factors'!B122*100,2)&amp;"%"</t>
  </si>
  <si>
    <t>C11</t>
  </si>
  <si>
    <t>Purchased Renewable Energy Certificates</t>
  </si>
  <si>
    <t>Total Grid Purchased Electricity</t>
  </si>
  <si>
    <t xml:space="preserve">Residual Electricity </t>
  </si>
  <si>
    <t>C16</t>
  </si>
  <si>
    <t>C21</t>
  </si>
  <si>
    <t>C22</t>
  </si>
  <si>
    <t>='15B Building Details'!E38</t>
  </si>
  <si>
    <t>D11</t>
  </si>
  <si>
    <t>'=D8*'NGER Emission Factors'!B122</t>
  </si>
  <si>
    <t>'=SUM('15B Building Details'!E26,'15B Building Details'!E27,'15B Building Details'!E32,'15B Building Details'!E33)</t>
  </si>
  <si>
    <t>=D12-SUM(D7:D10)</t>
  </si>
  <si>
    <t>=SUM('15B Building Details'!I261:I272)</t>
  </si>
  <si>
    <t>D16</t>
  </si>
  <si>
    <t>=SUM('15B Building Details'!I282:I293)</t>
  </si>
  <si>
    <t>=SUM('15B Building Details'!I303:I314)</t>
  </si>
  <si>
    <t>=SUM('15B Building Details'!I324:I335)</t>
  </si>
  <si>
    <t>E7:J12</t>
  </si>
  <si>
    <t>'-</t>
  </si>
  <si>
    <t>E16</t>
  </si>
  <si>
    <t>'=VLOOKUP('15B Building Details'!$H$10,'NGER Emission Factors'!$A$120:$G$127,5,FALSE)/0.0036</t>
  </si>
  <si>
    <t>F16</t>
  </si>
  <si>
    <t>='NGER Emission Factors'!B113/0.0036</t>
  </si>
  <si>
    <t>='NGER Emission Factors'!B113*(-1)/0.0036</t>
  </si>
  <si>
    <t>F21</t>
  </si>
  <si>
    <t>F22</t>
  </si>
  <si>
    <t>F23</t>
  </si>
  <si>
    <t>='NGER Emission Factors'!B114/0.0036</t>
  </si>
  <si>
    <t>G16</t>
  </si>
  <si>
    <t>G17:G18</t>
  </si>
  <si>
    <t>G21</t>
  </si>
  <si>
    <t>=IF('15B Building Details'!$H$10=2019,VLOOKUP(C21,'NGER Emission Factors'!$A$66:$M$71,12,FALSE),VLOOKUP(C21,'NGER Emission Factors'!$A$5:$M$10,12,FALSE))</t>
  </si>
  <si>
    <t>G22</t>
  </si>
  <si>
    <t>=IF('15B Building Details'!$H$10=2019,VLOOKUP(C22,'NGER Emission Factors'!$A$66:$M$71,12,FALSE),VLOOKUP(C22,'NGER Emission Factors'!$A$5:$M$10,12,FALSE))</t>
  </si>
  <si>
    <t>G23</t>
  </si>
  <si>
    <t>=IF('15B Building Details'!$H$10=2019,VLOOKUP(C23,'NGER Emission Factors'!$A$66:$M$71,12,FALSE),VLOOKUP(C23,'NGER Emission Factors'!$A$5:$M$10,12,FALSE))</t>
  </si>
  <si>
    <t>=$D15*E15</t>
  </si>
  <si>
    <t>H16</t>
  </si>
  <si>
    <t>=$D16*E16</t>
  </si>
  <si>
    <t>=$D18*E18</t>
  </si>
  <si>
    <t>=$D20*E20</t>
  </si>
  <si>
    <t>H21</t>
  </si>
  <si>
    <t>=$D21*E21</t>
  </si>
  <si>
    <t>H22</t>
  </si>
  <si>
    <t>=$D22*E22</t>
  </si>
  <si>
    <t>H23</t>
  </si>
  <si>
    <t>=$D23*E23</t>
  </si>
  <si>
    <t>I16</t>
  </si>
  <si>
    <t>=$D16*F16</t>
  </si>
  <si>
    <t>=$D17*F17</t>
  </si>
  <si>
    <t>=$D18*F18</t>
  </si>
  <si>
    <t>=$D20*F20</t>
  </si>
  <si>
    <t>I21</t>
  </si>
  <si>
    <t>=$D21*F21</t>
  </si>
  <si>
    <t>I22</t>
  </si>
  <si>
    <t>=$D22*F22</t>
  </si>
  <si>
    <t>I23</t>
  </si>
  <si>
    <t>=$D23*F23</t>
  </si>
  <si>
    <t>J16</t>
  </si>
  <si>
    <t>=$D16*G16</t>
  </si>
  <si>
    <t>=$D18*G18</t>
  </si>
  <si>
    <t>=$D20*G20</t>
  </si>
  <si>
    <t>J21</t>
  </si>
  <si>
    <t>=$D21*G21</t>
  </si>
  <si>
    <t>J22</t>
  </si>
  <si>
    <t>=$D22*G22</t>
  </si>
  <si>
    <t>J23</t>
  </si>
  <si>
    <t>=$D23*G23</t>
  </si>
  <si>
    <t>B25</t>
  </si>
  <si>
    <t>B26</t>
  </si>
  <si>
    <t>Emissions (tonnes CO2e)</t>
  </si>
  <si>
    <t>B27:B29</t>
  </si>
  <si>
    <t>'='15B Building Details'!$C$21</t>
  </si>
  <si>
    <t>B30</t>
  </si>
  <si>
    <t>B32:B33</t>
  </si>
  <si>
    <t>=C11</t>
  </si>
  <si>
    <t>C31</t>
  </si>
  <si>
    <t>=C12</t>
  </si>
  <si>
    <t>C32</t>
  </si>
  <si>
    <t>=C16</t>
  </si>
  <si>
    <t>=C17</t>
  </si>
  <si>
    <t>=D7/0.0036</t>
  </si>
  <si>
    <t>'=D8/0.0036</t>
  </si>
  <si>
    <t>=SUM(D9,D11)/0.0036</t>
  </si>
  <si>
    <t>D31</t>
  </si>
  <si>
    <t>'=D12/0.0036</t>
  </si>
  <si>
    <t>'=D16/0.0036</t>
  </si>
  <si>
    <t>'=D17/0.0036</t>
  </si>
  <si>
    <t>=-D27*(($F$13*0.0036)+($G$13*0.0036))/1000</t>
  </si>
  <si>
    <t>=-D28*(($F$13*0.0036)+($G$13*0.0036))/1000</t>
  </si>
  <si>
    <t>=-D29*(($F$13*0.0036)+($G$13*0.0036))/1000</t>
  </si>
  <si>
    <t>=-D30*(($F$13*0.0036)+($G$13*0.0036))/1000</t>
  </si>
  <si>
    <t>=D31*(($F$13*0.0036)+($G$13*0.0036))/1000</t>
  </si>
  <si>
    <t>=D32*(($F$16*0.0036)+($G$16*0.0036))/1000</t>
  </si>
  <si>
    <t>=D33*(($F$17*0.0036)+($G$17*0.0036))/1000</t>
  </si>
  <si>
    <t>=SUM(E27:E33)</t>
  </si>
  <si>
    <t>B36</t>
  </si>
  <si>
    <t>Scope 1 Emissions (t CO2-e)</t>
  </si>
  <si>
    <t>Scope 2 Emissions (t CO2-e)</t>
  </si>
  <si>
    <t>Scope 3 Emissions (t CO2-e)</t>
  </si>
  <si>
    <t>TOTAL GREENHOUSE GAS EMISSIONS associated with energy consumption (t CO2-e)</t>
  </si>
  <si>
    <t>=SUM(H7:H23)/1000</t>
  </si>
  <si>
    <t>=SUM(I7:I23)/1000</t>
  </si>
  <si>
    <t>=SUM(J7:J23)/1000</t>
  </si>
  <si>
    <t>=SUM(E37:E39)</t>
  </si>
  <si>
    <t>'21:33</t>
  </si>
  <si>
    <t>Carbon Emissions Summary</t>
  </si>
  <si>
    <t>Added new section to allow project teams to select the method used to calculate their electricity emissions</t>
  </si>
  <si>
    <t>Please select which method the proejct would like to use calculate electricity emissions</t>
  </si>
  <si>
    <t>Emssions Source</t>
  </si>
  <si>
    <t>Emissions (t CO2-e)</t>
  </si>
  <si>
    <t>Scope 1: Combustion of fuel</t>
  </si>
  <si>
    <t>B27</t>
  </si>
  <si>
    <t>Scope 2: Electricity</t>
  </si>
  <si>
    <t>Scope 3: Combustion of fuel</t>
  </si>
  <si>
    <t>B29</t>
  </si>
  <si>
    <t>Scope 3: Electricity</t>
  </si>
  <si>
    <t>'=SUM('Location Based Approach'!H17:H20)/1000</t>
  </si>
  <si>
    <t>'=IF($C$23=$M$25,$M$26,IF($C$23=$N$25,$N$26,"Please Select"))</t>
  </si>
  <si>
    <t>'=SUM('Location Based Approach'!J17:J20)/1000</t>
  </si>
  <si>
    <t>'=IF($C$23=$M$25,$M$27,IF($C$23=$N$25,$N$27,"Please Select"))</t>
  </si>
  <si>
    <t>=IF($C$23=$L$25,"Please select the method used to calculate the electricity emissins",SUM(C26:C29))</t>
  </si>
  <si>
    <t>L25</t>
  </si>
  <si>
    <t xml:space="preserve">Please Select </t>
  </si>
  <si>
    <t>L26</t>
  </si>
  <si>
    <t>M25</t>
  </si>
  <si>
    <t>M26</t>
  </si>
  <si>
    <t>'=SUM('Location Based Approach'!I7:I10,'Location Based Approach'!I12:I13)/1000</t>
  </si>
  <si>
    <t>'=SUM('Location Based Approach'!J7:J10,'Location Based Approach'!J12:J13)/1000</t>
  </si>
  <si>
    <t>N25</t>
  </si>
  <si>
    <t>Market Based Method</t>
  </si>
  <si>
    <t>N26</t>
  </si>
  <si>
    <t>'=SUM('Market Based Approach'!I13,'Market Based Approach'!I15:I18)/1000</t>
  </si>
  <si>
    <t>N27</t>
  </si>
  <si>
    <t>'=SUM('Market Based Approach'!J13,'Market Based Approach'!J15:J18)/1000</t>
  </si>
  <si>
    <t>A112</t>
  </si>
  <si>
    <t>Year</t>
  </si>
  <si>
    <t xml:space="preserve">Added a new section to calculate Residual Mix Factor </t>
  </si>
  <si>
    <t>A113</t>
  </si>
  <si>
    <t>RMF - Scope 2 Applicable to the project</t>
  </si>
  <si>
    <t>A114</t>
  </si>
  <si>
    <t>RMF -Scope 3 Applicable to the project</t>
  </si>
  <si>
    <t>A115</t>
  </si>
  <si>
    <t>Renewable Power Percentage</t>
  </si>
  <si>
    <t>'='15B Building Details'!$H$10</t>
  </si>
  <si>
    <t>B113</t>
  </si>
  <si>
    <t>'=VLOOKUP($B$112,$A$120:$F$127,5,FALSE)</t>
  </si>
  <si>
    <t>B114</t>
  </si>
  <si>
    <t>'=VLOOKUP($B$112,$A$120:$F$127,6,FALSE)</t>
  </si>
  <si>
    <t>B115</t>
  </si>
  <si>
    <t>'=VLOOKUP($B$112,$A$120:$B$127,2,FALSE)</t>
  </si>
  <si>
    <t>A117</t>
  </si>
  <si>
    <t>Emission Factors for electricity under the Market Based Approach</t>
  </si>
  <si>
    <t>A118</t>
  </si>
  <si>
    <t>A120</t>
  </si>
  <si>
    <t>A121</t>
  </si>
  <si>
    <t>A122</t>
  </si>
  <si>
    <t>A123</t>
  </si>
  <si>
    <t>A124</t>
  </si>
  <si>
    <t>A125</t>
  </si>
  <si>
    <t>A126</t>
  </si>
  <si>
    <t>A127</t>
  </si>
  <si>
    <t>B118</t>
  </si>
  <si>
    <t>RPP</t>
  </si>
  <si>
    <t>B120</t>
  </si>
  <si>
    <t>B121</t>
  </si>
  <si>
    <t>B122</t>
  </si>
  <si>
    <t>B123</t>
  </si>
  <si>
    <t>B124</t>
  </si>
  <si>
    <t>B125</t>
  </si>
  <si>
    <t>B126</t>
  </si>
  <si>
    <t>B127</t>
  </si>
  <si>
    <t>C118</t>
  </si>
  <si>
    <t>National Emission Factors</t>
  </si>
  <si>
    <t>C119</t>
  </si>
  <si>
    <t>C124</t>
  </si>
  <si>
    <t>C125</t>
  </si>
  <si>
    <t>C126</t>
  </si>
  <si>
    <t>C127</t>
  </si>
  <si>
    <t>D119</t>
  </si>
  <si>
    <t>D120</t>
  </si>
  <si>
    <t>D121</t>
  </si>
  <si>
    <t>D122</t>
  </si>
  <si>
    <t>D123</t>
  </si>
  <si>
    <t>D124</t>
  </si>
  <si>
    <t>D125</t>
  </si>
  <si>
    <t>D126</t>
  </si>
  <si>
    <t>D127</t>
  </si>
  <si>
    <t>E118</t>
  </si>
  <si>
    <t>Residual Mix Factor</t>
  </si>
  <si>
    <t>E119</t>
  </si>
  <si>
    <t>E120</t>
  </si>
  <si>
    <t>=C120/(1-$B120)</t>
  </si>
  <si>
    <t>E121</t>
  </si>
  <si>
    <t>=C121/(1-$B121)</t>
  </si>
  <si>
    <t>E122</t>
  </si>
  <si>
    <t>=C122/(1-$B122)</t>
  </si>
  <si>
    <t>E123</t>
  </si>
  <si>
    <t>=C123/(1-$B123)</t>
  </si>
  <si>
    <t>E124</t>
  </si>
  <si>
    <t>=C124/(1-$B124)</t>
  </si>
  <si>
    <t>E125</t>
  </si>
  <si>
    <t>=C125/(1-$B125)</t>
  </si>
  <si>
    <t>E126</t>
  </si>
  <si>
    <t>=C126/(1-$B126)</t>
  </si>
  <si>
    <t>E127</t>
  </si>
  <si>
    <t>=C127/(1-$B127)</t>
  </si>
  <si>
    <t>F119</t>
  </si>
  <si>
    <t>F120</t>
  </si>
  <si>
    <t>=D120/(1-$B120)</t>
  </si>
  <si>
    <t>F121</t>
  </si>
  <si>
    <t>=D121/(1-$B121)</t>
  </si>
  <si>
    <t>F122</t>
  </si>
  <si>
    <t>=D122/(1-$B122)</t>
  </si>
  <si>
    <t>F123</t>
  </si>
  <si>
    <t>=D123/(1-$B123)</t>
  </si>
  <si>
    <t>F124</t>
  </si>
  <si>
    <t>=D124/(1-$B124)</t>
  </si>
  <si>
    <t>F125</t>
  </si>
  <si>
    <t>=D125/(1-$B125)</t>
  </si>
  <si>
    <t>F126</t>
  </si>
  <si>
    <t>=D126/(1-$B126)</t>
  </si>
  <si>
    <t>F127</t>
  </si>
  <si>
    <t>=D127/(1-$B127)</t>
  </si>
  <si>
    <t>G118</t>
  </si>
  <si>
    <t>G120</t>
  </si>
  <si>
    <t>NGA 2018</t>
  </si>
  <si>
    <t>G121</t>
  </si>
  <si>
    <t>NGA 2019</t>
  </si>
  <si>
    <t>G122</t>
  </si>
  <si>
    <t>NGA 2020</t>
  </si>
  <si>
    <t>G123</t>
  </si>
  <si>
    <t>To be updated, when released</t>
  </si>
  <si>
    <t>G124</t>
  </si>
  <si>
    <t>G125</t>
  </si>
  <si>
    <t>G126</t>
  </si>
  <si>
    <t>G127</t>
  </si>
  <si>
    <t>Updated NGA Emission Factors in line with NGA - August 2021</t>
  </si>
  <si>
    <t>H70</t>
  </si>
  <si>
    <t>H71</t>
  </si>
  <si>
    <t>B96</t>
  </si>
  <si>
    <t>B97</t>
  </si>
  <si>
    <t>B98</t>
  </si>
  <si>
    <t>B100</t>
  </si>
  <si>
    <t>B101</t>
  </si>
  <si>
    <t>B102</t>
  </si>
  <si>
    <t>B103</t>
  </si>
  <si>
    <t>B104</t>
  </si>
  <si>
    <t>B105</t>
  </si>
  <si>
    <t>B106</t>
  </si>
  <si>
    <t>NGA 2021</t>
  </si>
  <si>
    <t>C115</t>
  </si>
  <si>
    <t>2020 Emission Factors</t>
  </si>
  <si>
    <t>NGA Factors - August 2021; Table 2</t>
  </si>
  <si>
    <t>NGA Factors - August 2021; Table 3</t>
  </si>
  <si>
    <t>NGA Factors - August 2021; Table 1</t>
  </si>
  <si>
    <t>NGA Factors - August 2021; Table 42</t>
  </si>
  <si>
    <t>NGA Factors - August 2021; Table 45</t>
  </si>
  <si>
    <t>NGA Factors - August 2021; Table 5</t>
  </si>
  <si>
    <t>G30</t>
  </si>
  <si>
    <t>A34</t>
  </si>
  <si>
    <t>NT</t>
  </si>
  <si>
    <t>WA</t>
  </si>
  <si>
    <t>NGA Factors - August 2021; Table 46</t>
  </si>
  <si>
    <t>L29</t>
  </si>
  <si>
    <t>NGA Factors - August 2021; Table 43</t>
  </si>
  <si>
    <t>C80</t>
  </si>
  <si>
    <t>'=IF($H$10=2020,(VLOOKUP($C$21,'NGER Emission Factors'!D77:J87,7,FALSE)), VLOOKUP($C$21,'NGER Emission Factors'!D27:J37,7,FALSE))</t>
  </si>
  <si>
    <t>'=IF($H$10=2018,(VLOOKUP($C$21,'NGER Emission Factors'!D77:J87,7,FALSE)), VLOOKUP($C$21,'NGER Emission Factors'!D27:J37,7,FALSE))</t>
  </si>
  <si>
    <t>'=IF(C13="NZ", 'NGER Emission Factors'!J16, IF(H10=2020, 'NGER Emission Factors'!J66,'NGER Emission Factors'!J5))</t>
  </si>
  <si>
    <t>'=IF(C13="NZ", 'NGER Emission Factors'!J16, IF(H10=2018, 'NGER Emission Factors'!J66,'NGER Emission Factors'!J5))</t>
  </si>
  <si>
    <t>C147</t>
  </si>
  <si>
    <t>'=IF($C$13="NZ", 'NGER Emission Factors'!J19, IF($H$10=2020, 'NGER Emission Factors'!J69,'NGER Emission Factors'!J8))</t>
  </si>
  <si>
    <t>'=IF($C$13="NZ", 'NGER Emission Factors'!J19, IF($H$10=2018, 'NGER Emission Factors'!J69,'NGER Emission Factors'!J8))</t>
  </si>
  <si>
    <t>'=IF($C$13="NZ", 'NGER Emission Factors'!J17, IF($H$10=2020, 'NGER Emission Factors'!J67,'NGER Emission Factors'!J6))</t>
  </si>
  <si>
    <t>'=IF($C$13="NZ", 'NGER Emission Factors'!J17, IF($H$10=2018, 'NGER Emission Factors'!J67,'NGER Emission Factors'!J6))</t>
  </si>
  <si>
    <t>'=IF($C$13="NZ", 'NGER Emission Factors'!J20, IF($H$10=2020,'NGER Emission Factors'!J70,'NGER Emission Factors'!J9))</t>
  </si>
  <si>
    <t>'=IF($C$13="NZ", 'NGER Emission Factors'!J20, IF($H$10=2018,'NGER Emission Factors'!J70,'NGER Emission Factors'!J9))</t>
  </si>
  <si>
    <t>C214</t>
  </si>
  <si>
    <t>Version 1.2, Release 9</t>
  </si>
  <si>
    <t>=E24</t>
  </si>
  <si>
    <t>=E25</t>
  </si>
  <si>
    <t>Updated reference to incorrect cell</t>
  </si>
  <si>
    <t>Version 1.2, Release 10</t>
  </si>
  <si>
    <t>Market Based Approach</t>
  </si>
  <si>
    <t>'=D10/0.0036</t>
  </si>
  <si>
    <t>'=C122/(1-$B122)</t>
  </si>
  <si>
    <t>Updated with formula instead of value</t>
  </si>
  <si>
    <t>'=D122/(1-$B122)</t>
  </si>
  <si>
    <t>B3:F41</t>
  </si>
  <si>
    <t>Cells delete</t>
  </si>
  <si>
    <t>Removed the previous columns of Scope, NGER number, end use, unit, and energy content factor as they aren't relevant anymore</t>
  </si>
  <si>
    <t>62:110</t>
  </si>
  <si>
    <t>Row delete</t>
  </si>
  <si>
    <t>Deleted the separate section from previous years' emission factors and combined it with this years</t>
  </si>
  <si>
    <t>C3</t>
  </si>
  <si>
    <t>Added in a column for year so that future emission factors are easier to add in</t>
  </si>
  <si>
    <t>Scope 2 EF 
(kg CO2-e/kWH)</t>
  </si>
  <si>
    <t>Updated the layout of the purchased electricity emission factors</t>
  </si>
  <si>
    <t>Scope 2 EF 
(kg CO2-e/GJ)</t>
  </si>
  <si>
    <t>F29</t>
  </si>
  <si>
    <t>Scope 3 EF 
(kg CO2-e/kWH)</t>
  </si>
  <si>
    <t>Scope 3 EF 
(kg CO2-e/GJ)</t>
  </si>
  <si>
    <t>=C103</t>
  </si>
  <si>
    <t>=IF(C27="Electricity",VLOOKUP($C$13,'NGER Emission Factors'!$A$26:$K$40,10,FALSE)/VLOOKUP($C$13,'NGER Emission Factors'!$A$26:$K$41,6,FALSE),IF(C27="GreenPower",VLOOKUP(C27,'NGER Emission Factors'!$A$26:$J$41,10,FALSE)/VLOOKUP(C27,'NGER Emission Factors'!$A$26:$J$41,6,FALSE),VLOOKUP(C27,'NGER Emission Factors'!$A$5:$K$10,10,FALSE)))</t>
  </si>
  <si>
    <t>Updated formula to have a consistent reference as the rest of the table</t>
  </si>
  <si>
    <t>'=INDEX('NGER Emission Factors'!$D$31:$D$51,MATCH(1,($C$21='NGER Emission Factors'!$B$31:$B$51)*($H$10='NGER Emission Factors'!$C$31:$C$51),0),1)</t>
  </si>
  <si>
    <t>'=IF($H$10=2020,(VLOOKUP($C$21,'NGER Emission Factors'!#REF!,7,FALSE)), VLOOKUP($C$21,'NGER Emission Factors'!B41:G50,7,FALSE))</t>
  </si>
  <si>
    <t>Updated formula to refer to the new emission factor table layout</t>
  </si>
  <si>
    <t>C102</t>
  </si>
  <si>
    <t>'=IF(C101="Electricity",VLOOKUP($C$13,'NGER Emission Factors'!$B$41:$G$56,2,FALSE),IF(C101="GreenPower",VLOOKUP(C101,'NGER Emission Factors'!$B$41:$G$57,2,FALSE),VLOOKUP(C101,'NGER Emission Factors'!$B$13:$J$27,2,FALSE)))</t>
  </si>
  <si>
    <t>Updated to constant value to be consistent with other source items</t>
  </si>
  <si>
    <t>C103</t>
  </si>
  <si>
    <t>'=IF(C101="Electricity",VLOOKUP($C$13,'NGER Emission Factors'!$B$41:$G$56,10,FALSE),IF(C101="GreenPower",VLOOKUP(C101,'NGER Emission Factors'!$B$41:$G$57,10,FALSE),VLOOKUP(C101,'NGER Emission Factors'!$B$13:$J$27,10,FALSE)))</t>
  </si>
  <si>
    <t>C104</t>
  </si>
  <si>
    <t>'=IF(C101="Electricity",VLOOKUP($C$13,'NGER Emission Factors'!$B$41:$G$56,5,FALSE),IF(C101="GreenPower",VLOOKUP(C101,'NGER Emission Factors'!$B$41:$G$57,5,FALSE),VLOOKUP(C101,'NGER Emission Factors'!$B$13:$J$27,5,FALSE)))</t>
  </si>
  <si>
    <t>C105</t>
  </si>
  <si>
    <t>'=IF(C101="Electricity",VLOOKUP($C$13,'NGER Emission Factors'!$B$41:$G$56,6,FALSE),IF(C101="GreenPower",VLOOKUP(C101,'NGER Emission Factors'!$B$41:$G$57,6,FALSE),VLOOKUP(C101,'NGER Emission Factors'!$B$13:$J$27,6,FALSE)))</t>
  </si>
  <si>
    <t xml:space="preserve">'=$C$13="NZ" INDEX('NGER Emission Factors'!$G$21:$G$27,MATCH(1,(C123='NGER Emission Factors'!$B$21:$B$27)*($H$10='NGER Emission Factors'!$C$21:$C$27),0),1) 'NGER Emission Factors'!$G$5:$G$17 1 (C123='NGER Emission Factors'!$B$5:$B$17) </t>
  </si>
  <si>
    <t>'=IF(C13="NZ", 'NGER Emission Factors'!G23, IF(H10=2020, 'NGER Emission Factors'!#REF!,'NGER Emission Factors'!G13))</t>
  </si>
  <si>
    <t xml:space="preserve">'=$C$13="NZ" INDEX('NGER Emission Factors'!$G$21:$G$27,MATCH(1,(C145='NGER Emission Factors'!$B$21:$B$27)*($H$10='NGER Emission Factors'!$C$21:$C$27),0),1) 'NGER Emission Factors'!$G$5:$G$17 1 (C145='NGER Emission Factors'!$B$5:$B$17) </t>
  </si>
  <si>
    <t>'=IF($C$13="NZ", 'NGER Emission Factors'!G26, IF($H$10=2020, 'NGER Emission Factors'!#REF!,'NGER Emission Factors'!G16))</t>
  </si>
  <si>
    <t xml:space="preserve">'=$C$13="NZ" INDEX('NGER Emission Factors'!$G$21:$G$27,MATCH(1,(C167='NGER Emission Factors'!$B$21:$B$27)*($H$10='NGER Emission Factors'!$C$21:$C$27),0),1) 'NGER Emission Factors'!$G$5:$G$17 1 (C167='NGER Emission Factors'!$B$5:$B$17) </t>
  </si>
  <si>
    <t>'=IF($C$13="NZ", 'NGER Emission Factors'!G24, IF($H$10=2020, 'NGER Emission Factors'!#REF!,'NGER Emission Factors'!G14))</t>
  </si>
  <si>
    <t xml:space="preserve">'=$C$13="NZ" INDEX('NGER Emission Factors'!$G$21:$G$27,MATCH(1,(C189='NGER Emission Factors'!$B$21:$B$27)*($H$10='NGER Emission Factors'!$C$21:$C$27),0),1) 'NGER Emission Factors'!$G$5:$G$17 1 (C189='NGER Emission Factors'!$B$5:$B$17) </t>
  </si>
  <si>
    <t>'=IF($C$13="NZ", 'NGER Emission Factors'!G21, IF($H$10=2020,'NGER Emission Factors'!#REF!,'NGER Emission Factors'!G11))</t>
  </si>
  <si>
    <t>D89</t>
  </si>
  <si>
    <t>'=IF(B89="Electricity",VLOOKUP($C$13,'NGER Emission Factors'!$B$41:$H$56,10,FALSE)/VLOOKUP($C$13,'NGER Emission Factors'!$B$41:$H$56,6,FALSE),VLOOKUP(B89,'NGER Emission Factors'!$B$13:$H$16,10,FALSE))</t>
  </si>
  <si>
    <t>Updated formula to refer to the already calculated value in Building Details instead of doing it again</t>
  </si>
  <si>
    <t>D90</t>
  </si>
  <si>
    <t>'=IF(B90="Electricity",VLOOKUP($C$13,'NGER Emission Factors'!$B$41:$H$56,10,FALSE)/VLOOKUP($C$13,'NGER Emission Factors'!$B$41:$H$56,6,FALSE),VLOOKUP(B90,'NGER Emission Factors'!$B$13:$H$16,10,FALSE))</t>
  </si>
  <si>
    <t>D91</t>
  </si>
  <si>
    <t>'=IF(B91="Electricity",VLOOKUP($C$13,'NGER Emission Factors'!$B$41:$H$56,10,FALSE)/VLOOKUP($C$13,'NGER Emission Factors'!$B$41:$H$56,6,FALSE),VLOOKUP(B91,'NGER Emission Factors'!$B$13:$H$16,10,FALSE))</t>
  </si>
  <si>
    <t>D92</t>
  </si>
  <si>
    <t>'=IF(B92="Electricity",VLOOKUP($C$13,'NGER Emission Factors'!$B$41:$H$56,10,FALSE)/VLOOKUP($C$13,'NGER Emission Factors'!$B$41:$H$56,6,FALSE),VLOOKUP(B92,'NGER Emission Factors'!$B$13:$H$16,10,FALSE))</t>
  </si>
  <si>
    <t>Location Based Approach</t>
  </si>
  <si>
    <t>=INDEX('NGER Emission Factors'!$G$31:$G$51,MATCH(1,('15B Building Details'!$C$21='NGER Emission Factors'!$B$31:$B$51)*('15B Building Details'!$H$10='NGER Emission Factors'!$C$31:$C$51),0),1)</t>
  </si>
  <si>
    <t>'=IF('15B Building Details'!$H$10=2019,VLOOKUP('15B Building Details'!$C$13,'NGER Emission Factors'!#REF!,12,FALSE),VLOOKUP('15B Building Details'!$C$13,'NGER Emission Factors'!$B$28:$J$57,12,FALSE))</t>
  </si>
  <si>
    <t>'=INDEX('NGER Emission Factors'!$G$31:$G$51,MATCH(1,('15B Building Details'!$C$21='NGER Emission Factors'!$B$31:$B$51)*('15B Building Details'!$H$10='NGER Emission Factors'!$C$31:$C$51),0),1)</t>
  </si>
  <si>
    <t>=INDEX('NGER Emission Factors'!$D$62:$D$94,MATCH(1,('15B Building Details'!$H$10='NGER Emission Factors'!$C$62:$C$94)*('15B Building Details'!$C$13&amp;'15B Building Details'!$C$14='NGER Emission Factors'!$B$62:$B$94),0),1)</t>
  </si>
  <si>
    <t>'=IF('15B Building Details'!$H$10=2019,VLOOKUP(C17,'NGER Emission Factors'!#REF!,12,FALSE),VLOOKUP(C17,'NGER Emission Factors'!$B$13:$J$16,12,FALSE))</t>
  </si>
  <si>
    <t>=INDEX('NGER Emission Factors'!$I$5:$I$17,MATCH(1,('Location Based Approach'!C18='NGER Emission Factors'!$B$5:$B$17)*('15B Building Details'!$H$10='NGER Emission Factors'!$C$5:$C$17),0),1)</t>
  </si>
  <si>
    <t>'=IF('15B Building Details'!$H$10=2019,VLOOKUP(C18,'NGER Emission Factors'!#REF!,12,FALSE),VLOOKUP(C18,'NGER Emission Factors'!$B$13:$J$16,12,FALSE))</t>
  </si>
  <si>
    <t>'=INDEX('NGER Emission Factors'!$I$5:$I$17,MATCH(1,('Location Based Approach'!C19='NGER Emission Factors'!$B$5:$B$17)*('15B Building Details'!$H$10='NGER Emission Factors'!$C$5:$C$17),0),1)</t>
  </si>
  <si>
    <t>'=IF('15B Building Details'!$H$10=2019,VLOOKUP(C19,'NGER Emission Factors'!#REF!,12,FALSE),VLOOKUP(C19,'NGER Emission Factors'!$B$13:$J$16,12,FALSE))</t>
  </si>
  <si>
    <t>'=INDEX('NGER Emission Factors'!$I$5:$I$17,MATCH(1,('Location Based Approach'!C20='NGER Emission Factors'!$B$5:$B$17)*('15B Building Details'!$H$10='NGER Emission Factors'!$C$5:$C$17),0),1)</t>
  </si>
  <si>
    <t>'=IF('15B Building Details'!$H$10=2019,VLOOKUP(C20,'NGER Emission Factors'!#REF!,12,FALSE),VLOOKUP(C20,'NGER Emission Factors'!$B$13:$J$16,12,FALSE))</t>
  </si>
  <si>
    <t>'="Renewable Energy Target = "&amp;ROUND(INDEX('NGER Emission Factors'!$C$98:$C$106,MATCH('15B Building Details'!$H$10,'NGER Emission Factors'!$B$98:$B$106,0),1)*100,2)&amp;"%"</t>
  </si>
  <si>
    <t>'="Renewable Energy Target = "&amp;ROUND('NGER Emission Factors'!#REF!*100,2)&amp;"%"</t>
  </si>
  <si>
    <t>'=D12*INDEX('NGER Emission Factors'!$C$98:$C$106,MATCH('15B Building Details'!$H$10,'NGER Emission Factors'!$B$98:$B$106,0),1)</t>
  </si>
  <si>
    <t>'=D12*'NGER Emission Factors'!#REF!</t>
  </si>
  <si>
    <t>'=INDEX('NGER Emission Factors'!$F$98:$F$106,MATCH('15B Building Details'!$H$10,'NGER Emission Factors'!$B$98:$B$106,0),1)/0.0036</t>
  </si>
  <si>
    <t>'=VLOOKUP('15B Building Details'!$H$10,'NGER Emission Factors'!$B$98:$H$105,5,FALSE)/0.0036</t>
  </si>
  <si>
    <t>'=INDEX('NGER Emission Factors'!$G$98:$G$106,MATCH('15B Building Details'!$H$10,'NGER Emission Factors'!$B$98:$B$106,0),1)/0.0036</t>
  </si>
  <si>
    <t>'='NGER Emission Factors'!#REF!/0.0036</t>
  </si>
  <si>
    <t>'=-INDEX('NGER Emission Factors'!$F$98:$F$106,MATCH('15B Building Details'!$H$10,'NGER Emission Factors'!$B$98:$B$106,0),1)/0.0036</t>
  </si>
  <si>
    <t>'='NGER Emission Factors'!#REF!*(-1)/0.0036</t>
  </si>
  <si>
    <t>'=INDEX('NGER Emission Factors'!$I$5:$I$17,MATCH(1,(C21='NGER Emission Factors'!$B$5:$B$17)*('15B Building Details'!$H$10='NGER Emission Factors'!$C$5:$C$17),0),1)</t>
  </si>
  <si>
    <t>'=IF('15B Building Details'!$H$10=2019,VLOOKUP(C21,'NGER Emission Factors'!#REF!,12,FALSE),VLOOKUP(C21,'NGER Emission Factors'!$B$13:$J$16,12,FALSE))</t>
  </si>
  <si>
    <t>'=INDEX('NGER Emission Factors'!$I$5:$I$17,MATCH(1,(C22='NGER Emission Factors'!$B$5:$B$17)*('15B Building Details'!$H$10='NGER Emission Factors'!$C$5:$C$17),0),1)</t>
  </si>
  <si>
    <t>'=IF('15B Building Details'!$H$10=2019,VLOOKUP(C22,'NGER Emission Factors'!#REF!,12,FALSE),VLOOKUP(C22,'NGER Emission Factors'!$B$13:$J$16,12,FALSE))</t>
  </si>
  <si>
    <t>'=INDEX('NGER Emission Factors'!$I$5:$I$17,MATCH(1,(C23='NGER Emission Factors'!$B$5:$B$17)*('15B Building Details'!$H$10='NGER Emission Factors'!$C$5:$C$17),0),1)</t>
  </si>
  <si>
    <t>'=IF('15B Building Details'!$H$10=2019,VLOOKUP(C23,'NGER Emission Factors'!#REF!,12,FALSE),VLOOKUP(C23,'NGER Emission Factors'!$B$13:$J$16,12,FALSE))</t>
  </si>
  <si>
    <t>=C18</t>
  </si>
  <si>
    <t>Updated to include behind meter (exported) electricity</t>
  </si>
  <si>
    <t>=D18/0.0036</t>
  </si>
  <si>
    <t>=D16/0.0036</t>
  </si>
  <si>
    <t>C35</t>
  </si>
  <si>
    <t>Renewable electricity (%)</t>
  </si>
  <si>
    <t>Added in a percentage of electricity that is renewable</t>
  </si>
  <si>
    <t>D35</t>
  </si>
  <si>
    <t>=SUM(D27,D28,D30,D31,D32,D33)/SUM(D27:D34)</t>
  </si>
  <si>
    <t>K59:AA59</t>
  </si>
  <si>
    <t>=IFNA(IF(INDEX('15B Building Details'!F55:F69,MATCH(K58,'15B Building Details'!$D$55:$D$69,0),1)="","Missing hours of operation",INDEX('15B Building Details'!$F$55:$F$69,MATCH(K58,'15B Building Details'!$D$55:$D$69,0),1)),"-")</t>
  </si>
  <si>
    <t>Updated the baselines for functional uses that were blank (no benchmarks found) to use the value proposed by project for a like for like comparison</t>
  </si>
  <si>
    <t>Version 1.2, Release 11</t>
  </si>
  <si>
    <t>17:23</t>
  </si>
  <si>
    <t>Row insert</t>
  </si>
  <si>
    <t>Copied all the 2021 NGA Factors as a placeholder for the 2022 NGA Factors to be released. Projects with performance periods that carry over into 2022 can use 2021 data as placeholder. This has also been explained in the 'Source'</t>
  </si>
  <si>
    <t>57:66</t>
  </si>
  <si>
    <t>110:125</t>
  </si>
  <si>
    <t>Version 1.2, Release 12</t>
  </si>
  <si>
    <t>=IFNA(IF(INDEX('15B Building Details'!$F$55:$F$69,MATCH(K58,'15B Building Details'!$D$55:$D$69,0),1)="","Missing hours of operation",INDEX('15B Building Details'!$F$55:$F$69,MATCH(K58,'15B Building Details'!$D$55:$D$69,0),1)),"-")</t>
  </si>
  <si>
    <t>Amended the formula with absolute referencing as it was referring to the incorrect cells when copied across the table</t>
  </si>
  <si>
    <t>Version 1.2, Release 13</t>
  </si>
  <si>
    <t>B17:J22, B57:H65, B109:E124</t>
  </si>
  <si>
    <t>Updated all emission factors with values from NGA Factors 2022</t>
  </si>
  <si>
    <t>L17</t>
  </si>
  <si>
    <t>Refer to Australian National Greenhouse Accounts Factors 2022 on the increase in Scope 3 emissions factors. 
"Over the past decade, there has been a shift towards greater consumption of imported petroleum products in Australia, which has influenced the greenhouse gas emissions associated with the production and transport of these fuels. This has prompted a review of the Scope 3 factors for liquid fuels and updated factors in Table 6. Further details of this review are provided in Appendix 3."</t>
  </si>
  <si>
    <t>Added a message regarding the big increase in scope 2 emission factors for liquid fuels</t>
  </si>
  <si>
    <t>Version 1.2, Release 14</t>
  </si>
  <si>
    <t>C125, C147, C169, C191</t>
  </si>
  <si>
    <t>=IF($C$13="NZ",INDEX('NGER Emission Factors'!$G$27:$G$33,MATCH(C123,'NGER Emission Factors'!$B$27:$B$33,0),1),INDEX('NGER Emission Factors'!$G$5:$G$23,MATCH(1,(C123='NGER Emission Factors'!$B$5:$B$23)*($H$10='NGER Emission Factors'!$C$5:$C$23),0),1))</t>
  </si>
  <si>
    <t>=IF($C$13="NZ",INDEX('NGER Emission Factors'!$G$27:$G$33,MATCH(1,(C123='NGER Emission Factors'!$B$27:$B$33)*($H$10='NGER Emission Factors'!$C$27:$C$33),0),1),INDEX('NGER Emission Factors'!$G$5:$G$23,MATCH(1,(C123='NGER Emission Factors'!$B$5:$B$23)*($H$10='NGER Emission Factors'!$C$5:$C$23),0),1))</t>
  </si>
  <si>
    <t>Updated formula to remove the check for year if it's an NZ check (as NZ only has 1 set of data for emission factors from 2016)</t>
  </si>
  <si>
    <t>G17:G20</t>
  </si>
  <si>
    <t>Updated lookup formulas to the updated format of NGER Emission Factors sheet</t>
  </si>
  <si>
    <t>G20:G23</t>
  </si>
  <si>
    <t>Entire sheet</t>
  </si>
  <si>
    <t>Amended the NGER emission factors to be consistent across all calculators - 15B, 15C, 15D</t>
  </si>
  <si>
    <t>Cell Types</t>
  </si>
  <si>
    <t>User input cell.</t>
  </si>
  <si>
    <t xml:space="preserve">Please fill in these cells only (white background). </t>
  </si>
  <si>
    <t>Calculation cell.</t>
  </si>
  <si>
    <t>These cells are used for calculating user input values, please do not attempt to modify these cells (light blue background).</t>
  </si>
  <si>
    <t>Results cell.</t>
  </si>
  <si>
    <t>These cells are used to display the results from all calculations (blue background).</t>
  </si>
  <si>
    <t>Reference cell.</t>
  </si>
  <si>
    <t>These cells are used to display instructions in completing the user input cells and also provide references to the Submission Guidelines e.g. credit benchmarks (light grey background).</t>
  </si>
  <si>
    <t>Portfolio Submissions</t>
  </si>
  <si>
    <t>When a single applicant wishes to rate more than one building the GBCA offers a Portfolio approach to certification. A portfolio approach will reduce time and duplication of effort involved in attaining a Green Star - Performance rating for a number of properties. Where relevant, some credits can be submitted in a portfolio submission for assessment across multiple buildings. The calculators submitted for these credits must be uniquely identified according to the building they are relevant to, by completing the building information details at the top of the calculator worksheet.  
If you are submitting a credit which has a calculator under a portfolio submission, please use the below guidance:
     1. Open the credit's calculator.
     2. Open the relevant calculator worksheet.
     3. At the bottom of the page, right-click on the worksheet tab and select 'Move or Copy'.
     4. Tick the 'Create a copy' check box and then click 'OK'. 
     The calculator worksheet will be copied within the file, enabling information to be submitted for multiple buildings.
     5. Repeat for as many buildings that are being included within the portfolio submission. 
     6. Ensure each worksheet uniquely identifies each building by completing the building information details. 
Your Technical Coordinator will be able to assist with any questions you may have about this process.</t>
  </si>
  <si>
    <t>Support</t>
  </si>
  <si>
    <t xml:space="preserve">Please ensure to reference the Green Star - Performance v1.2 Submission Guidelines for guidance on how to complete the calculators. Submission Templates and Calculators jointly respond to credit requirements as outlined in the submission guidelines. The GBCA advises consulting and using each of these documents and any relevant supporting materials as needed to support an informed and consistent approach to your submission.
For any queries or additional information, please contact your project's GBCA Technical Coordinator. </t>
  </si>
  <si>
    <t>Building Details - Input</t>
  </si>
  <si>
    <t>Building Details</t>
  </si>
  <si>
    <t>Period</t>
  </si>
  <si>
    <t>Performance Period</t>
  </si>
  <si>
    <t>Start date</t>
  </si>
  <si>
    <t>End date</t>
  </si>
  <si>
    <t>Street Address</t>
  </si>
  <si>
    <t>Emission Factors</t>
  </si>
  <si>
    <t>City or Suburb</t>
  </si>
  <si>
    <t>PostCode</t>
  </si>
  <si>
    <t>State / territory</t>
  </si>
  <si>
    <t>Cooling degree days</t>
  </si>
  <si>
    <t>Metro / Non-metro</t>
  </si>
  <si>
    <t>Heating degree days</t>
  </si>
  <si>
    <t>Primary building use</t>
  </si>
  <si>
    <t xml:space="preserve">Building Type selected according to pre-defined list of available building types. </t>
  </si>
  <si>
    <t>Industry</t>
  </si>
  <si>
    <t>Define Primary Use of Building - Require evidence to be submitted along with rating application to prove primary use of building (floor plans, lease documents?)</t>
  </si>
  <si>
    <t>Building description</t>
  </si>
  <si>
    <t>Principal building types are classified according to the commercial activities, which are types of business, commerce, or function carried on within each building</t>
  </si>
  <si>
    <t>Scope of Emissions Captured in this analysis</t>
  </si>
  <si>
    <t>Please define whether emissions for the whole building or just the base building have been captured in this analysis. Note: the scope of emissions selected must be aligned with the benchmark for space use type selected in 15B Baseline Tables</t>
  </si>
  <si>
    <t xml:space="preserve">Electricity Network </t>
  </si>
  <si>
    <t>Total Emissions Summary (Not Normalised For Operational and Situational Factors)</t>
  </si>
  <si>
    <t>Emissions Factor
(kg CO2-e / GJ)</t>
  </si>
  <si>
    <t>Energy consumption
(GJ)</t>
  </si>
  <si>
    <r>
      <t>Total emissions
(</t>
    </r>
    <r>
      <rPr>
        <b/>
        <sz val="10"/>
        <color theme="1"/>
        <rFont val="Arial"/>
        <family val="2"/>
      </rPr>
      <t>kg.CO</t>
    </r>
    <r>
      <rPr>
        <b/>
        <vertAlign val="subscript"/>
        <sz val="10"/>
        <color theme="1"/>
        <rFont val="Arial"/>
        <family val="2"/>
      </rPr>
      <t>2</t>
    </r>
    <r>
      <rPr>
        <b/>
        <sz val="10"/>
        <color theme="1"/>
        <rFont val="Arial"/>
        <family val="2"/>
      </rPr>
      <t>-e p.a.)</t>
    </r>
  </si>
  <si>
    <t>9,10,12</t>
  </si>
  <si>
    <t>TOTAL (excluding on-site renewable electricity generation)</t>
  </si>
  <si>
    <t>LGC's purchased to retrospectively cover the amount of electricity used by the building (GJ)</t>
  </si>
  <si>
    <t>Operational Variables Summary</t>
  </si>
  <si>
    <t>Operating variable</t>
  </si>
  <si>
    <t>Value</t>
  </si>
  <si>
    <t>Adjusted Area</t>
  </si>
  <si>
    <t>Adjusted Hours</t>
  </si>
  <si>
    <t>Operational variables - Input Data</t>
  </si>
  <si>
    <t>Building Details*</t>
  </si>
  <si>
    <t>Description*</t>
  </si>
  <si>
    <t>Functional Use*</t>
  </si>
  <si>
    <r>
      <t>Area (m</t>
    </r>
    <r>
      <rPr>
        <b/>
        <vertAlign val="superscript"/>
        <sz val="10"/>
        <color theme="1"/>
        <rFont val="Arial"/>
        <family val="2"/>
      </rPr>
      <t>2</t>
    </r>
    <r>
      <rPr>
        <b/>
        <sz val="10"/>
        <color theme="1"/>
        <rFont val="Arial"/>
        <family val="2"/>
      </rPr>
      <t>)*</t>
    </r>
  </si>
  <si>
    <t>Hours of operation 
(hours / week)*</t>
  </si>
  <si>
    <t>Adjusted Operational Variable 1</t>
  </si>
  <si>
    <t>Adjusted Operational Variable 2</t>
  </si>
  <si>
    <t>Adjusted Operational Variable 3</t>
  </si>
  <si>
    <t>Duration of operation within performance period (days)*</t>
  </si>
  <si>
    <t>Functional space 1</t>
  </si>
  <si>
    <t>[Select functional use from drop down list]</t>
  </si>
  <si>
    <t>Functional space 2</t>
  </si>
  <si>
    <t>Functional space 3</t>
  </si>
  <si>
    <t>Functional space 4</t>
  </si>
  <si>
    <t>Functional space 5</t>
  </si>
  <si>
    <t>Functional space 6</t>
  </si>
  <si>
    <t>Functional space 7</t>
  </si>
  <si>
    <t>Functional space 8</t>
  </si>
  <si>
    <t>Functional space 9</t>
  </si>
  <si>
    <t>Functional space 10</t>
  </si>
  <si>
    <t>Functional space 11</t>
  </si>
  <si>
    <t>Functional space 12</t>
  </si>
  <si>
    <t>Functional space 13</t>
  </si>
  <si>
    <t>Functional space 14</t>
  </si>
  <si>
    <t>Functional space 15</t>
  </si>
  <si>
    <t>* Columns above listed with an asterisk must be completed for all functional spaces in the building</t>
  </si>
  <si>
    <r>
      <t xml:space="preserve">Adjusted </t>
    </r>
    <r>
      <rPr>
        <b/>
        <sz val="10"/>
        <color theme="1"/>
        <rFont val="Arial"/>
        <family val="2"/>
      </rPr>
      <t>area (m</t>
    </r>
    <r>
      <rPr>
        <b/>
        <vertAlign val="superscript"/>
        <sz val="10"/>
        <color theme="1"/>
        <rFont val="Arial"/>
        <family val="2"/>
      </rPr>
      <t>2</t>
    </r>
    <r>
      <rPr>
        <b/>
        <sz val="10"/>
        <color theme="1"/>
        <rFont val="Arial"/>
        <family val="2"/>
      </rPr>
      <t>)</t>
    </r>
  </si>
  <si>
    <t>Adjusted hours (hours / week)</t>
  </si>
  <si>
    <t>Historical Billing Data - Input Data</t>
  </si>
  <si>
    <t>Source Item 1</t>
  </si>
  <si>
    <t xml:space="preserve"> </t>
  </si>
  <si>
    <t>Source Item 2</t>
  </si>
  <si>
    <r>
      <t xml:space="preserve">Off-site renewables scenario E
</t>
    </r>
    <r>
      <rPr>
        <sz val="10"/>
        <color theme="1"/>
        <rFont val="Arial"/>
        <family val="2"/>
        <scheme val="minor"/>
      </rPr>
      <t>Electricity purchased from retailers  accredited through:
- GreenPower®
- GreenPower Connect®</t>
    </r>
  </si>
  <si>
    <t>GreenPower</t>
  </si>
  <si>
    <t>E.g. GreenPower 10% of electricity supply</t>
  </si>
  <si>
    <t>Source Item 3</t>
  </si>
  <si>
    <t>Natural gas distributed in a pipeline</t>
  </si>
  <si>
    <t>Source Item 4</t>
  </si>
  <si>
    <t>Liquefied Petroleum Gas</t>
  </si>
  <si>
    <t>Source Item 5</t>
  </si>
  <si>
    <t>Diesel Oil</t>
  </si>
  <si>
    <t>Source Item 6</t>
  </si>
  <si>
    <t>Bituminous coal</t>
  </si>
  <si>
    <t>Source Item 7 - Carbon Neutral Certified Electricity</t>
  </si>
  <si>
    <r>
      <t xml:space="preserve">Offsets scenario L
</t>
    </r>
    <r>
      <rPr>
        <sz val="10"/>
        <color theme="1"/>
        <rFont val="Arial"/>
        <family val="2"/>
        <scheme val="minor"/>
      </rPr>
      <t>Electricity is purchased and:
- The retail electricity product is certified as carbon neutral against the Australian Government’s Climate Active Carbon Neutral Standard for Products and services</t>
    </r>
  </si>
  <si>
    <t>Carbon Neutral Certified electricity</t>
  </si>
  <si>
    <t>Source Item 8</t>
  </si>
  <si>
    <r>
      <t xml:space="preserve">Off-site renewables scenario F
</t>
    </r>
    <r>
      <rPr>
        <sz val="10"/>
        <color theme="1"/>
        <rFont val="Arial"/>
        <family val="2"/>
        <scheme val="minor"/>
      </rPr>
      <t>Electricity purchased directly from a  generator / retailer through a PPA or contract where:
- LGCs are provided to  user
- LGCs are retired by the user</t>
    </r>
    <r>
      <rPr>
        <b/>
        <sz val="10"/>
        <color theme="1"/>
        <rFont val="Arial"/>
        <family val="2"/>
        <scheme val="minor"/>
      </rPr>
      <t xml:space="preserve">
</t>
    </r>
    <r>
      <rPr>
        <sz val="10"/>
        <color theme="1"/>
        <rFont val="Arial"/>
        <family val="2"/>
        <scheme val="minor"/>
      </rPr>
      <t xml:space="preserve">
The GBCA notes that renewable electricity purchased directly from a generator/retailer through a PPA or contract must also provide evidence that the LGC's are provided to the user AND surrendered by the user.
Where LGC's are surrendered by the renewable energy provider, evidence must be provided that the surrender is allocated uniquely to  the user.  </t>
    </r>
  </si>
  <si>
    <t>Renewable electricity (PPA)</t>
  </si>
  <si>
    <t>Emission Factor</t>
  </si>
  <si>
    <t>Produced Amount (kWh)</t>
  </si>
  <si>
    <t>On-site renewables scenario A
Electricity from on site systems where:
- STCs are generated
- Certificates are sold</t>
  </si>
  <si>
    <r>
      <t xml:space="preserve">On-site renewables scenario A
</t>
    </r>
    <r>
      <rPr>
        <sz val="10"/>
        <color theme="1"/>
        <rFont val="Arial"/>
        <family val="2"/>
        <scheme val="minor"/>
      </rPr>
      <t>Electricity from on site systems where:
- STCs are generated
- Certificates are sold</t>
    </r>
    <r>
      <rPr>
        <b/>
        <sz val="10"/>
        <color theme="1"/>
        <rFont val="Arial"/>
        <family val="2"/>
        <scheme val="minor"/>
      </rPr>
      <t xml:space="preserve">
</t>
    </r>
  </si>
  <si>
    <t>On-site renewables scenario B
Electricity from on-site systems where:
- LGCs are generated
- Certificates are retired
or
- No LGCs are generated</t>
  </si>
  <si>
    <t>On-site renewable generated &amp; used</t>
  </si>
  <si>
    <r>
      <t xml:space="preserve">On-site renewables scenario B
</t>
    </r>
    <r>
      <rPr>
        <sz val="10"/>
        <color theme="1"/>
        <rFont val="Arial"/>
        <family val="2"/>
        <scheme val="minor"/>
      </rPr>
      <t xml:space="preserve">Electricity from on-site systems where:
- LGCs are generated &amp;
- Certificates are retired
</t>
    </r>
  </si>
  <si>
    <r>
      <rPr>
        <b/>
        <sz val="10"/>
        <color theme="1"/>
        <rFont val="Arial"/>
        <family val="2"/>
        <scheme val="minor"/>
      </rPr>
      <t xml:space="preserve">On-site renewables scenario B
</t>
    </r>
    <r>
      <rPr>
        <sz val="10"/>
        <color theme="1"/>
        <rFont val="Arial"/>
        <family val="2"/>
        <scheme val="minor"/>
      </rPr>
      <t xml:space="preserve">Electricity is </t>
    </r>
    <r>
      <rPr>
        <b/>
        <sz val="10"/>
        <color theme="1"/>
        <rFont val="Arial"/>
        <family val="2"/>
        <scheme val="minor"/>
      </rPr>
      <t xml:space="preserve">exported </t>
    </r>
    <r>
      <rPr>
        <sz val="10"/>
        <color theme="1"/>
        <rFont val="Arial"/>
        <family val="2"/>
        <scheme val="minor"/>
      </rPr>
      <t xml:space="preserve">from on-site systems:
- LGCs are generated &amp;
- Certificates are retired
</t>
    </r>
  </si>
  <si>
    <t>On-site renewable generated &amp; exported</t>
  </si>
  <si>
    <r>
      <t xml:space="preserve">On-site renewables scenario C
</t>
    </r>
    <r>
      <rPr>
        <sz val="10"/>
        <color theme="1"/>
        <rFont val="Arial"/>
        <family val="2"/>
        <scheme val="minor"/>
      </rPr>
      <t>Electricity from on-site systems where:
- LGCs are generated and
- Certificates are sold</t>
    </r>
  </si>
  <si>
    <t>`</t>
  </si>
  <si>
    <t>Source Item 13</t>
  </si>
  <si>
    <t>Other</t>
  </si>
  <si>
    <r>
      <rPr>
        <b/>
        <sz val="10"/>
        <color theme="1"/>
        <rFont val="Arial"/>
        <family val="2"/>
        <scheme val="minor"/>
      </rPr>
      <t>Off-site renewables scenario I</t>
    </r>
    <r>
      <rPr>
        <sz val="10"/>
        <color theme="1"/>
        <rFont val="Arial"/>
        <family val="2"/>
        <scheme val="minor"/>
      </rPr>
      <t xml:space="preserve">
Electricity is purchased and:
- An equivalent amount of Australian RECs (LGCs) are purchased to retrospectively cover the amount of electricity used by the building
- These certificates are retired are retired by the  asset owner</t>
    </r>
  </si>
  <si>
    <t>15B COMMERCIAL BUILDINGS BASELINE STUDY CALCULATIONS</t>
  </si>
  <si>
    <t>Step 1 - Summarise Building Source Data</t>
  </si>
  <si>
    <t>Rated Building Details</t>
  </si>
  <si>
    <t>Input</t>
  </si>
  <si>
    <t>Building Name</t>
  </si>
  <si>
    <t>Postcode</t>
  </si>
  <si>
    <t>Performance Period Energy Use and Emissions - Rated Building</t>
  </si>
  <si>
    <r>
      <t>Emissions Factor (kg CO</t>
    </r>
    <r>
      <rPr>
        <b/>
        <vertAlign val="subscript"/>
        <sz val="10"/>
        <color theme="8"/>
        <rFont val="Arial"/>
        <family val="2"/>
      </rPr>
      <t>2</t>
    </r>
    <r>
      <rPr>
        <b/>
        <sz val="10"/>
        <color theme="8"/>
        <rFont val="Arial"/>
        <family val="2"/>
      </rPr>
      <t>-e / GJ)</t>
    </r>
  </si>
  <si>
    <r>
      <t>Greenhouse Gas Emissions with GreenPower, Purchased Renewable electricity, Carbon Neutral Electricity (kg.CO</t>
    </r>
    <r>
      <rPr>
        <b/>
        <vertAlign val="subscript"/>
        <sz val="10"/>
        <color theme="8"/>
        <rFont val="Arial"/>
        <family val="2"/>
      </rPr>
      <t>2</t>
    </r>
    <r>
      <rPr>
        <b/>
        <sz val="10"/>
        <color theme="8"/>
        <rFont val="Arial"/>
        <family val="2"/>
      </rPr>
      <t>-e p.a.)</t>
    </r>
  </si>
  <si>
    <r>
      <t>Greenhouse Gas Emissions without GreenPower, Purchased Renewable electricity, Carbon Neutral Electricity (kg.CO</t>
    </r>
    <r>
      <rPr>
        <b/>
        <vertAlign val="subscript"/>
        <sz val="10"/>
        <color theme="8"/>
        <rFont val="Arial"/>
        <family val="2"/>
      </rPr>
      <t>2</t>
    </r>
    <r>
      <rPr>
        <b/>
        <sz val="10"/>
        <color theme="8"/>
        <rFont val="Arial"/>
        <family val="2"/>
      </rPr>
      <t>-e p.a.)</t>
    </r>
  </si>
  <si>
    <t>TOTAL Energy Consumed by the Building</t>
  </si>
  <si>
    <t>TOTAL INTENSITY (Unit/m2)</t>
  </si>
  <si>
    <t>Step 2 - Obtain energy intensity for functional spaces from reference tables</t>
  </si>
  <si>
    <t xml:space="preserve">Note: These inputs are drawn from the 'Building Details' tab. </t>
  </si>
  <si>
    <t>Break up by average fuel mix</t>
  </si>
  <si>
    <t>Operating Variables</t>
  </si>
  <si>
    <t>Description</t>
  </si>
  <si>
    <t>Functional Use</t>
  </si>
  <si>
    <r>
      <t>Functional Space A</t>
    </r>
    <r>
      <rPr>
        <b/>
        <sz val="10"/>
        <color theme="8"/>
        <rFont val="Arial"/>
        <family val="2"/>
      </rPr>
      <t>rea (m</t>
    </r>
    <r>
      <rPr>
        <b/>
        <vertAlign val="superscript"/>
        <sz val="10"/>
        <color theme="8"/>
        <rFont val="Arial"/>
        <family val="2"/>
      </rPr>
      <t>2</t>
    </r>
    <r>
      <rPr>
        <b/>
        <sz val="10"/>
        <color theme="8"/>
        <rFont val="Arial"/>
        <family val="2"/>
      </rPr>
      <t>)</t>
    </r>
  </si>
  <si>
    <t>Percent of Total Floor Area (%)</t>
  </si>
  <si>
    <t>Matched Baseline</t>
  </si>
  <si>
    <r>
      <t>Functional Space Energy Intensity</t>
    </r>
    <r>
      <rPr>
        <b/>
        <sz val="10"/>
        <color theme="8"/>
        <rFont val="Arial"/>
        <family val="2"/>
      </rPr>
      <t xml:space="preserve"> (MJ/m</t>
    </r>
    <r>
      <rPr>
        <b/>
        <vertAlign val="superscript"/>
        <sz val="10"/>
        <color theme="8"/>
        <rFont val="Arial"/>
        <family val="2"/>
      </rPr>
      <t>2</t>
    </r>
    <r>
      <rPr>
        <b/>
        <sz val="10"/>
        <color theme="8"/>
        <rFont val="Arial"/>
        <family val="2"/>
      </rPr>
      <t>)</t>
    </r>
  </si>
  <si>
    <t>Natural Gas</t>
  </si>
  <si>
    <t>LPG</t>
  </si>
  <si>
    <t>Cooling Degree Days</t>
  </si>
  <si>
    <t>Heating Degree Days</t>
  </si>
  <si>
    <r>
      <t>Total A</t>
    </r>
    <r>
      <rPr>
        <b/>
        <sz val="10"/>
        <color theme="8"/>
        <rFont val="Arial"/>
        <family val="2"/>
      </rPr>
      <t>rea (m</t>
    </r>
    <r>
      <rPr>
        <b/>
        <vertAlign val="superscript"/>
        <sz val="10"/>
        <color theme="8"/>
        <rFont val="Arial"/>
        <family val="2"/>
      </rPr>
      <t>2</t>
    </r>
    <r>
      <rPr>
        <b/>
        <sz val="10"/>
        <color theme="8"/>
        <rFont val="Arial"/>
        <family val="2"/>
      </rPr>
      <t>)</t>
    </r>
  </si>
  <si>
    <t>Total Percent of Total Floor Area (%)</t>
  </si>
  <si>
    <r>
      <t>Pro-rated Energy Intensity</t>
    </r>
    <r>
      <rPr>
        <b/>
        <sz val="10"/>
        <color theme="8"/>
        <rFont val="Arial"/>
        <family val="2"/>
      </rPr>
      <t xml:space="preserve"> (MJ/m</t>
    </r>
    <r>
      <rPr>
        <b/>
        <vertAlign val="superscript"/>
        <sz val="10"/>
        <color theme="8"/>
        <rFont val="Arial"/>
        <family val="2"/>
      </rPr>
      <t>2</t>
    </r>
    <r>
      <rPr>
        <b/>
        <sz val="10"/>
        <color theme="8"/>
        <rFont val="Arial"/>
        <family val="2"/>
      </rPr>
      <t>)</t>
    </r>
  </si>
  <si>
    <t>Pro-rated electricity % of Total Energy</t>
  </si>
  <si>
    <t>Pro-rated Natural Gas % of Total Energy</t>
  </si>
  <si>
    <t>Pro-rated LPG % of Total Energy</t>
  </si>
  <si>
    <t>Pro-rated Diesel Oil % of Total Energy</t>
  </si>
  <si>
    <t>Weighted CDD</t>
  </si>
  <si>
    <t>Weighted HDD</t>
  </si>
  <si>
    <t>Weighted hours per week</t>
  </si>
  <si>
    <t>Cross check totals</t>
  </si>
  <si>
    <t>Step 3 - Obtain end use break up for each energy source and complete qualitative relationship matrix</t>
  </si>
  <si>
    <t>Hours of operation</t>
  </si>
  <si>
    <t>Rated Building</t>
  </si>
  <si>
    <t>Normalised Building</t>
  </si>
  <si>
    <t>End Use</t>
  </si>
  <si>
    <t>Percent of Total Energy Use</t>
  </si>
  <si>
    <t>Baseline Energy Intensity</t>
  </si>
  <si>
    <t>Operational Variables</t>
  </si>
  <si>
    <t>End Use Adjustment Factors</t>
  </si>
  <si>
    <t>Normalised Energy Intensity</t>
  </si>
  <si>
    <t>Hours of operation (hours / week)</t>
  </si>
  <si>
    <t>EUAF (CDD)</t>
  </si>
  <si>
    <t>EUAF (HDD)</t>
  </si>
  <si>
    <t>Total</t>
  </si>
  <si>
    <t>Lighting</t>
  </si>
  <si>
    <t>Heating</t>
  </si>
  <si>
    <t>Domestic Hot Water</t>
  </si>
  <si>
    <t>Other Electrical Processes</t>
  </si>
  <si>
    <t>Ventilation</t>
  </si>
  <si>
    <t>Space Heating</t>
  </si>
  <si>
    <t>Pool Heating</t>
  </si>
  <si>
    <t>Other Gas Use</t>
  </si>
  <si>
    <t>Step 4 - Determine Normalised Emissions Baseline</t>
  </si>
  <si>
    <t>Apply greenhouse gas emissions factors to baseline area-weighted energy intensity to determine emissions intensity</t>
  </si>
  <si>
    <t>Energy source</t>
  </si>
  <si>
    <r>
      <t>Average Energy Intensity (MJ/m</t>
    </r>
    <r>
      <rPr>
        <b/>
        <vertAlign val="superscript"/>
        <sz val="10"/>
        <color theme="8"/>
        <rFont val="Arial"/>
        <family val="2"/>
      </rPr>
      <t xml:space="preserve">2 </t>
    </r>
    <r>
      <rPr>
        <b/>
        <sz val="10"/>
        <color theme="8"/>
        <rFont val="Arial"/>
        <family val="2"/>
      </rPr>
      <t>p.a)</t>
    </r>
  </si>
  <si>
    <r>
      <t>Emissions Intensity (kg.CO</t>
    </r>
    <r>
      <rPr>
        <b/>
        <vertAlign val="subscript"/>
        <sz val="10"/>
        <color theme="8"/>
        <rFont val="Arial"/>
        <family val="2"/>
      </rPr>
      <t>2</t>
    </r>
    <r>
      <rPr>
        <b/>
        <sz val="10"/>
        <color theme="8"/>
        <rFont val="Arial"/>
        <family val="2"/>
      </rPr>
      <t>-e/m</t>
    </r>
    <r>
      <rPr>
        <b/>
        <vertAlign val="superscript"/>
        <sz val="10"/>
        <color theme="8"/>
        <rFont val="Arial"/>
        <family val="2"/>
      </rPr>
      <t>2</t>
    </r>
    <r>
      <rPr>
        <b/>
        <sz val="10"/>
        <color theme="8"/>
        <rFont val="Arial"/>
        <family val="2"/>
      </rPr>
      <t xml:space="preserve"> p.a.)</t>
    </r>
  </si>
  <si>
    <t>Step 5 - Compare performance against baseline and determine Credit Points</t>
  </si>
  <si>
    <t>Baseline Period</t>
  </si>
  <si>
    <r>
      <t>Baseline Emissions Intensity (kG CO</t>
    </r>
    <r>
      <rPr>
        <b/>
        <vertAlign val="subscript"/>
        <sz val="10"/>
        <color theme="8"/>
        <rFont val="Arial"/>
        <family val="2"/>
      </rPr>
      <t>2</t>
    </r>
    <r>
      <rPr>
        <b/>
        <sz val="10"/>
        <color theme="8"/>
        <rFont val="Arial"/>
        <family val="2"/>
      </rPr>
      <t>-e/m</t>
    </r>
    <r>
      <rPr>
        <b/>
        <vertAlign val="superscript"/>
        <sz val="10"/>
        <color theme="8"/>
        <rFont val="Arial"/>
        <family val="2"/>
      </rPr>
      <t>2</t>
    </r>
    <r>
      <rPr>
        <b/>
        <sz val="10"/>
        <color theme="8"/>
        <rFont val="Arial"/>
        <family val="2"/>
      </rPr>
      <t>)</t>
    </r>
  </si>
  <si>
    <t>Average performer</t>
  </si>
  <si>
    <t>Increment</t>
  </si>
  <si>
    <t>Minimum performer</t>
  </si>
  <si>
    <t>Building to be rated</t>
  </si>
  <si>
    <t>Improvement over Minimum Performer</t>
  </si>
  <si>
    <t>Improvement over Average Performer</t>
  </si>
  <si>
    <t>Requirement for Best Practice Rating Achieved?</t>
  </si>
  <si>
    <t>Points Awarded Building GHG Emissions</t>
  </si>
  <si>
    <t>Step 6 - Tenant Engagement - Input Data (where scope of emissions for the building is Base Building only)</t>
  </si>
  <si>
    <t>Tenant 1</t>
  </si>
  <si>
    <t>Tenant Enagement Pathway</t>
  </si>
  <si>
    <t>Please contact your Technical Coordinator if more cells area required.</t>
  </si>
  <si>
    <t>Tenant name and location</t>
  </si>
  <si>
    <t>Area (m2)</t>
  </si>
  <si>
    <t>Space use or type</t>
  </si>
  <si>
    <t>Hours of Operation</t>
  </si>
  <si>
    <t>Tenant 2</t>
  </si>
  <si>
    <t>Tenant 3</t>
  </si>
  <si>
    <t>Tenant 4</t>
  </si>
  <si>
    <t>Tenant 5</t>
  </si>
  <si>
    <r>
      <t>Total engaged tenanted area  (m</t>
    </r>
    <r>
      <rPr>
        <vertAlign val="superscript"/>
        <sz val="10"/>
        <color theme="1"/>
        <rFont val="Arial"/>
        <family val="2"/>
      </rPr>
      <t>2</t>
    </r>
    <r>
      <rPr>
        <sz val="10"/>
        <color theme="1"/>
        <rFont val="Arial"/>
        <family val="2"/>
      </rPr>
      <t>)</t>
    </r>
  </si>
  <si>
    <t>Percentage of Engaged Tenant Area (%)</t>
  </si>
  <si>
    <t>Points Allocation</t>
  </si>
  <si>
    <t>Points</t>
  </si>
  <si>
    <t>Tenant Engagement Points Awarded</t>
  </si>
  <si>
    <t>Total Greenhouse Gas Emissions Points Awarded</t>
  </si>
  <si>
    <t>Decision box</t>
  </si>
  <si>
    <t>True?</t>
  </si>
  <si>
    <t>% FF</t>
  </si>
  <si>
    <t>F118</t>
  </si>
  <si>
    <t>Total electricity consumption (including on-site and off-site electricity consumed) (GJ)</t>
  </si>
  <si>
    <t>%FF=0</t>
  </si>
  <si>
    <t>Fossil fuel use (GJ)</t>
  </si>
  <si>
    <t>0&lt;%FF&lt;=1</t>
  </si>
  <si>
    <t>Are there commercial alternatives to fossil fuel use on site?</t>
  </si>
  <si>
    <t>Yes OR ""</t>
  </si>
  <si>
    <t>No</t>
  </si>
  <si>
    <t>Have offsets equal to these emissions been purchased &amp; retired?</t>
  </si>
  <si>
    <t>1&lt;%FF&lt;=5</t>
  </si>
  <si>
    <t>Has a public commitment to transition been made?</t>
  </si>
  <si>
    <t>Yes</t>
  </si>
  <si>
    <t>On-site renewable electricity used (GJ)</t>
  </si>
  <si>
    <t>No OR ""</t>
  </si>
  <si>
    <t>Fossil fuels used on site (%)</t>
  </si>
  <si>
    <t>%FF&gt;5</t>
  </si>
  <si>
    <t>Has the Building manager publicly committed to maintaining a Green Star – Performance rating for two certification cycles or 6 years from initial certification</t>
  </si>
  <si>
    <t>Calculations for Energy effeciency points through on-site solutions</t>
  </si>
  <si>
    <t>Energy Efficiency requirement achieved?</t>
  </si>
  <si>
    <t>Fuel Switching requirement achieved?</t>
  </si>
  <si>
    <t>100% Renewable electricity requirement</t>
  </si>
  <si>
    <t>Powered By Renewables Points Awarded</t>
  </si>
  <si>
    <t>Refer to Appendix C of the 'Climate Positive Buildings and Our New Zero Ambitions - Guidance for Green Star on the use of offsets and renewables' document</t>
  </si>
  <si>
    <t>On-site renewables Innovation Points awarded</t>
  </si>
  <si>
    <t>On-site renewable energy used (%)</t>
  </si>
  <si>
    <t>Points available</t>
  </si>
  <si>
    <t>≥ 15%</t>
  </si>
  <si>
    <t>1 point</t>
  </si>
  <si>
    <t>&gt; 30%</t>
  </si>
  <si>
    <t>2 points</t>
  </si>
  <si>
    <r>
      <t>Average Energy Intensity (MJ/m</t>
    </r>
    <r>
      <rPr>
        <b/>
        <vertAlign val="superscript"/>
        <sz val="12"/>
        <color theme="0"/>
        <rFont val="Arial"/>
        <family val="2"/>
      </rPr>
      <t>2</t>
    </r>
    <r>
      <rPr>
        <b/>
        <sz val="12"/>
        <color theme="0"/>
        <rFont val="Arial"/>
        <family val="2"/>
      </rPr>
      <t xml:space="preserve"> p.a.) by Space Use Type</t>
    </r>
  </si>
  <si>
    <t>To use below figures contact GBCA</t>
  </si>
  <si>
    <t>Look Up</t>
  </si>
  <si>
    <t>Region</t>
  </si>
  <si>
    <t>Privately Owned Standalone Office Base Building</t>
  </si>
  <si>
    <t>Privately Owned Standalone Office Whole Building</t>
  </si>
  <si>
    <t>Government Owned Standalone Office Tenancy</t>
  </si>
  <si>
    <t>Government Owned Standalone Office Whole Building</t>
  </si>
  <si>
    <t>Hotel</t>
  </si>
  <si>
    <t>Retail Tenancy (other than supermarket)</t>
  </si>
  <si>
    <t>Retail Shopping Centres Base Building (other than Supermarket)</t>
  </si>
  <si>
    <t>Retail Shopping Centres Whole Building ( sum of base buildings + retail tenancies, other than Supermarkets)</t>
  </si>
  <si>
    <t>Supermarket within Shopping Centre</t>
  </si>
  <si>
    <t>Supermarket Standalone</t>
  </si>
  <si>
    <t>Public Hospital</t>
  </si>
  <si>
    <t>Private Hospital</t>
  </si>
  <si>
    <t>Public School</t>
  </si>
  <si>
    <t>Independent or Catholic School</t>
  </si>
  <si>
    <t>Tertiary Education VET Building</t>
  </si>
  <si>
    <t>Tertiary Education University Building</t>
  </si>
  <si>
    <t>Public Building</t>
  </si>
  <si>
    <t>Law Court</t>
  </si>
  <si>
    <t>Distribution Centre*</t>
  </si>
  <si>
    <t>Non-refrigerated Warehouse*</t>
  </si>
  <si>
    <t>Refrigerated Warehouse*</t>
  </si>
  <si>
    <t>Standalone Retail Whole Building - NZ</t>
  </si>
  <si>
    <r>
      <t xml:space="preserve">Public Hospital
</t>
    </r>
    <r>
      <rPr>
        <b/>
        <u/>
        <sz val="10"/>
        <color theme="8"/>
        <rFont val="Arial"/>
        <family val="2"/>
        <scheme val="minor"/>
      </rPr>
      <t>(GJ / Bed p.a)</t>
    </r>
  </si>
  <si>
    <r>
      <t xml:space="preserve">Private Hospital
</t>
    </r>
    <r>
      <rPr>
        <b/>
        <u/>
        <sz val="10"/>
        <color theme="8"/>
        <rFont val="Arial"/>
        <family val="2"/>
        <scheme val="minor"/>
      </rPr>
      <t>(GJ / Bed p.a)</t>
    </r>
  </si>
  <si>
    <t>ACT</t>
  </si>
  <si>
    <t>Capital City</t>
  </si>
  <si>
    <t>Regional Area</t>
  </si>
  <si>
    <t>NSW</t>
  </si>
  <si>
    <t>QLD</t>
  </si>
  <si>
    <t>SA</t>
  </si>
  <si>
    <t>TAS</t>
  </si>
  <si>
    <t>VIC</t>
  </si>
  <si>
    <t>AUST</t>
  </si>
  <si>
    <t>NZ</t>
  </si>
  <si>
    <t>NZ-All</t>
  </si>
  <si>
    <t>NZ-Auckland-Metro</t>
  </si>
  <si>
    <t>NZ-Auckland</t>
  </si>
  <si>
    <t>NZ-Auckland-Non-Metro</t>
  </si>
  <si>
    <t>Fuel mix (%) by Functional Space Use</t>
  </si>
  <si>
    <t>Australia</t>
  </si>
  <si>
    <t>Non-Refrigerated Warehouse*</t>
  </si>
  <si>
    <t>Standalone Retail Whole Building</t>
  </si>
  <si>
    <t>New Zealand</t>
  </si>
  <si>
    <r>
      <rPr>
        <b/>
        <sz val="10"/>
        <color theme="1"/>
        <rFont val="Arial"/>
        <family val="2"/>
        <scheme val="minor"/>
      </rPr>
      <t>Source</t>
    </r>
    <r>
      <rPr>
        <sz val="10"/>
        <color theme="1"/>
        <rFont val="Arial"/>
        <family val="2"/>
        <scheme val="minor"/>
      </rPr>
      <t>: Baseline Energy Consumption and Greenhouse Gas Emissions In Commercial Buildings in Australia, COAG, National Strategy on Energy Efficiency, November 2012</t>
    </r>
  </si>
  <si>
    <r>
      <rPr>
        <b/>
        <sz val="10"/>
        <color theme="1"/>
        <rFont val="Arial"/>
        <family val="2"/>
        <scheme val="minor"/>
      </rPr>
      <t>*Source</t>
    </r>
    <r>
      <rPr>
        <sz val="10"/>
        <color theme="1"/>
        <rFont val="Arial"/>
        <family val="2"/>
        <scheme val="minor"/>
      </rPr>
      <t>: Based on research dataset of Australian industrial buildings, collated and normalised by consulting group.</t>
    </r>
  </si>
  <si>
    <t>Operational factors by Functional Space type</t>
  </si>
  <si>
    <t>Hours operation (hours per week)</t>
  </si>
  <si>
    <t>Bed Density (m2/bed)</t>
  </si>
  <si>
    <t>Student Density (m2/Full time student)</t>
  </si>
  <si>
    <t>~8-16m2/Student</t>
  </si>
  <si>
    <t>~14-15m2/Student</t>
  </si>
  <si>
    <t>Reference from COAG report</t>
  </si>
  <si>
    <t>Hours, Report Part 2 p61, Appendix E;</t>
  </si>
  <si>
    <t>Hours, p18 &amp; p64;</t>
  </si>
  <si>
    <t>Hours, p65;</t>
  </si>
  <si>
    <t>Bed density, p72</t>
  </si>
  <si>
    <t xml:space="preserve">Bed density, p72 ~ values quoted in report were 100 - 120 m2/bed for Private Acute care hospitals. </t>
  </si>
  <si>
    <t>Student Density, p79.</t>
  </si>
  <si>
    <t>Student Density, p89.</t>
  </si>
  <si>
    <t>Reference from BEES database</t>
  </si>
  <si>
    <r>
      <rPr>
        <b/>
        <sz val="10"/>
        <color theme="1"/>
        <rFont val="Arial"/>
        <family val="2"/>
        <scheme val="minor"/>
      </rPr>
      <t>* Note</t>
    </r>
    <r>
      <rPr>
        <sz val="10"/>
        <color theme="1"/>
        <rFont val="Arial"/>
        <family val="2"/>
        <scheme val="minor"/>
      </rPr>
      <t xml:space="preserve">: The COAG Baseline Energy Consumption and Greenhouse Gas Emissions In Commercial Buildings Report does not include reference hours of operation information for all building types. Where average weekly operating hours are noted, annual energy intensity (MJ/m2.p.a) is normalised to this figure. Where not noted, no operational hour normalisation has occurred. As such where an average 'operating hours per week' figure is listed project teams may normalise against this when targeting points in Option 1(a). Where no 'average operating hours per week' are noted project teams must compare their energy use against the energy intensity benchmark listed without any additional normalisation for hours of operation when targeting points using Option 1(a). 
</t>
    </r>
    <r>
      <rPr>
        <b/>
        <sz val="10"/>
        <color theme="1"/>
        <rFont val="Arial"/>
        <family val="2"/>
        <scheme val="minor"/>
      </rPr>
      <t>** Note 2:</t>
    </r>
    <r>
      <rPr>
        <sz val="10"/>
        <color theme="1"/>
        <rFont val="Arial"/>
        <family val="2"/>
        <scheme val="minor"/>
      </rPr>
      <t xml:space="preserve"> Additional operating variable information has been included for bed density and student density. If project teams wish to normalise against these variables (where relevant), please contact the GBCA. </t>
    </r>
  </si>
  <si>
    <t/>
  </si>
  <si>
    <t>Available Functional Space Uses</t>
  </si>
  <si>
    <t>Custom</t>
  </si>
  <si>
    <t>----------------------------------------------------------------------------------------------</t>
  </si>
  <si>
    <t>LGC's are generated and certificates are sold</t>
  </si>
  <si>
    <t>LGC's are provided to user and sold by user</t>
  </si>
  <si>
    <t>Emissions 
(t CO2e)</t>
  </si>
  <si>
    <t xml:space="preserve">Net Electricity Emissions </t>
  </si>
  <si>
    <t>Emission Factors  (kg CO2e/unit)</t>
  </si>
  <si>
    <t>Remaing Electricity</t>
  </si>
  <si>
    <t>Fuel combustion &amp; consumption</t>
  </si>
  <si>
    <t>Fuel combusted</t>
  </si>
  <si>
    <r>
      <t>scope 1 emission factor (kgCO</t>
    </r>
    <r>
      <rPr>
        <b/>
        <vertAlign val="subscript"/>
        <sz val="12"/>
        <color theme="8"/>
        <rFont val="Arial"/>
        <family val="2"/>
        <scheme val="minor"/>
      </rPr>
      <t>2</t>
    </r>
    <r>
      <rPr>
        <b/>
        <sz val="12"/>
        <color theme="8"/>
        <rFont val="Arial"/>
        <family val="2"/>
        <scheme val="minor"/>
      </rPr>
      <t>-e/GJ)</t>
    </r>
  </si>
  <si>
    <r>
      <t>Total 
(kgCO</t>
    </r>
    <r>
      <rPr>
        <b/>
        <vertAlign val="subscript"/>
        <sz val="12"/>
        <color theme="8"/>
        <rFont val="Arial"/>
        <family val="2"/>
        <scheme val="minor"/>
      </rPr>
      <t>2</t>
    </r>
    <r>
      <rPr>
        <b/>
        <sz val="12"/>
        <color theme="8"/>
        <rFont val="Arial"/>
        <family val="2"/>
        <scheme val="minor"/>
      </rPr>
      <t>-e/GJ)</t>
    </r>
  </si>
  <si>
    <r>
      <t>Scope 3 emission factor
(kg CO</t>
    </r>
    <r>
      <rPr>
        <b/>
        <vertAlign val="subscript"/>
        <sz val="12"/>
        <color theme="8"/>
        <rFont val="Arial"/>
        <family val="2"/>
        <scheme val="minor"/>
      </rPr>
      <t>2</t>
    </r>
    <r>
      <rPr>
        <b/>
        <sz val="12"/>
        <color theme="8"/>
        <rFont val="Arial"/>
        <family val="2"/>
        <scheme val="minor"/>
      </rPr>
      <t xml:space="preserve"> e/GJ)</t>
    </r>
  </si>
  <si>
    <r>
      <t>CO</t>
    </r>
    <r>
      <rPr>
        <b/>
        <vertAlign val="subscript"/>
        <sz val="12"/>
        <color theme="8"/>
        <rFont val="Arial"/>
        <family val="2"/>
        <scheme val="minor"/>
      </rPr>
      <t>2</t>
    </r>
  </si>
  <si>
    <r>
      <t>CH</t>
    </r>
    <r>
      <rPr>
        <b/>
        <vertAlign val="subscript"/>
        <sz val="12"/>
        <color theme="8"/>
        <rFont val="Arial"/>
        <family val="2"/>
        <scheme val="minor"/>
      </rPr>
      <t>4</t>
    </r>
  </si>
  <si>
    <r>
      <t>N</t>
    </r>
    <r>
      <rPr>
        <b/>
        <vertAlign val="subscript"/>
        <sz val="12"/>
        <color theme="8"/>
        <rFont val="Arial"/>
        <family val="2"/>
        <scheme val="minor"/>
      </rPr>
      <t>2</t>
    </r>
    <r>
      <rPr>
        <b/>
        <sz val="12"/>
        <color theme="8"/>
        <rFont val="Arial"/>
        <family val="2"/>
        <scheme val="minor"/>
      </rPr>
      <t>0</t>
    </r>
  </si>
  <si>
    <t>Sub-bituminous coal</t>
  </si>
  <si>
    <t>See below</t>
  </si>
  <si>
    <t>Diesel oil</t>
  </si>
  <si>
    <t>Gasoline (other than for use as fuel in an aircraft)</t>
  </si>
  <si>
    <t>Liquefied petroleum gas</t>
  </si>
  <si>
    <t>NGA Factors - November 2022; Table 2</t>
  </si>
  <si>
    <r>
      <t>Refer to Australian National Greenhouse Accounts Factors 2022 on the increase in Scope 3 emissions factors. 
"</t>
    </r>
    <r>
      <rPr>
        <i/>
        <sz val="12"/>
        <color theme="8"/>
        <rFont val="Arial"/>
        <family val="2"/>
        <scheme val="minor"/>
      </rPr>
      <t>Over the past decade, there has been a shift towards greater consumption of imported petroleum products in Australia, which has influenced the greenhouse gas emissions associated with the production and transport of these fuels. This has prompted a review of the Scope 3 factors for liquid fuels and updated factors in Table 6. Further details of this review are provided in Appendix 3.</t>
    </r>
    <r>
      <rPr>
        <sz val="12"/>
        <color theme="8"/>
        <rFont val="Arial"/>
        <family val="2"/>
        <scheme val="minor"/>
      </rPr>
      <t>"</t>
    </r>
  </si>
  <si>
    <t>NGA Factors - November 2022; Table 3</t>
  </si>
  <si>
    <t>NGA Factors - November 2022; Table 6</t>
  </si>
  <si>
    <t>Fuel combustion &amp; consumption (New Zealand)</t>
  </si>
  <si>
    <r>
      <t>Emission factor (kg CO</t>
    </r>
    <r>
      <rPr>
        <b/>
        <vertAlign val="subscript"/>
        <sz val="12"/>
        <color theme="8"/>
        <rFont val="Arial"/>
        <family val="2"/>
        <scheme val="minor"/>
      </rPr>
      <t>2</t>
    </r>
    <r>
      <rPr>
        <b/>
        <sz val="12"/>
        <color theme="8"/>
        <rFont val="Arial"/>
        <family val="2"/>
        <scheme val="minor"/>
      </rPr>
      <t>-e/GJ)</t>
    </r>
  </si>
  <si>
    <r>
      <t>Total 
(kg CO</t>
    </r>
    <r>
      <rPr>
        <b/>
        <vertAlign val="subscript"/>
        <sz val="12"/>
        <color theme="8"/>
        <rFont val="Arial"/>
        <family val="2"/>
        <scheme val="minor"/>
      </rPr>
      <t>2</t>
    </r>
    <r>
      <rPr>
        <b/>
        <sz val="12"/>
        <color theme="8"/>
        <rFont val="Arial"/>
        <family val="2"/>
        <scheme val="minor"/>
      </rPr>
      <t>-e/GJ)</t>
    </r>
  </si>
  <si>
    <t>Purchased electricity consumption</t>
  </si>
  <si>
    <t>State or territory</t>
  </si>
  <si>
    <r>
      <t>Scope 2 EF 
(kg CO</t>
    </r>
    <r>
      <rPr>
        <b/>
        <vertAlign val="subscript"/>
        <sz val="12"/>
        <color theme="8"/>
        <rFont val="Arial"/>
        <family val="2"/>
        <scheme val="minor"/>
      </rPr>
      <t>2</t>
    </r>
    <r>
      <rPr>
        <b/>
        <sz val="12"/>
        <color theme="8"/>
        <rFont val="Arial"/>
        <family val="2"/>
        <scheme val="minor"/>
      </rPr>
      <t>-e/kWH)</t>
    </r>
  </si>
  <si>
    <r>
      <t>Scope 2 EF 
(kg CO</t>
    </r>
    <r>
      <rPr>
        <b/>
        <vertAlign val="subscript"/>
        <sz val="12"/>
        <color theme="8"/>
        <rFont val="Arial"/>
        <family val="2"/>
        <scheme val="minor"/>
      </rPr>
      <t>2</t>
    </r>
    <r>
      <rPr>
        <b/>
        <sz val="12"/>
        <color theme="8"/>
        <rFont val="Arial"/>
        <family val="2"/>
        <scheme val="minor"/>
      </rPr>
      <t>-e/GJ)</t>
    </r>
  </si>
  <si>
    <r>
      <t>Scope 3 EF 
(kg CO</t>
    </r>
    <r>
      <rPr>
        <b/>
        <vertAlign val="subscript"/>
        <sz val="12"/>
        <color theme="8"/>
        <rFont val="Arial"/>
        <family val="2"/>
        <scheme val="minor"/>
      </rPr>
      <t>2</t>
    </r>
    <r>
      <rPr>
        <b/>
        <sz val="12"/>
        <color theme="8"/>
        <rFont val="Arial"/>
        <family val="2"/>
        <scheme val="minor"/>
      </rPr>
      <t>-e/kWH)</t>
    </r>
  </si>
  <si>
    <r>
      <t>Scope 3 EF 
(kg CO</t>
    </r>
    <r>
      <rPr>
        <b/>
        <vertAlign val="subscript"/>
        <sz val="12"/>
        <color theme="8"/>
        <rFont val="Arial"/>
        <family val="2"/>
        <scheme val="minor"/>
      </rPr>
      <t>2</t>
    </r>
    <r>
      <rPr>
        <b/>
        <sz val="12"/>
        <color theme="8"/>
        <rFont val="Arial"/>
        <family val="2"/>
        <scheme val="minor"/>
      </rPr>
      <t>-e/GJ)</t>
    </r>
  </si>
  <si>
    <t>Guidance for voluntary greenhouse gas reporting - 2024</t>
  </si>
  <si>
    <t>New South Wales</t>
  </si>
  <si>
    <t>Australian Capital Territory</t>
  </si>
  <si>
    <t>Victoria</t>
  </si>
  <si>
    <t>Queensland</t>
  </si>
  <si>
    <t>South Australia</t>
  </si>
  <si>
    <t>South West Interconnected System (SWIS) in Western Australia</t>
  </si>
  <si>
    <t>North Western Interconnected System (NWIS) in Western Australia</t>
  </si>
  <si>
    <t>Darwin Katherine Interconnected System (DKIS) in the Northern Territory</t>
  </si>
  <si>
    <t>Tasmania</t>
  </si>
  <si>
    <t>Northern Territory</t>
  </si>
  <si>
    <t>NGA Factors - November 2022; Table 1</t>
  </si>
  <si>
    <t>Renewable electricity</t>
  </si>
  <si>
    <t>Type</t>
  </si>
  <si>
    <t>Electricity (not from grid). Energy commodity</t>
  </si>
  <si>
    <t>Electricity Production (thermal energy)</t>
  </si>
  <si>
    <t>Electricity Production (solar energy)</t>
  </si>
  <si>
    <t>Electricity Production (Green Power)</t>
  </si>
  <si>
    <t>Solar energy for electricity generation. Energy commodity</t>
  </si>
  <si>
    <t>NGER Determination 2018; Part 6.2</t>
  </si>
  <si>
    <t>Natural gas</t>
  </si>
  <si>
    <r>
      <t>Scope 3 EF
(kg CO</t>
    </r>
    <r>
      <rPr>
        <b/>
        <vertAlign val="subscript"/>
        <sz val="12"/>
        <color theme="8"/>
        <rFont val="Arial"/>
        <family val="2"/>
        <scheme val="minor"/>
      </rPr>
      <t>2</t>
    </r>
    <r>
      <rPr>
        <b/>
        <sz val="12"/>
        <color theme="8"/>
        <rFont val="Arial"/>
        <family val="2"/>
        <scheme val="minor"/>
      </rPr>
      <t>-e/GJ)</t>
    </r>
  </si>
  <si>
    <t>NSWMetro</t>
  </si>
  <si>
    <t>NSWNon-Metro</t>
  </si>
  <si>
    <t>ACTMetro</t>
  </si>
  <si>
    <t>ACTNon-Metro</t>
  </si>
  <si>
    <t>VICMetro</t>
  </si>
  <si>
    <t>VICNon-Metro</t>
  </si>
  <si>
    <t>QLDMetro</t>
  </si>
  <si>
    <t>QLDNon-Metro</t>
  </si>
  <si>
    <t>SAMetro</t>
  </si>
  <si>
    <t>SANon-Metro</t>
  </si>
  <si>
    <t>WAMetro</t>
  </si>
  <si>
    <t>WANon-Metro</t>
  </si>
  <si>
    <t>NTMetro</t>
  </si>
  <si>
    <t>NTNon-Metro</t>
  </si>
  <si>
    <t>TASMetro</t>
  </si>
  <si>
    <t>TASNon-Metro</t>
  </si>
  <si>
    <t>NGA Factors - November 2022; Table 4</t>
  </si>
  <si>
    <t>Climate Active Carbon Neutral Standard for Buildings Summary</t>
  </si>
  <si>
    <r>
      <t>Gross building area (m</t>
    </r>
    <r>
      <rPr>
        <b/>
        <vertAlign val="superscript"/>
        <sz val="10"/>
        <rFont val="Arial"/>
        <family val="2"/>
        <scheme val="major"/>
      </rPr>
      <t>2</t>
    </r>
    <r>
      <rPr>
        <b/>
        <sz val="10"/>
        <rFont val="Arial"/>
        <family val="2"/>
        <scheme val="major"/>
      </rPr>
      <t>)</t>
    </r>
  </si>
  <si>
    <t>Total Scope 1 Emissions ( t CO2-e)</t>
  </si>
  <si>
    <t xml:space="preserve">Total Scope 3 Emissions ( t CO2-e) </t>
  </si>
  <si>
    <t>Total LGCs generated onsite and NOT surrendered ( t CO2-e)</t>
  </si>
  <si>
    <t>LGCs generated onsite and NOT surrendered</t>
  </si>
  <si>
    <t>Quantity (MWh)
1 LGC = 1MWh</t>
  </si>
  <si>
    <t>Quantity (GJ)</t>
  </si>
  <si>
    <t>Total Emissions not surrendered</t>
  </si>
  <si>
    <t>t CO2-e</t>
  </si>
  <si>
    <t xml:space="preserve">Include details of registry and type of offset unit. Provide enough information to allow readers to identify offsets used to maintain carbon neutral status. Include details on scheme and type of project e.g. Gold Standard VERs from XXX wind power project, Market registry. 
Note: Include offset retirements that relate to the current reporting period. Identify any offset batches that also contain offsets used for purposes outside the Climate Active Carbon Neutral Standard. </t>
  </si>
  <si>
    <t>SUMMARY TABLES:</t>
  </si>
  <si>
    <t>Table 1</t>
  </si>
  <si>
    <t>Table 2</t>
  </si>
  <si>
    <t>Table 3</t>
  </si>
  <si>
    <t>Metro</t>
  </si>
  <si>
    <t>Base Building</t>
  </si>
  <si>
    <t>Non-Metro</t>
  </si>
  <si>
    <t>Whole Building</t>
  </si>
  <si>
    <t>Original Unit</t>
  </si>
  <si>
    <t>Desired Unit</t>
  </si>
  <si>
    <t>Conversion Factor</t>
  </si>
  <si>
    <t>Wh</t>
  </si>
  <si>
    <t>Tenant Engagement</t>
  </si>
  <si>
    <t>NABERS Energy Tenancy Rating</t>
  </si>
  <si>
    <t>Tenant Collaboration</t>
  </si>
  <si>
    <t>GWh</t>
  </si>
  <si>
    <t>GJ</t>
  </si>
  <si>
    <t>J</t>
  </si>
  <si>
    <t>kJ</t>
  </si>
  <si>
    <t>TJ</t>
  </si>
  <si>
    <t>Coal</t>
  </si>
  <si>
    <t>t</t>
  </si>
  <si>
    <t>kg</t>
  </si>
  <si>
    <t>L</t>
  </si>
  <si>
    <t>Table 4a</t>
  </si>
  <si>
    <r>
      <t>Electricity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-e/kWh)</t>
    </r>
  </si>
  <si>
    <t>Source: NGA Factors workbook - July 2012</t>
  </si>
  <si>
    <t>NZ Source: Ministry for the Environment - Guidance for voluntary greenhouse gas reporting - 2024: Data and methods for the 2023 calendar year</t>
  </si>
  <si>
    <t>http://www.climatechange.gov.au/en/publications/greenhouse-acctg/national-greenhouse-factors.aspx</t>
  </si>
  <si>
    <t>http://www.mfe.govt.nz/publications/climate-change/guidance-voluntary-greenhouse-gas-reporting-2016-data-and-methods-2014</t>
  </si>
  <si>
    <t>NZ (except Auckland)</t>
  </si>
  <si>
    <t>Table 5a</t>
  </si>
  <si>
    <r>
      <t>Natural gas - emi</t>
    </r>
    <r>
      <rPr>
        <b/>
        <sz val="10"/>
        <color theme="1"/>
        <rFont val="Arial"/>
        <family val="2"/>
        <scheme val="major"/>
      </rPr>
      <t>ssion factor (kgCO</t>
    </r>
    <r>
      <rPr>
        <b/>
        <vertAlign val="subscript"/>
        <sz val="10"/>
        <color theme="1"/>
        <rFont val="Arial"/>
        <family val="2"/>
        <scheme val="major"/>
      </rPr>
      <t>2</t>
    </r>
    <r>
      <rPr>
        <b/>
        <sz val="10"/>
        <color theme="1"/>
        <rFont val="Arial"/>
        <family val="2"/>
        <scheme val="major"/>
      </rPr>
      <t>-e/GJ)</t>
    </r>
  </si>
  <si>
    <t>Scope 1 Total</t>
  </si>
  <si>
    <t>Metro Scope 3 Total</t>
  </si>
  <si>
    <t>Non-Metro Scope 3 Total</t>
  </si>
  <si>
    <t>Full Fuel Cycle Total (Based project location information)</t>
  </si>
  <si>
    <r>
      <t>CO</t>
    </r>
    <r>
      <rPr>
        <b/>
        <vertAlign val="subscript"/>
        <sz val="11"/>
        <color theme="8"/>
        <rFont val="Tahoma"/>
        <family val="2"/>
      </rPr>
      <t>2</t>
    </r>
  </si>
  <si>
    <r>
      <t>CH</t>
    </r>
    <r>
      <rPr>
        <b/>
        <vertAlign val="subscript"/>
        <sz val="11"/>
        <color theme="8"/>
        <rFont val="Tahoma"/>
        <family val="2"/>
      </rPr>
      <t>4</t>
    </r>
  </si>
  <si>
    <r>
      <t>N</t>
    </r>
    <r>
      <rPr>
        <b/>
        <vertAlign val="subscript"/>
        <sz val="10"/>
        <color theme="8"/>
        <rFont val="Tahoma"/>
        <family val="2"/>
      </rPr>
      <t>2</t>
    </r>
    <r>
      <rPr>
        <b/>
        <sz val="10"/>
        <color theme="8"/>
        <rFont val="Calibri"/>
        <family val="2"/>
      </rPr>
      <t>O</t>
    </r>
  </si>
  <si>
    <t>Table 6a</t>
  </si>
  <si>
    <r>
      <t>Diesel - emission factor kg CO</t>
    </r>
    <r>
      <rPr>
        <b/>
        <vertAlign val="subscript"/>
        <sz val="10"/>
        <color theme="1"/>
        <rFont val="Arial"/>
        <family val="2"/>
        <scheme val="minor"/>
      </rPr>
      <t>2</t>
    </r>
    <r>
      <rPr>
        <b/>
        <sz val="10"/>
        <color theme="1"/>
        <rFont val="Arial"/>
        <family val="2"/>
        <scheme val="minor"/>
      </rPr>
      <t>-e/GJ</t>
    </r>
  </si>
  <si>
    <t>NZ Source: Ministry for the Environment - Guidance for voluntary greenhouse gas reporting - 2016: Data and methods for the 2014 calendar year</t>
  </si>
  <si>
    <t>Scope 3 Total</t>
  </si>
  <si>
    <t>Full Fuel Cycle Total</t>
  </si>
  <si>
    <r>
      <t>LPG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-e/GJ)</t>
    </r>
  </si>
  <si>
    <r>
      <t>Coal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-e/t)</t>
    </r>
  </si>
  <si>
    <t>Table 7</t>
  </si>
  <si>
    <t>Hotels</t>
  </si>
  <si>
    <t>Energy Star</t>
  </si>
  <si>
    <t>Retail Stores</t>
  </si>
  <si>
    <t>Courthouses</t>
  </si>
  <si>
    <t>Houses of Worship</t>
  </si>
  <si>
    <t>Senior Care Facility</t>
  </si>
  <si>
    <t>Data Centers</t>
  </si>
  <si>
    <t>K-12 Schools</t>
  </si>
  <si>
    <t>Supermarkets</t>
  </si>
  <si>
    <t>Dormitories</t>
  </si>
  <si>
    <t>Medical Offices</t>
  </si>
  <si>
    <t>Warehouses</t>
  </si>
  <si>
    <t>Hospitals</t>
  </si>
  <si>
    <t>Offices</t>
  </si>
  <si>
    <t>Wastewater Treatment Plants</t>
  </si>
  <si>
    <t>-----</t>
  </si>
  <si>
    <t>DCCEE Commercial Buildings Source Spreadsheet</t>
  </si>
  <si>
    <t>Food Stores</t>
  </si>
  <si>
    <t>Clothing/Fabric Stores</t>
  </si>
  <si>
    <t>Department Stores</t>
  </si>
  <si>
    <t>Household Appl &amp; Hardware Stores</t>
  </si>
  <si>
    <t>Accommodation</t>
  </si>
  <si>
    <t>Communications</t>
  </si>
  <si>
    <t>Schools</t>
  </si>
  <si>
    <t>Fast Food Restaurants</t>
  </si>
  <si>
    <t>Clubs and Meeting Places</t>
  </si>
  <si>
    <t>Retail / Wholesale - nec</t>
  </si>
  <si>
    <t>Comm Serv &amp; Pub Adm - nec</t>
  </si>
  <si>
    <t>Recreation - Not Elsewhere</t>
  </si>
  <si>
    <t xml:space="preserve">Education </t>
  </si>
  <si>
    <t>National Renewable Energy Laboratory</t>
  </si>
  <si>
    <t xml:space="preserve">Food Sales </t>
  </si>
  <si>
    <t>Food Service</t>
  </si>
  <si>
    <t xml:space="preserve">Health Care </t>
  </si>
  <si>
    <t xml:space="preserve">Lodging </t>
  </si>
  <si>
    <t xml:space="preserve">Mercantile </t>
  </si>
  <si>
    <t xml:space="preserve">Office </t>
  </si>
  <si>
    <t>Public Assembly</t>
  </si>
  <si>
    <t>Public Order and Safety</t>
  </si>
  <si>
    <t>Religious Worship</t>
  </si>
  <si>
    <t xml:space="preserve">Other Service </t>
  </si>
  <si>
    <t>Warehouse and Storage</t>
  </si>
  <si>
    <t>Parking</t>
  </si>
  <si>
    <t>Vacant</t>
  </si>
  <si>
    <t>Division A - Agriculture, Forestry and Fishing</t>
  </si>
  <si>
    <t>Division B - Mining</t>
  </si>
  <si>
    <t>Division C - Manufacturing</t>
  </si>
  <si>
    <t>Division D - Electricity, Gas and Water Supply</t>
  </si>
  <si>
    <t>Division E - Construction</t>
  </si>
  <si>
    <t>Division F - Wholesale Trade</t>
  </si>
  <si>
    <t>Division G - Retail Trade</t>
  </si>
  <si>
    <t>Division H - Accommodation, Cafes and Restaurants</t>
  </si>
  <si>
    <t>Division I - Transport and Storage</t>
  </si>
  <si>
    <t>Division J - Communication Services</t>
  </si>
  <si>
    <t>Division K - Finance and Insurance</t>
  </si>
  <si>
    <t>Division L - Property and Business Services</t>
  </si>
  <si>
    <t>Division M - Government Administration and Defence</t>
  </si>
  <si>
    <t>Division N - Education</t>
  </si>
  <si>
    <t>Division O - Health and Community Services</t>
  </si>
  <si>
    <t>Division P - Cultural and Recreational Services</t>
  </si>
  <si>
    <t>Division Q - Personal and Other Services</t>
  </si>
  <si>
    <t>Mixed Use</t>
  </si>
  <si>
    <t>Unknown</t>
  </si>
  <si>
    <t>Form Data</t>
  </si>
  <si>
    <t>[Select TRUE where a relationship between two operating variables exists]</t>
  </si>
  <si>
    <t>[Answer Yes or No]</t>
  </si>
  <si>
    <t>YES</t>
  </si>
  <si>
    <t>NO</t>
  </si>
  <si>
    <t>Postcode vs Climate Data Matrix</t>
  </si>
  <si>
    <t>Ave CDD and Ave HDD are annual figures for Cooling (Wet bulb - base = 15 degrees) and Heating (Dry bulb - base = 18 degrees) Degree Days, which are drawn from averages of between 1 and 7 years of data</t>
  </si>
  <si>
    <t>Weather Station ID</t>
  </si>
  <si>
    <t>Ave CDD</t>
  </si>
  <si>
    <t>Ave HDD</t>
  </si>
  <si>
    <t>0110</t>
  </si>
  <si>
    <t>For NZ projects</t>
  </si>
  <si>
    <t>0112</t>
  </si>
  <si>
    <t>0114</t>
  </si>
  <si>
    <t>0116</t>
  </si>
  <si>
    <t>0200</t>
  </si>
  <si>
    <t>0202</t>
  </si>
  <si>
    <t>0210</t>
  </si>
  <si>
    <t>0211</t>
  </si>
  <si>
    <t>0230</t>
  </si>
  <si>
    <t>0310</t>
  </si>
  <si>
    <t>0405</t>
  </si>
  <si>
    <t>0410</t>
  </si>
  <si>
    <t>0420</t>
  </si>
  <si>
    <t>0505</t>
  </si>
  <si>
    <t>0510</t>
  </si>
  <si>
    <t>0520</t>
  </si>
  <si>
    <t>0530</t>
  </si>
  <si>
    <t>0600</t>
  </si>
  <si>
    <t>0602</t>
  </si>
  <si>
    <t>0604</t>
  </si>
  <si>
    <t>0610</t>
  </si>
  <si>
    <t>0612</t>
  </si>
  <si>
    <t>0614</t>
  </si>
  <si>
    <t>0618</t>
  </si>
  <si>
    <t>0620</t>
  </si>
  <si>
    <t>0622</t>
  </si>
  <si>
    <t>0624</t>
  </si>
  <si>
    <t>0626</t>
  </si>
  <si>
    <t>0627</t>
  </si>
  <si>
    <t>0629</t>
  </si>
  <si>
    <t>0630</t>
  </si>
  <si>
    <t>0632</t>
  </si>
  <si>
    <t>0800</t>
  </si>
  <si>
    <t>0810</t>
  </si>
  <si>
    <t>0812</t>
  </si>
  <si>
    <t>0814</t>
  </si>
  <si>
    <t>0820</t>
  </si>
  <si>
    <t>0830</t>
  </si>
  <si>
    <t>0900</t>
  </si>
  <si>
    <t>0910</t>
  </si>
  <si>
    <t>0920</t>
  </si>
  <si>
    <t>0930</t>
  </si>
  <si>
    <t>0931</t>
  </si>
  <si>
    <t>0932</t>
  </si>
  <si>
    <t>01010</t>
  </si>
  <si>
    <t>01011</t>
  </si>
  <si>
    <t>01021</t>
  </si>
  <si>
    <t>01022</t>
  </si>
  <si>
    <t>01023</t>
  </si>
  <si>
    <t>01024</t>
  </si>
  <si>
    <t>01025</t>
  </si>
  <si>
    <t>01026</t>
  </si>
  <si>
    <t>01041</t>
  </si>
  <si>
    <t>01042</t>
  </si>
  <si>
    <t>01050</t>
  </si>
  <si>
    <t>01051</t>
  </si>
  <si>
    <t>01052</t>
  </si>
  <si>
    <t>01060</t>
  </si>
  <si>
    <t>01061</t>
  </si>
  <si>
    <t>01062</t>
  </si>
  <si>
    <t>01071</t>
  </si>
  <si>
    <t>01072</t>
  </si>
  <si>
    <t>01081</t>
  </si>
  <si>
    <t>02010</t>
  </si>
  <si>
    <t>02012</t>
  </si>
  <si>
    <t>02013</t>
  </si>
  <si>
    <t>02014</t>
  </si>
  <si>
    <t>02016</t>
  </si>
  <si>
    <t>02018</t>
  </si>
  <si>
    <t>02022</t>
  </si>
  <si>
    <t>02023</t>
  </si>
  <si>
    <t>02024</t>
  </si>
  <si>
    <t>02025</t>
  </si>
  <si>
    <t>02102</t>
  </si>
  <si>
    <t>02103</t>
  </si>
  <si>
    <t>02104</t>
  </si>
  <si>
    <t>02105</t>
  </si>
  <si>
    <t>02110</t>
  </si>
  <si>
    <t>02112</t>
  </si>
  <si>
    <t>02113</t>
  </si>
  <si>
    <t>02120</t>
  </si>
  <si>
    <t>02121</t>
  </si>
  <si>
    <t>02122</t>
  </si>
  <si>
    <t>02123</t>
  </si>
  <si>
    <t>03010</t>
  </si>
  <si>
    <t>03015</t>
  </si>
  <si>
    <t>03020</t>
  </si>
  <si>
    <t>03025</t>
  </si>
  <si>
    <t>03110</t>
  </si>
  <si>
    <t>03112</t>
  </si>
  <si>
    <t>03114</t>
  </si>
  <si>
    <t>03116</t>
  </si>
  <si>
    <t>03118</t>
  </si>
  <si>
    <t>03119</t>
  </si>
  <si>
    <t>03120</t>
  </si>
  <si>
    <t>03121</t>
  </si>
  <si>
    <t>03122</t>
  </si>
  <si>
    <t>03123</t>
  </si>
  <si>
    <t>03127</t>
  </si>
  <si>
    <t>03129</t>
  </si>
  <si>
    <t>03200</t>
  </si>
  <si>
    <t>03204</t>
  </si>
  <si>
    <t>03206</t>
  </si>
  <si>
    <t>03210</t>
  </si>
  <si>
    <t>03214</t>
  </si>
  <si>
    <t>03216</t>
  </si>
  <si>
    <t>03218</t>
  </si>
  <si>
    <t>03225</t>
  </si>
  <si>
    <t>03300</t>
  </si>
  <si>
    <t>03310</t>
  </si>
  <si>
    <t>03320</t>
  </si>
  <si>
    <t>03330</t>
  </si>
  <si>
    <t>03332</t>
  </si>
  <si>
    <t>03334</t>
  </si>
  <si>
    <t>03400</t>
  </si>
  <si>
    <t>03401</t>
  </si>
  <si>
    <t>03410</t>
  </si>
  <si>
    <t>03411</t>
  </si>
  <si>
    <t>03415</t>
  </si>
  <si>
    <t>03420</t>
  </si>
  <si>
    <t>03421</t>
  </si>
  <si>
    <t>03432</t>
  </si>
  <si>
    <t>03434</t>
  </si>
  <si>
    <t>03500</t>
  </si>
  <si>
    <t>03503</t>
  </si>
  <si>
    <t>03506</t>
  </si>
  <si>
    <t>03508</t>
  </si>
  <si>
    <t>03510</t>
  </si>
  <si>
    <t>03600</t>
  </si>
  <si>
    <t>03610</t>
  </si>
  <si>
    <t>03611</t>
  </si>
  <si>
    <t>03620</t>
  </si>
  <si>
    <t>03700</t>
  </si>
  <si>
    <t>03710</t>
  </si>
  <si>
    <t>03720</t>
  </si>
  <si>
    <t>03721</t>
  </si>
  <si>
    <t>03800</t>
  </si>
  <si>
    <t>03802</t>
  </si>
  <si>
    <t>03803</t>
  </si>
  <si>
    <t>03900</t>
  </si>
  <si>
    <t>03910</t>
  </si>
  <si>
    <t>03912</t>
  </si>
  <si>
    <t>03920</t>
  </si>
  <si>
    <t>03924</t>
  </si>
  <si>
    <t>03926</t>
  </si>
  <si>
    <t>04010</t>
  </si>
  <si>
    <t>04022</t>
  </si>
  <si>
    <t>04032</t>
  </si>
  <si>
    <t>04102</t>
  </si>
  <si>
    <t>04104</t>
  </si>
  <si>
    <t>04108</t>
  </si>
  <si>
    <t>04110</t>
  </si>
  <si>
    <t>04112</t>
  </si>
  <si>
    <t>04120</t>
  </si>
  <si>
    <t>04122</t>
  </si>
  <si>
    <t>04130</t>
  </si>
  <si>
    <t>04200</t>
  </si>
  <si>
    <t>04202</t>
  </si>
  <si>
    <t>04203</t>
  </si>
  <si>
    <t>04210</t>
  </si>
  <si>
    <t>04310</t>
  </si>
  <si>
    <t>04312</t>
  </si>
  <si>
    <t>04314</t>
  </si>
  <si>
    <t>04320</t>
  </si>
  <si>
    <t>04322</t>
  </si>
  <si>
    <t>04330</t>
  </si>
  <si>
    <t>04332</t>
  </si>
  <si>
    <t>04335</t>
  </si>
  <si>
    <t>04410</t>
  </si>
  <si>
    <t>04412</t>
  </si>
  <si>
    <t>04414</t>
  </si>
  <si>
    <t>04500</t>
  </si>
  <si>
    <t>04501</t>
  </si>
  <si>
    <t>04510</t>
  </si>
  <si>
    <t>04520</t>
  </si>
  <si>
    <t>04610</t>
  </si>
  <si>
    <t>04612</t>
  </si>
  <si>
    <t>04614</t>
  </si>
  <si>
    <t>04616</t>
  </si>
  <si>
    <t>04625</t>
  </si>
  <si>
    <t>04632</t>
  </si>
  <si>
    <t>04702</t>
  </si>
  <si>
    <t>04710</t>
  </si>
  <si>
    <t>04720</t>
  </si>
  <si>
    <t>04730</t>
  </si>
  <si>
    <t>04810</t>
  </si>
  <si>
    <t>04814</t>
  </si>
  <si>
    <t>04815</t>
  </si>
  <si>
    <t>04816</t>
  </si>
  <si>
    <t>04817</t>
  </si>
  <si>
    <t>04818</t>
  </si>
  <si>
    <t>04820</t>
  </si>
  <si>
    <t>04821</t>
  </si>
  <si>
    <t>04822</t>
  </si>
  <si>
    <t>04825</t>
  </si>
  <si>
    <t>04826</t>
  </si>
  <si>
    <t>04900</t>
  </si>
  <si>
    <t>04910</t>
  </si>
  <si>
    <t>04920</t>
  </si>
  <si>
    <t>04930</t>
  </si>
  <si>
    <t>05010</t>
  </si>
  <si>
    <t>05011</t>
  </si>
  <si>
    <t>05012</t>
  </si>
  <si>
    <t>05013</t>
  </si>
  <si>
    <t>05014</t>
  </si>
  <si>
    <t>05016</t>
  </si>
  <si>
    <t>05018</t>
  </si>
  <si>
    <t>05019</t>
  </si>
  <si>
    <t>05022</t>
  </si>
  <si>
    <t>05024</t>
  </si>
  <si>
    <t>05026</t>
  </si>
  <si>
    <t>05028</t>
  </si>
  <si>
    <t>05032</t>
  </si>
  <si>
    <t>05034</t>
  </si>
  <si>
    <t>05036</t>
  </si>
  <si>
    <t>05510</t>
  </si>
  <si>
    <t>05512</t>
  </si>
  <si>
    <t>05710</t>
  </si>
  <si>
    <t>05711</t>
  </si>
  <si>
    <t>05712</t>
  </si>
  <si>
    <t>05713</t>
  </si>
  <si>
    <t>05810</t>
  </si>
  <si>
    <t>06011</t>
  </si>
  <si>
    <t>06012</t>
  </si>
  <si>
    <t>06021</t>
  </si>
  <si>
    <t>06022</t>
  </si>
  <si>
    <t>06023</t>
  </si>
  <si>
    <t>06035</t>
  </si>
  <si>
    <t>06037</t>
  </si>
  <si>
    <t>07005</t>
  </si>
  <si>
    <t>07007</t>
  </si>
  <si>
    <t>07010</t>
  </si>
  <si>
    <t>07011</t>
  </si>
  <si>
    <t>07020</t>
  </si>
  <si>
    <t>07022</t>
  </si>
  <si>
    <t>07025</t>
  </si>
  <si>
    <t>07100</t>
  </si>
  <si>
    <t>07110</t>
  </si>
  <si>
    <t>07120</t>
  </si>
  <si>
    <t>07201</t>
  </si>
  <si>
    <t>07202</t>
  </si>
  <si>
    <t>07204</t>
  </si>
  <si>
    <t>07206</t>
  </si>
  <si>
    <t>07210</t>
  </si>
  <si>
    <t>07220</t>
  </si>
  <si>
    <t>07300</t>
  </si>
  <si>
    <t>07310</t>
  </si>
  <si>
    <t>07332</t>
  </si>
  <si>
    <t>07334</t>
  </si>
  <si>
    <t>07400</t>
  </si>
  <si>
    <t>07402</t>
  </si>
  <si>
    <t>07410</t>
  </si>
  <si>
    <t>07420</t>
  </si>
  <si>
    <t>07430</t>
  </si>
  <si>
    <t>07500</t>
  </si>
  <si>
    <t>07510</t>
  </si>
  <si>
    <t>07520</t>
  </si>
  <si>
    <t>07600</t>
  </si>
  <si>
    <t>07602</t>
  </si>
  <si>
    <t>07604</t>
  </si>
  <si>
    <t>07608</t>
  </si>
  <si>
    <t>07610</t>
  </si>
  <si>
    <t>07614</t>
  </si>
  <si>
    <t>07630</t>
  </si>
  <si>
    <t>07632</t>
  </si>
  <si>
    <t>07700</t>
  </si>
  <si>
    <t>07710</t>
  </si>
  <si>
    <t>07730</t>
  </si>
  <si>
    <t>07802</t>
  </si>
  <si>
    <t>07803</t>
  </si>
  <si>
    <t>07804</t>
  </si>
  <si>
    <t>07805</t>
  </si>
  <si>
    <t>07810</t>
  </si>
  <si>
    <t>07811</t>
  </si>
  <si>
    <t>07812</t>
  </si>
  <si>
    <t>07822</t>
  </si>
  <si>
    <t>07823</t>
  </si>
  <si>
    <t>07825</t>
  </si>
  <si>
    <t>07830</t>
  </si>
  <si>
    <t>07832</t>
  </si>
  <si>
    <t>07901</t>
  </si>
  <si>
    <t>07903</t>
  </si>
  <si>
    <t>07910</t>
  </si>
  <si>
    <t>07912</t>
  </si>
  <si>
    <t>07920</t>
  </si>
  <si>
    <t>07924</t>
  </si>
  <si>
    <t>07925</t>
  </si>
  <si>
    <t>07930</t>
  </si>
  <si>
    <t>07999</t>
  </si>
  <si>
    <t>08011</t>
  </si>
  <si>
    <t>08013</t>
  </si>
  <si>
    <t>08014</t>
  </si>
  <si>
    <t>08022</t>
  </si>
  <si>
    <t>08023</t>
  </si>
  <si>
    <t>08024</t>
  </si>
  <si>
    <t>08025</t>
  </si>
  <si>
    <t>08041</t>
  </si>
  <si>
    <t>08042</t>
  </si>
  <si>
    <t>08051</t>
  </si>
  <si>
    <t>08052</t>
  </si>
  <si>
    <t>08053</t>
  </si>
  <si>
    <t>08061</t>
  </si>
  <si>
    <t>08062</t>
  </si>
  <si>
    <t>08081</t>
  </si>
  <si>
    <t>08082</t>
  </si>
  <si>
    <t>08083</t>
  </si>
  <si>
    <t>09010</t>
  </si>
  <si>
    <t>09011</t>
  </si>
  <si>
    <t>09012</t>
  </si>
  <si>
    <t>09013</t>
  </si>
  <si>
    <t>09014</t>
  </si>
  <si>
    <t>09016</t>
  </si>
  <si>
    <t>09018</t>
  </si>
  <si>
    <t>09019</t>
  </si>
  <si>
    <t>09022</t>
  </si>
  <si>
    <t>09023</t>
  </si>
  <si>
    <t>09024</t>
  </si>
  <si>
    <t>09035</t>
  </si>
  <si>
    <t>09210</t>
  </si>
  <si>
    <t>09220</t>
  </si>
  <si>
    <t>09230</t>
  </si>
  <si>
    <t>09231</t>
  </si>
  <si>
    <t>09300</t>
  </si>
  <si>
    <t>09302</t>
  </si>
  <si>
    <t>09305</t>
  </si>
  <si>
    <t>09310</t>
  </si>
  <si>
    <t>09320</t>
  </si>
  <si>
    <t>09330</t>
  </si>
  <si>
    <t>09332</t>
  </si>
  <si>
    <t>09400</t>
  </si>
  <si>
    <t>09401</t>
  </si>
  <si>
    <t>09410</t>
  </si>
  <si>
    <t>09412</t>
  </si>
  <si>
    <t>09430</t>
  </si>
  <si>
    <t>09435</t>
  </si>
  <si>
    <t>09500</t>
  </si>
  <si>
    <t>09510</t>
  </si>
  <si>
    <t>09522</t>
  </si>
  <si>
    <t>09532</t>
  </si>
  <si>
    <t>09534</t>
  </si>
  <si>
    <t>09535</t>
  </si>
  <si>
    <t>09600</t>
  </si>
  <si>
    <t>09610</t>
  </si>
  <si>
    <t>09620</t>
  </si>
  <si>
    <t>09630</t>
  </si>
  <si>
    <t>09635</t>
  </si>
  <si>
    <t>09710</t>
  </si>
  <si>
    <t>09712</t>
  </si>
  <si>
    <t>09720</t>
  </si>
  <si>
    <t>09730</t>
  </si>
  <si>
    <t>09810</t>
  </si>
  <si>
    <t>09812</t>
  </si>
  <si>
    <t>09814</t>
  </si>
  <si>
    <t>09816</t>
  </si>
  <si>
    <t>09818</t>
  </si>
  <si>
    <t>09822</t>
  </si>
  <si>
    <t>09825</t>
  </si>
  <si>
    <t>09831</t>
  </si>
  <si>
    <t>09888</t>
  </si>
  <si>
    <t>Greenhouse Gas Emissions Credit - Points Tables</t>
  </si>
  <si>
    <t>All Compliance Pathways in accordance with Table 15.0.3</t>
  </si>
  <si>
    <t>Whole of building emissions</t>
  </si>
  <si>
    <t>Base building emissions only</t>
  </si>
  <si>
    <t>Percentage improvement</t>
  </si>
  <si>
    <t>Legend:</t>
  </si>
  <si>
    <t>minimum performer</t>
  </si>
  <si>
    <t>average performer</t>
  </si>
  <si>
    <t>Zero net operating emissions</t>
  </si>
  <si>
    <t>Tenant Engagement in accordance with 15.0.4</t>
  </si>
  <si>
    <t>Percentage of tenanted floor area</t>
  </si>
  <si>
    <t>Compliance pathway A in accordance with 15A NABERS Energy</t>
  </si>
  <si>
    <t>Whole of building NABERS Energy rating</t>
  </si>
  <si>
    <t>Base building NABERS rating</t>
  </si>
  <si>
    <t>NABERS Energy Certificate Star Rating</t>
  </si>
  <si>
    <t>Option 1(b) - NABERS Energy Base Building</t>
  </si>
  <si>
    <t>Option 1(b) - NABERS Energy Whole Building</t>
  </si>
  <si>
    <t>0 operating emissions</t>
  </si>
  <si>
    <t>Initial release of v1.2 to New Zealand</t>
  </si>
  <si>
    <t>Release 2 - 28/02/2024</t>
  </si>
  <si>
    <t xml:space="preserve">Updated reference data and formulas for NZ Auckland Metro/ Non-Metro
Added 'non-refrigerated' and 'distribution centre' benchmarks </t>
  </si>
  <si>
    <t>Version 1.2, Release 2 NZ</t>
  </si>
  <si>
    <t>AG</t>
  </si>
  <si>
    <t>Benchmark table</t>
  </si>
  <si>
    <t>Green Star - Performance NZ Submission Guidelines Version 1.2</t>
  </si>
  <si>
    <t>Minor update
Renamed file name of calculator</t>
  </si>
  <si>
    <t>Release 3 - 23/10/2024</t>
  </si>
  <si>
    <t>15B COMMERCIAL BUILDINGS BASELINE STUDY</t>
  </si>
  <si>
    <t>Version 1.2, Release 3 NZ</t>
  </si>
  <si>
    <t>BS</t>
  </si>
  <si>
    <t>B3</t>
  </si>
  <si>
    <t>15B Warehouse Benchmark</t>
  </si>
  <si>
    <t>Issuance of 15B calculator in NZ adding in newly developed warehouse benchmarks</t>
  </si>
  <si>
    <t>NZ calculators ratification to document register, minor update to title and file name to match convention</t>
  </si>
  <si>
    <t xml:space="preserve">Added new warehouse benchmarks for </t>
  </si>
  <si>
    <t>Ministry for the Environment Measuring Emissions Guidance 2023</t>
  </si>
  <si>
    <t>MfE Measuring Emissions Guidance 2024</t>
  </si>
  <si>
    <t>Release 4 - 08/01/2025</t>
  </si>
  <si>
    <t xml:space="preserve">Updated emission factors MfE Measuring Emissions Guidance 2024, Released in May 2024
Updated formulas in the 15B Building details tab to capture emission factors for different years </t>
  </si>
  <si>
    <t>NZ-except Auckland</t>
  </si>
  <si>
    <t>NZ-except Auckland-Non-Metro</t>
  </si>
  <si>
    <t>NZ-except Auckland-Metro</t>
  </si>
  <si>
    <t>Guidance for voluntary greenhouse gas reporting - 2025</t>
  </si>
  <si>
    <t>Release 5 - 20/05/2025</t>
  </si>
  <si>
    <t xml:space="preserve">Updated emission factors MfE Measuring Emissions Guidance 2025, Released in May 2025
Updated formulas in the 15B Building details tab to capture emission factors for different years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</si>
</sst>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0.0"/>
    <numFmt numFmtId="167" formatCode="[$-C09]dd\-mmmm\-yyyy;@"/>
    <numFmt numFmtId="168" formatCode="_-* #,##0.0_-;\-* #,##0.0_-;_-* &quot;-&quot;??_-;_-@_-"/>
    <numFmt numFmtId="169" formatCode="dd/mm/yyyy"/>
    <numFmt numFmtId="170" formatCode="#,##0.0000000000"/>
    <numFmt numFmtId="171" formatCode="#,##0.0"/>
    <numFmt numFmtId="172" formatCode="0.0%"/>
    <numFmt numFmtId="173" formatCode="#,##0.0000"/>
    <numFmt numFmtId="174" formatCode="0.000"/>
    <numFmt numFmtId="175" formatCode="0.00_)"/>
    <numFmt numFmtId="176" formatCode="[$-C09]dd\-mmm\-yy;@"/>
    <numFmt numFmtId="177" formatCode="#,##0.000"/>
    <numFmt numFmtId="178" formatCode="0.00000000000000%"/>
    <numFmt numFmtId="179" formatCode="0.000000000000000%"/>
  </numFmts>
  <fonts count="144">
    <font>
      <sz val="10"/>
      <color theme="1"/>
      <name val="Arial"/>
      <family val="2"/>
      <scheme val="minor"/>
    </font>
    <font>
      <sz val="10"/>
      <color theme="1"/>
      <name val="Arial"/>
      <family val="2"/>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Arial"/>
      <family val="2"/>
    </font>
    <font>
      <sz val="8"/>
      <name val="Arial"/>
      <family val="2"/>
    </font>
    <font>
      <sz val="10"/>
      <color theme="1"/>
      <name val="Arial"/>
      <family val="2"/>
      <scheme val="minor"/>
    </font>
    <font>
      <sz val="11"/>
      <color indexed="8"/>
      <name val="Calibri"/>
      <family val="2"/>
    </font>
    <font>
      <sz val="10"/>
      <color indexed="8"/>
      <name val="Arial"/>
      <family val="2"/>
    </font>
    <font>
      <b/>
      <sz val="10"/>
      <name val="Arial"/>
      <family val="2"/>
    </font>
    <font>
      <b/>
      <sz val="10"/>
      <color theme="1"/>
      <name val="Arial"/>
      <family val="2"/>
      <scheme val="minor"/>
    </font>
    <font>
      <i/>
      <sz val="10"/>
      <color theme="1"/>
      <name val="Arial"/>
      <family val="2"/>
      <scheme val="minor"/>
    </font>
    <font>
      <b/>
      <sz val="8"/>
      <name val="Arial"/>
      <family val="2"/>
    </font>
    <font>
      <b/>
      <sz val="10"/>
      <color rgb="FF0070C0"/>
      <name val="Arial"/>
      <family val="2"/>
      <scheme val="minor"/>
    </font>
    <font>
      <sz val="10"/>
      <color rgb="FF0070C0"/>
      <name val="Arial"/>
      <family val="2"/>
      <scheme val="minor"/>
    </font>
    <font>
      <sz val="8"/>
      <color rgb="FF0070C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8"/>
      <color indexed="8"/>
      <name val="Arial"/>
      <family val="2"/>
    </font>
    <font>
      <sz val="11"/>
      <color indexed="60"/>
      <name val="Calibri"/>
      <family val="2"/>
    </font>
    <font>
      <sz val="10"/>
      <name val="Trebuchet MS"/>
      <family val="2"/>
    </font>
    <font>
      <sz val="11"/>
      <color theme="1"/>
      <name val="Arial"/>
      <family val="2"/>
    </font>
    <font>
      <b/>
      <sz val="11"/>
      <color indexed="63"/>
      <name val="Calibri"/>
      <family val="2"/>
    </font>
    <font>
      <sz val="11"/>
      <color indexed="23"/>
      <name val="Arial"/>
      <family val="2"/>
    </font>
    <font>
      <sz val="10"/>
      <name val="Geneva"/>
    </font>
    <font>
      <b/>
      <sz val="18"/>
      <color indexed="56"/>
      <name val="Cambria"/>
      <family val="2"/>
    </font>
    <font>
      <b/>
      <sz val="11"/>
      <color indexed="8"/>
      <name val="Calibri"/>
      <family val="2"/>
    </font>
    <font>
      <sz val="11"/>
      <color indexed="10"/>
      <name val="Calibri"/>
      <family val="2"/>
    </font>
    <font>
      <b/>
      <sz val="11"/>
      <color theme="1"/>
      <name val="Arial"/>
      <family val="2"/>
      <scheme val="minor"/>
    </font>
    <font>
      <sz val="10"/>
      <color theme="9" tint="-0.249977111117893"/>
      <name val="Arial"/>
      <family val="2"/>
      <scheme val="minor"/>
    </font>
    <font>
      <sz val="10"/>
      <name val="Arial"/>
      <family val="2"/>
      <scheme val="minor"/>
    </font>
    <font>
      <sz val="12"/>
      <color theme="1"/>
      <name val="Arial"/>
      <family val="2"/>
      <scheme val="minor"/>
    </font>
    <font>
      <u/>
      <sz val="10"/>
      <color theme="10"/>
      <name val="Arial"/>
      <family val="2"/>
    </font>
    <font>
      <i/>
      <u/>
      <sz val="10"/>
      <color theme="10"/>
      <name val="Arial"/>
      <family val="2"/>
    </font>
    <font>
      <b/>
      <sz val="10"/>
      <name val="Arial"/>
      <family val="2"/>
      <scheme val="minor"/>
    </font>
    <font>
      <b/>
      <sz val="22"/>
      <color indexed="9"/>
      <name val="Arial"/>
      <family val="2"/>
    </font>
    <font>
      <b/>
      <sz val="10"/>
      <color indexed="8"/>
      <name val="Arial"/>
      <family val="2"/>
    </font>
    <font>
      <b/>
      <sz val="10"/>
      <color theme="1"/>
      <name val="Arial"/>
      <family val="2"/>
      <scheme val="major"/>
    </font>
    <font>
      <b/>
      <vertAlign val="subscript"/>
      <sz val="10"/>
      <color theme="1"/>
      <name val="Arial"/>
      <family val="2"/>
      <scheme val="major"/>
    </font>
    <font>
      <sz val="9"/>
      <color indexed="81"/>
      <name val="Tahoma"/>
      <family val="2"/>
    </font>
    <font>
      <b/>
      <vertAlign val="subscript"/>
      <sz val="10"/>
      <color theme="1"/>
      <name val="Arial"/>
      <family val="2"/>
      <scheme val="minor"/>
    </font>
    <font>
      <sz val="8"/>
      <color theme="1"/>
      <name val="Arial"/>
      <family val="2"/>
      <scheme val="minor"/>
    </font>
    <font>
      <b/>
      <u/>
      <sz val="10"/>
      <name val="Arial"/>
      <family val="2"/>
      <scheme val="minor"/>
    </font>
    <font>
      <b/>
      <sz val="10"/>
      <color theme="0"/>
      <name val="Arial"/>
      <family val="2"/>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b/>
      <i/>
      <sz val="10"/>
      <color theme="1"/>
      <name val="Arial"/>
      <family val="2"/>
      <scheme val="minor"/>
    </font>
    <font>
      <i/>
      <sz val="10"/>
      <color indexed="8"/>
      <name val="Arial"/>
      <family val="2"/>
    </font>
    <font>
      <i/>
      <sz val="10"/>
      <color theme="0" tint="-0.499984740745262"/>
      <name val="Arial"/>
      <family val="2"/>
      <scheme val="minor"/>
    </font>
    <font>
      <i/>
      <sz val="10"/>
      <name val="Arial"/>
      <family val="2"/>
      <scheme val="minor"/>
    </font>
    <font>
      <sz val="12"/>
      <name val="Arial MT"/>
    </font>
    <font>
      <b/>
      <i/>
      <sz val="16"/>
      <name val="Helv"/>
    </font>
    <font>
      <b/>
      <sz val="12"/>
      <color theme="0"/>
      <name val="Arial"/>
      <family val="2"/>
      <scheme val="minor"/>
    </font>
    <font>
      <b/>
      <sz val="10"/>
      <color theme="0"/>
      <name val="Arial"/>
      <family val="2"/>
      <scheme val="minor"/>
    </font>
    <font>
      <i/>
      <sz val="10"/>
      <color theme="1"/>
      <name val="Arial"/>
      <family val="2"/>
    </font>
    <font>
      <b/>
      <sz val="10"/>
      <color theme="1"/>
      <name val="Arial"/>
      <family val="2"/>
    </font>
    <font>
      <i/>
      <sz val="10"/>
      <color rgb="FFFF0000"/>
      <name val="Arial"/>
      <family val="2"/>
      <scheme val="minor"/>
    </font>
    <font>
      <b/>
      <vertAlign val="superscript"/>
      <sz val="12"/>
      <color theme="0"/>
      <name val="Arial"/>
      <family val="2"/>
    </font>
    <font>
      <b/>
      <sz val="12"/>
      <color theme="0"/>
      <name val="Arial"/>
      <family val="2"/>
    </font>
    <font>
      <sz val="10"/>
      <color rgb="FFFF0000"/>
      <name val="Arial"/>
      <family val="2"/>
      <scheme val="minor"/>
    </font>
    <font>
      <b/>
      <sz val="8"/>
      <color rgb="FFFF0000"/>
      <name val="Arial"/>
      <family val="2"/>
    </font>
    <font>
      <sz val="8"/>
      <color indexed="81"/>
      <name val="Tahoma"/>
      <family val="2"/>
    </font>
    <font>
      <b/>
      <vertAlign val="superscript"/>
      <sz val="10"/>
      <color theme="1"/>
      <name val="Arial"/>
      <family val="2"/>
    </font>
    <font>
      <vertAlign val="superscript"/>
      <sz val="10"/>
      <color theme="1"/>
      <name val="Arial"/>
      <family val="2"/>
    </font>
    <font>
      <b/>
      <i/>
      <sz val="10"/>
      <color theme="0"/>
      <name val="Arial"/>
      <family val="2"/>
      <scheme val="minor"/>
    </font>
    <font>
      <sz val="10"/>
      <name val="Verdana"/>
      <family val="2"/>
    </font>
    <font>
      <b/>
      <sz val="14"/>
      <color theme="0"/>
      <name val="Arial"/>
      <family val="2"/>
    </font>
    <font>
      <b/>
      <sz val="10"/>
      <color theme="2"/>
      <name val="Arial"/>
      <family val="2"/>
      <scheme val="minor"/>
    </font>
    <font>
      <b/>
      <sz val="10"/>
      <color theme="8"/>
      <name val="Arial"/>
      <family val="2"/>
      <scheme val="minor"/>
    </font>
    <font>
      <b/>
      <vertAlign val="subscript"/>
      <sz val="10"/>
      <color theme="8"/>
      <name val="Arial"/>
      <family val="2"/>
    </font>
    <font>
      <b/>
      <sz val="10"/>
      <color theme="8"/>
      <name val="Arial"/>
      <family val="2"/>
    </font>
    <font>
      <b/>
      <vertAlign val="superscript"/>
      <sz val="10"/>
      <color theme="8"/>
      <name val="Arial"/>
      <family val="2"/>
    </font>
    <font>
      <b/>
      <vertAlign val="subscript"/>
      <sz val="11"/>
      <color theme="8"/>
      <name val="Tahoma"/>
      <family val="2"/>
    </font>
    <font>
      <b/>
      <vertAlign val="subscript"/>
      <sz val="10"/>
      <color theme="8"/>
      <name val="Tahoma"/>
      <family val="2"/>
    </font>
    <font>
      <b/>
      <sz val="10"/>
      <color theme="8"/>
      <name val="Calibri"/>
      <family val="2"/>
    </font>
    <font>
      <b/>
      <u/>
      <sz val="10"/>
      <color theme="8"/>
      <name val="Arial"/>
      <family val="2"/>
      <scheme val="minor"/>
    </font>
    <font>
      <sz val="14"/>
      <name val="Arial"/>
      <family val="2"/>
      <scheme val="minor"/>
    </font>
    <font>
      <b/>
      <sz val="14"/>
      <color theme="0"/>
      <name val="Arial"/>
      <family val="2"/>
      <scheme val="minor"/>
    </font>
    <font>
      <u/>
      <sz val="10"/>
      <color theme="10"/>
      <name val="Arial"/>
      <family val="2"/>
      <scheme val="minor"/>
    </font>
    <font>
      <sz val="10"/>
      <color theme="0"/>
      <name val="Arial"/>
      <family val="2"/>
      <scheme val="minor"/>
    </font>
    <font>
      <b/>
      <sz val="10"/>
      <color theme="9" tint="-0.499984740745262"/>
      <name val="Arial"/>
      <family val="2"/>
      <scheme val="minor"/>
    </font>
    <font>
      <b/>
      <sz val="8"/>
      <color theme="0"/>
      <name val="Arial"/>
      <family val="2"/>
      <scheme val="minor"/>
    </font>
    <font>
      <b/>
      <sz val="9"/>
      <color indexed="81"/>
      <name val="Tahoma"/>
      <family val="2"/>
    </font>
    <font>
      <sz val="9"/>
      <color theme="1"/>
      <name val="Arial"/>
      <family val="2"/>
      <scheme val="minor"/>
    </font>
    <font>
      <b/>
      <sz val="12"/>
      <color theme="8"/>
      <name val="Arial"/>
      <family val="2"/>
      <scheme val="minor"/>
    </font>
    <font>
      <b/>
      <vertAlign val="subscript"/>
      <sz val="12"/>
      <color theme="8"/>
      <name val="Arial"/>
      <family val="2"/>
      <scheme val="minor"/>
    </font>
    <font>
      <sz val="12"/>
      <color theme="8"/>
      <name val="Arial"/>
      <family val="2"/>
      <scheme val="minor"/>
    </font>
    <font>
      <sz val="10"/>
      <color theme="8"/>
      <name val="Arial"/>
      <family val="2"/>
      <scheme val="minor"/>
    </font>
    <font>
      <sz val="11"/>
      <name val="Arial"/>
      <family val="2"/>
      <scheme val="minor"/>
    </font>
    <font>
      <b/>
      <sz val="16"/>
      <name val="Arial"/>
      <family val="2"/>
      <scheme val="minor"/>
    </font>
    <font>
      <b/>
      <sz val="12"/>
      <color rgb="FFFFFFFF"/>
      <name val="Arial"/>
      <family val="2"/>
      <scheme val="major"/>
    </font>
    <font>
      <b/>
      <sz val="11"/>
      <color rgb="FFFFFFFF"/>
      <name val="Arial"/>
      <family val="2"/>
      <scheme val="major"/>
    </font>
    <font>
      <sz val="10"/>
      <color theme="1"/>
      <name val="Arial"/>
      <family val="2"/>
      <scheme val="major"/>
    </font>
    <font>
      <sz val="10"/>
      <color rgb="FF0070C0"/>
      <name val="Arial"/>
      <family val="2"/>
      <scheme val="major"/>
    </font>
    <font>
      <b/>
      <sz val="14"/>
      <color theme="0"/>
      <name val="Arial"/>
      <family val="2"/>
      <scheme val="major"/>
    </font>
    <font>
      <sz val="14"/>
      <name val="Arial"/>
      <family val="2"/>
      <scheme val="major"/>
    </font>
    <font>
      <b/>
      <sz val="12"/>
      <color theme="0"/>
      <name val="Arial"/>
      <family val="2"/>
      <scheme val="major"/>
    </font>
    <font>
      <sz val="10"/>
      <name val="Arial"/>
      <family val="2"/>
      <scheme val="major"/>
    </font>
    <font>
      <b/>
      <sz val="10"/>
      <color indexed="8"/>
      <name val="Arial"/>
      <family val="2"/>
      <scheme val="major"/>
    </font>
    <font>
      <sz val="10"/>
      <color rgb="FFFF0000"/>
      <name val="Arial"/>
      <family val="2"/>
      <scheme val="major"/>
    </font>
    <font>
      <i/>
      <sz val="11"/>
      <color rgb="FF4BACC6"/>
      <name val="Arial"/>
      <family val="2"/>
      <scheme val="major"/>
    </font>
    <font>
      <b/>
      <sz val="11"/>
      <color theme="1"/>
      <name val="Arial"/>
      <family val="2"/>
      <scheme val="major"/>
    </font>
    <font>
      <b/>
      <sz val="11"/>
      <color theme="0"/>
      <name val="Arial"/>
      <family val="2"/>
      <scheme val="major"/>
    </font>
    <font>
      <b/>
      <sz val="10"/>
      <color rgb="FF3F4450"/>
      <name val="Arial"/>
      <family val="2"/>
    </font>
    <font>
      <sz val="8"/>
      <name val="Arial"/>
      <family val="2"/>
      <scheme val="minor"/>
    </font>
    <font>
      <b/>
      <sz val="10"/>
      <color rgb="FF002060"/>
      <name val="Arial"/>
      <family val="2"/>
      <scheme val="minor"/>
    </font>
    <font>
      <b/>
      <vertAlign val="subscript"/>
      <sz val="10"/>
      <color theme="1"/>
      <name val="Arial"/>
      <family val="2"/>
    </font>
    <font>
      <sz val="11"/>
      <color theme="1"/>
      <name val="Arial"/>
      <family val="2"/>
      <scheme val="major"/>
    </font>
    <font>
      <b/>
      <vertAlign val="superscript"/>
      <sz val="10"/>
      <name val="Arial"/>
      <family val="2"/>
      <scheme val="major"/>
    </font>
    <font>
      <b/>
      <sz val="10"/>
      <name val="Arial"/>
      <family val="2"/>
      <scheme val="major"/>
    </font>
    <font>
      <i/>
      <sz val="10"/>
      <color rgb="FF000000"/>
      <name val="Arial"/>
      <family val="2"/>
    </font>
    <font>
      <i/>
      <sz val="12"/>
      <color theme="8"/>
      <name val="Arial"/>
      <family val="2"/>
      <scheme val="minor"/>
    </font>
  </fonts>
  <fills count="71">
    <fill>
      <patternFill patternType="none"/>
    </fill>
    <fill>
      <patternFill patternType="gray125"/>
    </fill>
    <fill>
      <patternFill patternType="solid">
        <fgColor rgb="FFFFFFCC"/>
      </patternFill>
    </fill>
    <fill>
      <patternFill patternType="solid">
        <fgColor theme="0" tint="-0.149998474074526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000"/>
        <bgColor indexed="64"/>
      </patternFill>
    </fill>
    <fill>
      <patternFill patternType="solid">
        <fgColor rgb="FFFF5050"/>
        <bgColor indexed="64"/>
      </patternFill>
    </fill>
    <fill>
      <patternFill patternType="solid">
        <fgColor rgb="FF92D050"/>
        <bgColor indexed="64"/>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rgb="FF00000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6" tint="0.79998168889431442"/>
        <bgColor indexed="64"/>
      </patternFill>
    </fill>
    <fill>
      <patternFill patternType="solid">
        <fgColor rgb="FF0070C0"/>
        <bgColor indexed="64"/>
      </patternFill>
    </fill>
    <fill>
      <patternFill patternType="solid">
        <fgColor rgb="FFCCE8F1"/>
        <bgColor rgb="FF000000"/>
      </patternFill>
    </fill>
  </fills>
  <borders count="8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indexed="64"/>
      </top>
      <bottom/>
      <diagonal/>
    </border>
    <border>
      <left style="thin">
        <color indexed="64"/>
      </left>
      <right style="thin">
        <color indexed="64"/>
      </right>
      <top/>
      <bottom/>
      <diagonal/>
    </border>
    <border>
      <left style="thin">
        <color indexed="64"/>
      </left>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indexed="64"/>
      </left>
      <right style="hair">
        <color auto="1"/>
      </right>
      <top style="thin">
        <color indexed="64"/>
      </top>
      <bottom style="hair">
        <color auto="1"/>
      </bottom>
      <diagonal/>
    </border>
    <border>
      <left style="hair">
        <color indexed="64"/>
      </left>
      <right style="hair">
        <color auto="1"/>
      </right>
      <top style="hair">
        <color auto="1"/>
      </top>
      <bottom style="thin">
        <color indexed="64"/>
      </bottom>
      <diagonal/>
    </border>
    <border>
      <left/>
      <right style="hair">
        <color auto="1"/>
      </right>
      <top style="hair">
        <color auto="1"/>
      </top>
      <bottom/>
      <diagonal/>
    </border>
    <border>
      <left style="hair">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style="hair">
        <color auto="1"/>
      </bottom>
      <diagonal/>
    </border>
    <border>
      <left style="hair">
        <color auto="1"/>
      </left>
      <right style="thin">
        <color indexed="64"/>
      </right>
      <top style="hair">
        <color auto="1"/>
      </top>
      <bottom style="hair">
        <color auto="1"/>
      </bottom>
      <diagonal/>
    </border>
    <border>
      <left style="thin">
        <color indexed="64"/>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right/>
      <top/>
      <bottom style="hair">
        <color auto="1"/>
      </bottom>
      <diagonal/>
    </border>
    <border>
      <left style="thin">
        <color indexed="64"/>
      </left>
      <right style="thin">
        <color indexed="64"/>
      </right>
      <top style="thin">
        <color indexed="64"/>
      </top>
      <bottom style="thick">
        <color indexed="64"/>
      </bottom>
      <diagonal/>
    </border>
    <border>
      <left style="hair">
        <color indexed="64"/>
      </left>
      <right/>
      <top style="thin">
        <color indexed="64"/>
      </top>
      <bottom/>
      <diagonal/>
    </border>
    <border>
      <left style="thin">
        <color indexed="64"/>
      </left>
      <right/>
      <top style="hair">
        <color auto="1"/>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hair">
        <color auto="1"/>
      </left>
      <right style="hair">
        <color auto="1"/>
      </right>
      <top/>
      <bottom style="hair">
        <color auto="1"/>
      </bottom>
      <diagonal/>
    </border>
    <border>
      <left style="thin">
        <color indexed="64"/>
      </left>
      <right style="hair">
        <color auto="1"/>
      </right>
      <top/>
      <bottom style="hair">
        <color indexed="64"/>
      </bottom>
      <diagonal/>
    </border>
    <border>
      <left style="hair">
        <color auto="1"/>
      </left>
      <right style="thin">
        <color indexed="64"/>
      </right>
      <top/>
      <bottom style="hair">
        <color auto="1"/>
      </bottom>
      <diagonal/>
    </border>
    <border>
      <left/>
      <right style="thin">
        <color indexed="64"/>
      </right>
      <top/>
      <bottom/>
      <diagonal/>
    </border>
    <border>
      <left/>
      <right style="thin">
        <color indexed="64"/>
      </right>
      <top/>
      <bottom style="thin">
        <color indexed="64"/>
      </bottom>
      <diagonal/>
    </border>
    <border>
      <left/>
      <right style="hair">
        <color auto="1"/>
      </right>
      <top style="thin">
        <color indexed="64"/>
      </top>
      <bottom style="thin">
        <color indexed="64"/>
      </bottom>
      <diagonal/>
    </border>
    <border>
      <left style="hair">
        <color indexed="64"/>
      </left>
      <right style="hair">
        <color auto="1"/>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hair">
        <color auto="1"/>
      </bottom>
      <diagonal/>
    </border>
    <border>
      <left/>
      <right/>
      <top style="thin">
        <color indexed="64"/>
      </top>
      <bottom style="hair">
        <color auto="1"/>
      </bottom>
      <diagonal/>
    </border>
    <border>
      <left/>
      <right style="thin">
        <color indexed="64"/>
      </right>
      <top style="thin">
        <color indexed="64"/>
      </top>
      <bottom style="hair">
        <color auto="1"/>
      </bottom>
      <diagonal/>
    </border>
    <border>
      <left style="thin">
        <color indexed="64"/>
      </left>
      <right/>
      <top style="hair">
        <color auto="1"/>
      </top>
      <bottom style="thin">
        <color indexed="64"/>
      </bottom>
      <diagonal/>
    </border>
    <border>
      <left/>
      <right/>
      <top style="hair">
        <color auto="1"/>
      </top>
      <bottom style="thin">
        <color indexed="64"/>
      </bottom>
      <diagonal/>
    </border>
    <border>
      <left/>
      <right style="thin">
        <color indexed="64"/>
      </right>
      <top style="hair">
        <color auto="1"/>
      </top>
      <bottom style="thin">
        <color indexed="64"/>
      </bottom>
      <diagonal/>
    </border>
    <border>
      <left/>
      <right style="thin">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medium">
        <color indexed="64"/>
      </top>
      <bottom style="hair">
        <color auto="1"/>
      </bottom>
      <diagonal/>
    </border>
    <border>
      <left/>
      <right style="medium">
        <color indexed="64"/>
      </right>
      <top style="medium">
        <color indexed="64"/>
      </top>
      <bottom style="hair">
        <color indexed="64"/>
      </bottom>
      <diagonal/>
    </border>
  </borders>
  <cellStyleXfs count="2242">
    <xf numFmtId="0" fontId="0" fillId="0" borderId="0"/>
    <xf numFmtId="43" fontId="14" fillId="0" borderId="0" applyFont="0" applyFill="0" applyBorder="0" applyAlignment="0" applyProtection="0"/>
    <xf numFmtId="165" fontId="14" fillId="0" borderId="0" applyFont="0" applyFill="0" applyBorder="0" applyAlignment="0" applyProtection="0"/>
    <xf numFmtId="44" fontId="14" fillId="0" borderId="0" applyFont="0" applyFill="0" applyBorder="0" applyAlignment="0" applyProtection="0"/>
    <xf numFmtId="0" fontId="16" fillId="0" borderId="0"/>
    <xf numFmtId="0" fontId="14" fillId="0" borderId="0"/>
    <xf numFmtId="0" fontId="13" fillId="0" borderId="0"/>
    <xf numFmtId="0" fontId="18" fillId="0" borderId="0"/>
    <xf numFmtId="0" fontId="14" fillId="0" borderId="0"/>
    <xf numFmtId="0" fontId="14" fillId="0" borderId="0"/>
    <xf numFmtId="0" fontId="16" fillId="0" borderId="0"/>
    <xf numFmtId="0" fontId="14" fillId="0" borderId="0"/>
    <xf numFmtId="0" fontId="13" fillId="0" borderId="0"/>
    <xf numFmtId="0" fontId="13" fillId="0" borderId="0"/>
    <xf numFmtId="0" fontId="13" fillId="0" borderId="0"/>
    <xf numFmtId="0" fontId="13" fillId="0" borderId="0"/>
    <xf numFmtId="9" fontId="14" fillId="0" borderId="0" applyFont="0" applyFill="0" applyBorder="0" applyAlignment="0" applyProtection="0"/>
    <xf numFmtId="0" fontId="14" fillId="0" borderId="0"/>
    <xf numFmtId="167" fontId="14" fillId="0" borderId="0"/>
    <xf numFmtId="167" fontId="17" fillId="5" borderId="0" applyNumberFormat="0" applyBorder="0" applyAlignment="0" applyProtection="0"/>
    <xf numFmtId="167" fontId="17" fillId="6" borderId="0" applyNumberFormat="0" applyBorder="0" applyAlignment="0" applyProtection="0"/>
    <xf numFmtId="167" fontId="17" fillId="7" borderId="0" applyNumberFormat="0" applyBorder="0" applyAlignment="0" applyProtection="0"/>
    <xf numFmtId="167" fontId="17" fillId="8" borderId="0" applyNumberFormat="0" applyBorder="0" applyAlignment="0" applyProtection="0"/>
    <xf numFmtId="167" fontId="17" fillId="9" borderId="0" applyNumberFormat="0" applyBorder="0" applyAlignment="0" applyProtection="0"/>
    <xf numFmtId="167" fontId="17" fillId="10" borderId="0" applyNumberFormat="0" applyBorder="0" applyAlignment="0" applyProtection="0"/>
    <xf numFmtId="167" fontId="17" fillId="11" borderId="0" applyNumberFormat="0" applyBorder="0" applyAlignment="0" applyProtection="0"/>
    <xf numFmtId="167" fontId="17" fillId="12" borderId="0" applyNumberFormat="0" applyBorder="0" applyAlignment="0" applyProtection="0"/>
    <xf numFmtId="167" fontId="17" fillId="13" borderId="0" applyNumberFormat="0" applyBorder="0" applyAlignment="0" applyProtection="0"/>
    <xf numFmtId="167" fontId="17" fillId="8" borderId="0" applyNumberFormat="0" applyBorder="0" applyAlignment="0" applyProtection="0"/>
    <xf numFmtId="167" fontId="17" fillId="11" borderId="0" applyNumberFormat="0" applyBorder="0" applyAlignment="0" applyProtection="0"/>
    <xf numFmtId="167" fontId="17" fillId="14" borderId="0" applyNumberFormat="0" applyBorder="0" applyAlignment="0" applyProtection="0"/>
    <xf numFmtId="167" fontId="26" fillId="15" borderId="0" applyNumberFormat="0" applyBorder="0" applyAlignment="0" applyProtection="0"/>
    <xf numFmtId="167" fontId="26" fillId="12" borderId="0" applyNumberFormat="0" applyBorder="0" applyAlignment="0" applyProtection="0"/>
    <xf numFmtId="167" fontId="26" fillId="13" borderId="0" applyNumberFormat="0" applyBorder="0" applyAlignment="0" applyProtection="0"/>
    <xf numFmtId="167" fontId="26" fillId="16" borderId="0" applyNumberFormat="0" applyBorder="0" applyAlignment="0" applyProtection="0"/>
    <xf numFmtId="167" fontId="26" fillId="17" borderId="0" applyNumberFormat="0" applyBorder="0" applyAlignment="0" applyProtection="0"/>
    <xf numFmtId="167" fontId="26" fillId="18" borderId="0" applyNumberFormat="0" applyBorder="0" applyAlignment="0" applyProtection="0"/>
    <xf numFmtId="167" fontId="26" fillId="19" borderId="0" applyNumberFormat="0" applyBorder="0" applyAlignment="0" applyProtection="0"/>
    <xf numFmtId="167" fontId="26" fillId="20" borderId="0" applyNumberFormat="0" applyBorder="0" applyAlignment="0" applyProtection="0"/>
    <xf numFmtId="167" fontId="26" fillId="21" borderId="0" applyNumberFormat="0" applyBorder="0" applyAlignment="0" applyProtection="0"/>
    <xf numFmtId="167" fontId="26" fillId="16" borderId="0" applyNumberFormat="0" applyBorder="0" applyAlignment="0" applyProtection="0"/>
    <xf numFmtId="167" fontId="26" fillId="17" borderId="0" applyNumberFormat="0" applyBorder="0" applyAlignment="0" applyProtection="0"/>
    <xf numFmtId="167" fontId="26" fillId="22" borderId="0" applyNumberFormat="0" applyBorder="0" applyAlignment="0" applyProtection="0"/>
    <xf numFmtId="167" fontId="27" fillId="6" borderId="0" applyNumberFormat="0" applyBorder="0" applyAlignment="0" applyProtection="0"/>
    <xf numFmtId="167" fontId="28" fillId="23" borderId="4" applyNumberFormat="0" applyAlignment="0" applyProtection="0"/>
    <xf numFmtId="167" fontId="29" fillId="24" borderId="5" applyNumberFormat="0" applyAlignment="0" applyProtection="0"/>
    <xf numFmtId="43" fontId="1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3" fontId="14" fillId="0" borderId="0" applyFont="0" applyFill="0" applyBorder="0" applyAlignment="0" applyProtection="0"/>
    <xf numFmtId="43" fontId="1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4" fillId="0" borderId="0" applyFont="0" applyFill="0" applyBorder="0" applyAlignment="0" applyProtection="0"/>
    <xf numFmtId="44" fontId="13" fillId="0" borderId="0" applyFont="0" applyFill="0" applyBorder="0" applyAlignment="0" applyProtection="0"/>
    <xf numFmtId="164" fontId="1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4" fillId="0" borderId="0" applyFont="0" applyFill="0" applyBorder="0" applyAlignment="0" applyProtection="0"/>
    <xf numFmtId="44" fontId="13" fillId="0" borderId="0" applyFont="0" applyFill="0" applyBorder="0" applyAlignment="0" applyProtection="0"/>
    <xf numFmtId="167" fontId="30" fillId="0" borderId="0" applyNumberFormat="0" applyFill="0" applyBorder="0" applyAlignment="0" applyProtection="0"/>
    <xf numFmtId="167" fontId="31" fillId="7" borderId="0" applyNumberFormat="0" applyBorder="0" applyAlignment="0" applyProtection="0"/>
    <xf numFmtId="167" fontId="32" fillId="0" borderId="6" applyNumberFormat="0" applyFill="0" applyAlignment="0" applyProtection="0"/>
    <xf numFmtId="167" fontId="33" fillId="0" borderId="7" applyNumberFormat="0" applyFill="0" applyAlignment="0" applyProtection="0"/>
    <xf numFmtId="167" fontId="34" fillId="0" borderId="8" applyNumberFormat="0" applyFill="0" applyAlignment="0" applyProtection="0"/>
    <xf numFmtId="167" fontId="22" fillId="0" borderId="0" applyFill="0" applyBorder="0">
      <alignment vertical="center"/>
    </xf>
    <xf numFmtId="167" fontId="34" fillId="0" borderId="0" applyNumberFormat="0" applyFill="0" applyBorder="0" applyAlignment="0" applyProtection="0"/>
    <xf numFmtId="167" fontId="35" fillId="10" borderId="4" applyNumberFormat="0" applyAlignment="0" applyProtection="0"/>
    <xf numFmtId="167" fontId="36" fillId="0" borderId="9" applyNumberFormat="0" applyFill="0" applyAlignment="0" applyProtection="0"/>
    <xf numFmtId="167" fontId="37" fillId="25" borderId="0">
      <alignment horizontal="center"/>
    </xf>
    <xf numFmtId="167" fontId="38" fillId="26" borderId="0" applyNumberFormat="0" applyBorder="0" applyAlignment="0" applyProtection="0"/>
    <xf numFmtId="167" fontId="13" fillId="0" borderId="0"/>
    <xf numFmtId="0" fontId="16" fillId="0" borderId="0"/>
    <xf numFmtId="167" fontId="14" fillId="0" borderId="0"/>
    <xf numFmtId="0" fontId="39" fillId="0" borderId="0"/>
    <xf numFmtId="0" fontId="18" fillId="0" borderId="0"/>
    <xf numFmtId="0" fontId="18" fillId="0" borderId="0"/>
    <xf numFmtId="0" fontId="18" fillId="0" borderId="0"/>
    <xf numFmtId="0" fontId="13" fillId="0" borderId="0"/>
    <xf numFmtId="0" fontId="13" fillId="0" borderId="0"/>
    <xf numFmtId="0" fontId="13" fillId="0" borderId="0"/>
    <xf numFmtId="0" fontId="13" fillId="0" borderId="0"/>
    <xf numFmtId="0" fontId="14" fillId="0" borderId="0"/>
    <xf numFmtId="167" fontId="14" fillId="0" borderId="0"/>
    <xf numFmtId="167" fontId="13" fillId="0" borderId="0"/>
    <xf numFmtId="167" fontId="13" fillId="0" borderId="0"/>
    <xf numFmtId="167" fontId="13" fillId="0" borderId="0"/>
    <xf numFmtId="167" fontId="18" fillId="0" borderId="0"/>
    <xf numFmtId="167" fontId="14" fillId="0" borderId="0"/>
    <xf numFmtId="167" fontId="18" fillId="0" borderId="0"/>
    <xf numFmtId="167" fontId="14" fillId="0" borderId="0"/>
    <xf numFmtId="0" fontId="13" fillId="0" borderId="0"/>
    <xf numFmtId="0" fontId="13" fillId="0" borderId="0"/>
    <xf numFmtId="167" fontId="13" fillId="0" borderId="0"/>
    <xf numFmtId="0" fontId="13" fillId="0" borderId="0"/>
    <xf numFmtId="167" fontId="13" fillId="0" borderId="0"/>
    <xf numFmtId="0" fontId="13" fillId="0" borderId="0"/>
    <xf numFmtId="167" fontId="18" fillId="0" borderId="0">
      <alignment vertical="top"/>
    </xf>
    <xf numFmtId="167" fontId="18" fillId="0" borderId="0">
      <alignment vertical="top"/>
    </xf>
    <xf numFmtId="0" fontId="13" fillId="0" borderId="0"/>
    <xf numFmtId="167" fontId="18" fillId="0" borderId="0">
      <alignment vertical="top"/>
    </xf>
    <xf numFmtId="167" fontId="18" fillId="0" borderId="0">
      <alignment vertical="top"/>
    </xf>
    <xf numFmtId="167" fontId="14" fillId="0" borderId="0">
      <alignment wrapText="1"/>
    </xf>
    <xf numFmtId="167" fontId="18" fillId="0" borderId="0">
      <alignment vertical="top"/>
    </xf>
    <xf numFmtId="167" fontId="14" fillId="0" borderId="0">
      <alignment wrapText="1"/>
    </xf>
    <xf numFmtId="167" fontId="40" fillId="0" borderId="0"/>
    <xf numFmtId="167" fontId="14" fillId="0" borderId="0"/>
    <xf numFmtId="167" fontId="14" fillId="0" borderId="0"/>
    <xf numFmtId="167" fontId="14" fillId="0" borderId="0"/>
    <xf numFmtId="167" fontId="16" fillId="0" borderId="0"/>
    <xf numFmtId="167" fontId="14" fillId="27" borderId="10" applyNumberFormat="0" applyFont="0" applyAlignment="0" applyProtection="0"/>
    <xf numFmtId="0" fontId="13" fillId="2" borderId="1" applyNumberFormat="0" applyFont="0" applyAlignment="0" applyProtection="0"/>
    <xf numFmtId="0" fontId="13" fillId="2" borderId="1" applyNumberFormat="0" applyFont="0" applyAlignment="0" applyProtection="0"/>
    <xf numFmtId="0" fontId="13" fillId="2" borderId="1" applyNumberFormat="0" applyFont="0" applyAlignment="0" applyProtection="0"/>
    <xf numFmtId="0" fontId="13" fillId="2" borderId="1" applyNumberFormat="0" applyFont="0" applyAlignment="0" applyProtection="0"/>
    <xf numFmtId="0" fontId="13" fillId="2" borderId="1" applyNumberFormat="0" applyFont="0" applyAlignment="0" applyProtection="0"/>
    <xf numFmtId="0" fontId="13" fillId="2" borderId="1" applyNumberFormat="0" applyFont="0" applyAlignment="0" applyProtection="0"/>
    <xf numFmtId="167" fontId="41" fillId="23" borderId="11" applyNumberFormat="0" applyAlignment="0" applyProtection="0"/>
    <xf numFmtId="9" fontId="14" fillId="0" borderId="0" applyFont="0" applyFill="0" applyBorder="0" applyAlignment="0" applyProtection="0"/>
    <xf numFmtId="9" fontId="42" fillId="0" borderId="0" applyFont="0" applyFill="0" applyBorder="0" applyAlignment="0" applyProtection="0"/>
    <xf numFmtId="9" fontId="13"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167" fontId="43" fillId="0" borderId="0"/>
    <xf numFmtId="167" fontId="44" fillId="0" borderId="0" applyNumberFormat="0" applyFill="0" applyBorder="0" applyAlignment="0" applyProtection="0"/>
    <xf numFmtId="167" fontId="45" fillId="0" borderId="12" applyNumberFormat="0" applyFill="0" applyAlignment="0" applyProtection="0"/>
    <xf numFmtId="167" fontId="46" fillId="0" borderId="0" applyNumberFormat="0" applyFill="0" applyBorder="0" applyAlignment="0" applyProtection="0"/>
    <xf numFmtId="43" fontId="16" fillId="0" borderId="0" applyFont="0" applyFill="0" applyBorder="0" applyAlignment="0" applyProtection="0"/>
    <xf numFmtId="0" fontId="12" fillId="0" borderId="0"/>
    <xf numFmtId="43"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7" fontId="12" fillId="0" borderId="0"/>
    <xf numFmtId="167" fontId="18" fillId="0" borderId="0"/>
    <xf numFmtId="167" fontId="12" fillId="0" borderId="0"/>
    <xf numFmtId="167" fontId="12" fillId="0" borderId="0"/>
    <xf numFmtId="167" fontId="12" fillId="0" borderId="0"/>
    <xf numFmtId="167" fontId="12" fillId="0" borderId="0"/>
    <xf numFmtId="167" fontId="14" fillId="0" borderId="0">
      <alignment wrapText="1"/>
    </xf>
    <xf numFmtId="167" fontId="12" fillId="0" borderId="0"/>
    <xf numFmtId="167" fontId="12" fillId="0" borderId="0"/>
    <xf numFmtId="167" fontId="14" fillId="0" borderId="0"/>
    <xf numFmtId="167" fontId="14" fillId="0" borderId="0"/>
    <xf numFmtId="9" fontId="12" fillId="0" borderId="0" applyFont="0" applyFill="0" applyBorder="0" applyAlignment="0" applyProtection="0"/>
    <xf numFmtId="167" fontId="12" fillId="0" borderId="0"/>
    <xf numFmtId="0" fontId="51" fillId="0" borderId="0" applyNumberFormat="0" applyFill="0" applyBorder="0" applyAlignment="0" applyProtection="0">
      <alignment vertical="top"/>
      <protection locked="0"/>
    </xf>
    <xf numFmtId="0" fontId="18" fillId="0" borderId="0"/>
    <xf numFmtId="0" fontId="14" fillId="0" borderId="0"/>
    <xf numFmtId="0" fontId="11" fillId="0" borderId="0"/>
    <xf numFmtId="0" fontId="11" fillId="0" borderId="0"/>
    <xf numFmtId="0" fontId="11" fillId="0" borderId="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67" fontId="11" fillId="0" borderId="0"/>
    <xf numFmtId="0" fontId="11" fillId="0" borderId="0"/>
    <xf numFmtId="0" fontId="11" fillId="0" borderId="0"/>
    <xf numFmtId="0" fontId="11" fillId="0" borderId="0"/>
    <xf numFmtId="0" fontId="11" fillId="0" borderId="0"/>
    <xf numFmtId="167" fontId="11" fillId="0" borderId="0"/>
    <xf numFmtId="167" fontId="11" fillId="0" borderId="0"/>
    <xf numFmtId="167" fontId="11" fillId="0" borderId="0"/>
    <xf numFmtId="0" fontId="11" fillId="0" borderId="0"/>
    <xf numFmtId="0" fontId="11" fillId="0" borderId="0"/>
    <xf numFmtId="167" fontId="11" fillId="0" borderId="0"/>
    <xf numFmtId="0" fontId="11" fillId="0" borderId="0"/>
    <xf numFmtId="167" fontId="11" fillId="0" borderId="0"/>
    <xf numFmtId="0" fontId="11" fillId="0" borderId="0"/>
    <xf numFmtId="0" fontId="11" fillId="0" borderId="0"/>
    <xf numFmtId="0" fontId="11" fillId="2" borderId="1" applyNumberFormat="0" applyFont="0" applyAlignment="0" applyProtection="0"/>
    <xf numFmtId="0" fontId="11" fillId="2" borderId="1" applyNumberFormat="0" applyFont="0" applyAlignment="0" applyProtection="0"/>
    <xf numFmtId="0" fontId="11" fillId="2" borderId="1" applyNumberFormat="0" applyFont="0" applyAlignment="0" applyProtection="0"/>
    <xf numFmtId="0" fontId="11" fillId="2" borderId="1" applyNumberFormat="0" applyFont="0" applyAlignment="0" applyProtection="0"/>
    <xf numFmtId="0" fontId="11" fillId="2" borderId="1" applyNumberFormat="0" applyFont="0" applyAlignment="0" applyProtection="0"/>
    <xf numFmtId="0" fontId="11" fillId="2" borderId="1" applyNumberFormat="0" applyFont="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67" fontId="11" fillId="0" borderId="0"/>
    <xf numFmtId="167" fontId="11" fillId="0" borderId="0"/>
    <xf numFmtId="167" fontId="11" fillId="0" borderId="0"/>
    <xf numFmtId="167" fontId="11" fillId="0" borderId="0"/>
    <xf numFmtId="167" fontId="11" fillId="0" borderId="0"/>
    <xf numFmtId="167" fontId="11" fillId="0" borderId="0"/>
    <xf numFmtId="167" fontId="11" fillId="0" borderId="0"/>
    <xf numFmtId="9" fontId="11" fillId="0" borderId="0" applyFont="0" applyFill="0" applyBorder="0" applyAlignment="0" applyProtection="0"/>
    <xf numFmtId="167" fontId="11" fillId="0" borderId="0"/>
    <xf numFmtId="0" fontId="63" fillId="0" borderId="0" applyNumberFormat="0" applyFill="0" applyBorder="0" applyAlignment="0" applyProtection="0"/>
    <xf numFmtId="0" fontId="64" fillId="0" borderId="17" applyNumberFormat="0" applyFill="0" applyAlignment="0" applyProtection="0"/>
    <xf numFmtId="0" fontId="65" fillId="0" borderId="18" applyNumberFormat="0" applyFill="0" applyAlignment="0" applyProtection="0"/>
    <xf numFmtId="0" fontId="66" fillId="0" borderId="19" applyNumberFormat="0" applyFill="0" applyAlignment="0" applyProtection="0"/>
    <xf numFmtId="0" fontId="66" fillId="0" borderId="0" applyNumberFormat="0" applyFill="0" applyBorder="0" applyAlignment="0" applyProtection="0"/>
    <xf numFmtId="0" fontId="67" fillId="28" borderId="0" applyNumberFormat="0" applyBorder="0" applyAlignment="0" applyProtection="0"/>
    <xf numFmtId="0" fontId="68" fillId="29" borderId="0" applyNumberFormat="0" applyBorder="0" applyAlignment="0" applyProtection="0"/>
    <xf numFmtId="0" fontId="69" fillId="30" borderId="0" applyNumberFormat="0" applyBorder="0" applyAlignment="0" applyProtection="0"/>
    <xf numFmtId="0" fontId="70" fillId="31" borderId="20" applyNumberFormat="0" applyAlignment="0" applyProtection="0"/>
    <xf numFmtId="0" fontId="71" fillId="32" borderId="21" applyNumberFormat="0" applyAlignment="0" applyProtection="0"/>
    <xf numFmtId="0" fontId="72" fillId="32" borderId="20" applyNumberFormat="0" applyAlignment="0" applyProtection="0"/>
    <xf numFmtId="0" fontId="73" fillId="0" borderId="22" applyNumberFormat="0" applyFill="0" applyAlignment="0" applyProtection="0"/>
    <xf numFmtId="0" fontId="74" fillId="33" borderId="23" applyNumberFormat="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47" fillId="0" borderId="24" applyNumberFormat="0" applyFill="0" applyAlignment="0" applyProtection="0"/>
    <xf numFmtId="0" fontId="77"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77" fillId="37" borderId="0" applyNumberFormat="0" applyBorder="0" applyAlignment="0" applyProtection="0"/>
    <xf numFmtId="0" fontId="77" fillId="38"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77" fillId="41" borderId="0" applyNumberFormat="0" applyBorder="0" applyAlignment="0" applyProtection="0"/>
    <xf numFmtId="0" fontId="77" fillId="42"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77" fillId="45" borderId="0" applyNumberFormat="0" applyBorder="0" applyAlignment="0" applyProtection="0"/>
    <xf numFmtId="0" fontId="77" fillId="46" borderId="0" applyNumberFormat="0" applyBorder="0" applyAlignment="0" applyProtection="0"/>
    <xf numFmtId="0" fontId="10" fillId="47" borderId="0" applyNumberFormat="0" applyBorder="0" applyAlignment="0" applyProtection="0"/>
    <xf numFmtId="0" fontId="10" fillId="48" borderId="0" applyNumberFormat="0" applyBorder="0" applyAlignment="0" applyProtection="0"/>
    <xf numFmtId="0" fontId="77" fillId="49" borderId="0" applyNumberFormat="0" applyBorder="0" applyAlignment="0" applyProtection="0"/>
    <xf numFmtId="0" fontId="77" fillId="50" borderId="0" applyNumberFormat="0" applyBorder="0" applyAlignment="0" applyProtection="0"/>
    <xf numFmtId="0" fontId="10" fillId="51" borderId="0" applyNumberFormat="0" applyBorder="0" applyAlignment="0" applyProtection="0"/>
    <xf numFmtId="0" fontId="10" fillId="52" borderId="0" applyNumberFormat="0" applyBorder="0" applyAlignment="0" applyProtection="0"/>
    <xf numFmtId="0" fontId="77" fillId="53" borderId="0" applyNumberFormat="0" applyBorder="0" applyAlignment="0" applyProtection="0"/>
    <xf numFmtId="0" fontId="77" fillId="54" borderId="0" applyNumberFormat="0" applyBorder="0" applyAlignment="0" applyProtection="0"/>
    <xf numFmtId="0" fontId="10" fillId="55" borderId="0" applyNumberFormat="0" applyBorder="0" applyAlignment="0" applyProtection="0"/>
    <xf numFmtId="0" fontId="10" fillId="56" borderId="0" applyNumberFormat="0" applyBorder="0" applyAlignment="0" applyProtection="0"/>
    <xf numFmtId="0" fontId="77" fillId="57" borderId="0" applyNumberFormat="0" applyBorder="0" applyAlignment="0" applyProtection="0"/>
    <xf numFmtId="0" fontId="10" fillId="0" borderId="0"/>
    <xf numFmtId="0" fontId="10" fillId="2" borderId="1" applyNumberFormat="0" applyFont="0" applyAlignment="0" applyProtection="0"/>
    <xf numFmtId="9" fontId="16" fillId="0" borderId="0" applyFont="0" applyFill="0" applyBorder="0" applyAlignment="0" applyProtection="0"/>
    <xf numFmtId="0" fontId="9" fillId="0" borderId="0"/>
    <xf numFmtId="9" fontId="16" fillId="0" borderId="0" applyFont="0" applyFill="0" applyBorder="0" applyAlignment="0" applyProtection="0"/>
    <xf numFmtId="0" fontId="9" fillId="0" borderId="0"/>
    <xf numFmtId="0" fontId="8" fillId="0" borderId="0"/>
    <xf numFmtId="0" fontId="8" fillId="2" borderId="1" applyNumberFormat="0" applyFont="0" applyAlignment="0" applyProtection="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43" fontId="6" fillId="0" borderId="0" applyFont="0" applyFill="0" applyBorder="0" applyAlignment="0" applyProtection="0"/>
    <xf numFmtId="0" fontId="82" fillId="25" borderId="0"/>
    <xf numFmtId="175" fontId="83" fillId="0" borderId="0"/>
    <xf numFmtId="0" fontId="14" fillId="0" borderId="0"/>
    <xf numFmtId="0" fontId="6" fillId="0" borderId="0"/>
    <xf numFmtId="9" fontId="6" fillId="0" borderId="0" applyFont="0" applyFill="0" applyBorder="0" applyAlignment="0" applyProtection="0"/>
    <xf numFmtId="44" fontId="6" fillId="0" borderId="0" applyFont="0" applyFill="0" applyBorder="0" applyAlignment="0" applyProtection="0"/>
    <xf numFmtId="0" fontId="16" fillId="0" borderId="0"/>
    <xf numFmtId="0" fontId="1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2" borderId="1" applyNumberFormat="0" applyFont="0" applyAlignment="0" applyProtection="0"/>
    <xf numFmtId="0" fontId="5" fillId="0" borderId="0"/>
    <xf numFmtId="0" fontId="5" fillId="0" borderId="0"/>
    <xf numFmtId="0" fontId="5" fillId="0" borderId="0"/>
    <xf numFmtId="0" fontId="5" fillId="2" borderId="1" applyNumberFormat="0" applyFont="0" applyAlignment="0" applyProtection="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2" borderId="1" applyNumberFormat="0" applyFont="0" applyAlignment="0" applyProtection="0"/>
    <xf numFmtId="0" fontId="5" fillId="0" borderId="0"/>
    <xf numFmtId="0" fontId="5" fillId="0" borderId="0"/>
    <xf numFmtId="0" fontId="5" fillId="0" borderId="0"/>
    <xf numFmtId="0" fontId="5" fillId="2" borderId="1" applyNumberFormat="0" applyFont="0" applyAlignment="0" applyProtection="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2" borderId="1" applyNumberFormat="0" applyFont="0" applyAlignment="0" applyProtection="0"/>
    <xf numFmtId="0" fontId="5" fillId="0" borderId="0"/>
    <xf numFmtId="0" fontId="5" fillId="0" borderId="0"/>
    <xf numFmtId="0" fontId="5" fillId="0" borderId="0"/>
    <xf numFmtId="0" fontId="5" fillId="2" borderId="1" applyNumberFormat="0" applyFont="0" applyAlignment="0" applyProtection="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2" borderId="1" applyNumberFormat="0" applyFont="0" applyAlignment="0" applyProtection="0"/>
    <xf numFmtId="0" fontId="5" fillId="0" borderId="0"/>
    <xf numFmtId="0" fontId="5" fillId="0" borderId="0"/>
    <xf numFmtId="0" fontId="5" fillId="0" borderId="0"/>
    <xf numFmtId="0" fontId="5" fillId="2" borderId="1" applyNumberFormat="0" applyFont="0" applyAlignment="0" applyProtection="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2" borderId="1" applyNumberFormat="0" applyFont="0" applyAlignment="0" applyProtection="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43" fontId="5" fillId="0" borderId="0" applyFont="0" applyFill="0" applyBorder="0" applyAlignment="0" applyProtection="0"/>
    <xf numFmtId="0" fontId="5" fillId="0" borderId="0"/>
    <xf numFmtId="9"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2" borderId="1" applyNumberFormat="0" applyFont="0" applyAlignment="0" applyProtection="0"/>
    <xf numFmtId="0" fontId="5" fillId="0" borderId="0"/>
    <xf numFmtId="0" fontId="5" fillId="0" borderId="0"/>
    <xf numFmtId="0" fontId="5" fillId="0" borderId="0"/>
    <xf numFmtId="0" fontId="5" fillId="2" borderId="1" applyNumberFormat="0" applyFont="0" applyAlignment="0" applyProtection="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2" borderId="1" applyNumberFormat="0" applyFont="0" applyAlignment="0" applyProtection="0"/>
    <xf numFmtId="0" fontId="5" fillId="0" borderId="0"/>
    <xf numFmtId="0" fontId="5" fillId="0" borderId="0"/>
    <xf numFmtId="0" fontId="5" fillId="0" borderId="0"/>
    <xf numFmtId="0" fontId="5" fillId="2" borderId="1" applyNumberFormat="0" applyFont="0" applyAlignment="0" applyProtection="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2" borderId="1" applyNumberFormat="0" applyFont="0" applyAlignment="0" applyProtection="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43" fontId="5" fillId="0" borderId="0" applyFont="0" applyFill="0" applyBorder="0" applyAlignment="0" applyProtection="0"/>
    <xf numFmtId="0" fontId="5" fillId="0" borderId="0"/>
    <xf numFmtId="9"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2" borderId="1" applyNumberFormat="0" applyFont="0" applyAlignment="0" applyProtection="0"/>
    <xf numFmtId="0" fontId="5" fillId="0" borderId="0"/>
    <xf numFmtId="0" fontId="5" fillId="0" borderId="0"/>
    <xf numFmtId="0" fontId="5" fillId="0" borderId="0"/>
    <xf numFmtId="0" fontId="5" fillId="2" borderId="1" applyNumberFormat="0" applyFont="0" applyAlignment="0" applyProtection="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167" fontId="5" fillId="0" borderId="0"/>
    <xf numFmtId="0" fontId="5" fillId="0" borderId="0"/>
    <xf numFmtId="0" fontId="5" fillId="0" borderId="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0" fontId="5" fillId="2" borderId="1"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9" fontId="5" fillId="0" borderId="0" applyFont="0" applyFill="0" applyBorder="0" applyAlignment="0" applyProtection="0"/>
    <xf numFmtId="167" fontId="5" fillId="0" borderId="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2" borderId="1" applyNumberFormat="0" applyFont="0" applyAlignment="0" applyProtection="0"/>
    <xf numFmtId="0" fontId="5" fillId="0" borderId="0"/>
    <xf numFmtId="0" fontId="5" fillId="0" borderId="0"/>
    <xf numFmtId="0" fontId="5" fillId="0" borderId="0"/>
    <xf numFmtId="0" fontId="5" fillId="2" borderId="1" applyNumberFormat="0" applyFont="0" applyAlignment="0" applyProtection="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0" fontId="5" fillId="0" borderId="0"/>
    <xf numFmtId="0" fontId="5" fillId="2" borderId="1" applyNumberFormat="0" applyFont="0" applyAlignment="0" applyProtection="0"/>
    <xf numFmtId="0" fontId="5" fillId="35" borderId="0" applyNumberFormat="0" applyBorder="0" applyAlignment="0" applyProtection="0"/>
    <xf numFmtId="0" fontId="5" fillId="3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5" fillId="47" borderId="0" applyNumberFormat="0" applyBorder="0" applyAlignment="0" applyProtection="0"/>
    <xf numFmtId="0" fontId="5" fillId="48" borderId="0" applyNumberFormat="0" applyBorder="0" applyAlignment="0" applyProtection="0"/>
    <xf numFmtId="0" fontId="5" fillId="51" borderId="0" applyNumberFormat="0" applyBorder="0" applyAlignment="0" applyProtection="0"/>
    <xf numFmtId="0" fontId="5" fillId="52" borderId="0" applyNumberFormat="0" applyBorder="0" applyAlignment="0" applyProtection="0"/>
    <xf numFmtId="0" fontId="5" fillId="55" borderId="0" applyNumberFormat="0" applyBorder="0" applyAlignment="0" applyProtection="0"/>
    <xf numFmtId="0" fontId="5" fillId="56" borderId="0" applyNumberFormat="0" applyBorder="0" applyAlignment="0" applyProtection="0"/>
    <xf numFmtId="43" fontId="5" fillId="0" borderId="0" applyFont="0" applyFill="0" applyBorder="0" applyAlignment="0" applyProtection="0"/>
    <xf numFmtId="0" fontId="5" fillId="0" borderId="0"/>
    <xf numFmtId="9" fontId="5" fillId="0" borderId="0" applyFont="0" applyFill="0" applyBorder="0" applyAlignment="0" applyProtection="0"/>
    <xf numFmtId="44" fontId="5" fillId="0" borderId="0" applyFont="0" applyFill="0" applyBorder="0" applyAlignment="0" applyProtection="0"/>
    <xf numFmtId="0" fontId="4" fillId="0" borderId="0"/>
    <xf numFmtId="176" fontId="14" fillId="0" borderId="0"/>
    <xf numFmtId="176" fontId="97" fillId="0" borderId="0"/>
    <xf numFmtId="0" fontId="3" fillId="0" borderId="0"/>
    <xf numFmtId="0" fontId="110" fillId="0" borderId="0" applyNumberFormat="0" applyFill="0" applyBorder="0" applyAlignment="0" applyProtection="0"/>
    <xf numFmtId="0" fontId="2" fillId="0" borderId="0"/>
    <xf numFmtId="0" fontId="2" fillId="0" borderId="0"/>
    <xf numFmtId="0" fontId="2" fillId="0" borderId="0"/>
  </cellStyleXfs>
  <cellXfs count="726">
    <xf numFmtId="0" fontId="0" fillId="0" borderId="0" xfId="0"/>
    <xf numFmtId="167" fontId="52" fillId="0" borderId="0" xfId="151" applyNumberFormat="1" applyFont="1" applyAlignment="1" applyProtection="1">
      <alignment vertical="center"/>
    </xf>
    <xf numFmtId="0" fontId="0" fillId="3" borderId="2" xfId="0" applyFill="1" applyBorder="1" applyAlignment="1">
      <alignment horizontal="left" vertical="center" wrapText="1"/>
    </xf>
    <xf numFmtId="0" fontId="20" fillId="3" borderId="2" xfId="0" applyFont="1" applyFill="1" applyBorder="1" applyAlignment="1">
      <alignment horizontal="left" vertical="center" wrapText="1"/>
    </xf>
    <xf numFmtId="3" fontId="49" fillId="0" borderId="2" xfId="0" applyNumberFormat="1" applyFont="1" applyBorder="1" applyAlignment="1">
      <alignment horizontal="center" vertical="center"/>
    </xf>
    <xf numFmtId="3" fontId="49" fillId="0" borderId="2" xfId="0" applyNumberFormat="1" applyFont="1" applyBorder="1" applyAlignment="1">
      <alignment horizontal="center" vertical="center" wrapText="1"/>
    </xf>
    <xf numFmtId="0" fontId="49" fillId="0" borderId="2" xfId="0" applyFont="1" applyBorder="1" applyAlignment="1">
      <alignment horizontal="center" vertical="center" wrapText="1"/>
    </xf>
    <xf numFmtId="3" fontId="80" fillId="0" borderId="2" xfId="0" applyNumberFormat="1" applyFont="1" applyBorder="1" applyAlignment="1">
      <alignment horizontal="center" vertical="center"/>
    </xf>
    <xf numFmtId="0" fontId="49" fillId="0" borderId="2" xfId="0" applyFont="1" applyBorder="1" applyAlignment="1">
      <alignment horizontal="center" vertical="center"/>
    </xf>
    <xf numFmtId="172" fontId="49" fillId="0" borderId="2" xfId="243" applyNumberFormat="1" applyFont="1" applyBorder="1" applyAlignment="1" applyProtection="1">
      <alignment horizontal="center" vertical="center"/>
    </xf>
    <xf numFmtId="172" fontId="20" fillId="3" borderId="2" xfId="243" applyNumberFormat="1" applyFont="1" applyFill="1" applyBorder="1" applyAlignment="1" applyProtection="1">
      <alignment horizontal="center" vertical="center"/>
    </xf>
    <xf numFmtId="0" fontId="19" fillId="0" borderId="0" xfId="153" applyFont="1" applyAlignment="1">
      <alignment horizontal="left" vertical="center"/>
    </xf>
    <xf numFmtId="0" fontId="21" fillId="0" borderId="0" xfId="0" applyFont="1" applyAlignment="1">
      <alignment vertical="center"/>
    </xf>
    <xf numFmtId="0" fontId="21" fillId="0" borderId="0" xfId="0" quotePrefix="1" applyFont="1" applyAlignment="1">
      <alignment vertical="center"/>
    </xf>
    <xf numFmtId="0" fontId="84" fillId="61" borderId="0" xfId="0" applyFont="1" applyFill="1"/>
    <xf numFmtId="0" fontId="0" fillId="0" borderId="0" xfId="0" applyAlignment="1">
      <alignment vertical="center"/>
    </xf>
    <xf numFmtId="0" fontId="85" fillId="62" borderId="2" xfId="0" applyFont="1" applyFill="1" applyBorder="1" applyAlignment="1">
      <alignment horizontal="center" vertical="center" wrapText="1"/>
    </xf>
    <xf numFmtId="0" fontId="24" fillId="0" borderId="0" xfId="0" applyFont="1" applyAlignment="1">
      <alignment vertical="center"/>
    </xf>
    <xf numFmtId="0" fontId="20" fillId="0" borderId="0" xfId="0" applyFont="1" applyAlignment="1">
      <alignment vertical="center"/>
    </xf>
    <xf numFmtId="3" fontId="0" fillId="0" borderId="0" xfId="0" applyNumberFormat="1" applyAlignment="1">
      <alignment vertical="center"/>
    </xf>
    <xf numFmtId="0" fontId="54" fillId="0" borderId="0" xfId="153" applyFont="1" applyAlignment="1">
      <alignment vertical="center"/>
    </xf>
    <xf numFmtId="0" fontId="78" fillId="0" borderId="0" xfId="0" applyFont="1" applyAlignment="1">
      <alignment vertical="center"/>
    </xf>
    <xf numFmtId="3" fontId="55" fillId="0" borderId="0" xfId="153" applyNumberFormat="1" applyFont="1" applyAlignment="1">
      <alignment horizontal="center" vertical="center" wrapText="1"/>
    </xf>
    <xf numFmtId="3" fontId="55" fillId="4" borderId="0" xfId="153" applyNumberFormat="1" applyFont="1" applyFill="1" applyAlignment="1">
      <alignment horizontal="center" vertical="center" wrapText="1"/>
    </xf>
    <xf numFmtId="170" fontId="0" fillId="0" borderId="0" xfId="0" applyNumberFormat="1" applyAlignment="1">
      <alignment vertical="center"/>
    </xf>
    <xf numFmtId="3" fontId="55" fillId="4" borderId="0" xfId="153" applyNumberFormat="1" applyFont="1" applyFill="1" applyAlignment="1">
      <alignment horizontal="left" vertical="center" wrapText="1"/>
    </xf>
    <xf numFmtId="0" fontId="15" fillId="0" borderId="0" xfId="11" applyFont="1" applyAlignment="1">
      <alignment vertical="center"/>
    </xf>
    <xf numFmtId="168" fontId="0" fillId="0" borderId="0" xfId="132" applyNumberFormat="1" applyFont="1" applyAlignment="1" applyProtection="1">
      <alignment horizontal="center" vertical="center"/>
    </xf>
    <xf numFmtId="168" fontId="20" fillId="0" borderId="0" xfId="132" applyNumberFormat="1" applyFont="1" applyAlignment="1" applyProtection="1">
      <alignment horizontal="center" vertical="center"/>
    </xf>
    <xf numFmtId="0" fontId="23" fillId="0" borderId="0" xfId="0" applyFont="1" applyAlignment="1">
      <alignment vertical="center"/>
    </xf>
    <xf numFmtId="14" fontId="48" fillId="0" borderId="0" xfId="0" applyNumberFormat="1" applyFont="1" applyAlignment="1">
      <alignment vertical="center"/>
    </xf>
    <xf numFmtId="166" fontId="0" fillId="0" borderId="0" xfId="0" applyNumberFormat="1" applyAlignment="1">
      <alignment vertical="center"/>
    </xf>
    <xf numFmtId="0" fontId="14" fillId="0" borderId="0" xfId="5" applyAlignment="1">
      <alignment vertical="center"/>
    </xf>
    <xf numFmtId="167" fontId="53" fillId="0" borderId="0" xfId="88" applyFont="1" applyAlignment="1">
      <alignment horizontal="left" vertical="center"/>
    </xf>
    <xf numFmtId="167" fontId="53" fillId="0" borderId="0" xfId="88" applyFont="1" applyAlignment="1">
      <alignment vertical="center"/>
    </xf>
    <xf numFmtId="0" fontId="16" fillId="0" borderId="2" xfId="138" applyNumberFormat="1" applyFont="1" applyBorder="1" applyAlignment="1">
      <alignment horizontal="left" vertical="center"/>
    </xf>
    <xf numFmtId="0" fontId="14" fillId="0" borderId="0" xfId="5" applyAlignment="1">
      <alignment horizontal="left" vertical="center"/>
    </xf>
    <xf numFmtId="2" fontId="16" fillId="0" borderId="2" xfId="138" applyNumberFormat="1" applyFont="1" applyBorder="1" applyAlignment="1">
      <alignment horizontal="center" vertical="center"/>
    </xf>
    <xf numFmtId="167" fontId="16" fillId="0" borderId="2" xfId="138" applyFont="1" applyBorder="1" applyAlignment="1">
      <alignment horizontal="center" vertical="center"/>
    </xf>
    <xf numFmtId="167" fontId="19" fillId="0" borderId="0" xfId="88" applyFont="1" applyAlignment="1">
      <alignment vertical="center"/>
    </xf>
    <xf numFmtId="167" fontId="14" fillId="0" borderId="0" xfId="78" applyAlignment="1">
      <alignment vertical="center"/>
    </xf>
    <xf numFmtId="167" fontId="20" fillId="0" borderId="0" xfId="138" applyFont="1" applyAlignment="1">
      <alignment vertical="center"/>
    </xf>
    <xf numFmtId="167" fontId="21" fillId="0" borderId="0" xfId="138" applyFont="1" applyAlignment="1">
      <alignment vertical="center"/>
    </xf>
    <xf numFmtId="167" fontId="50" fillId="0" borderId="0" xfId="138" applyFont="1" applyAlignment="1">
      <alignment vertical="center"/>
    </xf>
    <xf numFmtId="3" fontId="19" fillId="0" borderId="0" xfId="88" applyNumberFormat="1" applyFont="1" applyAlignment="1">
      <alignment vertical="center"/>
    </xf>
    <xf numFmtId="167" fontId="14" fillId="0" borderId="0" xfId="88" applyAlignment="1">
      <alignment vertical="center"/>
    </xf>
    <xf numFmtId="3" fontId="14" fillId="0" borderId="0" xfId="88" applyNumberFormat="1" applyAlignment="1">
      <alignment vertical="center"/>
    </xf>
    <xf numFmtId="167" fontId="16" fillId="0" borderId="0" xfId="138" applyFont="1" applyAlignment="1">
      <alignment vertical="center"/>
    </xf>
    <xf numFmtId="166" fontId="16" fillId="0" borderId="2" xfId="138" applyNumberFormat="1" applyFont="1" applyBorder="1" applyAlignment="1">
      <alignment horizontal="center" vertical="center"/>
    </xf>
    <xf numFmtId="167" fontId="47" fillId="0" borderId="0" xfId="138" applyFont="1" applyAlignment="1">
      <alignment vertical="center"/>
    </xf>
    <xf numFmtId="0" fontId="16" fillId="0" borderId="2" xfId="138" applyNumberFormat="1" applyFont="1" applyBorder="1" applyAlignment="1">
      <alignment horizontal="center" vertical="center"/>
    </xf>
    <xf numFmtId="167" fontId="49" fillId="0" borderId="0" xfId="88" applyFont="1" applyAlignment="1">
      <alignment vertical="center"/>
    </xf>
    <xf numFmtId="167" fontId="12" fillId="0" borderId="0" xfId="138" applyAlignment="1">
      <alignment vertical="center"/>
    </xf>
    <xf numFmtId="167" fontId="61" fillId="0" borderId="0" xfId="88" applyFont="1" applyAlignment="1">
      <alignment vertical="center"/>
    </xf>
    <xf numFmtId="0" fontId="0" fillId="0" borderId="0" xfId="0" quotePrefix="1"/>
    <xf numFmtId="0" fontId="60" fillId="0" borderId="0" xfId="0" applyFont="1" applyAlignment="1">
      <alignment horizontal="justify"/>
    </xf>
    <xf numFmtId="0" fontId="49" fillId="0" borderId="0" xfId="0" applyFont="1"/>
    <xf numFmtId="1" fontId="49" fillId="0" borderId="2" xfId="138" applyNumberFormat="1" applyFont="1" applyBorder="1" applyAlignment="1">
      <alignment horizontal="center" vertical="center"/>
    </xf>
    <xf numFmtId="171" fontId="49" fillId="0" borderId="2" xfId="138" applyNumberFormat="1" applyFont="1" applyBorder="1" applyAlignment="1">
      <alignment horizontal="center" vertical="center"/>
    </xf>
    <xf numFmtId="0" fontId="81" fillId="59" borderId="2" xfId="138" applyNumberFormat="1" applyFont="1" applyFill="1" applyBorder="1" applyAlignment="1">
      <alignment horizontal="center" vertical="center"/>
    </xf>
    <xf numFmtId="0" fontId="81" fillId="58" borderId="2" xfId="138" applyNumberFormat="1" applyFont="1" applyFill="1" applyBorder="1" applyAlignment="1">
      <alignment horizontal="center" vertical="center"/>
    </xf>
    <xf numFmtId="0" fontId="81" fillId="60" borderId="2" xfId="138" applyNumberFormat="1" applyFont="1" applyFill="1" applyBorder="1" applyAlignment="1">
      <alignment horizontal="center" vertical="center"/>
    </xf>
    <xf numFmtId="9" fontId="81" fillId="59" borderId="2" xfId="243" applyFont="1" applyFill="1" applyBorder="1" applyAlignment="1" applyProtection="1">
      <alignment horizontal="center" vertical="center"/>
    </xf>
    <xf numFmtId="0" fontId="81" fillId="0" borderId="2" xfId="138" applyNumberFormat="1" applyFont="1" applyBorder="1" applyAlignment="1">
      <alignment horizontal="center" vertical="center"/>
    </xf>
    <xf numFmtId="9" fontId="81" fillId="0" borderId="2" xfId="243" applyFont="1" applyBorder="1" applyAlignment="1" applyProtection="1">
      <alignment horizontal="center" vertical="center"/>
    </xf>
    <xf numFmtId="9" fontId="81" fillId="58" borderId="2" xfId="243" applyFont="1" applyFill="1" applyBorder="1" applyAlignment="1" applyProtection="1">
      <alignment horizontal="center" vertical="center"/>
    </xf>
    <xf numFmtId="9" fontId="81" fillId="0" borderId="2" xfId="138" applyNumberFormat="1" applyFont="1" applyBorder="1" applyAlignment="1">
      <alignment horizontal="center" vertical="center"/>
    </xf>
    <xf numFmtId="9" fontId="81" fillId="60" borderId="2" xfId="243" applyFont="1" applyFill="1" applyBorder="1" applyAlignment="1" applyProtection="1">
      <alignment horizontal="center" vertical="center"/>
    </xf>
    <xf numFmtId="0" fontId="20" fillId="0" borderId="0" xfId="0" quotePrefix="1" applyFont="1" applyAlignment="1">
      <alignment vertical="center"/>
    </xf>
    <xf numFmtId="0" fontId="14" fillId="0" borderId="0" xfId="5" applyAlignment="1">
      <alignment horizontal="center" vertical="center"/>
    </xf>
    <xf numFmtId="0" fontId="49" fillId="0" borderId="2" xfId="243" applyNumberFormat="1" applyFont="1" applyBorder="1" applyAlignment="1" applyProtection="1">
      <alignment horizontal="center" vertical="center"/>
    </xf>
    <xf numFmtId="0" fontId="91" fillId="0" borderId="2" xfId="243" applyNumberFormat="1" applyFont="1" applyBorder="1" applyAlignment="1" applyProtection="1">
      <alignment horizontal="center" vertical="center"/>
      <protection locked="0"/>
    </xf>
    <xf numFmtId="0" fontId="92" fillId="0" borderId="0" xfId="153" applyFont="1" applyAlignment="1">
      <alignment vertical="center"/>
    </xf>
    <xf numFmtId="9" fontId="81" fillId="0" borderId="2" xfId="243" applyFont="1" applyFill="1" applyBorder="1" applyAlignment="1" applyProtection="1">
      <alignment horizontal="center" vertical="center"/>
    </xf>
    <xf numFmtId="0" fontId="20" fillId="63" borderId="2" xfId="0" applyFont="1" applyFill="1" applyBorder="1" applyAlignment="1">
      <alignment vertical="center" wrapText="1"/>
    </xf>
    <xf numFmtId="0" fontId="16" fillId="0" borderId="28" xfId="0" applyFont="1" applyBorder="1" applyAlignment="1" applyProtection="1">
      <alignment horizontal="left" vertical="center" wrapText="1"/>
      <protection locked="0"/>
    </xf>
    <xf numFmtId="0" fontId="16" fillId="0" borderId="31" xfId="0" applyFont="1" applyBorder="1" applyAlignment="1" applyProtection="1">
      <alignment horizontal="left" vertical="center"/>
      <protection locked="0"/>
    </xf>
    <xf numFmtId="0" fontId="16" fillId="0" borderId="34" xfId="0" applyFont="1" applyBorder="1" applyAlignment="1" applyProtection="1">
      <alignment horizontal="left" vertical="center"/>
      <protection locked="0"/>
    </xf>
    <xf numFmtId="0" fontId="16" fillId="0" borderId="0" xfId="2234" applyFont="1"/>
    <xf numFmtId="0" fontId="78" fillId="0" borderId="28" xfId="2234" applyFont="1" applyBorder="1" applyAlignment="1">
      <alignment horizontal="center" vertical="center"/>
    </xf>
    <xf numFmtId="0" fontId="78" fillId="0" borderId="0" xfId="2234" applyFont="1" applyAlignment="1">
      <alignment horizontal="center" vertical="center"/>
    </xf>
    <xf numFmtId="0" fontId="16" fillId="0" borderId="0" xfId="2234" applyFont="1" applyAlignment="1">
      <alignment vertical="center"/>
    </xf>
    <xf numFmtId="0" fontId="78" fillId="63" borderId="2" xfId="2234" applyFont="1" applyFill="1" applyBorder="1" applyAlignment="1">
      <alignment horizontal="center" vertical="center"/>
    </xf>
    <xf numFmtId="0" fontId="96" fillId="62" borderId="2" xfId="2234" applyFont="1" applyFill="1" applyBorder="1" applyAlignment="1">
      <alignment horizontal="center" vertical="center"/>
    </xf>
    <xf numFmtId="0" fontId="20" fillId="0" borderId="0" xfId="2234" applyFont="1"/>
    <xf numFmtId="0" fontId="78" fillId="65" borderId="2" xfId="2234" applyFont="1" applyFill="1" applyBorder="1" applyAlignment="1">
      <alignment horizontal="center" vertical="center"/>
    </xf>
    <xf numFmtId="3" fontId="18" fillId="65" borderId="2" xfId="153" applyNumberFormat="1" applyFont="1" applyFill="1" applyBorder="1" applyAlignment="1">
      <alignment horizontal="center" vertical="center" wrapText="1"/>
    </xf>
    <xf numFmtId="3" fontId="18" fillId="65" borderId="16" xfId="153" applyNumberFormat="1" applyFont="1" applyFill="1" applyBorder="1" applyAlignment="1">
      <alignment horizontal="center" vertical="center" wrapText="1"/>
    </xf>
    <xf numFmtId="0" fontId="18" fillId="65" borderId="2" xfId="153" applyFont="1" applyFill="1" applyBorder="1" applyAlignment="1">
      <alignment horizontal="center" vertical="center" wrapText="1"/>
    </xf>
    <xf numFmtId="3" fontId="18" fillId="65" borderId="14" xfId="153" applyNumberFormat="1" applyFont="1" applyFill="1" applyBorder="1" applyAlignment="1">
      <alignment horizontal="center" vertical="center" wrapText="1"/>
    </xf>
    <xf numFmtId="0" fontId="20" fillId="63" borderId="15" xfId="0" applyFont="1" applyFill="1" applyBorder="1" applyAlignment="1">
      <alignment horizontal="center" vertical="center" wrapText="1"/>
    </xf>
    <xf numFmtId="0" fontId="20" fillId="63" borderId="2" xfId="0" applyFont="1" applyFill="1" applyBorder="1" applyAlignment="1">
      <alignment horizontal="center" vertical="center" wrapText="1"/>
    </xf>
    <xf numFmtId="0" fontId="18" fillId="4" borderId="28" xfId="153" applyFont="1" applyFill="1" applyBorder="1" applyAlignment="1" applyProtection="1">
      <alignment horizontal="center" vertical="center" wrapText="1"/>
      <protection locked="0"/>
    </xf>
    <xf numFmtId="169" fontId="18" fillId="4" borderId="28" xfId="153" applyNumberFormat="1" applyFont="1" applyFill="1" applyBorder="1" applyAlignment="1" applyProtection="1">
      <alignment horizontal="center" vertical="center" wrapText="1"/>
      <protection locked="0"/>
    </xf>
    <xf numFmtId="3" fontId="18" fillId="4" borderId="38" xfId="153" applyNumberFormat="1" applyFont="1" applyFill="1" applyBorder="1" applyAlignment="1" applyProtection="1">
      <alignment horizontal="center" vertical="center" wrapText="1"/>
      <protection locked="0"/>
    </xf>
    <xf numFmtId="0" fontId="18" fillId="4" borderId="32" xfId="153" applyFont="1" applyFill="1" applyBorder="1" applyAlignment="1" applyProtection="1">
      <alignment horizontal="center" vertical="center" wrapText="1"/>
      <protection locked="0"/>
    </xf>
    <xf numFmtId="169" fontId="18" fillId="4" borderId="32" xfId="153" applyNumberFormat="1" applyFont="1" applyFill="1" applyBorder="1" applyAlignment="1" applyProtection="1">
      <alignment horizontal="center" vertical="center" wrapText="1"/>
      <protection locked="0"/>
    </xf>
    <xf numFmtId="3" fontId="18" fillId="4" borderId="39" xfId="153" applyNumberFormat="1" applyFont="1" applyFill="1" applyBorder="1" applyAlignment="1" applyProtection="1">
      <alignment horizontal="center" vertical="center" wrapText="1"/>
      <protection locked="0"/>
    </xf>
    <xf numFmtId="3" fontId="18" fillId="4" borderId="40" xfId="153" applyNumberFormat="1" applyFont="1" applyFill="1" applyBorder="1" applyAlignment="1" applyProtection="1">
      <alignment horizontal="center" vertical="center" wrapText="1"/>
      <protection locked="0"/>
    </xf>
    <xf numFmtId="3" fontId="18" fillId="4" borderId="41" xfId="153" applyNumberFormat="1" applyFont="1" applyFill="1" applyBorder="1" applyAlignment="1" applyProtection="1">
      <alignment horizontal="center" vertical="center" wrapText="1"/>
      <protection locked="0"/>
    </xf>
    <xf numFmtId="3" fontId="18" fillId="4" borderId="42" xfId="153" applyNumberFormat="1" applyFont="1" applyFill="1" applyBorder="1" applyAlignment="1" applyProtection="1">
      <alignment horizontal="center" vertical="center" wrapText="1"/>
      <protection locked="0"/>
    </xf>
    <xf numFmtId="0" fontId="18" fillId="4" borderId="33" xfId="153" applyFont="1" applyFill="1" applyBorder="1" applyAlignment="1" applyProtection="1">
      <alignment horizontal="center" vertical="center" wrapText="1"/>
      <protection locked="0"/>
    </xf>
    <xf numFmtId="169" fontId="18" fillId="4" borderId="33" xfId="153" applyNumberFormat="1" applyFont="1" applyFill="1" applyBorder="1" applyAlignment="1" applyProtection="1">
      <alignment horizontal="center" vertical="center" wrapText="1"/>
      <protection locked="0"/>
    </xf>
    <xf numFmtId="3" fontId="18" fillId="4" borderId="43" xfId="153" applyNumberFormat="1" applyFont="1" applyFill="1" applyBorder="1" applyAlignment="1" applyProtection="1">
      <alignment horizontal="center" vertical="center" wrapText="1"/>
      <protection locked="0"/>
    </xf>
    <xf numFmtId="0" fontId="20" fillId="0" borderId="0" xfId="0" applyFont="1" applyAlignment="1">
      <alignment vertical="center" wrapText="1"/>
    </xf>
    <xf numFmtId="0" fontId="16" fillId="0" borderId="0" xfId="0" applyFont="1" applyAlignment="1" applyProtection="1">
      <alignment horizontal="left" vertical="center"/>
      <protection locked="0"/>
    </xf>
    <xf numFmtId="0" fontId="0" fillId="65" borderId="2" xfId="0" applyFill="1" applyBorder="1" applyAlignment="1">
      <alignment horizontal="center" vertical="center"/>
    </xf>
    <xf numFmtId="3" fontId="87" fillId="65" borderId="2" xfId="153" applyNumberFormat="1" applyFont="1" applyFill="1" applyBorder="1" applyAlignment="1">
      <alignment horizontal="center" vertical="center" wrapText="1"/>
    </xf>
    <xf numFmtId="171" fontId="87" fillId="65" borderId="2" xfId="153" applyNumberFormat="1" applyFont="1" applyFill="1" applyBorder="1" applyAlignment="1">
      <alignment horizontal="center" vertical="center" wrapText="1"/>
    </xf>
    <xf numFmtId="3" fontId="18" fillId="65" borderId="2" xfId="153" applyNumberFormat="1" applyFont="1" applyFill="1" applyBorder="1" applyAlignment="1">
      <alignment horizontal="left" vertical="center" wrapText="1"/>
    </xf>
    <xf numFmtId="3" fontId="86" fillId="65" borderId="2" xfId="153" applyNumberFormat="1" applyFont="1" applyFill="1" applyBorder="1" applyAlignment="1">
      <alignment horizontal="center" vertical="center" wrapText="1"/>
    </xf>
    <xf numFmtId="0" fontId="0" fillId="65" borderId="2" xfId="0" applyFill="1" applyBorder="1" applyAlignment="1">
      <alignment horizontal="center" vertical="center" wrapText="1"/>
    </xf>
    <xf numFmtId="172" fontId="18" fillId="65" borderId="2" xfId="153" applyNumberFormat="1" applyFont="1" applyFill="1" applyBorder="1" applyAlignment="1">
      <alignment horizontal="center" vertical="center" wrapText="1"/>
    </xf>
    <xf numFmtId="0" fontId="85" fillId="62" borderId="2" xfId="0" applyFont="1" applyFill="1" applyBorder="1" applyAlignment="1">
      <alignment horizontal="center" vertical="center"/>
    </xf>
    <xf numFmtId="0" fontId="99" fillId="62" borderId="2" xfId="0" applyFont="1" applyFill="1" applyBorder="1" applyAlignment="1">
      <alignment horizontal="center" vertical="center"/>
    </xf>
    <xf numFmtId="3" fontId="99" fillId="62" borderId="2" xfId="0" applyNumberFormat="1" applyFont="1" applyFill="1" applyBorder="1" applyAlignment="1">
      <alignment horizontal="center" vertical="center"/>
    </xf>
    <xf numFmtId="0" fontId="16" fillId="0" borderId="30" xfId="0" applyFont="1" applyBorder="1" applyAlignment="1" applyProtection="1">
      <alignment horizontal="left" vertical="center"/>
      <protection locked="0"/>
    </xf>
    <xf numFmtId="0" fontId="16" fillId="0" borderId="44" xfId="0" applyFont="1" applyBorder="1" applyAlignment="1" applyProtection="1">
      <alignment horizontal="left" vertical="center"/>
      <protection locked="0"/>
    </xf>
    <xf numFmtId="0" fontId="100" fillId="63" borderId="2" xfId="0" applyFont="1" applyFill="1" applyBorder="1" applyAlignment="1">
      <alignment horizontal="center" vertical="center" wrapText="1"/>
    </xf>
    <xf numFmtId="0" fontId="109" fillId="62" borderId="0" xfId="0" applyFont="1" applyFill="1" applyAlignment="1">
      <alignment vertical="center"/>
    </xf>
    <xf numFmtId="0" fontId="19" fillId="0" borderId="0" xfId="5" applyFont="1" applyAlignment="1">
      <alignment vertical="center"/>
    </xf>
    <xf numFmtId="3" fontId="0" fillId="65" borderId="2" xfId="0" applyNumberFormat="1" applyFill="1" applyBorder="1" applyAlignment="1">
      <alignment horizontal="center" vertical="center" wrapText="1"/>
    </xf>
    <xf numFmtId="0" fontId="16" fillId="0" borderId="0" xfId="0" applyFont="1" applyAlignment="1" applyProtection="1">
      <alignment horizontal="center" vertical="center"/>
      <protection locked="0"/>
    </xf>
    <xf numFmtId="3" fontId="49" fillId="0" borderId="0" xfId="0" applyNumberFormat="1" applyFont="1" applyAlignment="1">
      <alignment horizontal="center" vertical="center" wrapText="1"/>
    </xf>
    <xf numFmtId="0" fontId="91" fillId="0" borderId="0" xfId="243" applyNumberFormat="1" applyFont="1" applyBorder="1" applyAlignment="1" applyProtection="1">
      <alignment horizontal="center" vertical="center"/>
      <protection locked="0"/>
    </xf>
    <xf numFmtId="0" fontId="49" fillId="0" borderId="0" xfId="243" applyNumberFormat="1" applyFont="1" applyBorder="1" applyAlignment="1" applyProtection="1">
      <alignment horizontal="center" vertical="center"/>
    </xf>
    <xf numFmtId="0" fontId="21" fillId="67" borderId="0" xfId="0" applyFont="1" applyFill="1" applyAlignment="1">
      <alignment vertical="center"/>
    </xf>
    <xf numFmtId="167" fontId="0" fillId="67" borderId="2" xfId="138" applyFont="1" applyFill="1" applyBorder="1" applyAlignment="1">
      <alignment horizontal="center" vertical="center"/>
    </xf>
    <xf numFmtId="2" fontId="16" fillId="67" borderId="2" xfId="138" applyNumberFormat="1" applyFont="1" applyFill="1" applyBorder="1" applyAlignment="1">
      <alignment horizontal="center" vertical="center"/>
    </xf>
    <xf numFmtId="167" fontId="110" fillId="0" borderId="0" xfId="2238" applyNumberFormat="1" applyAlignment="1" applyProtection="1">
      <alignment vertical="center"/>
    </xf>
    <xf numFmtId="0" fontId="16" fillId="67" borderId="2" xfId="138" applyNumberFormat="1" applyFont="1" applyFill="1" applyBorder="1" applyAlignment="1">
      <alignment horizontal="center" vertical="center"/>
    </xf>
    <xf numFmtId="0" fontId="111" fillId="0" borderId="0" xfId="0" applyFont="1" applyAlignment="1">
      <alignment vertical="center"/>
    </xf>
    <xf numFmtId="0" fontId="0" fillId="4" borderId="29" xfId="0" applyFill="1" applyBorder="1" applyAlignment="1" applyProtection="1">
      <alignment horizontal="left" vertical="center" wrapText="1"/>
      <protection locked="0"/>
    </xf>
    <xf numFmtId="173" fontId="18" fillId="65" borderId="2" xfId="153" applyNumberFormat="1" applyFont="1" applyFill="1" applyBorder="1" applyAlignment="1">
      <alignment horizontal="center" vertical="center" wrapText="1"/>
    </xf>
    <xf numFmtId="171" fontId="18" fillId="65" borderId="2" xfId="153" applyNumberFormat="1" applyFont="1" applyFill="1" applyBorder="1" applyAlignment="1">
      <alignment horizontal="center" vertical="center" wrapText="1"/>
    </xf>
    <xf numFmtId="177" fontId="18" fillId="65" borderId="2" xfId="153" applyNumberFormat="1" applyFont="1" applyFill="1" applyBorder="1" applyAlignment="1">
      <alignment horizontal="center" vertical="center" wrapText="1"/>
    </xf>
    <xf numFmtId="0" fontId="49" fillId="0" borderId="2" xfId="0" applyFont="1" applyBorder="1" applyAlignment="1">
      <alignment horizontal="center"/>
    </xf>
    <xf numFmtId="166" fontId="49" fillId="0" borderId="2" xfId="0" applyNumberFormat="1" applyFont="1" applyBorder="1" applyAlignment="1">
      <alignment horizontal="center"/>
    </xf>
    <xf numFmtId="0" fontId="49" fillId="0" borderId="16" xfId="0" applyFont="1" applyBorder="1" applyAlignment="1">
      <alignment horizontal="center"/>
    </xf>
    <xf numFmtId="166" fontId="49" fillId="0" borderId="16" xfId="0" applyNumberFormat="1" applyFont="1" applyBorder="1" applyAlignment="1">
      <alignment horizontal="center"/>
    </xf>
    <xf numFmtId="1" fontId="49" fillId="0" borderId="45" xfId="138" applyNumberFormat="1" applyFont="1" applyBorder="1" applyAlignment="1">
      <alignment horizontal="center" vertical="center"/>
    </xf>
    <xf numFmtId="171" fontId="49" fillId="0" borderId="45" xfId="138" applyNumberFormat="1" applyFont="1" applyBorder="1" applyAlignment="1">
      <alignment horizontal="center" vertical="center"/>
    </xf>
    <xf numFmtId="3" fontId="18" fillId="65" borderId="13" xfId="153" applyNumberFormat="1" applyFont="1" applyFill="1" applyBorder="1" applyAlignment="1">
      <alignment horizontal="center" vertical="center" wrapText="1"/>
    </xf>
    <xf numFmtId="3" fontId="18" fillId="0" borderId="27" xfId="153" applyNumberFormat="1" applyFont="1" applyBorder="1" applyAlignment="1">
      <alignment horizontal="center" vertical="center" wrapText="1"/>
    </xf>
    <xf numFmtId="0" fontId="85" fillId="0" borderId="0" xfId="0" applyFont="1" applyAlignment="1">
      <alignment horizontal="left" vertical="center" wrapText="1"/>
    </xf>
    <xf numFmtId="3" fontId="85" fillId="0" borderId="0" xfId="0" applyNumberFormat="1" applyFont="1" applyAlignment="1">
      <alignment horizontal="center" vertical="center"/>
    </xf>
    <xf numFmtId="3" fontId="85" fillId="62" borderId="2" xfId="0" applyNumberFormat="1" applyFont="1" applyFill="1" applyBorder="1" applyAlignment="1">
      <alignment horizontal="center" vertical="center" wrapText="1"/>
    </xf>
    <xf numFmtId="0" fontId="25" fillId="0" borderId="0" xfId="11" applyFont="1" applyAlignment="1">
      <alignment vertical="center" wrapText="1"/>
    </xf>
    <xf numFmtId="0" fontId="0" fillId="0" borderId="2" xfId="0" applyBorder="1" applyAlignment="1">
      <alignment horizontal="left" vertical="center" wrapText="1"/>
    </xf>
    <xf numFmtId="172" fontId="20" fillId="0" borderId="2" xfId="243" applyNumberFormat="1" applyFont="1" applyFill="1" applyBorder="1" applyAlignment="1" applyProtection="1">
      <alignment horizontal="center" vertical="center"/>
    </xf>
    <xf numFmtId="172" fontId="0" fillId="0" borderId="2" xfId="243" applyNumberFormat="1" applyFont="1" applyFill="1" applyBorder="1" applyAlignment="1" applyProtection="1">
      <alignment horizontal="center" vertical="center"/>
    </xf>
    <xf numFmtId="172" fontId="16" fillId="0" borderId="2" xfId="243" applyNumberFormat="1" applyFont="1" applyFill="1" applyBorder="1" applyAlignment="1" applyProtection="1">
      <alignment horizontal="center" vertical="center"/>
    </xf>
    <xf numFmtId="9" fontId="0" fillId="0" borderId="2" xfId="243" applyFont="1" applyFill="1" applyBorder="1" applyAlignment="1" applyProtection="1">
      <alignment horizontal="center" vertical="center"/>
    </xf>
    <xf numFmtId="0" fontId="49" fillId="0" borderId="2" xfId="243" applyNumberFormat="1" applyFont="1" applyFill="1" applyBorder="1" applyAlignment="1" applyProtection="1">
      <alignment horizontal="center" vertical="center"/>
    </xf>
    <xf numFmtId="0" fontId="49" fillId="0" borderId="0" xfId="0" applyFont="1" applyAlignment="1">
      <alignment vertical="center"/>
    </xf>
    <xf numFmtId="0" fontId="84" fillId="61" borderId="0" xfId="0" applyFont="1" applyFill="1" applyAlignment="1">
      <alignment vertical="center"/>
    </xf>
    <xf numFmtId="0" fontId="111" fillId="0" borderId="0" xfId="0" applyFont="1" applyAlignment="1" applyProtection="1">
      <alignment horizontal="center" vertical="center"/>
      <protection locked="0"/>
    </xf>
    <xf numFmtId="0" fontId="0" fillId="0" borderId="2" xfId="0" applyBorder="1" applyAlignment="1">
      <alignment vertical="center" wrapText="1"/>
    </xf>
    <xf numFmtId="0" fontId="0" fillId="60" borderId="2" xfId="0" applyFill="1" applyBorder="1" applyAlignment="1">
      <alignment vertical="center"/>
    </xf>
    <xf numFmtId="0" fontId="0" fillId="60" borderId="2" xfId="0" applyFill="1" applyBorder="1" applyAlignment="1">
      <alignment horizontal="center" vertical="center"/>
    </xf>
    <xf numFmtId="0" fontId="0" fillId="0" borderId="2" xfId="0" applyBorder="1" applyAlignment="1">
      <alignment vertical="center"/>
    </xf>
    <xf numFmtId="0" fontId="0" fillId="68" borderId="2" xfId="0" applyFill="1" applyBorder="1" applyAlignment="1">
      <alignment vertical="center"/>
    </xf>
    <xf numFmtId="14" fontId="0" fillId="0" borderId="2" xfId="0" applyNumberFormat="1" applyBorder="1" applyAlignment="1">
      <alignment vertical="center"/>
    </xf>
    <xf numFmtId="0" fontId="0" fillId="67" borderId="0" xfId="0" applyFill="1" applyAlignment="1">
      <alignment vertical="center"/>
    </xf>
    <xf numFmtId="0" fontId="18" fillId="4" borderId="50" xfId="153" applyFont="1" applyFill="1" applyBorder="1" applyAlignment="1" applyProtection="1">
      <alignment horizontal="center" vertical="center" wrapText="1"/>
      <protection locked="0"/>
    </xf>
    <xf numFmtId="169" fontId="18" fillId="4" borderId="50" xfId="153" applyNumberFormat="1" applyFont="1" applyFill="1" applyBorder="1" applyAlignment="1" applyProtection="1">
      <alignment horizontal="center" vertical="center" wrapText="1"/>
      <protection locked="0"/>
    </xf>
    <xf numFmtId="3" fontId="18" fillId="4" borderId="51" xfId="153" applyNumberFormat="1" applyFont="1" applyFill="1" applyBorder="1" applyAlignment="1" applyProtection="1">
      <alignment horizontal="center" vertical="center" wrapText="1"/>
      <protection locked="0"/>
    </xf>
    <xf numFmtId="3" fontId="18" fillId="4" borderId="52" xfId="153" applyNumberFormat="1" applyFont="1" applyFill="1" applyBorder="1" applyAlignment="1" applyProtection="1">
      <alignment horizontal="center" vertical="center" wrapText="1"/>
      <protection locked="0"/>
    </xf>
    <xf numFmtId="0" fontId="115" fillId="0" borderId="2" xfId="0" applyFont="1" applyBorder="1" applyAlignment="1">
      <alignment vertical="center" wrapText="1"/>
    </xf>
    <xf numFmtId="0" fontId="116" fillId="63" borderId="2" xfId="0" applyFont="1" applyFill="1" applyBorder="1" applyAlignment="1">
      <alignment horizontal="center" vertical="center" wrapText="1"/>
    </xf>
    <xf numFmtId="0" fontId="116" fillId="63" borderId="13" xfId="0" applyFont="1" applyFill="1" applyBorder="1" applyAlignment="1">
      <alignment horizontal="left" vertical="center" wrapText="1"/>
    </xf>
    <xf numFmtId="0" fontId="116" fillId="63" borderId="3" xfId="0" applyFont="1" applyFill="1" applyBorder="1" applyAlignment="1">
      <alignment horizontal="left" vertical="center" wrapText="1"/>
    </xf>
    <xf numFmtId="0" fontId="116" fillId="63" borderId="2" xfId="0" applyFont="1" applyFill="1" applyBorder="1" applyAlignment="1">
      <alignment horizontal="left" vertical="center" wrapText="1"/>
    </xf>
    <xf numFmtId="0" fontId="116" fillId="63" borderId="13" xfId="244" applyFont="1" applyFill="1" applyBorder="1" applyAlignment="1">
      <alignment horizontal="left" vertical="center"/>
    </xf>
    <xf numFmtId="0" fontId="116" fillId="63" borderId="3" xfId="244" applyFont="1" applyFill="1" applyBorder="1" applyAlignment="1">
      <alignment horizontal="center" vertical="center"/>
    </xf>
    <xf numFmtId="0" fontId="116" fillId="63" borderId="14" xfId="244" applyFont="1" applyFill="1" applyBorder="1" applyAlignment="1">
      <alignment horizontal="center" vertical="center"/>
    </xf>
    <xf numFmtId="0" fontId="116" fillId="63" borderId="2" xfId="244" applyFont="1" applyFill="1" applyBorder="1" applyAlignment="1">
      <alignment vertical="center" wrapText="1"/>
    </xf>
    <xf numFmtId="0" fontId="116" fillId="63" borderId="2" xfId="244" applyFont="1" applyFill="1" applyBorder="1" applyAlignment="1">
      <alignment horizontal="center" vertical="center"/>
    </xf>
    <xf numFmtId="0" fontId="118" fillId="0" borderId="2" xfId="244" applyFont="1" applyBorder="1" applyAlignment="1">
      <alignment horizontal="center" vertical="center"/>
    </xf>
    <xf numFmtId="0" fontId="118" fillId="0" borderId="2" xfId="244" applyFont="1" applyBorder="1" applyAlignment="1">
      <alignment horizontal="left" vertical="center"/>
    </xf>
    <xf numFmtId="2" fontId="118" fillId="0" borderId="2" xfId="244" applyNumberFormat="1" applyFont="1" applyBorder="1" applyAlignment="1">
      <alignment horizontal="center" vertical="center"/>
    </xf>
    <xf numFmtId="0" fontId="100" fillId="63" borderId="48" xfId="0" applyFont="1" applyFill="1" applyBorder="1" applyAlignment="1">
      <alignment vertical="center" wrapText="1"/>
    </xf>
    <xf numFmtId="0" fontId="100" fillId="63" borderId="49" xfId="0" applyFont="1" applyFill="1" applyBorder="1" applyAlignment="1">
      <alignment vertical="center" wrapText="1"/>
    </xf>
    <xf numFmtId="0" fontId="81" fillId="59" borderId="27" xfId="138" applyNumberFormat="1" applyFont="1" applyFill="1" applyBorder="1" applyAlignment="1">
      <alignment horizontal="center" vertical="center"/>
    </xf>
    <xf numFmtId="0" fontId="81" fillId="0" borderId="53" xfId="138" applyNumberFormat="1" applyFont="1" applyBorder="1" applyAlignment="1">
      <alignment horizontal="left" vertical="center"/>
    </xf>
    <xf numFmtId="0" fontId="81" fillId="58" borderId="27" xfId="138" applyNumberFormat="1" applyFont="1" applyFill="1" applyBorder="1" applyAlignment="1">
      <alignment horizontal="center" vertical="center"/>
    </xf>
    <xf numFmtId="0" fontId="81" fillId="60" borderId="36" xfId="138" applyNumberFormat="1" applyFont="1" applyFill="1" applyBorder="1" applyAlignment="1">
      <alignment horizontal="center" vertical="center"/>
    </xf>
    <xf numFmtId="0" fontId="81" fillId="0" borderId="54" xfId="138" applyNumberFormat="1" applyFont="1" applyBorder="1" applyAlignment="1">
      <alignment horizontal="left" vertical="center"/>
    </xf>
    <xf numFmtId="0" fontId="84" fillId="62" borderId="0" xfId="0" applyFont="1" applyFill="1" applyAlignment="1">
      <alignment vertical="center"/>
    </xf>
    <xf numFmtId="0" fontId="118" fillId="0" borderId="0" xfId="244" applyFont="1" applyAlignment="1">
      <alignment horizontal="left" vertical="center"/>
    </xf>
    <xf numFmtId="0" fontId="118" fillId="0" borderId="0" xfId="244" applyFont="1" applyAlignment="1">
      <alignment horizontal="center" vertical="center"/>
    </xf>
    <xf numFmtId="0" fontId="118" fillId="0" borderId="0" xfId="244" applyFont="1" applyAlignment="1">
      <alignment vertical="center"/>
    </xf>
    <xf numFmtId="0" fontId="20" fillId="63" borderId="13" xfId="0" applyFont="1" applyFill="1" applyBorder="1" applyAlignment="1">
      <alignment horizontal="center" vertical="center" wrapText="1"/>
    </xf>
    <xf numFmtId="0" fontId="100" fillId="63" borderId="15" xfId="0" applyFont="1" applyFill="1" applyBorder="1" applyAlignment="1">
      <alignment horizontal="center" vertical="center" wrapText="1"/>
    </xf>
    <xf numFmtId="0" fontId="100" fillId="63" borderId="13" xfId="0" applyFont="1" applyFill="1" applyBorder="1" applyAlignment="1">
      <alignment horizontal="left" vertical="center" wrapText="1"/>
    </xf>
    <xf numFmtId="0" fontId="100" fillId="63" borderId="13" xfId="0" applyFont="1" applyFill="1" applyBorder="1" applyAlignment="1">
      <alignment horizontal="center" vertical="center" wrapText="1"/>
    </xf>
    <xf numFmtId="0" fontId="100" fillId="63" borderId="14" xfId="0" applyFont="1" applyFill="1" applyBorder="1" applyAlignment="1">
      <alignment horizontal="center" vertical="center" wrapText="1"/>
    </xf>
    <xf numFmtId="14" fontId="49" fillId="0" borderId="2" xfId="0" applyNumberFormat="1" applyFont="1" applyBorder="1" applyAlignment="1">
      <alignment horizontal="left" vertical="center" wrapText="1"/>
    </xf>
    <xf numFmtId="0" fontId="49" fillId="0" borderId="2" xfId="0" quotePrefix="1" applyFont="1" applyBorder="1" applyAlignment="1">
      <alignment horizontal="left" vertical="center" wrapText="1"/>
    </xf>
    <xf numFmtId="14" fontId="49" fillId="0" borderId="13" xfId="0" applyNumberFormat="1" applyFont="1" applyBorder="1" applyAlignment="1">
      <alignment horizontal="left" vertical="center" wrapText="1"/>
    </xf>
    <xf numFmtId="0" fontId="49" fillId="0" borderId="2" xfId="0" applyFont="1" applyBorder="1" applyAlignment="1">
      <alignment horizontal="left" vertical="center"/>
    </xf>
    <xf numFmtId="0" fontId="108" fillId="0" borderId="0" xfId="0" applyFont="1" applyAlignment="1">
      <alignment vertical="center"/>
    </xf>
    <xf numFmtId="0" fontId="14" fillId="0" borderId="0" xfId="87" applyAlignment="1">
      <alignment vertical="center"/>
    </xf>
    <xf numFmtId="0" fontId="84" fillId="0" borderId="0" xfId="0" applyFont="1" applyAlignment="1">
      <alignment vertical="center"/>
    </xf>
    <xf numFmtId="0" fontId="0" fillId="0" borderId="0" xfId="0" applyAlignment="1">
      <alignment vertical="center" wrapText="1"/>
    </xf>
    <xf numFmtId="0" fontId="49" fillId="0" borderId="2" xfId="0" applyFont="1" applyBorder="1" applyAlignment="1">
      <alignment vertical="center"/>
    </xf>
    <xf numFmtId="179" fontId="0" fillId="0" borderId="0" xfId="0" applyNumberFormat="1" applyAlignment="1">
      <alignment vertical="center"/>
    </xf>
    <xf numFmtId="11" fontId="0" fillId="0" borderId="0" xfId="0" applyNumberFormat="1" applyAlignment="1">
      <alignment vertical="center"/>
    </xf>
    <xf numFmtId="178" fontId="0" fillId="0" borderId="0" xfId="0" applyNumberFormat="1" applyAlignment="1">
      <alignment vertical="center"/>
    </xf>
    <xf numFmtId="0" fontId="91" fillId="0" borderId="2" xfId="0" applyFont="1" applyBorder="1" applyAlignment="1" applyProtection="1">
      <alignment vertical="center"/>
      <protection locked="0"/>
    </xf>
    <xf numFmtId="0" fontId="0" fillId="0" borderId="0" xfId="0" quotePrefix="1" applyAlignment="1">
      <alignment vertical="center"/>
    </xf>
    <xf numFmtId="174" fontId="0" fillId="65" borderId="14" xfId="0" applyNumberFormat="1" applyFill="1" applyBorder="1" applyAlignment="1">
      <alignment horizontal="center" vertical="center"/>
    </xf>
    <xf numFmtId="174" fontId="0" fillId="65" borderId="2" xfId="0" applyNumberFormat="1" applyFill="1" applyBorder="1" applyAlignment="1">
      <alignment horizontal="center" vertical="center"/>
    </xf>
    <xf numFmtId="0" fontId="84" fillId="61" borderId="0" xfId="0" applyFont="1" applyFill="1" applyAlignment="1">
      <alignment horizontal="left" vertical="center"/>
    </xf>
    <xf numFmtId="0" fontId="0" fillId="3" borderId="14" xfId="0" applyFill="1" applyBorder="1" applyAlignment="1">
      <alignment horizontal="left" vertical="center" wrapText="1"/>
    </xf>
    <xf numFmtId="0" fontId="100" fillId="63" borderId="2" xfId="0" applyFont="1" applyFill="1" applyBorder="1" applyAlignment="1">
      <alignment horizontal="left" vertical="center" wrapText="1"/>
    </xf>
    <xf numFmtId="0" fontId="56" fillId="63" borderId="2" xfId="0" applyFont="1" applyFill="1" applyBorder="1" applyAlignment="1">
      <alignment vertical="center" wrapText="1"/>
    </xf>
    <xf numFmtId="0" fontId="56" fillId="63" borderId="2" xfId="0" applyFont="1" applyFill="1" applyBorder="1" applyAlignment="1">
      <alignment horizontal="center" vertical="center" wrapText="1"/>
    </xf>
    <xf numFmtId="0" fontId="124" fillId="0" borderId="0" xfId="0" applyFont="1" applyAlignment="1">
      <alignment vertical="center"/>
    </xf>
    <xf numFmtId="0" fontId="125" fillId="0" borderId="0" xfId="0" applyFont="1" applyAlignment="1">
      <alignment vertical="center"/>
    </xf>
    <xf numFmtId="0" fontId="126" fillId="62" borderId="0" xfId="0" applyFont="1" applyFill="1" applyAlignment="1">
      <alignment vertical="center"/>
    </xf>
    <xf numFmtId="0" fontId="127" fillId="0" borderId="0" xfId="0" applyFont="1" applyAlignment="1">
      <alignment vertical="center"/>
    </xf>
    <xf numFmtId="0" fontId="128" fillId="61" borderId="0" xfId="0" applyFont="1" applyFill="1" applyAlignment="1">
      <alignment vertical="center"/>
    </xf>
    <xf numFmtId="0" fontId="56" fillId="0" borderId="0" xfId="0" applyFont="1" applyAlignment="1">
      <alignment vertical="center" wrapText="1"/>
    </xf>
    <xf numFmtId="0" fontId="129" fillId="0" borderId="0" xfId="87" applyFont="1" applyAlignment="1">
      <alignment vertical="center"/>
    </xf>
    <xf numFmtId="0" fontId="124" fillId="0" borderId="0" xfId="0" applyFont="1" applyAlignment="1" applyProtection="1">
      <alignment vertical="center" wrapText="1"/>
      <protection locked="0"/>
    </xf>
    <xf numFmtId="3" fontId="130" fillId="4" borderId="0" xfId="153" applyNumberFormat="1" applyFont="1" applyFill="1" applyAlignment="1">
      <alignment horizontal="center" vertical="center" wrapText="1"/>
    </xf>
    <xf numFmtId="3" fontId="130" fillId="4" borderId="0" xfId="153" applyNumberFormat="1" applyFont="1" applyFill="1" applyAlignment="1">
      <alignment horizontal="left" vertical="center" wrapText="1"/>
    </xf>
    <xf numFmtId="0" fontId="124" fillId="65" borderId="2" xfId="0" applyFont="1" applyFill="1" applyBorder="1" applyAlignment="1">
      <alignment horizontal="left" vertical="center" wrapText="1"/>
    </xf>
    <xf numFmtId="2" fontId="124" fillId="0" borderId="0" xfId="0" applyNumberFormat="1" applyFont="1" applyAlignment="1">
      <alignment horizontal="center" vertical="center" wrapText="1"/>
    </xf>
    <xf numFmtId="0" fontId="124" fillId="0" borderId="0" xfId="0" applyFont="1" applyAlignment="1">
      <alignment horizontal="center" vertical="center" wrapText="1"/>
    </xf>
    <xf numFmtId="3" fontId="124" fillId="0" borderId="0" xfId="0" applyNumberFormat="1" applyFont="1" applyAlignment="1">
      <alignment horizontal="center" vertical="center" wrapText="1"/>
    </xf>
    <xf numFmtId="3" fontId="124" fillId="0" borderId="0" xfId="0" applyNumberFormat="1" applyFont="1" applyAlignment="1">
      <alignment vertical="center"/>
    </xf>
    <xf numFmtId="0" fontId="56" fillId="65" borderId="2" xfId="0" applyFont="1" applyFill="1" applyBorder="1" applyAlignment="1">
      <alignment horizontal="center" vertical="center" wrapText="1"/>
    </xf>
    <xf numFmtId="1" fontId="56" fillId="65" borderId="2" xfId="0" applyNumberFormat="1" applyFont="1" applyFill="1" applyBorder="1" applyAlignment="1">
      <alignment horizontal="center" vertical="center" wrapText="1"/>
    </xf>
    <xf numFmtId="0" fontId="56" fillId="0" borderId="0" xfId="0" applyFont="1" applyAlignment="1">
      <alignment vertical="center"/>
    </xf>
    <xf numFmtId="0" fontId="132" fillId="0" borderId="38" xfId="0" applyFont="1" applyBorder="1" applyAlignment="1" applyProtection="1">
      <alignment vertical="center" wrapText="1"/>
      <protection locked="0"/>
    </xf>
    <xf numFmtId="0" fontId="124" fillId="0" borderId="39" xfId="0" applyFont="1" applyBorder="1" applyAlignment="1" applyProtection="1">
      <alignment horizontal="right" vertical="center"/>
      <protection locked="0"/>
    </xf>
    <xf numFmtId="0" fontId="124" fillId="65" borderId="2" xfId="0" applyFont="1" applyFill="1" applyBorder="1" applyAlignment="1">
      <alignment horizontal="right" vertical="center" wrapText="1"/>
    </xf>
    <xf numFmtId="0" fontId="132" fillId="0" borderId="40" xfId="0" applyFont="1" applyBorder="1" applyAlignment="1" applyProtection="1">
      <alignment vertical="center" wrapText="1"/>
      <protection locked="0"/>
    </xf>
    <xf numFmtId="0" fontId="124" fillId="0" borderId="41" xfId="0" applyFont="1" applyBorder="1" applyAlignment="1" applyProtection="1">
      <alignment horizontal="right" vertical="center"/>
      <protection locked="0"/>
    </xf>
    <xf numFmtId="0" fontId="124" fillId="0" borderId="42" xfId="0" applyFont="1" applyBorder="1" applyAlignment="1" applyProtection="1">
      <alignment vertical="center"/>
      <protection locked="0"/>
    </xf>
    <xf numFmtId="0" fontId="124" fillId="0" borderId="43" xfId="0" applyFont="1" applyBorder="1" applyAlignment="1" applyProtection="1">
      <alignment horizontal="right" vertical="center"/>
      <protection locked="0"/>
    </xf>
    <xf numFmtId="0" fontId="133" fillId="65" borderId="13" xfId="0" applyFont="1" applyFill="1" applyBorder="1" applyAlignment="1">
      <alignment vertical="center" wrapText="1"/>
    </xf>
    <xf numFmtId="0" fontId="124" fillId="65" borderId="3" xfId="0" applyFont="1" applyFill="1" applyBorder="1" applyAlignment="1" applyProtection="1">
      <alignment vertical="center"/>
      <protection locked="0"/>
    </xf>
    <xf numFmtId="0" fontId="132" fillId="65" borderId="14" xfId="0" applyFont="1" applyFill="1" applyBorder="1" applyAlignment="1" applyProtection="1">
      <alignment vertical="center" wrapText="1"/>
      <protection locked="0"/>
    </xf>
    <xf numFmtId="0" fontId="134" fillId="69" borderId="2" xfId="0" applyFont="1" applyFill="1" applyBorder="1" applyAlignment="1">
      <alignment horizontal="right" vertical="center" wrapText="1"/>
    </xf>
    <xf numFmtId="0" fontId="132" fillId="0" borderId="0" xfId="0" applyFont="1" applyAlignment="1">
      <alignment vertical="center" wrapText="1"/>
    </xf>
    <xf numFmtId="0" fontId="124" fillId="0" borderId="0" xfId="0" applyFont="1" applyAlignment="1">
      <alignment horizontal="left" vertical="center"/>
    </xf>
    <xf numFmtId="0" fontId="133" fillId="0" borderId="0" xfId="0" applyFont="1" applyAlignment="1">
      <alignment vertical="center" wrapText="1"/>
    </xf>
    <xf numFmtId="0" fontId="122" fillId="0" borderId="0" xfId="0" applyFont="1" applyAlignment="1">
      <alignment horizontal="center" vertical="center" wrapText="1"/>
    </xf>
    <xf numFmtId="0" fontId="123" fillId="0" borderId="0" xfId="0" applyFont="1" applyAlignment="1">
      <alignment horizontal="center" vertical="center" wrapText="1"/>
    </xf>
    <xf numFmtId="0" fontId="129" fillId="0" borderId="0" xfId="0" applyFont="1" applyAlignment="1">
      <alignment vertical="center"/>
    </xf>
    <xf numFmtId="0" fontId="131" fillId="0" borderId="0" xfId="0" applyFont="1" applyAlignment="1">
      <alignment vertical="center"/>
    </xf>
    <xf numFmtId="0" fontId="124" fillId="0" borderId="39" xfId="0" applyFont="1" applyBorder="1" applyAlignment="1" applyProtection="1">
      <alignment vertical="center"/>
      <protection locked="0"/>
    </xf>
    <xf numFmtId="0" fontId="124" fillId="0" borderId="0" xfId="0" applyFont="1" applyAlignment="1">
      <alignment horizontal="right" vertical="center" wrapText="1"/>
    </xf>
    <xf numFmtId="0" fontId="124" fillId="0" borderId="40" xfId="0" applyFont="1" applyBorder="1" applyAlignment="1" applyProtection="1">
      <alignment vertical="center"/>
      <protection locked="0"/>
    </xf>
    <xf numFmtId="0" fontId="124" fillId="0" borderId="41" xfId="0" applyFont="1" applyBorder="1" applyAlignment="1" applyProtection="1">
      <alignment vertical="center"/>
      <protection locked="0"/>
    </xf>
    <xf numFmtId="0" fontId="124" fillId="0" borderId="43" xfId="0" applyFont="1" applyBorder="1" applyAlignment="1" applyProtection="1">
      <alignment vertical="center"/>
      <protection locked="0"/>
    </xf>
    <xf numFmtId="0" fontId="133" fillId="65" borderId="2" xfId="0" applyFont="1" applyFill="1" applyBorder="1" applyAlignment="1">
      <alignment vertical="center" wrapText="1"/>
    </xf>
    <xf numFmtId="14" fontId="124" fillId="65" borderId="2" xfId="0" applyNumberFormat="1" applyFont="1" applyFill="1" applyBorder="1" applyAlignment="1">
      <alignment horizontal="center" vertical="center"/>
    </xf>
    <xf numFmtId="0" fontId="124" fillId="65" borderId="2" xfId="0" applyFont="1" applyFill="1" applyBorder="1" applyAlignment="1">
      <alignment horizontal="center" vertical="center"/>
    </xf>
    <xf numFmtId="0" fontId="16" fillId="0" borderId="40" xfId="0" applyFont="1" applyBorder="1" applyAlignment="1" applyProtection="1">
      <alignment horizontal="left" vertical="center" wrapText="1"/>
      <protection locked="0"/>
    </xf>
    <xf numFmtId="0" fontId="16" fillId="0" borderId="41" xfId="0" applyFont="1" applyBorder="1" applyAlignment="1" applyProtection="1">
      <alignment horizontal="left" vertical="center" wrapText="1"/>
      <protection locked="0"/>
    </xf>
    <xf numFmtId="0" fontId="16" fillId="0" borderId="42" xfId="0" applyFont="1" applyBorder="1" applyAlignment="1" applyProtection="1">
      <alignment horizontal="left" vertical="center" wrapText="1"/>
      <protection locked="0"/>
    </xf>
    <xf numFmtId="0" fontId="16" fillId="0" borderId="33" xfId="0" applyFont="1" applyBorder="1" applyAlignment="1" applyProtection="1">
      <alignment horizontal="left" vertical="center" wrapText="1"/>
      <protection locked="0"/>
    </xf>
    <xf numFmtId="0" fontId="16" fillId="0" borderId="43" xfId="0" applyFont="1" applyBorder="1" applyAlignment="1" applyProtection="1">
      <alignment horizontal="left" vertical="center" wrapText="1"/>
      <protection locked="0"/>
    </xf>
    <xf numFmtId="0" fontId="20" fillId="63" borderId="13" xfId="0" applyFont="1" applyFill="1" applyBorder="1" applyAlignment="1">
      <alignment vertical="center" wrapText="1"/>
    </xf>
    <xf numFmtId="169" fontId="18" fillId="4" borderId="56" xfId="153" applyNumberFormat="1" applyFont="1" applyFill="1" applyBorder="1" applyAlignment="1" applyProtection="1">
      <alignment horizontal="center" vertical="center" wrapText="1"/>
      <protection locked="0"/>
    </xf>
    <xf numFmtId="14" fontId="0" fillId="65" borderId="2" xfId="0" applyNumberFormat="1" applyFill="1" applyBorder="1" applyAlignment="1">
      <alignment horizontal="center" vertical="center" wrapText="1"/>
    </xf>
    <xf numFmtId="1" fontId="16" fillId="65" borderId="2" xfId="0" applyNumberFormat="1" applyFont="1" applyFill="1" applyBorder="1" applyAlignment="1">
      <alignment horizontal="center" vertical="center" wrapText="1"/>
    </xf>
    <xf numFmtId="0" fontId="100" fillId="63" borderId="48" xfId="0" applyFont="1" applyFill="1" applyBorder="1" applyAlignment="1">
      <alignment horizontal="center" vertical="center" wrapText="1"/>
    </xf>
    <xf numFmtId="0" fontId="56" fillId="63" borderId="2" xfId="0" applyFont="1" applyFill="1" applyBorder="1" applyAlignment="1">
      <alignment horizontal="left" vertical="center" wrapText="1"/>
    </xf>
    <xf numFmtId="10" fontId="118" fillId="0" borderId="2" xfId="244" applyNumberFormat="1" applyFont="1" applyBorder="1" applyAlignment="1">
      <alignment horizontal="center" vertical="center"/>
    </xf>
    <xf numFmtId="0" fontId="0" fillId="0" borderId="0" xfId="0" applyAlignment="1">
      <alignment horizontal="center" vertical="center" wrapText="1"/>
    </xf>
    <xf numFmtId="0" fontId="112" fillId="0" borderId="0" xfId="0" applyFont="1" applyAlignment="1">
      <alignment horizontal="left" vertical="center" wrapText="1"/>
    </xf>
    <xf numFmtId="0" fontId="0" fillId="66" borderId="14" xfId="0" applyFill="1" applyBorder="1" applyAlignment="1">
      <alignment horizontal="center" vertical="center"/>
    </xf>
    <xf numFmtId="0" fontId="124" fillId="0" borderId="0" xfId="0" applyFont="1" applyAlignment="1">
      <alignment vertical="center" wrapText="1"/>
    </xf>
    <xf numFmtId="2" fontId="0" fillId="0" borderId="0" xfId="0" applyNumberFormat="1"/>
    <xf numFmtId="0" fontId="124" fillId="0" borderId="2" xfId="0" applyFont="1" applyBorder="1" applyAlignment="1">
      <alignment horizontal="center" vertical="center"/>
    </xf>
    <xf numFmtId="3" fontId="0" fillId="0" borderId="2" xfId="0" applyNumberFormat="1" applyBorder="1" applyAlignment="1">
      <alignment vertical="center"/>
    </xf>
    <xf numFmtId="9" fontId="0" fillId="0" borderId="2" xfId="0" applyNumberFormat="1" applyBorder="1" applyAlignment="1">
      <alignment vertical="center"/>
    </xf>
    <xf numFmtId="3" fontId="49" fillId="65" borderId="2" xfId="0" applyNumberFormat="1" applyFont="1" applyFill="1" applyBorder="1" applyAlignment="1">
      <alignment horizontal="center" vertical="center" wrapText="1"/>
    </xf>
    <xf numFmtId="3" fontId="0" fillId="65" borderId="2" xfId="132" applyNumberFormat="1" applyFont="1" applyFill="1" applyBorder="1" applyAlignment="1" applyProtection="1">
      <alignment horizontal="center" vertical="center"/>
    </xf>
    <xf numFmtId="0" fontId="0" fillId="66" borderId="13" xfId="0" applyFill="1" applyBorder="1" applyAlignment="1">
      <alignment horizontal="left" vertical="center"/>
    </xf>
    <xf numFmtId="1" fontId="124" fillId="65" borderId="16" xfId="0" applyNumberFormat="1" applyFont="1" applyFill="1" applyBorder="1" applyAlignment="1">
      <alignment horizontal="center" vertical="center" wrapText="1"/>
    </xf>
    <xf numFmtId="1" fontId="124" fillId="65" borderId="2" xfId="0" applyNumberFormat="1" applyFont="1" applyFill="1" applyBorder="1" applyAlignment="1">
      <alignment horizontal="center" vertical="center" wrapText="1"/>
    </xf>
    <xf numFmtId="166" fontId="124" fillId="65" borderId="2" xfId="243" applyNumberFormat="1" applyFont="1" applyFill="1" applyBorder="1" applyAlignment="1" applyProtection="1">
      <alignment horizontal="left" vertical="center" wrapText="1"/>
    </xf>
    <xf numFmtId="166" fontId="124" fillId="65" borderId="2" xfId="0" applyNumberFormat="1" applyFont="1" applyFill="1" applyBorder="1" applyAlignment="1">
      <alignment horizontal="left" vertical="center" wrapText="1"/>
    </xf>
    <xf numFmtId="166" fontId="124" fillId="65" borderId="16" xfId="0" applyNumberFormat="1" applyFont="1" applyFill="1" applyBorder="1" applyAlignment="1">
      <alignment horizontal="left" vertical="center" wrapText="1"/>
    </xf>
    <xf numFmtId="166" fontId="124" fillId="0" borderId="2" xfId="0" applyNumberFormat="1" applyFont="1" applyBorder="1" applyAlignment="1">
      <alignment horizontal="center" vertical="center"/>
    </xf>
    <xf numFmtId="10" fontId="118" fillId="0" borderId="2" xfId="243" applyNumberFormat="1" applyFont="1" applyBorder="1" applyAlignment="1" applyProtection="1">
      <alignment horizontal="center" vertical="center"/>
    </xf>
    <xf numFmtId="0" fontId="119" fillId="4" borderId="0" xfId="2239" applyFont="1" applyFill="1" applyAlignment="1">
      <alignment horizontal="left" vertical="center"/>
    </xf>
    <xf numFmtId="14" fontId="49" fillId="4" borderId="2" xfId="2239" applyNumberFormat="1" applyFont="1" applyFill="1" applyBorder="1" applyAlignment="1">
      <alignment horizontal="left" vertical="center" wrapText="1"/>
    </xf>
    <xf numFmtId="14" fontId="49" fillId="4" borderId="2" xfId="2239" applyNumberFormat="1" applyFont="1" applyFill="1" applyBorder="1" applyAlignment="1">
      <alignment horizontal="left" vertical="center"/>
    </xf>
    <xf numFmtId="0" fontId="49" fillId="4" borderId="0" xfId="2239" applyFont="1" applyFill="1" applyAlignment="1">
      <alignment horizontal="left" vertical="center"/>
    </xf>
    <xf numFmtId="14" fontId="49" fillId="67" borderId="2" xfId="2239" applyNumberFormat="1" applyFont="1" applyFill="1" applyBorder="1" applyAlignment="1">
      <alignment horizontal="left" vertical="center" wrapText="1"/>
    </xf>
    <xf numFmtId="0" fontId="49" fillId="4" borderId="2" xfId="2240" applyFont="1" applyFill="1" applyBorder="1" applyAlignment="1">
      <alignment horizontal="left" vertical="center" wrapText="1"/>
    </xf>
    <xf numFmtId="18" fontId="49" fillId="0" borderId="2" xfId="0" applyNumberFormat="1" applyFont="1" applyBorder="1" applyAlignment="1">
      <alignment horizontal="left" vertical="center" wrapText="1"/>
    </xf>
    <xf numFmtId="0" fontId="49" fillId="4" borderId="2" xfId="2239" quotePrefix="1" applyFont="1" applyFill="1" applyBorder="1" applyAlignment="1">
      <alignment horizontal="left" vertical="center" wrapText="1"/>
    </xf>
    <xf numFmtId="0" fontId="120" fillId="4" borderId="0" xfId="2239" applyFont="1" applyFill="1" applyAlignment="1">
      <alignment vertical="center"/>
    </xf>
    <xf numFmtId="0" fontId="120" fillId="4" borderId="0" xfId="2240" applyFont="1" applyFill="1" applyAlignment="1">
      <alignment vertical="center"/>
    </xf>
    <xf numFmtId="3" fontId="18" fillId="4" borderId="0" xfId="153" applyNumberFormat="1" applyFont="1" applyFill="1" applyAlignment="1">
      <alignment vertical="center" wrapText="1"/>
    </xf>
    <xf numFmtId="14" fontId="18" fillId="4" borderId="2" xfId="153" applyNumberFormat="1" applyFont="1" applyFill="1" applyBorder="1" applyAlignment="1">
      <alignment horizontal="center" vertical="center" wrapText="1"/>
    </xf>
    <xf numFmtId="3" fontId="18" fillId="4" borderId="0" xfId="153" quotePrefix="1" applyNumberFormat="1" applyFont="1" applyFill="1" applyAlignment="1">
      <alignment vertical="center" wrapText="1"/>
    </xf>
    <xf numFmtId="176" fontId="62" fillId="0" borderId="0" xfId="2236" applyFont="1" applyAlignment="1">
      <alignment horizontal="left" vertical="center"/>
    </xf>
    <xf numFmtId="0" fontId="87" fillId="63" borderId="2" xfId="153" applyFont="1" applyFill="1" applyBorder="1" applyAlignment="1">
      <alignment horizontal="center" vertical="center" wrapText="1"/>
    </xf>
    <xf numFmtId="0" fontId="124" fillId="0" borderId="0" xfId="0" applyFont="1" applyAlignment="1">
      <alignment horizontal="center" vertical="center"/>
    </xf>
    <xf numFmtId="0" fontId="20" fillId="63" borderId="48" xfId="0" applyFont="1" applyFill="1" applyBorder="1" applyAlignment="1">
      <alignment horizontal="center" vertical="center" wrapText="1"/>
    </xf>
    <xf numFmtId="0" fontId="121" fillId="4" borderId="37" xfId="2240" applyFont="1" applyFill="1" applyBorder="1" applyAlignment="1">
      <alignment vertical="center"/>
    </xf>
    <xf numFmtId="0" fontId="2" fillId="4" borderId="0" xfId="2239" applyFill="1" applyAlignment="1">
      <alignment vertical="center"/>
    </xf>
    <xf numFmtId="176" fontId="14" fillId="4" borderId="0" xfId="2235" applyFill="1" applyAlignment="1" applyProtection="1">
      <alignment vertical="center" wrapText="1"/>
      <protection hidden="1"/>
    </xf>
    <xf numFmtId="176" fontId="62" fillId="0" borderId="0" xfId="2236" applyFont="1" applyAlignment="1">
      <alignment vertical="center"/>
    </xf>
    <xf numFmtId="0" fontId="137" fillId="0" borderId="2" xfId="0" applyFont="1" applyBorder="1" applyAlignment="1">
      <alignment horizontal="left" vertical="center" wrapText="1"/>
    </xf>
    <xf numFmtId="0" fontId="49" fillId="4" borderId="2" xfId="2239" applyFont="1" applyFill="1" applyBorder="1" applyAlignment="1">
      <alignment horizontal="left" vertical="center"/>
    </xf>
    <xf numFmtId="0" fontId="49" fillId="0" borderId="2" xfId="0" applyFont="1" applyBorder="1" applyAlignment="1">
      <alignment vertical="center" wrapText="1"/>
    </xf>
    <xf numFmtId="10" fontId="49" fillId="0" borderId="2" xfId="0" applyNumberFormat="1" applyFont="1" applyBorder="1" applyAlignment="1">
      <alignment horizontal="left" vertical="center" wrapText="1"/>
    </xf>
    <xf numFmtId="0" fontId="0" fillId="65" borderId="2" xfId="0" applyFill="1" applyBorder="1" applyAlignment="1">
      <alignment horizontal="left" vertical="center" wrapText="1"/>
    </xf>
    <xf numFmtId="0" fontId="85" fillId="62" borderId="14" xfId="0" applyFont="1" applyFill="1" applyBorder="1" applyAlignment="1">
      <alignment horizontal="left" vertical="center" wrapText="1"/>
    </xf>
    <xf numFmtId="0" fontId="135" fillId="70" borderId="2" xfId="0" applyFont="1" applyFill="1" applyBorder="1" applyAlignment="1">
      <alignment horizontal="center" vertical="center" wrapText="1"/>
    </xf>
    <xf numFmtId="14" fontId="18" fillId="4" borderId="50" xfId="153" applyNumberFormat="1" applyFont="1" applyFill="1" applyBorder="1" applyAlignment="1" applyProtection="1">
      <alignment horizontal="center" vertical="center" wrapText="1"/>
      <protection locked="0"/>
    </xf>
    <xf numFmtId="14" fontId="18" fillId="4" borderId="28" xfId="153" applyNumberFormat="1" applyFont="1" applyFill="1" applyBorder="1" applyAlignment="1" applyProtection="1">
      <alignment horizontal="center" vertical="center" wrapText="1"/>
      <protection locked="0"/>
    </xf>
    <xf numFmtId="14" fontId="18" fillId="4" borderId="33" xfId="153" applyNumberFormat="1" applyFont="1" applyFill="1" applyBorder="1" applyAlignment="1" applyProtection="1">
      <alignment horizontal="center" vertical="center" wrapText="1"/>
      <protection locked="0"/>
    </xf>
    <xf numFmtId="9" fontId="0" fillId="0" borderId="0" xfId="0" applyNumberFormat="1" applyAlignment="1">
      <alignment vertical="center"/>
    </xf>
    <xf numFmtId="0" fontId="0" fillId="0" borderId="0" xfId="0" applyAlignment="1">
      <alignment horizontal="left"/>
    </xf>
    <xf numFmtId="0" fontId="109" fillId="62" borderId="0" xfId="0" applyFont="1" applyFill="1" applyAlignment="1">
      <alignment horizontal="left" vertical="center"/>
    </xf>
    <xf numFmtId="0" fontId="128" fillId="61" borderId="0" xfId="0" applyFont="1" applyFill="1" applyAlignment="1">
      <alignment horizontal="left" vertical="center"/>
    </xf>
    <xf numFmtId="0" fontId="56" fillId="63" borderId="3" xfId="0" applyFont="1" applyFill="1" applyBorder="1" applyAlignment="1">
      <alignment horizontal="left" vertical="center" wrapText="1"/>
    </xf>
    <xf numFmtId="0" fontId="56" fillId="63" borderId="14" xfId="0" applyFont="1" applyFill="1" applyBorder="1" applyAlignment="1">
      <alignment horizontal="left" vertical="center" wrapText="1"/>
    </xf>
    <xf numFmtId="0" fontId="56" fillId="63" borderId="13" xfId="0" applyFont="1" applyFill="1" applyBorder="1" applyAlignment="1">
      <alignment horizontal="left" vertical="center"/>
    </xf>
    <xf numFmtId="0" fontId="56" fillId="63" borderId="3" xfId="0" applyFont="1" applyFill="1" applyBorder="1" applyAlignment="1">
      <alignment horizontal="left" vertical="center"/>
    </xf>
    <xf numFmtId="0" fontId="56" fillId="63" borderId="14" xfId="0" applyFont="1" applyFill="1" applyBorder="1" applyAlignment="1">
      <alignment horizontal="left" vertical="center"/>
    </xf>
    <xf numFmtId="0" fontId="0" fillId="4" borderId="25" xfId="0" applyFill="1" applyBorder="1" applyAlignment="1">
      <alignment vertical="center" wrapText="1"/>
    </xf>
    <xf numFmtId="0" fontId="0" fillId="4" borderId="37" xfId="0" applyFill="1" applyBorder="1" applyAlignment="1">
      <alignment vertical="center" wrapText="1"/>
    </xf>
    <xf numFmtId="3" fontId="18" fillId="65" borderId="2" xfId="153" applyNumberFormat="1" applyFont="1" applyFill="1" applyBorder="1" applyAlignment="1" applyProtection="1">
      <alignment horizontal="center" vertical="center" wrapText="1"/>
      <protection locked="0"/>
    </xf>
    <xf numFmtId="0" fontId="49" fillId="4" borderId="2" xfId="2239" applyFont="1" applyFill="1" applyBorder="1" applyAlignment="1">
      <alignment vertical="center" wrapText="1"/>
    </xf>
    <xf numFmtId="0" fontId="0" fillId="0" borderId="0" xfId="0" applyAlignment="1" applyProtection="1">
      <alignment horizontal="center" vertical="center"/>
      <protection locked="0"/>
    </xf>
    <xf numFmtId="0" fontId="0" fillId="0" borderId="29"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14" fontId="49" fillId="0" borderId="2" xfId="0" quotePrefix="1" applyNumberFormat="1" applyFont="1" applyBorder="1" applyAlignment="1">
      <alignment horizontal="left" vertical="center" wrapText="1"/>
    </xf>
    <xf numFmtId="0" fontId="0" fillId="0" borderId="2" xfId="0" applyBorder="1" applyAlignment="1" applyProtection="1">
      <alignment vertical="center"/>
      <protection locked="0"/>
    </xf>
    <xf numFmtId="0" fontId="0" fillId="0" borderId="0" xfId="0" applyAlignment="1">
      <alignment horizontal="left" vertical="center"/>
    </xf>
    <xf numFmtId="0" fontId="20" fillId="65" borderId="2" xfId="0" applyFont="1" applyFill="1" applyBorder="1" applyAlignment="1">
      <alignment vertical="center" wrapText="1"/>
    </xf>
    <xf numFmtId="0" fontId="20" fillId="65" borderId="2" xfId="0" applyFont="1" applyFill="1" applyBorder="1" applyAlignment="1" applyProtection="1">
      <alignment vertical="center" wrapText="1"/>
      <protection locked="0"/>
    </xf>
    <xf numFmtId="0" fontId="20" fillId="63" borderId="15" xfId="0" applyFont="1" applyFill="1" applyBorder="1" applyAlignment="1">
      <alignment horizontal="left" vertical="center" wrapText="1"/>
    </xf>
    <xf numFmtId="1" fontId="0" fillId="65" borderId="2" xfId="0" applyNumberFormat="1" applyFill="1" applyBorder="1" applyAlignment="1">
      <alignment horizontal="center" vertical="center" wrapText="1"/>
    </xf>
    <xf numFmtId="1" fontId="0" fillId="65" borderId="2" xfId="0" applyNumberFormat="1" applyFill="1" applyBorder="1" applyAlignment="1">
      <alignment horizontal="left" vertical="center" wrapText="1"/>
    </xf>
    <xf numFmtId="3" fontId="20" fillId="65" borderId="2" xfId="0" applyNumberFormat="1" applyFont="1" applyFill="1" applyBorder="1" applyAlignment="1">
      <alignment horizontal="center" vertical="center" wrapText="1"/>
    </xf>
    <xf numFmtId="0" fontId="20" fillId="63" borderId="16" xfId="0" applyFont="1" applyFill="1" applyBorder="1" applyAlignment="1">
      <alignment horizontal="center" vertical="center" wrapText="1"/>
    </xf>
    <xf numFmtId="0" fontId="16" fillId="0" borderId="28" xfId="0" applyFont="1" applyBorder="1" applyAlignment="1" applyProtection="1">
      <alignment horizontal="center" vertical="center" wrapText="1"/>
      <protection locked="0"/>
    </xf>
    <xf numFmtId="0" fontId="16" fillId="0" borderId="33" xfId="0" applyFont="1" applyBorder="1" applyAlignment="1" applyProtection="1">
      <alignment horizontal="center" vertical="center" wrapText="1"/>
      <protection locked="0"/>
    </xf>
    <xf numFmtId="3" fontId="0" fillId="65" borderId="2" xfId="0" applyNumberFormat="1" applyFill="1" applyBorder="1" applyAlignment="1">
      <alignment horizontal="center" vertical="center"/>
    </xf>
    <xf numFmtId="172" fontId="0" fillId="65" borderId="2" xfId="243" applyNumberFormat="1" applyFont="1" applyFill="1" applyBorder="1" applyAlignment="1" applyProtection="1">
      <alignment horizontal="center" vertical="center"/>
    </xf>
    <xf numFmtId="9" fontId="0" fillId="65" borderId="2" xfId="243" applyFont="1" applyFill="1" applyBorder="1" applyAlignment="1" applyProtection="1">
      <alignment horizontal="center" vertical="center"/>
    </xf>
    <xf numFmtId="0" fontId="85" fillId="62" borderId="13" xfId="0" applyFont="1" applyFill="1" applyBorder="1" applyAlignment="1">
      <alignment horizontal="left" vertical="center"/>
    </xf>
    <xf numFmtId="3" fontId="20" fillId="65" borderId="2" xfId="0" applyNumberFormat="1" applyFont="1" applyFill="1" applyBorder="1" applyAlignment="1">
      <alignment horizontal="center" vertical="center"/>
    </xf>
    <xf numFmtId="0" fontId="0" fillId="66" borderId="2" xfId="0" applyFill="1" applyBorder="1" applyAlignment="1">
      <alignment horizontal="center" vertical="center"/>
    </xf>
    <xf numFmtId="0" fontId="0" fillId="66" borderId="14" xfId="243" applyNumberFormat="1" applyFont="1" applyFill="1" applyBorder="1" applyAlignment="1" applyProtection="1">
      <alignment vertical="center"/>
    </xf>
    <xf numFmtId="0" fontId="0" fillId="66" borderId="13" xfId="0" applyFill="1" applyBorder="1" applyAlignment="1">
      <alignment vertical="center"/>
    </xf>
    <xf numFmtId="0" fontId="0" fillId="65" borderId="2" xfId="0" applyFill="1" applyBorder="1" applyAlignment="1">
      <alignment horizontal="left" vertical="center"/>
    </xf>
    <xf numFmtId="1" fontId="0" fillId="65" borderId="2" xfId="0" applyNumberFormat="1" applyFill="1" applyBorder="1" applyAlignment="1">
      <alignment horizontal="center" vertical="center"/>
    </xf>
    <xf numFmtId="1" fontId="0" fillId="65" borderId="36" xfId="0" applyNumberFormat="1" applyFill="1" applyBorder="1" applyAlignment="1">
      <alignment horizontal="center" vertical="center" wrapText="1"/>
    </xf>
    <xf numFmtId="3" fontId="0" fillId="0" borderId="0" xfId="0" applyNumberFormat="1" applyAlignment="1">
      <alignment vertical="center" wrapText="1"/>
    </xf>
    <xf numFmtId="172" fontId="86" fillId="4" borderId="40" xfId="243" applyNumberFormat="1" applyFont="1" applyFill="1" applyBorder="1" applyAlignment="1" applyProtection="1">
      <alignment horizontal="center" vertical="center" wrapText="1"/>
      <protection locked="0"/>
    </xf>
    <xf numFmtId="172" fontId="18" fillId="4" borderId="41" xfId="243" applyNumberFormat="1" applyFont="1" applyFill="1" applyBorder="1" applyAlignment="1" applyProtection="1">
      <alignment horizontal="center" vertical="center" wrapText="1"/>
      <protection locked="0"/>
    </xf>
    <xf numFmtId="9" fontId="86" fillId="4" borderId="40" xfId="243" applyFont="1" applyFill="1" applyBorder="1" applyAlignment="1" applyProtection="1">
      <alignment horizontal="center" vertical="center" wrapText="1"/>
      <protection locked="0"/>
    </xf>
    <xf numFmtId="9" fontId="18" fillId="4" borderId="41" xfId="243" applyFont="1" applyFill="1" applyBorder="1" applyAlignment="1" applyProtection="1">
      <alignment horizontal="center" vertical="center" wrapText="1"/>
      <protection locked="0"/>
    </xf>
    <xf numFmtId="9" fontId="86" fillId="4" borderId="42" xfId="243" applyFont="1" applyFill="1" applyBorder="1" applyAlignment="1" applyProtection="1">
      <alignment horizontal="center" vertical="center" wrapText="1"/>
      <protection locked="0"/>
    </xf>
    <xf numFmtId="9" fontId="18" fillId="4" borderId="43" xfId="243" applyFont="1" applyFill="1" applyBorder="1" applyAlignment="1" applyProtection="1">
      <alignment horizontal="center" vertical="center" wrapText="1"/>
      <protection locked="0"/>
    </xf>
    <xf numFmtId="0" fontId="49" fillId="4" borderId="38" xfId="0" applyFont="1" applyFill="1" applyBorder="1" applyAlignment="1" applyProtection="1">
      <alignment horizontal="center" vertical="center"/>
      <protection locked="0"/>
    </xf>
    <xf numFmtId="0" fontId="49" fillId="4" borderId="32" xfId="0" applyFont="1" applyFill="1" applyBorder="1" applyAlignment="1" applyProtection="1">
      <alignment horizontal="center" vertical="center"/>
      <protection locked="0"/>
    </xf>
    <xf numFmtId="0" fontId="49" fillId="4" borderId="39" xfId="0" applyFont="1" applyFill="1" applyBorder="1" applyAlignment="1" applyProtection="1">
      <alignment horizontal="center" vertical="center"/>
      <protection locked="0"/>
    </xf>
    <xf numFmtId="0" fontId="49" fillId="4" borderId="40" xfId="0" applyFont="1" applyFill="1" applyBorder="1" applyAlignment="1" applyProtection="1">
      <alignment horizontal="center" vertical="center" wrapText="1"/>
      <protection locked="0"/>
    </xf>
    <xf numFmtId="0" fontId="49" fillId="4" borderId="28" xfId="0" applyFont="1" applyFill="1" applyBorder="1" applyAlignment="1" applyProtection="1">
      <alignment horizontal="center" vertical="center"/>
      <protection locked="0"/>
    </xf>
    <xf numFmtId="0" fontId="49" fillId="4" borderId="41" xfId="0" applyFont="1" applyFill="1" applyBorder="1" applyAlignment="1" applyProtection="1">
      <alignment horizontal="center" vertical="center"/>
      <protection locked="0"/>
    </xf>
    <xf numFmtId="0" fontId="49" fillId="4" borderId="40" xfId="0" applyFont="1" applyFill="1" applyBorder="1" applyAlignment="1" applyProtection="1">
      <alignment horizontal="center" vertical="center"/>
      <protection locked="0"/>
    </xf>
    <xf numFmtId="0" fontId="49" fillId="4" borderId="41" xfId="0" applyFont="1" applyFill="1" applyBorder="1" applyAlignment="1" applyProtection="1">
      <alignment horizontal="center" vertical="center" wrapText="1"/>
      <protection locked="0"/>
    </xf>
    <xf numFmtId="0" fontId="49" fillId="4" borderId="42" xfId="0" applyFont="1" applyFill="1" applyBorder="1" applyAlignment="1" applyProtection="1">
      <alignment horizontal="center" vertical="center"/>
      <protection locked="0"/>
    </xf>
    <xf numFmtId="0" fontId="49" fillId="4" borderId="33" xfId="0" applyFont="1" applyFill="1" applyBorder="1" applyAlignment="1" applyProtection="1">
      <alignment horizontal="center" vertical="center"/>
      <protection locked="0"/>
    </xf>
    <xf numFmtId="0" fontId="49" fillId="4" borderId="43" xfId="0" applyFont="1" applyFill="1" applyBorder="1" applyAlignment="1" applyProtection="1">
      <alignment horizontal="center" vertical="center"/>
      <protection locked="0"/>
    </xf>
    <xf numFmtId="3" fontId="18" fillId="65" borderId="13" xfId="153" applyNumberFormat="1" applyFont="1" applyFill="1" applyBorder="1" applyAlignment="1">
      <alignment vertical="center" wrapText="1"/>
    </xf>
    <xf numFmtId="0" fontId="100" fillId="63" borderId="13" xfId="0" applyFont="1" applyFill="1" applyBorder="1" applyAlignment="1">
      <alignment vertical="center" wrapText="1"/>
    </xf>
    <xf numFmtId="1" fontId="49" fillId="0" borderId="2" xfId="0" quotePrefix="1" applyNumberFormat="1" applyFont="1" applyBorder="1" applyAlignment="1">
      <alignment horizontal="left" vertical="center" wrapText="1"/>
    </xf>
    <xf numFmtId="166" fontId="124" fillId="65" borderId="2" xfId="0" applyNumberFormat="1" applyFont="1" applyFill="1" applyBorder="1" applyAlignment="1">
      <alignment vertical="center" wrapText="1"/>
    </xf>
    <xf numFmtId="3" fontId="124" fillId="65" borderId="2" xfId="0" applyNumberFormat="1" applyFont="1" applyFill="1" applyBorder="1" applyAlignment="1">
      <alignment horizontal="center" vertical="center" wrapText="1"/>
    </xf>
    <xf numFmtId="3" fontId="124" fillId="65" borderId="2" xfId="0" quotePrefix="1" applyNumberFormat="1" applyFont="1" applyFill="1" applyBorder="1" applyAlignment="1">
      <alignment horizontal="center" vertical="center" wrapText="1"/>
    </xf>
    <xf numFmtId="0" fontId="124" fillId="65" borderId="13" xfId="0" applyFont="1" applyFill="1" applyBorder="1" applyAlignment="1">
      <alignment horizontal="left" vertical="center"/>
    </xf>
    <xf numFmtId="0" fontId="124" fillId="66" borderId="2" xfId="0" applyFont="1" applyFill="1" applyBorder="1" applyAlignment="1">
      <alignment horizontal="left" vertical="center"/>
    </xf>
    <xf numFmtId="166" fontId="124" fillId="65" borderId="2" xfId="0" applyNumberFormat="1" applyFont="1" applyFill="1" applyBorder="1" applyAlignment="1">
      <alignment horizontal="center" vertical="center" wrapText="1"/>
    </xf>
    <xf numFmtId="166" fontId="56" fillId="63" borderId="2" xfId="0" applyNumberFormat="1" applyFont="1" applyFill="1" applyBorder="1" applyAlignment="1">
      <alignment horizontal="center" vertical="center" wrapText="1"/>
    </xf>
    <xf numFmtId="0" fontId="56" fillId="63" borderId="2" xfId="0" applyFont="1" applyFill="1" applyBorder="1" applyAlignment="1" applyProtection="1">
      <alignment horizontal="left" vertical="center" wrapText="1"/>
      <protection locked="0"/>
    </xf>
    <xf numFmtId="0" fontId="129" fillId="0" borderId="0" xfId="0" applyFont="1" applyAlignment="1">
      <alignment horizontal="center" vertical="center"/>
    </xf>
    <xf numFmtId="0" fontId="124" fillId="67" borderId="0" xfId="0" applyFont="1" applyFill="1" applyAlignment="1">
      <alignment horizontal="center" vertical="center"/>
    </xf>
    <xf numFmtId="166" fontId="85" fillId="62" borderId="2" xfId="0" applyNumberFormat="1" applyFont="1" applyFill="1" applyBorder="1" applyAlignment="1">
      <alignment horizontal="center" vertical="center" wrapText="1"/>
    </xf>
    <xf numFmtId="166" fontId="0" fillId="0" borderId="2" xfId="0" applyNumberFormat="1" applyBorder="1" applyAlignment="1">
      <alignment vertical="center"/>
    </xf>
    <xf numFmtId="166" fontId="56" fillId="65" borderId="13" xfId="0" applyNumberFormat="1" applyFont="1" applyFill="1" applyBorder="1" applyAlignment="1">
      <alignment vertical="center" wrapText="1"/>
    </xf>
    <xf numFmtId="0" fontId="0" fillId="0" borderId="0" xfId="0" applyAlignment="1">
      <alignment wrapText="1"/>
    </xf>
    <xf numFmtId="0" fontId="0" fillId="0" borderId="0" xfId="0" applyAlignment="1">
      <alignment horizontal="center" vertical="center"/>
    </xf>
    <xf numFmtId="0" fontId="0" fillId="0" borderId="2" xfId="0" applyBorder="1" applyAlignment="1" applyProtection="1">
      <alignment horizontal="center" vertical="center"/>
      <protection locked="0"/>
    </xf>
    <xf numFmtId="0" fontId="0" fillId="0" borderId="28" xfId="0" applyBorder="1" applyAlignment="1" applyProtection="1">
      <alignment vertical="center"/>
      <protection locked="0"/>
    </xf>
    <xf numFmtId="0" fontId="21" fillId="65" borderId="13" xfId="0" applyFont="1" applyFill="1" applyBorder="1" applyAlignment="1">
      <alignment vertical="center"/>
    </xf>
    <xf numFmtId="3" fontId="79" fillId="65" borderId="14" xfId="153" applyNumberFormat="1" applyFont="1" applyFill="1" applyBorder="1" applyAlignment="1">
      <alignment horizontal="center" vertical="center" wrapText="1"/>
    </xf>
    <xf numFmtId="0" fontId="124" fillId="0" borderId="2" xfId="0" applyFont="1" applyBorder="1" applyAlignment="1" applyProtection="1">
      <alignment vertical="center"/>
      <protection locked="0"/>
    </xf>
    <xf numFmtId="4" fontId="87" fillId="65" borderId="2" xfId="153" applyNumberFormat="1" applyFont="1" applyFill="1" applyBorder="1" applyAlignment="1">
      <alignment horizontal="center" vertical="center" wrapText="1"/>
    </xf>
    <xf numFmtId="0" fontId="0" fillId="0" borderId="0" xfId="0" quotePrefix="1" applyAlignment="1">
      <alignment vertical="center" wrapText="1"/>
    </xf>
    <xf numFmtId="0" fontId="0" fillId="0" borderId="0" xfId="0" applyAlignment="1">
      <alignment vertical="top" wrapText="1"/>
    </xf>
    <xf numFmtId="171" fontId="56" fillId="65" borderId="2" xfId="0" applyNumberFormat="1" applyFont="1" applyFill="1" applyBorder="1" applyAlignment="1">
      <alignment horizontal="center" vertical="center" wrapText="1"/>
    </xf>
    <xf numFmtId="172" fontId="87" fillId="65" borderId="2" xfId="243" applyNumberFormat="1" applyFont="1" applyFill="1" applyBorder="1" applyAlignment="1" applyProtection="1">
      <alignment horizontal="center" vertical="center" wrapText="1"/>
    </xf>
    <xf numFmtId="166" fontId="0" fillId="65" borderId="2" xfId="0" applyNumberFormat="1" applyFill="1" applyBorder="1" applyAlignment="1">
      <alignment horizontal="center" vertical="center" wrapText="1"/>
    </xf>
    <xf numFmtId="0" fontId="49" fillId="0" borderId="2" xfId="0" applyFont="1" applyBorder="1" applyAlignment="1">
      <alignment horizontal="left" vertical="center" wrapText="1"/>
    </xf>
    <xf numFmtId="171" fontId="124" fillId="65" borderId="2" xfId="0" applyNumberFormat="1" applyFont="1" applyFill="1" applyBorder="1" applyAlignment="1">
      <alignment horizontal="center" vertical="center" wrapText="1"/>
    </xf>
    <xf numFmtId="0" fontId="49" fillId="4" borderId="2" xfId="2239" applyFont="1" applyFill="1" applyBorder="1" applyAlignment="1">
      <alignment horizontal="left" vertical="center" wrapText="1"/>
    </xf>
    <xf numFmtId="0" fontId="49" fillId="0" borderId="2" xfId="2239" applyFont="1" applyBorder="1" applyAlignment="1">
      <alignment horizontal="left" vertical="center" wrapText="1"/>
    </xf>
    <xf numFmtId="0" fontId="49" fillId="0" borderId="15" xfId="0" applyFont="1" applyBorder="1" applyAlignment="1">
      <alignment horizontal="left" vertical="center" wrapText="1"/>
    </xf>
    <xf numFmtId="0" fontId="49" fillId="4" borderId="16" xfId="2239" applyFont="1" applyFill="1" applyBorder="1" applyAlignment="1">
      <alignment horizontal="left" vertical="center" wrapText="1"/>
    </xf>
    <xf numFmtId="0" fontId="116" fillId="63" borderId="2" xfId="244" applyFont="1" applyFill="1" applyBorder="1" applyAlignment="1">
      <alignment horizontal="center" vertical="center" wrapText="1"/>
    </xf>
    <xf numFmtId="0" fontId="116" fillId="63" borderId="3" xfId="0" applyFont="1" applyFill="1" applyBorder="1" applyAlignment="1">
      <alignment horizontal="center" vertical="center" wrapText="1"/>
    </xf>
    <xf numFmtId="0" fontId="116" fillId="63" borderId="14" xfId="0" applyFont="1" applyFill="1" applyBorder="1" applyAlignment="1">
      <alignment horizontal="center" vertical="center" wrapText="1"/>
    </xf>
    <xf numFmtId="0" fontId="116" fillId="63" borderId="13" xfId="0" applyFont="1" applyFill="1" applyBorder="1" applyAlignment="1">
      <alignment horizontal="left" vertical="center"/>
    </xf>
    <xf numFmtId="0" fontId="116" fillId="63" borderId="14" xfId="0" applyFont="1" applyFill="1" applyBorder="1" applyAlignment="1">
      <alignment horizontal="left" vertical="center" wrapText="1"/>
    </xf>
    <xf numFmtId="1" fontId="118" fillId="0" borderId="2" xfId="244" applyNumberFormat="1" applyFont="1" applyBorder="1" applyAlignment="1">
      <alignment horizontal="center" vertical="center"/>
    </xf>
    <xf numFmtId="4" fontId="124" fillId="65" borderId="2" xfId="0" quotePrefix="1" applyNumberFormat="1" applyFont="1" applyFill="1" applyBorder="1" applyAlignment="1">
      <alignment horizontal="center" vertical="center" wrapText="1"/>
    </xf>
    <xf numFmtId="4" fontId="124" fillId="65" borderId="2" xfId="0" applyNumberFormat="1" applyFont="1" applyFill="1" applyBorder="1" applyAlignment="1">
      <alignment horizontal="center" vertical="center" wrapText="1"/>
    </xf>
    <xf numFmtId="4" fontId="56" fillId="65" borderId="2" xfId="0" quotePrefix="1" applyNumberFormat="1" applyFont="1" applyFill="1" applyBorder="1" applyAlignment="1">
      <alignment horizontal="center" vertical="center" wrapText="1"/>
    </xf>
    <xf numFmtId="171" fontId="124" fillId="65" borderId="16" xfId="0" applyNumberFormat="1" applyFont="1" applyFill="1" applyBorder="1" applyAlignment="1">
      <alignment horizontal="center" vertical="center" wrapText="1"/>
    </xf>
    <xf numFmtId="3" fontId="124" fillId="65" borderId="2" xfId="243" applyNumberFormat="1" applyFont="1" applyFill="1" applyBorder="1" applyAlignment="1" applyProtection="1">
      <alignment horizontal="center" vertical="center" wrapText="1"/>
    </xf>
    <xf numFmtId="3" fontId="139" fillId="65" borderId="2" xfId="0" applyNumberFormat="1" applyFont="1" applyFill="1" applyBorder="1" applyAlignment="1">
      <alignment horizontal="center" vertical="center" wrapText="1"/>
    </xf>
    <xf numFmtId="3" fontId="133" fillId="65" borderId="2" xfId="0" applyNumberFormat="1" applyFont="1" applyFill="1" applyBorder="1" applyAlignment="1">
      <alignment horizontal="center" vertical="center" wrapText="1"/>
    </xf>
    <xf numFmtId="3" fontId="56" fillId="65" borderId="2" xfId="0" quotePrefix="1" applyNumberFormat="1" applyFont="1" applyFill="1" applyBorder="1" applyAlignment="1">
      <alignment horizontal="center" vertical="center" wrapText="1"/>
    </xf>
    <xf numFmtId="171" fontId="124" fillId="65" borderId="16" xfId="0" quotePrefix="1" applyNumberFormat="1" applyFont="1" applyFill="1" applyBorder="1" applyAlignment="1">
      <alignment horizontal="center" vertical="center" wrapText="1"/>
    </xf>
    <xf numFmtId="171" fontId="124" fillId="65" borderId="16" xfId="132" applyNumberFormat="1" applyFont="1" applyFill="1" applyBorder="1" applyAlignment="1">
      <alignment horizontal="center" vertical="center" wrapText="1"/>
    </xf>
    <xf numFmtId="3" fontId="124" fillId="65" borderId="2" xfId="0" applyNumberFormat="1" applyFont="1" applyFill="1" applyBorder="1" applyAlignment="1">
      <alignment horizontal="left" vertical="center" wrapText="1"/>
    </xf>
    <xf numFmtId="3" fontId="124" fillId="65" borderId="3" xfId="0" applyNumberFormat="1" applyFont="1" applyFill="1" applyBorder="1" applyAlignment="1">
      <alignment horizontal="left" vertical="center" wrapText="1"/>
    </xf>
    <xf numFmtId="3" fontId="56" fillId="65" borderId="2" xfId="0" applyNumberFormat="1" applyFont="1" applyFill="1" applyBorder="1" applyAlignment="1">
      <alignment horizontal="center" vertical="center" wrapText="1"/>
    </xf>
    <xf numFmtId="171" fontId="124" fillId="65" borderId="2" xfId="132" applyNumberFormat="1" applyFont="1" applyFill="1" applyBorder="1" applyAlignment="1">
      <alignment horizontal="center" vertical="center" wrapText="1"/>
    </xf>
    <xf numFmtId="9" fontId="56" fillId="65" borderId="2" xfId="243" applyFont="1" applyFill="1" applyBorder="1" applyAlignment="1">
      <alignment horizontal="center" vertical="center" wrapText="1"/>
    </xf>
    <xf numFmtId="0" fontId="91" fillId="0" borderId="2" xfId="243" applyNumberFormat="1" applyFont="1" applyBorder="1" applyAlignment="1" applyProtection="1">
      <alignment horizontal="center" vertical="center"/>
    </xf>
    <xf numFmtId="0" fontId="49" fillId="65" borderId="2" xfId="0" applyFont="1" applyFill="1" applyBorder="1" applyAlignment="1">
      <alignment horizontal="center" vertical="center"/>
    </xf>
    <xf numFmtId="4" fontId="18" fillId="65" borderId="2" xfId="153" applyNumberFormat="1" applyFont="1" applyFill="1" applyBorder="1" applyAlignment="1">
      <alignment horizontal="center" vertical="center" wrapText="1"/>
    </xf>
    <xf numFmtId="0" fontId="2" fillId="0" borderId="0" xfId="2239" applyAlignment="1">
      <alignment vertical="center"/>
    </xf>
    <xf numFmtId="0" fontId="116" fillId="63" borderId="13" xfId="244" applyFont="1" applyFill="1" applyBorder="1" applyAlignment="1">
      <alignment vertical="center" wrapText="1"/>
    </xf>
    <xf numFmtId="0" fontId="116" fillId="63" borderId="3" xfId="244" applyFont="1" applyFill="1" applyBorder="1" applyAlignment="1">
      <alignment vertical="center" wrapText="1"/>
    </xf>
    <xf numFmtId="0" fontId="116" fillId="63" borderId="14" xfId="244" applyFont="1" applyFill="1" applyBorder="1" applyAlignment="1">
      <alignment vertical="center" wrapText="1"/>
    </xf>
    <xf numFmtId="0" fontId="14" fillId="4" borderId="2" xfId="153" applyFill="1" applyBorder="1" applyAlignment="1">
      <alignment horizontal="center" vertical="center" wrapText="1"/>
    </xf>
    <xf numFmtId="14" fontId="14" fillId="4" borderId="2" xfId="153" applyNumberFormat="1" applyFill="1" applyBorder="1" applyAlignment="1">
      <alignment horizontal="center" vertical="center" wrapText="1"/>
    </xf>
    <xf numFmtId="0" fontId="118" fillId="0" borderId="57" xfId="244" applyFont="1" applyBorder="1" applyAlignment="1">
      <alignment horizontal="left" vertical="center"/>
    </xf>
    <xf numFmtId="0" fontId="118" fillId="0" borderId="57" xfId="244" applyFont="1" applyBorder="1" applyAlignment="1">
      <alignment horizontal="center" vertical="center"/>
    </xf>
    <xf numFmtId="2" fontId="118" fillId="0" borderId="57" xfId="244" applyNumberFormat="1" applyFont="1" applyBorder="1" applyAlignment="1">
      <alignment horizontal="center" vertical="center"/>
    </xf>
    <xf numFmtId="1" fontId="118" fillId="0" borderId="57" xfId="244" applyNumberFormat="1" applyFont="1" applyBorder="1" applyAlignment="1">
      <alignment horizontal="center" vertical="center"/>
    </xf>
    <xf numFmtId="0" fontId="118" fillId="0" borderId="57" xfId="0" applyFont="1" applyBorder="1" applyAlignment="1">
      <alignment horizontal="center" vertical="center" wrapText="1"/>
    </xf>
    <xf numFmtId="1" fontId="118" fillId="0" borderId="57" xfId="0" applyNumberFormat="1" applyFont="1" applyBorder="1" applyAlignment="1">
      <alignment horizontal="center" vertical="center" wrapText="1"/>
    </xf>
    <xf numFmtId="0" fontId="118" fillId="0" borderId="58" xfId="244" applyFont="1" applyBorder="1" applyAlignment="1">
      <alignment horizontal="left" vertical="center"/>
    </xf>
    <xf numFmtId="0" fontId="118" fillId="0" borderId="58" xfId="244" applyFont="1" applyBorder="1" applyAlignment="1">
      <alignment horizontal="center" vertical="center"/>
    </xf>
    <xf numFmtId="2" fontId="118" fillId="0" borderId="58" xfId="244" applyNumberFormat="1" applyFont="1" applyBorder="1" applyAlignment="1">
      <alignment horizontal="center" vertical="center"/>
    </xf>
    <xf numFmtId="1" fontId="118" fillId="0" borderId="58" xfId="244" applyNumberFormat="1" applyFont="1" applyBorder="1" applyAlignment="1">
      <alignment horizontal="center" vertical="center"/>
    </xf>
    <xf numFmtId="0" fontId="118" fillId="0" borderId="58" xfId="0" applyFont="1" applyBorder="1" applyAlignment="1">
      <alignment horizontal="center" vertical="center" wrapText="1"/>
    </xf>
    <xf numFmtId="1" fontId="118" fillId="0" borderId="58" xfId="0" applyNumberFormat="1" applyFont="1" applyBorder="1" applyAlignment="1">
      <alignment horizontal="center" vertical="center" wrapText="1"/>
    </xf>
    <xf numFmtId="0" fontId="118" fillId="0" borderId="59" xfId="244" applyFont="1" applyBorder="1" applyAlignment="1">
      <alignment horizontal="left" vertical="center"/>
    </xf>
    <xf numFmtId="0" fontId="118" fillId="0" borderId="59" xfId="244" applyFont="1" applyBorder="1" applyAlignment="1">
      <alignment horizontal="center" vertical="center"/>
    </xf>
    <xf numFmtId="2" fontId="118" fillId="0" borderId="59" xfId="244" applyNumberFormat="1" applyFont="1" applyBorder="1" applyAlignment="1">
      <alignment horizontal="center" vertical="center"/>
    </xf>
    <xf numFmtId="1" fontId="118" fillId="0" borderId="59" xfId="244" applyNumberFormat="1" applyFont="1" applyBorder="1" applyAlignment="1">
      <alignment horizontal="center" vertical="center"/>
    </xf>
    <xf numFmtId="0" fontId="118" fillId="0" borderId="59" xfId="0" applyFont="1" applyBorder="1" applyAlignment="1">
      <alignment horizontal="center" vertical="center" wrapText="1"/>
    </xf>
    <xf numFmtId="1" fontId="118" fillId="0" borderId="59" xfId="0" applyNumberFormat="1" applyFont="1" applyBorder="1" applyAlignment="1">
      <alignment horizontal="center" vertical="center" wrapText="1"/>
    </xf>
    <xf numFmtId="166" fontId="118" fillId="0" borderId="57" xfId="244" applyNumberFormat="1" applyFont="1" applyBorder="1" applyAlignment="1">
      <alignment horizontal="center" vertical="center"/>
    </xf>
    <xf numFmtId="166" fontId="118" fillId="0" borderId="58" xfId="244" applyNumberFormat="1" applyFont="1" applyBorder="1" applyAlignment="1">
      <alignment horizontal="center" vertical="center"/>
    </xf>
    <xf numFmtId="166" fontId="118" fillId="0" borderId="59" xfId="244" applyNumberFormat="1" applyFont="1" applyBorder="1" applyAlignment="1">
      <alignment horizontal="center" vertical="center"/>
    </xf>
    <xf numFmtId="0" fontId="118" fillId="0" borderId="57" xfId="244" applyFont="1" applyBorder="1" applyAlignment="1">
      <alignment horizontal="left" vertical="center" wrapText="1"/>
    </xf>
    <xf numFmtId="0" fontId="118" fillId="0" borderId="58" xfId="244" applyFont="1" applyBorder="1" applyAlignment="1">
      <alignment horizontal="left" vertical="center" wrapText="1"/>
    </xf>
    <xf numFmtId="0" fontId="118" fillId="0" borderId="59" xfId="244" applyFont="1" applyBorder="1" applyAlignment="1">
      <alignment horizontal="left" vertical="center" wrapText="1"/>
    </xf>
    <xf numFmtId="0" fontId="118" fillId="0" borderId="0" xfId="244" applyFont="1" applyAlignment="1">
      <alignment vertical="center" wrapText="1"/>
    </xf>
    <xf numFmtId="0" fontId="118" fillId="0" borderId="57" xfId="2241" applyFont="1" applyBorder="1" applyAlignment="1">
      <alignment horizontal="left" vertical="center"/>
    </xf>
    <xf numFmtId="0" fontId="118" fillId="0" borderId="57" xfId="2241" applyFont="1" applyBorder="1" applyAlignment="1">
      <alignment horizontal="center" vertical="center"/>
    </xf>
    <xf numFmtId="166" fontId="118" fillId="0" borderId="57" xfId="2241" applyNumberFormat="1" applyFont="1" applyBorder="1" applyAlignment="1">
      <alignment horizontal="center" vertical="center"/>
    </xf>
    <xf numFmtId="0" fontId="118" fillId="0" borderId="57" xfId="2241" applyFont="1" applyBorder="1" applyAlignment="1">
      <alignment horizontal="left" vertical="center" wrapText="1"/>
    </xf>
    <xf numFmtId="0" fontId="118" fillId="0" borderId="58" xfId="2241" applyFont="1" applyBorder="1" applyAlignment="1">
      <alignment horizontal="left" vertical="center"/>
    </xf>
    <xf numFmtId="0" fontId="118" fillId="0" borderId="58" xfId="2241" applyFont="1" applyBorder="1" applyAlignment="1">
      <alignment horizontal="center" vertical="center"/>
    </xf>
    <xf numFmtId="166" fontId="118" fillId="0" borderId="58" xfId="2241" applyNumberFormat="1" applyFont="1" applyBorder="1" applyAlignment="1">
      <alignment horizontal="center" vertical="center"/>
    </xf>
    <xf numFmtId="0" fontId="118" fillId="0" borderId="58" xfId="2241" applyFont="1" applyBorder="1" applyAlignment="1">
      <alignment horizontal="left" vertical="center" wrapText="1"/>
    </xf>
    <xf numFmtId="0" fontId="118" fillId="0" borderId="75" xfId="2241" applyFont="1" applyBorder="1" applyAlignment="1">
      <alignment horizontal="left" vertical="center"/>
    </xf>
    <xf numFmtId="0" fontId="118" fillId="0" borderId="75" xfId="2241" applyFont="1" applyBorder="1" applyAlignment="1">
      <alignment horizontal="center" vertical="center"/>
    </xf>
    <xf numFmtId="0" fontId="118" fillId="0" borderId="75" xfId="2241" applyFont="1" applyBorder="1" applyAlignment="1">
      <alignment horizontal="left" vertical="center" wrapText="1"/>
    </xf>
    <xf numFmtId="0" fontId="118" fillId="0" borderId="59" xfId="2241" applyFont="1" applyBorder="1" applyAlignment="1">
      <alignment horizontal="left" vertical="center"/>
    </xf>
    <xf numFmtId="0" fontId="118" fillId="0" borderId="59" xfId="2241" applyFont="1" applyBorder="1" applyAlignment="1">
      <alignment horizontal="center" vertical="center"/>
    </xf>
    <xf numFmtId="2" fontId="118" fillId="0" borderId="57" xfId="2241" applyNumberFormat="1" applyFont="1" applyBorder="1" applyAlignment="1">
      <alignment horizontal="center" vertical="center"/>
    </xf>
    <xf numFmtId="1" fontId="118" fillId="0" borderId="57" xfId="2241" applyNumberFormat="1" applyFont="1" applyBorder="1" applyAlignment="1">
      <alignment horizontal="center" vertical="center"/>
    </xf>
    <xf numFmtId="1" fontId="50" fillId="0" borderId="57" xfId="0" applyNumberFormat="1" applyFont="1" applyBorder="1" applyAlignment="1">
      <alignment horizontal="center" vertical="center"/>
    </xf>
    <xf numFmtId="2" fontId="118" fillId="0" borderId="58" xfId="2241" applyNumberFormat="1" applyFont="1" applyBorder="1" applyAlignment="1">
      <alignment horizontal="center" vertical="center"/>
    </xf>
    <xf numFmtId="1" fontId="118" fillId="0" borderId="58" xfId="2241" applyNumberFormat="1" applyFont="1" applyBorder="1" applyAlignment="1">
      <alignment horizontal="center" vertical="center"/>
    </xf>
    <xf numFmtId="1" fontId="50" fillId="0" borderId="58" xfId="0" applyNumberFormat="1" applyFont="1" applyBorder="1" applyAlignment="1">
      <alignment horizontal="center" vertical="center"/>
    </xf>
    <xf numFmtId="2" fontId="118" fillId="0" borderId="59" xfId="2241" applyNumberFormat="1" applyFont="1" applyBorder="1" applyAlignment="1">
      <alignment horizontal="center" vertical="center"/>
    </xf>
    <xf numFmtId="1" fontId="118" fillId="0" borderId="59" xfId="2241" applyNumberFormat="1" applyFont="1" applyBorder="1" applyAlignment="1">
      <alignment horizontal="center" vertical="center"/>
    </xf>
    <xf numFmtId="1" fontId="50" fillId="0" borderId="59" xfId="0" applyNumberFormat="1" applyFont="1" applyBorder="1" applyAlignment="1">
      <alignment horizontal="center" vertical="center"/>
    </xf>
    <xf numFmtId="166" fontId="143" fillId="0" borderId="57" xfId="2241" applyNumberFormat="1" applyFont="1" applyBorder="1" applyAlignment="1">
      <alignment horizontal="center" vertical="center"/>
    </xf>
    <xf numFmtId="166" fontId="143" fillId="0" borderId="58" xfId="2241" applyNumberFormat="1" applyFont="1" applyBorder="1" applyAlignment="1">
      <alignment horizontal="center" vertical="center"/>
    </xf>
    <xf numFmtId="166" fontId="143" fillId="0" borderId="75" xfId="2241" applyNumberFormat="1" applyFont="1" applyBorder="1" applyAlignment="1">
      <alignment horizontal="center" vertical="center"/>
    </xf>
    <xf numFmtId="166" fontId="143" fillId="0" borderId="57" xfId="244" applyNumberFormat="1" applyFont="1" applyBorder="1" applyAlignment="1">
      <alignment horizontal="center" vertical="center"/>
    </xf>
    <xf numFmtId="166" fontId="143" fillId="0" borderId="58" xfId="244" applyNumberFormat="1" applyFont="1" applyBorder="1" applyAlignment="1">
      <alignment horizontal="center" vertical="center"/>
    </xf>
    <xf numFmtId="166" fontId="143" fillId="0" borderId="59" xfId="244" applyNumberFormat="1" applyFont="1" applyBorder="1" applyAlignment="1">
      <alignment horizontal="center" vertical="center"/>
    </xf>
    <xf numFmtId="1" fontId="143" fillId="0" borderId="58" xfId="2241" applyNumberFormat="1" applyFont="1" applyBorder="1" applyAlignment="1">
      <alignment horizontal="center" vertical="center"/>
    </xf>
    <xf numFmtId="1" fontId="143" fillId="0" borderId="58" xfId="244" applyNumberFormat="1" applyFont="1" applyBorder="1" applyAlignment="1">
      <alignment horizontal="center" vertical="center"/>
    </xf>
    <xf numFmtId="3" fontId="18" fillId="4" borderId="76" xfId="153" applyNumberFormat="1" applyFont="1" applyFill="1" applyBorder="1" applyAlignment="1" applyProtection="1">
      <alignment horizontal="center" vertical="center" wrapText="1"/>
      <protection locked="0"/>
    </xf>
    <xf numFmtId="0" fontId="18" fillId="4" borderId="77" xfId="153" applyFont="1" applyFill="1" applyBorder="1" applyAlignment="1" applyProtection="1">
      <alignment horizontal="center" vertical="center" wrapText="1"/>
      <protection locked="0"/>
    </xf>
    <xf numFmtId="169" fontId="18" fillId="4" borderId="77" xfId="153" applyNumberFormat="1" applyFont="1" applyFill="1" applyBorder="1" applyAlignment="1" applyProtection="1">
      <alignment horizontal="center" vertical="center" wrapText="1"/>
      <protection locked="0"/>
    </xf>
    <xf numFmtId="3" fontId="18" fillId="4" borderId="78" xfId="153" applyNumberFormat="1" applyFont="1" applyFill="1" applyBorder="1" applyAlignment="1" applyProtection="1">
      <alignment horizontal="center" vertical="center" wrapText="1"/>
      <protection locked="0"/>
    </xf>
    <xf numFmtId="0" fontId="18" fillId="4" borderId="2" xfId="153" applyFont="1" applyFill="1" applyBorder="1" applyAlignment="1" applyProtection="1">
      <alignment horizontal="center" vertical="center" wrapText="1"/>
      <protection locked="0"/>
    </xf>
    <xf numFmtId="169" fontId="18" fillId="4" borderId="2" xfId="153" applyNumberFormat="1" applyFont="1" applyFill="1" applyBorder="1" applyAlignment="1" applyProtection="1">
      <alignment horizontal="center" vertical="center" wrapText="1"/>
      <protection locked="0"/>
    </xf>
    <xf numFmtId="3" fontId="18" fillId="4" borderId="79" xfId="153" applyNumberFormat="1" applyFont="1" applyFill="1" applyBorder="1" applyAlignment="1" applyProtection="1">
      <alignment horizontal="center" vertical="center" wrapText="1"/>
      <protection locked="0"/>
    </xf>
    <xf numFmtId="3" fontId="18" fillId="4" borderId="80" xfId="153" applyNumberFormat="1" applyFont="1" applyFill="1" applyBorder="1" applyAlignment="1" applyProtection="1">
      <alignment horizontal="center" vertical="center" wrapText="1"/>
      <protection locked="0"/>
    </xf>
    <xf numFmtId="0" fontId="18" fillId="4" borderId="81" xfId="153" applyFont="1" applyFill="1" applyBorder="1" applyAlignment="1" applyProtection="1">
      <alignment horizontal="center" vertical="center" wrapText="1"/>
      <protection locked="0"/>
    </xf>
    <xf numFmtId="169" fontId="18" fillId="4" borderId="81" xfId="153" applyNumberFormat="1" applyFont="1" applyFill="1" applyBorder="1" applyAlignment="1" applyProtection="1">
      <alignment horizontal="center" vertical="center" wrapText="1"/>
      <protection locked="0"/>
    </xf>
    <xf numFmtId="3" fontId="18" fillId="4" borderId="82" xfId="153" applyNumberFormat="1" applyFont="1" applyFill="1" applyBorder="1" applyAlignment="1" applyProtection="1">
      <alignment horizontal="center" vertical="center" wrapText="1"/>
      <protection locked="0"/>
    </xf>
    <xf numFmtId="172" fontId="1" fillId="65" borderId="2" xfId="243" applyNumberFormat="1" applyFont="1" applyFill="1" applyBorder="1" applyAlignment="1" applyProtection="1">
      <alignment horizontal="center" vertical="center" wrapText="1"/>
    </xf>
    <xf numFmtId="3" fontId="1" fillId="65" borderId="2" xfId="153" applyNumberFormat="1" applyFont="1" applyFill="1" applyBorder="1" applyAlignment="1">
      <alignment horizontal="center" vertical="center" wrapText="1"/>
    </xf>
    <xf numFmtId="177" fontId="87" fillId="65" borderId="2" xfId="153" applyNumberFormat="1" applyFont="1" applyFill="1" applyBorder="1" applyAlignment="1">
      <alignment horizontal="center" vertical="center" wrapText="1"/>
    </xf>
    <xf numFmtId="169" fontId="18" fillId="4" borderId="83" xfId="153" applyNumberFormat="1" applyFont="1" applyFill="1" applyBorder="1" applyAlignment="1" applyProtection="1">
      <alignment horizontal="center" vertical="center" wrapText="1"/>
      <protection locked="0"/>
    </xf>
    <xf numFmtId="3" fontId="18" fillId="4" borderId="84" xfId="153" applyNumberFormat="1" applyFont="1" applyFill="1" applyBorder="1" applyAlignment="1" applyProtection="1">
      <alignment horizontal="center" vertical="center" wrapText="1"/>
      <protection locked="0"/>
    </xf>
    <xf numFmtId="169" fontId="18" fillId="4" borderId="85" xfId="153" applyNumberFormat="1" applyFont="1" applyFill="1" applyBorder="1" applyAlignment="1" applyProtection="1">
      <alignment horizontal="center" vertical="center" wrapText="1"/>
      <protection locked="0"/>
    </xf>
    <xf numFmtId="3" fontId="18" fillId="4" borderId="86" xfId="153" applyNumberFormat="1" applyFont="1" applyFill="1" applyBorder="1" applyAlignment="1" applyProtection="1">
      <alignment horizontal="center" vertical="center" wrapText="1"/>
      <protection locked="0"/>
    </xf>
    <xf numFmtId="3" fontId="1" fillId="65" borderId="2" xfId="132" applyNumberFormat="1" applyFont="1" applyFill="1" applyBorder="1" applyAlignment="1" applyProtection="1">
      <alignment horizontal="center" vertical="center" wrapText="1"/>
    </xf>
    <xf numFmtId="9" fontId="1" fillId="65" borderId="2" xfId="243" applyFont="1" applyFill="1" applyBorder="1" applyAlignment="1" applyProtection="1">
      <alignment horizontal="center" vertical="center" wrapText="1"/>
    </xf>
    <xf numFmtId="3" fontId="1" fillId="65" borderId="3" xfId="153" applyNumberFormat="1" applyFont="1" applyFill="1" applyBorder="1" applyAlignment="1">
      <alignment horizontal="center" vertical="center" wrapText="1"/>
    </xf>
    <xf numFmtId="172" fontId="1" fillId="65" borderId="16" xfId="243" applyNumberFormat="1" applyFont="1" applyFill="1" applyBorder="1" applyAlignment="1" applyProtection="1">
      <alignment horizontal="center" vertical="center" wrapText="1"/>
    </xf>
    <xf numFmtId="171" fontId="1" fillId="65" borderId="2" xfId="132" applyNumberFormat="1" applyFont="1" applyFill="1" applyBorder="1" applyAlignment="1" applyProtection="1">
      <alignment horizontal="center" vertical="center" wrapText="1"/>
    </xf>
    <xf numFmtId="4" fontId="1" fillId="65" borderId="2" xfId="132" applyNumberFormat="1" applyFont="1" applyFill="1" applyBorder="1" applyAlignment="1" applyProtection="1">
      <alignment horizontal="center" vertical="center" wrapText="1"/>
    </xf>
    <xf numFmtId="172" fontId="1" fillId="65" borderId="15" xfId="243" applyNumberFormat="1" applyFont="1" applyFill="1" applyBorder="1" applyAlignment="1" applyProtection="1">
      <alignment horizontal="center" vertical="center" wrapText="1"/>
    </xf>
    <xf numFmtId="0" fontId="1" fillId="66" borderId="13" xfId="0" quotePrefix="1" applyFont="1" applyFill="1" applyBorder="1" applyAlignment="1">
      <alignment vertical="center"/>
    </xf>
    <xf numFmtId="167" fontId="2" fillId="0" borderId="0" xfId="138" applyFont="1" applyAlignment="1">
      <alignment vertical="center"/>
    </xf>
    <xf numFmtId="0" fontId="118" fillId="60" borderId="2" xfId="244" applyFont="1" applyFill="1" applyBorder="1" applyAlignment="1">
      <alignment horizontal="left" vertical="center"/>
    </xf>
    <xf numFmtId="167" fontId="0" fillId="60" borderId="2" xfId="138" applyFont="1" applyFill="1" applyBorder="1" applyAlignment="1">
      <alignment horizontal="center" vertical="center"/>
    </xf>
    <xf numFmtId="166" fontId="16" fillId="60" borderId="2" xfId="138" applyNumberFormat="1" applyFont="1" applyFill="1" applyBorder="1" applyAlignment="1">
      <alignment horizontal="center" vertical="center"/>
    </xf>
    <xf numFmtId="2" fontId="16" fillId="60" borderId="2" xfId="138" applyNumberFormat="1" applyFont="1" applyFill="1" applyBorder="1" applyAlignment="1">
      <alignment horizontal="center" vertical="center"/>
    </xf>
    <xf numFmtId="0" fontId="118" fillId="0" borderId="15" xfId="244" applyFont="1" applyBorder="1" applyAlignment="1">
      <alignment horizontal="center" vertical="center"/>
    </xf>
    <xf numFmtId="0" fontId="118" fillId="0" borderId="15" xfId="244" applyFont="1" applyBorder="1" applyAlignment="1">
      <alignment horizontal="left" vertical="center"/>
    </xf>
    <xf numFmtId="174" fontId="118" fillId="0" borderId="2" xfId="244" applyNumberFormat="1" applyFont="1" applyBorder="1" applyAlignment="1">
      <alignment horizontal="center" vertical="center"/>
    </xf>
    <xf numFmtId="174" fontId="118" fillId="0" borderId="15" xfId="244" applyNumberFormat="1" applyFont="1" applyBorder="1" applyAlignment="1">
      <alignment horizontal="center" vertical="center"/>
    </xf>
    <xf numFmtId="0" fontId="84" fillId="61" borderId="0" xfId="0" applyFont="1" applyFill="1" applyAlignment="1">
      <alignment horizontal="left"/>
    </xf>
    <xf numFmtId="14" fontId="49" fillId="0" borderId="15" xfId="0" applyNumberFormat="1" applyFont="1" applyBorder="1" applyAlignment="1">
      <alignment horizontal="left" vertical="center" wrapText="1"/>
    </xf>
    <xf numFmtId="14" fontId="49" fillId="0" borderId="16" xfId="0" applyNumberFormat="1" applyFont="1" applyBorder="1" applyAlignment="1">
      <alignment horizontal="left" vertical="center" wrapText="1"/>
    </xf>
    <xf numFmtId="14" fontId="49" fillId="0" borderId="26" xfId="0" applyNumberFormat="1" applyFont="1" applyBorder="1" applyAlignment="1">
      <alignment horizontal="left" vertical="center" wrapText="1"/>
    </xf>
    <xf numFmtId="0" fontId="49" fillId="0" borderId="15" xfId="0" applyFont="1" applyBorder="1" applyAlignment="1">
      <alignment horizontal="left" vertical="center" wrapText="1"/>
    </xf>
    <xf numFmtId="0" fontId="49" fillId="0" borderId="26" xfId="0" applyFont="1" applyBorder="1" applyAlignment="1">
      <alignment horizontal="left" vertical="center" wrapText="1"/>
    </xf>
    <xf numFmtId="0" fontId="49" fillId="0" borderId="16" xfId="0" applyFont="1" applyBorder="1" applyAlignment="1">
      <alignment horizontal="left" vertical="center" wrapText="1"/>
    </xf>
    <xf numFmtId="0" fontId="49" fillId="0" borderId="15" xfId="0" applyFont="1" applyBorder="1" applyAlignment="1">
      <alignment vertical="center" wrapText="1"/>
    </xf>
    <xf numFmtId="0" fontId="49" fillId="0" borderId="26" xfId="0" applyFont="1" applyBorder="1" applyAlignment="1">
      <alignment vertical="center" wrapText="1"/>
    </xf>
    <xf numFmtId="0" fontId="49" fillId="0" borderId="16" xfId="0" applyFont="1" applyBorder="1" applyAlignment="1">
      <alignment vertical="center" wrapText="1"/>
    </xf>
    <xf numFmtId="3" fontId="18" fillId="4" borderId="2" xfId="153" applyNumberFormat="1" applyFont="1" applyFill="1" applyBorder="1" applyAlignment="1">
      <alignment horizontal="left" vertical="center" wrapText="1"/>
    </xf>
    <xf numFmtId="3" fontId="18" fillId="4" borderId="13" xfId="153" quotePrefix="1" applyNumberFormat="1" applyFont="1" applyFill="1" applyBorder="1" applyAlignment="1">
      <alignment horizontal="left" vertical="center" wrapText="1"/>
    </xf>
    <xf numFmtId="3" fontId="18" fillId="4" borderId="3" xfId="153" quotePrefix="1" applyNumberFormat="1" applyFont="1" applyFill="1" applyBorder="1" applyAlignment="1">
      <alignment horizontal="left" vertical="center" wrapText="1"/>
    </xf>
    <xf numFmtId="3" fontId="18" fillId="4" borderId="14" xfId="153" quotePrefix="1" applyNumberFormat="1" applyFont="1" applyFill="1" applyBorder="1" applyAlignment="1">
      <alignment horizontal="left" vertical="center" wrapText="1"/>
    </xf>
    <xf numFmtId="176" fontId="98" fillId="64" borderId="37" xfId="2236" applyFont="1" applyFill="1" applyBorder="1" applyAlignment="1">
      <alignment horizontal="left" vertical="center"/>
    </xf>
    <xf numFmtId="3" fontId="14" fillId="4" borderId="13" xfId="153" quotePrefix="1" applyNumberFormat="1" applyFill="1" applyBorder="1" applyAlignment="1">
      <alignment horizontal="left" vertical="center" wrapText="1"/>
    </xf>
    <xf numFmtId="3" fontId="14" fillId="4" borderId="3" xfId="153" quotePrefix="1" applyNumberFormat="1" applyFill="1" applyBorder="1" applyAlignment="1">
      <alignment horizontal="left" vertical="center" wrapText="1"/>
    </xf>
    <xf numFmtId="3" fontId="14" fillId="4" borderId="14" xfId="153" quotePrefix="1" applyNumberFormat="1" applyFill="1" applyBorder="1" applyAlignment="1">
      <alignment horizontal="left" vertical="center" wrapText="1"/>
    </xf>
    <xf numFmtId="0" fontId="14" fillId="4" borderId="13" xfId="153" applyFill="1" applyBorder="1" applyAlignment="1">
      <alignment horizontal="left" vertical="center" wrapText="1"/>
    </xf>
    <xf numFmtId="0" fontId="14" fillId="4" borderId="3" xfId="153" applyFill="1" applyBorder="1" applyAlignment="1">
      <alignment horizontal="left" vertical="center" wrapText="1"/>
    </xf>
    <xf numFmtId="0" fontId="14" fillId="4" borderId="14" xfId="153" applyFill="1" applyBorder="1" applyAlignment="1">
      <alignment horizontal="left" vertical="center" wrapText="1"/>
    </xf>
    <xf numFmtId="0" fontId="14" fillId="4" borderId="13" xfId="153" quotePrefix="1" applyFill="1" applyBorder="1" applyAlignment="1">
      <alignment horizontal="left" vertical="center" wrapText="1"/>
    </xf>
    <xf numFmtId="0" fontId="87" fillId="63" borderId="2" xfId="153" applyFont="1" applyFill="1" applyBorder="1" applyAlignment="1">
      <alignment horizontal="center" vertical="center" wrapText="1"/>
    </xf>
    <xf numFmtId="49" fontId="14" fillId="4" borderId="13" xfId="153" quotePrefix="1" applyNumberFormat="1" applyFill="1" applyBorder="1" applyAlignment="1">
      <alignment horizontal="left" vertical="center" wrapText="1"/>
    </xf>
    <xf numFmtId="49" fontId="14" fillId="4" borderId="3" xfId="153" applyNumberFormat="1" applyFill="1" applyBorder="1" applyAlignment="1">
      <alignment horizontal="left" vertical="center" wrapText="1"/>
    </xf>
    <xf numFmtId="49" fontId="14" fillId="4" borderId="14" xfId="153" applyNumberFormat="1" applyFill="1" applyBorder="1" applyAlignment="1">
      <alignment horizontal="left" vertical="center" wrapText="1"/>
    </xf>
    <xf numFmtId="0" fontId="87" fillId="4" borderId="0" xfId="2235" applyNumberFormat="1" applyFont="1" applyFill="1" applyAlignment="1" applyProtection="1">
      <alignment horizontal="left" vertical="center" wrapText="1"/>
      <protection hidden="1"/>
    </xf>
    <xf numFmtId="0" fontId="87" fillId="63" borderId="15" xfId="153" applyFont="1" applyFill="1" applyBorder="1" applyAlignment="1">
      <alignment horizontal="center" vertical="center" wrapText="1"/>
    </xf>
    <xf numFmtId="0" fontId="87" fillId="63" borderId="16" xfId="153" applyFont="1" applyFill="1" applyBorder="1" applyAlignment="1">
      <alignment horizontal="center" vertical="center" wrapText="1"/>
    </xf>
    <xf numFmtId="0" fontId="87" fillId="63" borderId="13" xfId="153" applyFont="1" applyFill="1" applyBorder="1" applyAlignment="1">
      <alignment horizontal="left" vertical="center" wrapText="1"/>
    </xf>
    <xf numFmtId="0" fontId="87" fillId="63" borderId="3" xfId="153" applyFont="1" applyFill="1" applyBorder="1" applyAlignment="1">
      <alignment horizontal="left" vertical="center" wrapText="1"/>
    </xf>
    <xf numFmtId="0" fontId="87" fillId="63" borderId="14" xfId="153" applyFont="1" applyFill="1" applyBorder="1" applyAlignment="1">
      <alignment horizontal="left" vertical="center" wrapText="1"/>
    </xf>
    <xf numFmtId="3" fontId="18" fillId="4" borderId="2" xfId="153" quotePrefix="1" applyNumberFormat="1" applyFont="1" applyFill="1" applyBorder="1" applyAlignment="1">
      <alignment horizontal="left" vertical="center" wrapText="1"/>
    </xf>
    <xf numFmtId="0" fontId="87" fillId="63" borderId="26" xfId="153" applyFont="1" applyFill="1" applyBorder="1" applyAlignment="1">
      <alignment horizontal="center" vertical="center" wrapText="1"/>
    </xf>
    <xf numFmtId="0" fontId="49" fillId="4" borderId="2" xfId="2239" applyFont="1" applyFill="1" applyBorder="1" applyAlignment="1">
      <alignment horizontal="left" vertical="center" wrapText="1"/>
    </xf>
    <xf numFmtId="0" fontId="49" fillId="0" borderId="15" xfId="2239" applyFont="1" applyBorder="1" applyAlignment="1">
      <alignment horizontal="left" vertical="center" wrapText="1"/>
    </xf>
    <xf numFmtId="0" fontId="49" fillId="0" borderId="16" xfId="2239" applyFont="1" applyBorder="1" applyAlignment="1">
      <alignment horizontal="left" vertical="center" wrapText="1"/>
    </xf>
    <xf numFmtId="0" fontId="49" fillId="4" borderId="15" xfId="2239" applyFont="1" applyFill="1" applyBorder="1" applyAlignment="1">
      <alignment horizontal="left" vertical="center" wrapText="1"/>
    </xf>
    <xf numFmtId="0" fontId="49" fillId="4" borderId="26" xfId="2239" applyFont="1" applyFill="1" applyBorder="1" applyAlignment="1">
      <alignment horizontal="left" vertical="center" wrapText="1"/>
    </xf>
    <xf numFmtId="0" fontId="49" fillId="4" borderId="16" xfId="2239" applyFont="1" applyFill="1" applyBorder="1" applyAlignment="1">
      <alignment horizontal="left" vertical="center" wrapText="1"/>
    </xf>
    <xf numFmtId="0" fontId="49" fillId="4" borderId="15" xfId="2239" applyFont="1" applyFill="1" applyBorder="1" applyAlignment="1">
      <alignment horizontal="center" vertical="center" wrapText="1"/>
    </xf>
    <xf numFmtId="0" fontId="49" fillId="4" borderId="26" xfId="2239" applyFont="1" applyFill="1" applyBorder="1" applyAlignment="1">
      <alignment horizontal="center" vertical="center" wrapText="1"/>
    </xf>
    <xf numFmtId="0" fontId="49" fillId="4" borderId="16" xfId="2239" applyFont="1" applyFill="1" applyBorder="1" applyAlignment="1">
      <alignment horizontal="center" vertical="center" wrapText="1"/>
    </xf>
    <xf numFmtId="0" fontId="49" fillId="0" borderId="2" xfId="0" applyFont="1" applyBorder="1" applyAlignment="1">
      <alignment horizontal="left" vertical="center" wrapText="1"/>
    </xf>
    <xf numFmtId="0" fontId="49" fillId="0" borderId="2" xfId="2239" applyFont="1" applyBorder="1" applyAlignment="1">
      <alignment horizontal="left" vertical="center" wrapText="1"/>
    </xf>
    <xf numFmtId="0" fontId="0" fillId="0" borderId="0" xfId="2234" applyFont="1" applyAlignment="1">
      <alignment horizontal="left" vertical="top" wrapText="1"/>
    </xf>
    <xf numFmtId="0" fontId="16" fillId="0" borderId="0" xfId="2234" applyFont="1" applyAlignment="1">
      <alignment horizontal="left" vertical="top"/>
    </xf>
    <xf numFmtId="0" fontId="84" fillId="61" borderId="0" xfId="2234" applyFont="1" applyFill="1" applyAlignment="1">
      <alignment horizontal="left" vertical="center"/>
    </xf>
    <xf numFmtId="0" fontId="16" fillId="0" borderId="35" xfId="2234" applyFont="1" applyBorder="1" applyAlignment="1">
      <alignment horizontal="left" vertical="center" wrapText="1"/>
    </xf>
    <xf numFmtId="0" fontId="16" fillId="0" borderId="0" xfId="2234" applyFont="1" applyAlignment="1">
      <alignment horizontal="left" vertical="center" wrapText="1"/>
    </xf>
    <xf numFmtId="0" fontId="16" fillId="0" borderId="27" xfId="2234" applyFont="1" applyBorder="1" applyAlignment="1">
      <alignment horizontal="left" vertical="center" wrapText="1"/>
    </xf>
    <xf numFmtId="0" fontId="16" fillId="0" borderId="30" xfId="0" applyFont="1" applyBorder="1" applyAlignment="1" applyProtection="1">
      <alignment horizontal="center" vertical="center"/>
      <protection locked="0"/>
    </xf>
    <xf numFmtId="0" fontId="16" fillId="0" borderId="31" xfId="0" applyFont="1"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47" xfId="0"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18" fillId="4" borderId="60" xfId="153" applyFont="1" applyFill="1" applyBorder="1" applyAlignment="1" applyProtection="1">
      <alignment horizontal="left" vertical="center" wrapText="1"/>
      <protection locked="0"/>
    </xf>
    <xf numFmtId="0" fontId="18" fillId="4" borderId="61" xfId="153" applyFont="1" applyFill="1" applyBorder="1" applyAlignment="1" applyProtection="1">
      <alignment horizontal="left" vertical="center" wrapText="1"/>
      <protection locked="0"/>
    </xf>
    <xf numFmtId="0" fontId="18" fillId="4" borderId="62" xfId="153" applyFont="1" applyFill="1" applyBorder="1" applyAlignment="1" applyProtection="1">
      <alignment horizontal="left" vertical="center" wrapText="1"/>
      <protection locked="0"/>
    </xf>
    <xf numFmtId="1" fontId="20" fillId="63" borderId="36" xfId="0" applyNumberFormat="1" applyFont="1" applyFill="1" applyBorder="1" applyAlignment="1">
      <alignment horizontal="left" vertical="center" wrapText="1"/>
    </xf>
    <xf numFmtId="1" fontId="20" fillId="63" borderId="37" xfId="0" applyNumberFormat="1" applyFont="1" applyFill="1" applyBorder="1" applyAlignment="1">
      <alignment horizontal="left" vertical="center" wrapText="1"/>
    </xf>
    <xf numFmtId="0" fontId="16" fillId="65" borderId="2" xfId="0" applyFont="1" applyFill="1" applyBorder="1" applyAlignment="1">
      <alignment horizontal="left" vertical="center" wrapText="1"/>
    </xf>
    <xf numFmtId="0" fontId="0" fillId="0" borderId="46" xfId="0" applyBorder="1" applyAlignment="1">
      <alignment horizontal="left" vertical="center" wrapText="1"/>
    </xf>
    <xf numFmtId="0" fontId="16" fillId="0" borderId="25" xfId="0" applyFont="1" applyBorder="1" applyAlignment="1">
      <alignment horizontal="left" vertical="center" wrapText="1"/>
    </xf>
    <xf numFmtId="0" fontId="0" fillId="65" borderId="2" xfId="0" applyFill="1" applyBorder="1" applyAlignment="1">
      <alignment horizontal="left" vertical="center" wrapText="1"/>
    </xf>
    <xf numFmtId="0" fontId="0" fillId="65" borderId="15" xfId="0" applyFill="1" applyBorder="1" applyAlignment="1">
      <alignment horizontal="left" vertical="center" wrapText="1"/>
    </xf>
    <xf numFmtId="0" fontId="16" fillId="65" borderId="15" xfId="0" applyFont="1" applyFill="1" applyBorder="1" applyAlignment="1">
      <alignment horizontal="left" vertical="center" wrapText="1"/>
    </xf>
    <xf numFmtId="0" fontId="16" fillId="0" borderId="47" xfId="0" applyFont="1" applyBorder="1" applyAlignment="1" applyProtection="1">
      <alignment horizontal="center" vertical="center"/>
      <protection locked="0"/>
    </xf>
    <xf numFmtId="1" fontId="20" fillId="63" borderId="13" xfId="0" applyNumberFormat="1" applyFont="1" applyFill="1" applyBorder="1" applyAlignment="1">
      <alignment horizontal="left" vertical="center" wrapText="1"/>
    </xf>
    <xf numFmtId="1" fontId="20" fillId="63" borderId="3" xfId="0" applyNumberFormat="1" applyFont="1" applyFill="1" applyBorder="1" applyAlignment="1">
      <alignment horizontal="left" vertical="center" wrapText="1"/>
    </xf>
    <xf numFmtId="1" fontId="20" fillId="63" borderId="14" xfId="0" applyNumberFormat="1" applyFont="1" applyFill="1" applyBorder="1" applyAlignment="1">
      <alignment horizontal="left" vertical="center" wrapText="1"/>
    </xf>
    <xf numFmtId="0" fontId="86" fillId="0" borderId="47" xfId="153" applyFont="1" applyBorder="1" applyAlignment="1" applyProtection="1">
      <alignment horizontal="left" vertical="center" wrapText="1"/>
      <protection locked="0"/>
    </xf>
    <xf numFmtId="0" fontId="86" fillId="0" borderId="30" xfId="153" applyFont="1" applyBorder="1" applyAlignment="1" applyProtection="1">
      <alignment horizontal="left" vertical="center" wrapText="1"/>
      <protection locked="0"/>
    </xf>
    <xf numFmtId="0" fontId="86" fillId="0" borderId="66" xfId="153" applyFont="1" applyBorder="1" applyAlignment="1" applyProtection="1">
      <alignment horizontal="left" vertical="center" wrapText="1"/>
      <protection locked="0"/>
    </xf>
    <xf numFmtId="0" fontId="86" fillId="0" borderId="63" xfId="153" applyFont="1" applyBorder="1" applyAlignment="1" applyProtection="1">
      <alignment horizontal="left" vertical="center" wrapText="1"/>
      <protection locked="0"/>
    </xf>
    <xf numFmtId="0" fontId="86" fillId="0" borderId="64" xfId="153" applyFont="1" applyBorder="1" applyAlignment="1" applyProtection="1">
      <alignment horizontal="left" vertical="center" wrapText="1"/>
      <protection locked="0"/>
    </xf>
    <xf numFmtId="0" fontId="86" fillId="0" borderId="65" xfId="153" applyFont="1" applyBorder="1" applyAlignment="1" applyProtection="1">
      <alignment horizontal="left" vertical="center" wrapText="1"/>
      <protection locked="0"/>
    </xf>
    <xf numFmtId="0" fontId="20" fillId="63" borderId="48" xfId="0" applyFont="1" applyFill="1" applyBorder="1" applyAlignment="1">
      <alignment horizontal="center" vertical="center" wrapText="1"/>
    </xf>
    <xf numFmtId="0" fontId="20" fillId="63" borderId="36" xfId="0" applyFont="1" applyFill="1" applyBorder="1" applyAlignment="1">
      <alignment horizontal="center" vertical="center" wrapText="1"/>
    </xf>
    <xf numFmtId="0" fontId="18" fillId="4" borderId="58" xfId="153" applyFont="1" applyFill="1" applyBorder="1" applyAlignment="1" applyProtection="1">
      <alignment horizontal="left" vertical="center" wrapText="1"/>
      <protection locked="0"/>
    </xf>
    <xf numFmtId="0" fontId="18" fillId="4" borderId="59" xfId="153" applyFont="1" applyFill="1" applyBorder="1" applyAlignment="1" applyProtection="1">
      <alignment horizontal="left" vertical="center" wrapText="1"/>
      <protection locked="0"/>
    </xf>
    <xf numFmtId="0" fontId="18" fillId="4" borderId="57" xfId="153" applyFont="1" applyFill="1" applyBorder="1" applyAlignment="1" applyProtection="1">
      <alignment horizontal="left" vertical="center" wrapText="1"/>
      <protection locked="0"/>
    </xf>
    <xf numFmtId="0" fontId="18" fillId="4" borderId="47" xfId="153" applyFont="1" applyFill="1" applyBorder="1" applyAlignment="1" applyProtection="1">
      <alignment horizontal="left" vertical="center" wrapText="1"/>
      <protection locked="0"/>
    </xf>
    <xf numFmtId="0" fontId="18" fillId="4" borderId="30" xfId="153" applyFont="1" applyFill="1" applyBorder="1" applyAlignment="1" applyProtection="1">
      <alignment horizontal="left" vertical="center" wrapText="1"/>
      <protection locked="0"/>
    </xf>
    <xf numFmtId="0" fontId="18" fillId="4" borderId="66" xfId="153" applyFont="1" applyFill="1" applyBorder="1" applyAlignment="1" applyProtection="1">
      <alignment horizontal="left" vertical="center" wrapText="1"/>
      <protection locked="0"/>
    </xf>
    <xf numFmtId="0" fontId="18" fillId="4" borderId="63" xfId="153" applyFont="1" applyFill="1" applyBorder="1" applyAlignment="1" applyProtection="1">
      <alignment horizontal="left" vertical="center" wrapText="1"/>
      <protection locked="0"/>
    </xf>
    <xf numFmtId="0" fontId="18" fillId="4" borderId="64" xfId="153" applyFont="1" applyFill="1" applyBorder="1" applyAlignment="1" applyProtection="1">
      <alignment horizontal="left" vertical="center" wrapText="1"/>
      <protection locked="0"/>
    </xf>
    <xf numFmtId="0" fontId="18" fillId="4" borderId="65" xfId="153" applyFont="1" applyFill="1" applyBorder="1" applyAlignment="1" applyProtection="1">
      <alignment horizontal="left" vertical="center" wrapText="1"/>
      <protection locked="0"/>
    </xf>
    <xf numFmtId="0" fontId="20" fillId="63" borderId="15" xfId="0" applyFont="1" applyFill="1" applyBorder="1" applyAlignment="1">
      <alignment horizontal="center" vertical="center" wrapText="1"/>
    </xf>
    <xf numFmtId="0" fontId="20" fillId="63" borderId="16" xfId="0" applyFont="1" applyFill="1" applyBorder="1" applyAlignment="1">
      <alignment horizontal="center" vertical="center" wrapText="1"/>
    </xf>
    <xf numFmtId="0" fontId="20" fillId="63" borderId="13" xfId="0" applyFont="1" applyFill="1" applyBorder="1" applyAlignment="1">
      <alignment horizontal="center" vertical="center" wrapText="1"/>
    </xf>
    <xf numFmtId="0" fontId="18" fillId="4" borderId="47" xfId="153" applyFont="1" applyFill="1" applyBorder="1" applyAlignment="1" applyProtection="1">
      <alignment horizontal="center" vertical="center" wrapText="1"/>
      <protection locked="0"/>
    </xf>
    <xf numFmtId="0" fontId="18" fillId="4" borderId="30" xfId="153" applyFont="1" applyFill="1" applyBorder="1" applyAlignment="1" applyProtection="1">
      <alignment horizontal="center" vertical="center" wrapText="1"/>
      <protection locked="0"/>
    </xf>
    <xf numFmtId="0" fontId="18" fillId="4" borderId="66" xfId="153" applyFont="1" applyFill="1" applyBorder="1" applyAlignment="1" applyProtection="1">
      <alignment horizontal="center" vertical="center" wrapText="1"/>
      <protection locked="0"/>
    </xf>
    <xf numFmtId="0" fontId="18" fillId="4" borderId="63" xfId="153" applyFont="1" applyFill="1" applyBorder="1" applyAlignment="1" applyProtection="1">
      <alignment horizontal="center" vertical="center" wrapText="1"/>
      <protection locked="0"/>
    </xf>
    <xf numFmtId="0" fontId="18" fillId="4" borderId="64" xfId="153" applyFont="1" applyFill="1" applyBorder="1" applyAlignment="1" applyProtection="1">
      <alignment horizontal="center" vertical="center" wrapText="1"/>
      <protection locked="0"/>
    </xf>
    <xf numFmtId="0" fontId="18" fillId="4" borderId="65" xfId="153" applyFont="1" applyFill="1" applyBorder="1" applyAlignment="1" applyProtection="1">
      <alignment horizontal="center" vertical="center" wrapText="1"/>
      <protection locked="0"/>
    </xf>
    <xf numFmtId="0" fontId="20" fillId="65" borderId="0" xfId="0" applyFont="1" applyFill="1" applyAlignment="1">
      <alignment horizontal="left" vertical="center" wrapText="1"/>
    </xf>
    <xf numFmtId="0" fontId="100" fillId="63" borderId="2" xfId="0" applyFont="1" applyFill="1" applyBorder="1" applyAlignment="1">
      <alignment horizontal="center" vertical="center" wrapText="1"/>
    </xf>
    <xf numFmtId="0" fontId="0" fillId="65" borderId="0" xfId="0" applyFill="1" applyAlignment="1">
      <alignment horizontal="left" vertical="center" wrapText="1"/>
    </xf>
    <xf numFmtId="0" fontId="0" fillId="65" borderId="0" xfId="0" quotePrefix="1" applyFill="1" applyAlignment="1">
      <alignment horizontal="left" vertical="center" wrapText="1"/>
    </xf>
    <xf numFmtId="0" fontId="79" fillId="4" borderId="58" xfId="153" applyFont="1" applyFill="1" applyBorder="1" applyAlignment="1" applyProtection="1">
      <alignment horizontal="left" vertical="center" wrapText="1"/>
      <protection locked="0"/>
    </xf>
    <xf numFmtId="0" fontId="79" fillId="4" borderId="59" xfId="153" applyFont="1" applyFill="1" applyBorder="1" applyAlignment="1" applyProtection="1">
      <alignment horizontal="left" vertical="center" wrapText="1"/>
      <protection locked="0"/>
    </xf>
    <xf numFmtId="0" fontId="84" fillId="61" borderId="48" xfId="0" applyFont="1" applyFill="1" applyBorder="1" applyAlignment="1">
      <alignment horizontal="left" vertical="center" wrapText="1"/>
    </xf>
    <xf numFmtId="0" fontId="84" fillId="61" borderId="25" xfId="0" applyFont="1" applyFill="1" applyBorder="1" applyAlignment="1">
      <alignment horizontal="left" vertical="center" wrapText="1"/>
    </xf>
    <xf numFmtId="0" fontId="84" fillId="61" borderId="49" xfId="0" applyFont="1" applyFill="1" applyBorder="1" applyAlignment="1">
      <alignment horizontal="left" vertical="center" wrapText="1"/>
    </xf>
    <xf numFmtId="0" fontId="20" fillId="65" borderId="0" xfId="0" applyFont="1" applyFill="1" applyAlignment="1">
      <alignment horizontal="left" vertical="top" wrapText="1"/>
    </xf>
    <xf numFmtId="0" fontId="100" fillId="63" borderId="15" xfId="0" applyFont="1" applyFill="1" applyBorder="1" applyAlignment="1">
      <alignment horizontal="center" vertical="center" wrapText="1"/>
    </xf>
    <xf numFmtId="0" fontId="100" fillId="63" borderId="16" xfId="0" applyFont="1" applyFill="1" applyBorder="1" applyAlignment="1">
      <alignment horizontal="center" vertical="center" wrapText="1"/>
    </xf>
    <xf numFmtId="0" fontId="20" fillId="65" borderId="0" xfId="0" quotePrefix="1" applyFont="1" applyFill="1" applyAlignment="1">
      <alignment horizontal="left" vertical="top" wrapText="1"/>
    </xf>
    <xf numFmtId="0" fontId="20" fillId="65" borderId="0" xfId="0" applyFont="1" applyFill="1" applyAlignment="1">
      <alignment vertical="center" wrapText="1"/>
    </xf>
    <xf numFmtId="0" fontId="84" fillId="61" borderId="0" xfId="0" applyFont="1" applyFill="1" applyAlignment="1">
      <alignment horizontal="left" vertical="top" wrapText="1"/>
    </xf>
    <xf numFmtId="0" fontId="20" fillId="63" borderId="13" xfId="0" applyFont="1" applyFill="1" applyBorder="1" applyAlignment="1">
      <alignment horizontal="left" vertical="center"/>
    </xf>
    <xf numFmtId="0" fontId="20" fillId="63" borderId="55" xfId="0" applyFont="1" applyFill="1" applyBorder="1" applyAlignment="1">
      <alignment horizontal="left" vertical="center"/>
    </xf>
    <xf numFmtId="0" fontId="20" fillId="63" borderId="2" xfId="0" applyFont="1" applyFill="1" applyBorder="1" applyAlignment="1">
      <alignment horizontal="left" vertical="center" wrapText="1"/>
    </xf>
    <xf numFmtId="0" fontId="20" fillId="65" borderId="13" xfId="0" applyFont="1" applyFill="1" applyBorder="1" applyAlignment="1">
      <alignment horizontal="left" vertical="center" wrapText="1"/>
    </xf>
    <xf numFmtId="0" fontId="20" fillId="65" borderId="14" xfId="0" applyFont="1" applyFill="1" applyBorder="1" applyAlignment="1">
      <alignment horizontal="left" vertical="center" wrapText="1"/>
    </xf>
    <xf numFmtId="0" fontId="20" fillId="63" borderId="13" xfId="0" applyFont="1" applyFill="1" applyBorder="1" applyAlignment="1">
      <alignment horizontal="left" vertical="center" wrapText="1"/>
    </xf>
    <xf numFmtId="0" fontId="20" fillId="63" borderId="14" xfId="0" applyFont="1" applyFill="1" applyBorder="1" applyAlignment="1">
      <alignment horizontal="left" vertical="center" wrapText="1"/>
    </xf>
    <xf numFmtId="0" fontId="113" fillId="61" borderId="37" xfId="0" applyFont="1" applyFill="1" applyBorder="1" applyAlignment="1">
      <alignment horizontal="left" vertical="center" wrapText="1"/>
    </xf>
    <xf numFmtId="0" fontId="0" fillId="0" borderId="27" xfId="0" applyBorder="1" applyAlignment="1">
      <alignment horizontal="center" vertical="center" wrapText="1"/>
    </xf>
    <xf numFmtId="0" fontId="0" fillId="0" borderId="0" xfId="0" applyAlignment="1">
      <alignment horizontal="center" vertical="center" wrapText="1"/>
    </xf>
    <xf numFmtId="0" fontId="0" fillId="65" borderId="15" xfId="0" applyFill="1" applyBorder="1" applyAlignment="1">
      <alignment horizontal="center" vertical="center" wrapText="1"/>
    </xf>
    <xf numFmtId="0" fontId="0" fillId="65" borderId="26" xfId="0" applyFill="1" applyBorder="1" applyAlignment="1">
      <alignment horizontal="center" vertical="center" wrapText="1"/>
    </xf>
    <xf numFmtId="0" fontId="0" fillId="65" borderId="16" xfId="0" applyFill="1" applyBorder="1" applyAlignment="1">
      <alignment horizontal="center" vertical="center" wrapText="1"/>
    </xf>
    <xf numFmtId="0" fontId="109" fillId="62" borderId="0" xfId="0" applyFont="1" applyFill="1" applyAlignment="1">
      <alignment horizontal="center" vertical="center"/>
    </xf>
    <xf numFmtId="0" fontId="84" fillId="61" borderId="0" xfId="0" applyFont="1" applyFill="1" applyAlignment="1">
      <alignment horizontal="left" vertical="center"/>
    </xf>
    <xf numFmtId="0" fontId="0" fillId="65" borderId="13" xfId="0" applyFill="1" applyBorder="1" applyAlignment="1">
      <alignment horizontal="center" vertical="center"/>
    </xf>
    <xf numFmtId="0" fontId="0" fillId="65" borderId="14" xfId="0" applyFill="1" applyBorder="1" applyAlignment="1">
      <alignment horizontal="center" vertical="center"/>
    </xf>
    <xf numFmtId="0" fontId="100" fillId="63" borderId="26" xfId="0" applyFont="1" applyFill="1" applyBorder="1" applyAlignment="1">
      <alignment horizontal="center" vertical="center" wrapText="1"/>
    </xf>
    <xf numFmtId="0" fontId="99" fillId="62" borderId="2" xfId="0" applyFont="1" applyFill="1" applyBorder="1" applyAlignment="1">
      <alignment horizontal="left" vertical="center"/>
    </xf>
    <xf numFmtId="0" fontId="112" fillId="0" borderId="2" xfId="0" applyFont="1" applyBorder="1" applyAlignment="1">
      <alignment horizontal="left" vertical="center" wrapText="1"/>
    </xf>
    <xf numFmtId="0" fontId="85" fillId="62" borderId="2" xfId="0" applyFont="1" applyFill="1" applyBorder="1" applyAlignment="1">
      <alignment horizontal="left" vertical="center" wrapText="1"/>
    </xf>
    <xf numFmtId="0" fontId="85" fillId="62" borderId="2" xfId="0" applyFont="1" applyFill="1" applyBorder="1" applyAlignment="1">
      <alignment horizontal="left" vertical="center"/>
    </xf>
    <xf numFmtId="0" fontId="100" fillId="63" borderId="2" xfId="0" applyFont="1" applyFill="1" applyBorder="1" applyAlignment="1">
      <alignment vertical="center"/>
    </xf>
    <xf numFmtId="0" fontId="100" fillId="63" borderId="13" xfId="0" applyFont="1" applyFill="1" applyBorder="1" applyAlignment="1">
      <alignment horizontal="center" vertical="center" wrapText="1"/>
    </xf>
    <xf numFmtId="0" fontId="100" fillId="63" borderId="3" xfId="0" applyFont="1" applyFill="1" applyBorder="1" applyAlignment="1">
      <alignment horizontal="center" vertical="center" wrapText="1"/>
    </xf>
    <xf numFmtId="0" fontId="100" fillId="63" borderId="14" xfId="0" applyFont="1" applyFill="1" applyBorder="1" applyAlignment="1">
      <alignment horizontal="center" vertical="center" wrapText="1"/>
    </xf>
    <xf numFmtId="0" fontId="0" fillId="0" borderId="25" xfId="0" applyBorder="1" applyAlignment="1">
      <alignment horizontal="left" vertical="center" wrapText="1"/>
    </xf>
    <xf numFmtId="0" fontId="56" fillId="63" borderId="13" xfId="0" applyFont="1" applyFill="1" applyBorder="1" applyAlignment="1">
      <alignment horizontal="center" vertical="center" wrapText="1"/>
    </xf>
    <xf numFmtId="0" fontId="56" fillId="63" borderId="3" xfId="0" applyFont="1" applyFill="1" applyBorder="1" applyAlignment="1">
      <alignment horizontal="center" vertical="center" wrapText="1"/>
    </xf>
    <xf numFmtId="0" fontId="56" fillId="63" borderId="14" xfId="0" applyFont="1" applyFill="1" applyBorder="1" applyAlignment="1">
      <alignment horizontal="center" vertical="center" wrapText="1"/>
    </xf>
    <xf numFmtId="0" fontId="135" fillId="70" borderId="15" xfId="0" applyFont="1" applyFill="1" applyBorder="1" applyAlignment="1">
      <alignment horizontal="center" vertical="center" wrapText="1"/>
    </xf>
    <xf numFmtId="0" fontId="135" fillId="70" borderId="48" xfId="0" applyFont="1" applyFill="1" applyBorder="1" applyAlignment="1">
      <alignment horizontal="center" vertical="center" wrapText="1"/>
    </xf>
    <xf numFmtId="0" fontId="135" fillId="70" borderId="2" xfId="0" applyFont="1" applyFill="1" applyBorder="1" applyAlignment="1">
      <alignment horizontal="center" vertical="center" wrapText="1"/>
    </xf>
    <xf numFmtId="0" fontId="56" fillId="4" borderId="2" xfId="0" applyFont="1" applyFill="1" applyBorder="1" applyAlignment="1">
      <alignment horizontal="center" vertical="center"/>
    </xf>
    <xf numFmtId="166" fontId="56" fillId="4" borderId="2" xfId="0" applyNumberFormat="1" applyFont="1" applyFill="1" applyBorder="1" applyAlignment="1">
      <alignment horizontal="center" vertical="center"/>
    </xf>
    <xf numFmtId="0" fontId="135" fillId="70" borderId="2" xfId="0" applyFont="1" applyFill="1" applyBorder="1" applyAlignment="1">
      <alignment horizontal="left" vertical="center" wrapText="1"/>
    </xf>
    <xf numFmtId="0" fontId="135" fillId="70" borderId="2" xfId="0" applyFont="1" applyFill="1" applyBorder="1" applyAlignment="1">
      <alignment vertical="center" wrapText="1"/>
    </xf>
    <xf numFmtId="3" fontId="56" fillId="63" borderId="13" xfId="0" applyNumberFormat="1" applyFont="1" applyFill="1" applyBorder="1" applyAlignment="1">
      <alignment horizontal="center" vertical="center" wrapText="1"/>
    </xf>
    <xf numFmtId="3" fontId="56" fillId="63" borderId="3" xfId="0" applyNumberFormat="1" applyFont="1" applyFill="1" applyBorder="1" applyAlignment="1">
      <alignment horizontal="center" vertical="center" wrapText="1"/>
    </xf>
    <xf numFmtId="3" fontId="56" fillId="63" borderId="14" xfId="0" applyNumberFormat="1" applyFont="1" applyFill="1" applyBorder="1" applyAlignment="1">
      <alignment horizontal="center" vertical="center" wrapText="1"/>
    </xf>
    <xf numFmtId="0" fontId="56" fillId="63" borderId="2" xfId="0" applyFont="1" applyFill="1" applyBorder="1" applyAlignment="1">
      <alignment horizontal="center" vertical="center" wrapText="1"/>
    </xf>
    <xf numFmtId="0" fontId="118" fillId="0" borderId="67" xfId="244" applyFont="1" applyBorder="1" applyAlignment="1">
      <alignment horizontal="center" vertical="center" wrapText="1"/>
    </xf>
    <xf numFmtId="0" fontId="118" fillId="0" borderId="68" xfId="244" applyFont="1" applyBorder="1" applyAlignment="1">
      <alignment horizontal="center" vertical="center" wrapText="1"/>
    </xf>
    <xf numFmtId="0" fontId="118" fillId="0" borderId="69" xfId="244" applyFont="1" applyBorder="1" applyAlignment="1">
      <alignment horizontal="center" vertical="center" wrapText="1"/>
    </xf>
    <xf numFmtId="0" fontId="118" fillId="0" borderId="70" xfId="244" applyFont="1" applyBorder="1" applyAlignment="1">
      <alignment horizontal="center" vertical="center" wrapText="1"/>
    </xf>
    <xf numFmtId="0" fontId="118" fillId="0" borderId="0" xfId="244" applyFont="1" applyAlignment="1">
      <alignment horizontal="center" vertical="center" wrapText="1"/>
    </xf>
    <xf numFmtId="0" fontId="118" fillId="0" borderId="71" xfId="244" applyFont="1" applyBorder="1" applyAlignment="1">
      <alignment horizontal="center" vertical="center" wrapText="1"/>
    </xf>
    <xf numFmtId="0" fontId="118" fillId="0" borderId="72" xfId="244" applyFont="1" applyBorder="1" applyAlignment="1">
      <alignment horizontal="center" vertical="center" wrapText="1"/>
    </xf>
    <xf numFmtId="0" fontId="118" fillId="0" borderId="73" xfId="244" applyFont="1" applyBorder="1" applyAlignment="1">
      <alignment horizontal="center" vertical="center" wrapText="1"/>
    </xf>
    <xf numFmtId="0" fontId="118" fillId="0" borderId="74" xfId="244" applyFont="1" applyBorder="1" applyAlignment="1">
      <alignment horizontal="center" vertical="center" wrapText="1"/>
    </xf>
    <xf numFmtId="0" fontId="116" fillId="63" borderId="15" xfId="244" applyFont="1" applyFill="1" applyBorder="1" applyAlignment="1">
      <alignment horizontal="left" vertical="center" wrapText="1"/>
    </xf>
    <xf numFmtId="0" fontId="116" fillId="63" borderId="16" xfId="244" applyFont="1" applyFill="1" applyBorder="1" applyAlignment="1">
      <alignment horizontal="left" vertical="center" wrapText="1"/>
    </xf>
    <xf numFmtId="0" fontId="118" fillId="0" borderId="57" xfId="244" applyFont="1" applyBorder="1" applyAlignment="1">
      <alignment horizontal="center" vertical="center" wrapText="1"/>
    </xf>
    <xf numFmtId="0" fontId="118" fillId="0" borderId="58" xfId="244" applyFont="1" applyBorder="1" applyAlignment="1">
      <alignment horizontal="center" vertical="center" wrapText="1"/>
    </xf>
    <xf numFmtId="0" fontId="118" fillId="0" borderId="59" xfId="244" applyFont="1" applyBorder="1" applyAlignment="1">
      <alignment horizontal="center" vertical="center" wrapText="1"/>
    </xf>
    <xf numFmtId="0" fontId="116" fillId="63" borderId="2" xfId="244" applyFont="1" applyFill="1" applyBorder="1" applyAlignment="1">
      <alignment horizontal="center" vertical="center" wrapText="1"/>
    </xf>
    <xf numFmtId="0" fontId="116" fillId="63" borderId="15" xfId="0" applyFont="1" applyFill="1" applyBorder="1" applyAlignment="1">
      <alignment horizontal="left" vertical="center" wrapText="1"/>
    </xf>
    <xf numFmtId="0" fontId="116" fillId="63" borderId="16" xfId="0" applyFont="1" applyFill="1" applyBorder="1" applyAlignment="1">
      <alignment horizontal="left" vertical="center" wrapText="1"/>
    </xf>
    <xf numFmtId="0" fontId="116" fillId="63" borderId="2" xfId="244" applyFont="1" applyFill="1" applyBorder="1" applyAlignment="1">
      <alignment horizontal="left" vertical="center" wrapText="1"/>
    </xf>
    <xf numFmtId="0" fontId="116" fillId="63" borderId="15" xfId="0" applyFont="1" applyFill="1" applyBorder="1" applyAlignment="1">
      <alignment horizontal="center" vertical="center" wrapText="1"/>
    </xf>
    <xf numFmtId="0" fontId="116" fillId="63" borderId="16" xfId="0" applyFont="1" applyFill="1" applyBorder="1" applyAlignment="1">
      <alignment horizontal="center" vertical="center" wrapText="1"/>
    </xf>
    <xf numFmtId="0" fontId="118" fillId="0" borderId="57" xfId="2241" applyFont="1" applyBorder="1" applyAlignment="1">
      <alignment horizontal="center" vertical="center" wrapText="1"/>
    </xf>
    <xf numFmtId="0" fontId="118" fillId="0" borderId="58" xfId="2241" applyFont="1" applyBorder="1" applyAlignment="1">
      <alignment horizontal="center" vertical="center" wrapText="1"/>
    </xf>
    <xf numFmtId="0" fontId="118" fillId="0" borderId="59" xfId="2241" applyFont="1" applyBorder="1" applyAlignment="1">
      <alignment horizontal="center" vertical="center" wrapText="1"/>
    </xf>
    <xf numFmtId="0" fontId="116" fillId="63" borderId="13" xfId="0" applyFont="1" applyFill="1" applyBorder="1" applyAlignment="1">
      <alignment horizontal="center" vertical="center" wrapText="1"/>
    </xf>
    <xf numFmtId="0" fontId="116" fillId="63" borderId="3" xfId="0" applyFont="1" applyFill="1" applyBorder="1" applyAlignment="1">
      <alignment horizontal="center" vertical="center" wrapText="1"/>
    </xf>
    <xf numFmtId="0" fontId="116" fillId="63" borderId="14" xfId="0" applyFont="1" applyFill="1" applyBorder="1" applyAlignment="1">
      <alignment horizontal="center" vertical="center" wrapText="1"/>
    </xf>
    <xf numFmtId="0" fontId="116" fillId="63" borderId="15" xfId="244" applyFont="1" applyFill="1" applyBorder="1" applyAlignment="1">
      <alignment horizontal="left" vertical="center"/>
    </xf>
    <xf numFmtId="0" fontId="116" fillId="63" borderId="16" xfId="244" applyFont="1" applyFill="1" applyBorder="1" applyAlignment="1">
      <alignment horizontal="left" vertical="center"/>
    </xf>
    <xf numFmtId="0" fontId="116" fillId="63" borderId="15" xfId="244" applyFont="1" applyFill="1" applyBorder="1" applyAlignment="1">
      <alignment horizontal="center" vertical="center" wrapText="1"/>
    </xf>
    <xf numFmtId="0" fontId="116" fillId="63" borderId="16" xfId="244" applyFont="1" applyFill="1" applyBorder="1" applyAlignment="1">
      <alignment horizontal="center" vertical="center" wrapText="1"/>
    </xf>
    <xf numFmtId="0" fontId="56" fillId="63" borderId="2" xfId="0" applyFont="1" applyFill="1" applyBorder="1" applyAlignment="1">
      <alignment horizontal="left" vertical="center" wrapText="1"/>
    </xf>
    <xf numFmtId="0" fontId="56" fillId="63" borderId="2" xfId="0" applyFont="1" applyFill="1" applyBorder="1" applyAlignment="1">
      <alignment horizontal="left" vertical="center"/>
    </xf>
    <xf numFmtId="0" fontId="124" fillId="65" borderId="14" xfId="0" applyFont="1" applyFill="1" applyBorder="1" applyAlignment="1">
      <alignment horizontal="left" vertical="center" wrapText="1"/>
    </xf>
    <xf numFmtId="0" fontId="124" fillId="65" borderId="2" xfId="0" applyFont="1" applyFill="1" applyBorder="1" applyAlignment="1">
      <alignment horizontal="left" vertical="center" wrapText="1"/>
    </xf>
    <xf numFmtId="0" fontId="124" fillId="0" borderId="25" xfId="0" applyFont="1" applyBorder="1" applyAlignment="1">
      <alignment horizontal="center" vertical="center" wrapText="1"/>
    </xf>
    <xf numFmtId="0" fontId="88" fillId="0" borderId="0" xfId="0" applyFont="1" applyAlignment="1">
      <alignment horizontal="center" wrapText="1"/>
    </xf>
    <xf numFmtId="0" fontId="118" fillId="0" borderId="57" xfId="244" applyFont="1" applyFill="1" applyBorder="1" applyAlignment="1">
      <alignment horizontal="center" vertical="center"/>
    </xf>
  </cellXfs>
  <cellStyles count="2242">
    <cellStyle name="=C:\WINNT\SYSTEM32\COMMAND.COM" xfId="18" xr:uid="{00000000-0005-0000-0000-000000000000}"/>
    <cellStyle name="20% - Accent1" xfId="218" builtinId="30" customBuiltin="1"/>
    <cellStyle name="20% - Accent1 2" xfId="19" xr:uid="{00000000-0005-0000-0000-000002000000}"/>
    <cellStyle name="20% - Accent1 3" xfId="249" xr:uid="{00000000-0005-0000-0000-000003000000}"/>
    <cellStyle name="20% - Accent1 3 2" xfId="373" xr:uid="{00000000-0005-0000-0000-000004000000}"/>
    <cellStyle name="20% - Accent1 3 2 2" xfId="1158" xr:uid="{00000000-0005-0000-0000-000005000000}"/>
    <cellStyle name="20% - Accent1 3 2 2 2" xfId="2204" xr:uid="{00000000-0005-0000-0000-000006000000}"/>
    <cellStyle name="20% - Accent1 3 2 3" xfId="892" xr:uid="{00000000-0005-0000-0000-000007000000}"/>
    <cellStyle name="20% - Accent1 3 2 3 2" xfId="1938" xr:uid="{00000000-0005-0000-0000-000008000000}"/>
    <cellStyle name="20% - Accent1 3 2 4" xfId="621" xr:uid="{00000000-0005-0000-0000-000009000000}"/>
    <cellStyle name="20% - Accent1 3 2 4 2" xfId="1672" xr:uid="{00000000-0005-0000-0000-00000A000000}"/>
    <cellStyle name="20% - Accent1 3 2 5" xfId="1424" xr:uid="{00000000-0005-0000-0000-00000B000000}"/>
    <cellStyle name="20% - Accent1 3 3" xfId="1034" xr:uid="{00000000-0005-0000-0000-00000C000000}"/>
    <cellStyle name="20% - Accent1 3 3 2" xfId="2080" xr:uid="{00000000-0005-0000-0000-00000D000000}"/>
    <cellStyle name="20% - Accent1 3 4" xfId="768" xr:uid="{00000000-0005-0000-0000-00000E000000}"/>
    <cellStyle name="20% - Accent1 3 4 2" xfId="1814" xr:uid="{00000000-0005-0000-0000-00000F000000}"/>
    <cellStyle name="20% - Accent1 3 5" xfId="497" xr:uid="{00000000-0005-0000-0000-000010000000}"/>
    <cellStyle name="20% - Accent1 3 5 2" xfId="1548" xr:uid="{00000000-0005-0000-0000-000011000000}"/>
    <cellStyle name="20% - Accent1 3 6" xfId="1300" xr:uid="{00000000-0005-0000-0000-000012000000}"/>
    <cellStyle name="20% - Accent1 4" xfId="355" xr:uid="{00000000-0005-0000-0000-000013000000}"/>
    <cellStyle name="20% - Accent1 4 2" xfId="1140" xr:uid="{00000000-0005-0000-0000-000014000000}"/>
    <cellStyle name="20% - Accent1 4 2 2" xfId="2186" xr:uid="{00000000-0005-0000-0000-000015000000}"/>
    <cellStyle name="20% - Accent1 4 3" xfId="874" xr:uid="{00000000-0005-0000-0000-000016000000}"/>
    <cellStyle name="20% - Accent1 4 3 2" xfId="1920" xr:uid="{00000000-0005-0000-0000-000017000000}"/>
    <cellStyle name="20% - Accent1 4 4" xfId="603" xr:uid="{00000000-0005-0000-0000-000018000000}"/>
    <cellStyle name="20% - Accent1 4 4 2" xfId="1654" xr:uid="{00000000-0005-0000-0000-000019000000}"/>
    <cellStyle name="20% - Accent1 4 5" xfId="1406" xr:uid="{00000000-0005-0000-0000-00001A000000}"/>
    <cellStyle name="20% - Accent1 5" xfId="635" xr:uid="{00000000-0005-0000-0000-00001B000000}"/>
    <cellStyle name="20% - Accent1 5 2" xfId="1172" xr:uid="{00000000-0005-0000-0000-00001C000000}"/>
    <cellStyle name="20% - Accent1 5 2 2" xfId="2218" xr:uid="{00000000-0005-0000-0000-00001D000000}"/>
    <cellStyle name="20% - Accent1 5 3" xfId="906" xr:uid="{00000000-0005-0000-0000-00001E000000}"/>
    <cellStyle name="20% - Accent1 5 3 2" xfId="1952" xr:uid="{00000000-0005-0000-0000-00001F000000}"/>
    <cellStyle name="20% - Accent1 5 4" xfId="1686" xr:uid="{00000000-0005-0000-0000-000020000000}"/>
    <cellStyle name="20% - Accent1 6" xfId="1016" xr:uid="{00000000-0005-0000-0000-000021000000}"/>
    <cellStyle name="20% - Accent1 6 2" xfId="2062" xr:uid="{00000000-0005-0000-0000-000022000000}"/>
    <cellStyle name="20% - Accent1 7" xfId="750" xr:uid="{00000000-0005-0000-0000-000023000000}"/>
    <cellStyle name="20% - Accent1 7 2" xfId="1796" xr:uid="{00000000-0005-0000-0000-000024000000}"/>
    <cellStyle name="20% - Accent1 8" xfId="479" xr:uid="{00000000-0005-0000-0000-000025000000}"/>
    <cellStyle name="20% - Accent1 8 2" xfId="1530" xr:uid="{00000000-0005-0000-0000-000026000000}"/>
    <cellStyle name="20% - Accent1 9" xfId="1282" xr:uid="{00000000-0005-0000-0000-000027000000}"/>
    <cellStyle name="20% - Accent2" xfId="222" builtinId="34" customBuiltin="1"/>
    <cellStyle name="20% - Accent2 2" xfId="20" xr:uid="{00000000-0005-0000-0000-000029000000}"/>
    <cellStyle name="20% - Accent2 3" xfId="251" xr:uid="{00000000-0005-0000-0000-00002A000000}"/>
    <cellStyle name="20% - Accent2 3 2" xfId="375" xr:uid="{00000000-0005-0000-0000-00002B000000}"/>
    <cellStyle name="20% - Accent2 3 2 2" xfId="1160" xr:uid="{00000000-0005-0000-0000-00002C000000}"/>
    <cellStyle name="20% - Accent2 3 2 2 2" xfId="2206" xr:uid="{00000000-0005-0000-0000-00002D000000}"/>
    <cellStyle name="20% - Accent2 3 2 3" xfId="894" xr:uid="{00000000-0005-0000-0000-00002E000000}"/>
    <cellStyle name="20% - Accent2 3 2 3 2" xfId="1940" xr:uid="{00000000-0005-0000-0000-00002F000000}"/>
    <cellStyle name="20% - Accent2 3 2 4" xfId="623" xr:uid="{00000000-0005-0000-0000-000030000000}"/>
    <cellStyle name="20% - Accent2 3 2 4 2" xfId="1674" xr:uid="{00000000-0005-0000-0000-000031000000}"/>
    <cellStyle name="20% - Accent2 3 2 5" xfId="1426" xr:uid="{00000000-0005-0000-0000-000032000000}"/>
    <cellStyle name="20% - Accent2 3 3" xfId="1036" xr:uid="{00000000-0005-0000-0000-000033000000}"/>
    <cellStyle name="20% - Accent2 3 3 2" xfId="2082" xr:uid="{00000000-0005-0000-0000-000034000000}"/>
    <cellStyle name="20% - Accent2 3 4" xfId="770" xr:uid="{00000000-0005-0000-0000-000035000000}"/>
    <cellStyle name="20% - Accent2 3 4 2" xfId="1816" xr:uid="{00000000-0005-0000-0000-000036000000}"/>
    <cellStyle name="20% - Accent2 3 5" xfId="499" xr:uid="{00000000-0005-0000-0000-000037000000}"/>
    <cellStyle name="20% - Accent2 3 5 2" xfId="1550" xr:uid="{00000000-0005-0000-0000-000038000000}"/>
    <cellStyle name="20% - Accent2 3 6" xfId="1302" xr:uid="{00000000-0005-0000-0000-000039000000}"/>
    <cellStyle name="20% - Accent2 4" xfId="357" xr:uid="{00000000-0005-0000-0000-00003A000000}"/>
    <cellStyle name="20% - Accent2 4 2" xfId="1142" xr:uid="{00000000-0005-0000-0000-00003B000000}"/>
    <cellStyle name="20% - Accent2 4 2 2" xfId="2188" xr:uid="{00000000-0005-0000-0000-00003C000000}"/>
    <cellStyle name="20% - Accent2 4 3" xfId="876" xr:uid="{00000000-0005-0000-0000-00003D000000}"/>
    <cellStyle name="20% - Accent2 4 3 2" xfId="1922" xr:uid="{00000000-0005-0000-0000-00003E000000}"/>
    <cellStyle name="20% - Accent2 4 4" xfId="605" xr:uid="{00000000-0005-0000-0000-00003F000000}"/>
    <cellStyle name="20% - Accent2 4 4 2" xfId="1656" xr:uid="{00000000-0005-0000-0000-000040000000}"/>
    <cellStyle name="20% - Accent2 4 5" xfId="1408" xr:uid="{00000000-0005-0000-0000-000041000000}"/>
    <cellStyle name="20% - Accent2 5" xfId="637" xr:uid="{00000000-0005-0000-0000-000042000000}"/>
    <cellStyle name="20% - Accent2 5 2" xfId="1174" xr:uid="{00000000-0005-0000-0000-000043000000}"/>
    <cellStyle name="20% - Accent2 5 2 2" xfId="2220" xr:uid="{00000000-0005-0000-0000-000044000000}"/>
    <cellStyle name="20% - Accent2 5 3" xfId="908" xr:uid="{00000000-0005-0000-0000-000045000000}"/>
    <cellStyle name="20% - Accent2 5 3 2" xfId="1954" xr:uid="{00000000-0005-0000-0000-000046000000}"/>
    <cellStyle name="20% - Accent2 5 4" xfId="1688" xr:uid="{00000000-0005-0000-0000-000047000000}"/>
    <cellStyle name="20% - Accent2 6" xfId="1018" xr:uid="{00000000-0005-0000-0000-000048000000}"/>
    <cellStyle name="20% - Accent2 6 2" xfId="2064" xr:uid="{00000000-0005-0000-0000-000049000000}"/>
    <cellStyle name="20% - Accent2 7" xfId="752" xr:uid="{00000000-0005-0000-0000-00004A000000}"/>
    <cellStyle name="20% - Accent2 7 2" xfId="1798" xr:uid="{00000000-0005-0000-0000-00004B000000}"/>
    <cellStyle name="20% - Accent2 8" xfId="481" xr:uid="{00000000-0005-0000-0000-00004C000000}"/>
    <cellStyle name="20% - Accent2 8 2" xfId="1532" xr:uid="{00000000-0005-0000-0000-00004D000000}"/>
    <cellStyle name="20% - Accent2 9" xfId="1284" xr:uid="{00000000-0005-0000-0000-00004E000000}"/>
    <cellStyle name="20% - Accent3" xfId="226" builtinId="38" customBuiltin="1"/>
    <cellStyle name="20% - Accent3 2" xfId="21" xr:uid="{00000000-0005-0000-0000-000050000000}"/>
    <cellStyle name="20% - Accent3 3" xfId="253" xr:uid="{00000000-0005-0000-0000-000051000000}"/>
    <cellStyle name="20% - Accent3 3 2" xfId="377" xr:uid="{00000000-0005-0000-0000-000052000000}"/>
    <cellStyle name="20% - Accent3 3 2 2" xfId="1162" xr:uid="{00000000-0005-0000-0000-000053000000}"/>
    <cellStyle name="20% - Accent3 3 2 2 2" xfId="2208" xr:uid="{00000000-0005-0000-0000-000054000000}"/>
    <cellStyle name="20% - Accent3 3 2 3" xfId="896" xr:uid="{00000000-0005-0000-0000-000055000000}"/>
    <cellStyle name="20% - Accent3 3 2 3 2" xfId="1942" xr:uid="{00000000-0005-0000-0000-000056000000}"/>
    <cellStyle name="20% - Accent3 3 2 4" xfId="625" xr:uid="{00000000-0005-0000-0000-000057000000}"/>
    <cellStyle name="20% - Accent3 3 2 4 2" xfId="1676" xr:uid="{00000000-0005-0000-0000-000058000000}"/>
    <cellStyle name="20% - Accent3 3 2 5" xfId="1428" xr:uid="{00000000-0005-0000-0000-000059000000}"/>
    <cellStyle name="20% - Accent3 3 3" xfId="1038" xr:uid="{00000000-0005-0000-0000-00005A000000}"/>
    <cellStyle name="20% - Accent3 3 3 2" xfId="2084" xr:uid="{00000000-0005-0000-0000-00005B000000}"/>
    <cellStyle name="20% - Accent3 3 4" xfId="772" xr:uid="{00000000-0005-0000-0000-00005C000000}"/>
    <cellStyle name="20% - Accent3 3 4 2" xfId="1818" xr:uid="{00000000-0005-0000-0000-00005D000000}"/>
    <cellStyle name="20% - Accent3 3 5" xfId="501" xr:uid="{00000000-0005-0000-0000-00005E000000}"/>
    <cellStyle name="20% - Accent3 3 5 2" xfId="1552" xr:uid="{00000000-0005-0000-0000-00005F000000}"/>
    <cellStyle name="20% - Accent3 3 6" xfId="1304" xr:uid="{00000000-0005-0000-0000-000060000000}"/>
    <cellStyle name="20% - Accent3 4" xfId="359" xr:uid="{00000000-0005-0000-0000-000061000000}"/>
    <cellStyle name="20% - Accent3 4 2" xfId="1144" xr:uid="{00000000-0005-0000-0000-000062000000}"/>
    <cellStyle name="20% - Accent3 4 2 2" xfId="2190" xr:uid="{00000000-0005-0000-0000-000063000000}"/>
    <cellStyle name="20% - Accent3 4 3" xfId="878" xr:uid="{00000000-0005-0000-0000-000064000000}"/>
    <cellStyle name="20% - Accent3 4 3 2" xfId="1924" xr:uid="{00000000-0005-0000-0000-000065000000}"/>
    <cellStyle name="20% - Accent3 4 4" xfId="607" xr:uid="{00000000-0005-0000-0000-000066000000}"/>
    <cellStyle name="20% - Accent3 4 4 2" xfId="1658" xr:uid="{00000000-0005-0000-0000-000067000000}"/>
    <cellStyle name="20% - Accent3 4 5" xfId="1410" xr:uid="{00000000-0005-0000-0000-000068000000}"/>
    <cellStyle name="20% - Accent3 5" xfId="639" xr:uid="{00000000-0005-0000-0000-000069000000}"/>
    <cellStyle name="20% - Accent3 5 2" xfId="1176" xr:uid="{00000000-0005-0000-0000-00006A000000}"/>
    <cellStyle name="20% - Accent3 5 2 2" xfId="2222" xr:uid="{00000000-0005-0000-0000-00006B000000}"/>
    <cellStyle name="20% - Accent3 5 3" xfId="910" xr:uid="{00000000-0005-0000-0000-00006C000000}"/>
    <cellStyle name="20% - Accent3 5 3 2" xfId="1956" xr:uid="{00000000-0005-0000-0000-00006D000000}"/>
    <cellStyle name="20% - Accent3 5 4" xfId="1690" xr:uid="{00000000-0005-0000-0000-00006E000000}"/>
    <cellStyle name="20% - Accent3 6" xfId="1020" xr:uid="{00000000-0005-0000-0000-00006F000000}"/>
    <cellStyle name="20% - Accent3 6 2" xfId="2066" xr:uid="{00000000-0005-0000-0000-000070000000}"/>
    <cellStyle name="20% - Accent3 7" xfId="754" xr:uid="{00000000-0005-0000-0000-000071000000}"/>
    <cellStyle name="20% - Accent3 7 2" xfId="1800" xr:uid="{00000000-0005-0000-0000-000072000000}"/>
    <cellStyle name="20% - Accent3 8" xfId="483" xr:uid="{00000000-0005-0000-0000-000073000000}"/>
    <cellStyle name="20% - Accent3 8 2" xfId="1534" xr:uid="{00000000-0005-0000-0000-000074000000}"/>
    <cellStyle name="20% - Accent3 9" xfId="1286" xr:uid="{00000000-0005-0000-0000-000075000000}"/>
    <cellStyle name="20% - Accent4" xfId="230" builtinId="42" customBuiltin="1"/>
    <cellStyle name="20% - Accent4 2" xfId="22" xr:uid="{00000000-0005-0000-0000-000077000000}"/>
    <cellStyle name="20% - Accent4 3" xfId="255" xr:uid="{00000000-0005-0000-0000-000078000000}"/>
    <cellStyle name="20% - Accent4 3 2" xfId="379" xr:uid="{00000000-0005-0000-0000-000079000000}"/>
    <cellStyle name="20% - Accent4 3 2 2" xfId="1164" xr:uid="{00000000-0005-0000-0000-00007A000000}"/>
    <cellStyle name="20% - Accent4 3 2 2 2" xfId="2210" xr:uid="{00000000-0005-0000-0000-00007B000000}"/>
    <cellStyle name="20% - Accent4 3 2 3" xfId="898" xr:uid="{00000000-0005-0000-0000-00007C000000}"/>
    <cellStyle name="20% - Accent4 3 2 3 2" xfId="1944" xr:uid="{00000000-0005-0000-0000-00007D000000}"/>
    <cellStyle name="20% - Accent4 3 2 4" xfId="627" xr:uid="{00000000-0005-0000-0000-00007E000000}"/>
    <cellStyle name="20% - Accent4 3 2 4 2" xfId="1678" xr:uid="{00000000-0005-0000-0000-00007F000000}"/>
    <cellStyle name="20% - Accent4 3 2 5" xfId="1430" xr:uid="{00000000-0005-0000-0000-000080000000}"/>
    <cellStyle name="20% - Accent4 3 3" xfId="1040" xr:uid="{00000000-0005-0000-0000-000081000000}"/>
    <cellStyle name="20% - Accent4 3 3 2" xfId="2086" xr:uid="{00000000-0005-0000-0000-000082000000}"/>
    <cellStyle name="20% - Accent4 3 4" xfId="774" xr:uid="{00000000-0005-0000-0000-000083000000}"/>
    <cellStyle name="20% - Accent4 3 4 2" xfId="1820" xr:uid="{00000000-0005-0000-0000-000084000000}"/>
    <cellStyle name="20% - Accent4 3 5" xfId="503" xr:uid="{00000000-0005-0000-0000-000085000000}"/>
    <cellStyle name="20% - Accent4 3 5 2" xfId="1554" xr:uid="{00000000-0005-0000-0000-000086000000}"/>
    <cellStyle name="20% - Accent4 3 6" xfId="1306" xr:uid="{00000000-0005-0000-0000-000087000000}"/>
    <cellStyle name="20% - Accent4 4" xfId="361" xr:uid="{00000000-0005-0000-0000-000088000000}"/>
    <cellStyle name="20% - Accent4 4 2" xfId="1146" xr:uid="{00000000-0005-0000-0000-000089000000}"/>
    <cellStyle name="20% - Accent4 4 2 2" xfId="2192" xr:uid="{00000000-0005-0000-0000-00008A000000}"/>
    <cellStyle name="20% - Accent4 4 3" xfId="880" xr:uid="{00000000-0005-0000-0000-00008B000000}"/>
    <cellStyle name="20% - Accent4 4 3 2" xfId="1926" xr:uid="{00000000-0005-0000-0000-00008C000000}"/>
    <cellStyle name="20% - Accent4 4 4" xfId="609" xr:uid="{00000000-0005-0000-0000-00008D000000}"/>
    <cellStyle name="20% - Accent4 4 4 2" xfId="1660" xr:uid="{00000000-0005-0000-0000-00008E000000}"/>
    <cellStyle name="20% - Accent4 4 5" xfId="1412" xr:uid="{00000000-0005-0000-0000-00008F000000}"/>
    <cellStyle name="20% - Accent4 5" xfId="641" xr:uid="{00000000-0005-0000-0000-000090000000}"/>
    <cellStyle name="20% - Accent4 5 2" xfId="1178" xr:uid="{00000000-0005-0000-0000-000091000000}"/>
    <cellStyle name="20% - Accent4 5 2 2" xfId="2224" xr:uid="{00000000-0005-0000-0000-000092000000}"/>
    <cellStyle name="20% - Accent4 5 3" xfId="912" xr:uid="{00000000-0005-0000-0000-000093000000}"/>
    <cellStyle name="20% - Accent4 5 3 2" xfId="1958" xr:uid="{00000000-0005-0000-0000-000094000000}"/>
    <cellStyle name="20% - Accent4 5 4" xfId="1692" xr:uid="{00000000-0005-0000-0000-000095000000}"/>
    <cellStyle name="20% - Accent4 6" xfId="1022" xr:uid="{00000000-0005-0000-0000-000096000000}"/>
    <cellStyle name="20% - Accent4 6 2" xfId="2068" xr:uid="{00000000-0005-0000-0000-000097000000}"/>
    <cellStyle name="20% - Accent4 7" xfId="756" xr:uid="{00000000-0005-0000-0000-000098000000}"/>
    <cellStyle name="20% - Accent4 7 2" xfId="1802" xr:uid="{00000000-0005-0000-0000-000099000000}"/>
    <cellStyle name="20% - Accent4 8" xfId="485" xr:uid="{00000000-0005-0000-0000-00009A000000}"/>
    <cellStyle name="20% - Accent4 8 2" xfId="1536" xr:uid="{00000000-0005-0000-0000-00009B000000}"/>
    <cellStyle name="20% - Accent4 9" xfId="1288" xr:uid="{00000000-0005-0000-0000-00009C000000}"/>
    <cellStyle name="20% - Accent5" xfId="234" builtinId="46" customBuiltin="1"/>
    <cellStyle name="20% - Accent5 2" xfId="23" xr:uid="{00000000-0005-0000-0000-00009E000000}"/>
    <cellStyle name="20% - Accent5 3" xfId="257" xr:uid="{00000000-0005-0000-0000-00009F000000}"/>
    <cellStyle name="20% - Accent5 3 2" xfId="381" xr:uid="{00000000-0005-0000-0000-0000A0000000}"/>
    <cellStyle name="20% - Accent5 3 2 2" xfId="1166" xr:uid="{00000000-0005-0000-0000-0000A1000000}"/>
    <cellStyle name="20% - Accent5 3 2 2 2" xfId="2212" xr:uid="{00000000-0005-0000-0000-0000A2000000}"/>
    <cellStyle name="20% - Accent5 3 2 3" xfId="900" xr:uid="{00000000-0005-0000-0000-0000A3000000}"/>
    <cellStyle name="20% - Accent5 3 2 3 2" xfId="1946" xr:uid="{00000000-0005-0000-0000-0000A4000000}"/>
    <cellStyle name="20% - Accent5 3 2 4" xfId="629" xr:uid="{00000000-0005-0000-0000-0000A5000000}"/>
    <cellStyle name="20% - Accent5 3 2 4 2" xfId="1680" xr:uid="{00000000-0005-0000-0000-0000A6000000}"/>
    <cellStyle name="20% - Accent5 3 2 5" xfId="1432" xr:uid="{00000000-0005-0000-0000-0000A7000000}"/>
    <cellStyle name="20% - Accent5 3 3" xfId="1042" xr:uid="{00000000-0005-0000-0000-0000A8000000}"/>
    <cellStyle name="20% - Accent5 3 3 2" xfId="2088" xr:uid="{00000000-0005-0000-0000-0000A9000000}"/>
    <cellStyle name="20% - Accent5 3 4" xfId="776" xr:uid="{00000000-0005-0000-0000-0000AA000000}"/>
    <cellStyle name="20% - Accent5 3 4 2" xfId="1822" xr:uid="{00000000-0005-0000-0000-0000AB000000}"/>
    <cellStyle name="20% - Accent5 3 5" xfId="505" xr:uid="{00000000-0005-0000-0000-0000AC000000}"/>
    <cellStyle name="20% - Accent5 3 5 2" xfId="1556" xr:uid="{00000000-0005-0000-0000-0000AD000000}"/>
    <cellStyle name="20% - Accent5 3 6" xfId="1308" xr:uid="{00000000-0005-0000-0000-0000AE000000}"/>
    <cellStyle name="20% - Accent5 4" xfId="363" xr:uid="{00000000-0005-0000-0000-0000AF000000}"/>
    <cellStyle name="20% - Accent5 4 2" xfId="1148" xr:uid="{00000000-0005-0000-0000-0000B0000000}"/>
    <cellStyle name="20% - Accent5 4 2 2" xfId="2194" xr:uid="{00000000-0005-0000-0000-0000B1000000}"/>
    <cellStyle name="20% - Accent5 4 3" xfId="882" xr:uid="{00000000-0005-0000-0000-0000B2000000}"/>
    <cellStyle name="20% - Accent5 4 3 2" xfId="1928" xr:uid="{00000000-0005-0000-0000-0000B3000000}"/>
    <cellStyle name="20% - Accent5 4 4" xfId="611" xr:uid="{00000000-0005-0000-0000-0000B4000000}"/>
    <cellStyle name="20% - Accent5 4 4 2" xfId="1662" xr:uid="{00000000-0005-0000-0000-0000B5000000}"/>
    <cellStyle name="20% - Accent5 4 5" xfId="1414" xr:uid="{00000000-0005-0000-0000-0000B6000000}"/>
    <cellStyle name="20% - Accent5 5" xfId="643" xr:uid="{00000000-0005-0000-0000-0000B7000000}"/>
    <cellStyle name="20% - Accent5 5 2" xfId="1180" xr:uid="{00000000-0005-0000-0000-0000B8000000}"/>
    <cellStyle name="20% - Accent5 5 2 2" xfId="2226" xr:uid="{00000000-0005-0000-0000-0000B9000000}"/>
    <cellStyle name="20% - Accent5 5 3" xfId="914" xr:uid="{00000000-0005-0000-0000-0000BA000000}"/>
    <cellStyle name="20% - Accent5 5 3 2" xfId="1960" xr:uid="{00000000-0005-0000-0000-0000BB000000}"/>
    <cellStyle name="20% - Accent5 5 4" xfId="1694" xr:uid="{00000000-0005-0000-0000-0000BC000000}"/>
    <cellStyle name="20% - Accent5 6" xfId="1024" xr:uid="{00000000-0005-0000-0000-0000BD000000}"/>
    <cellStyle name="20% - Accent5 6 2" xfId="2070" xr:uid="{00000000-0005-0000-0000-0000BE000000}"/>
    <cellStyle name="20% - Accent5 7" xfId="758" xr:uid="{00000000-0005-0000-0000-0000BF000000}"/>
    <cellStyle name="20% - Accent5 7 2" xfId="1804" xr:uid="{00000000-0005-0000-0000-0000C0000000}"/>
    <cellStyle name="20% - Accent5 8" xfId="487" xr:uid="{00000000-0005-0000-0000-0000C1000000}"/>
    <cellStyle name="20% - Accent5 8 2" xfId="1538" xr:uid="{00000000-0005-0000-0000-0000C2000000}"/>
    <cellStyle name="20% - Accent5 9" xfId="1290" xr:uid="{00000000-0005-0000-0000-0000C3000000}"/>
    <cellStyle name="20% - Accent6" xfId="238" builtinId="50" customBuiltin="1"/>
    <cellStyle name="20% - Accent6 2" xfId="24" xr:uid="{00000000-0005-0000-0000-0000C5000000}"/>
    <cellStyle name="20% - Accent6 3" xfId="259" xr:uid="{00000000-0005-0000-0000-0000C6000000}"/>
    <cellStyle name="20% - Accent6 3 2" xfId="383" xr:uid="{00000000-0005-0000-0000-0000C7000000}"/>
    <cellStyle name="20% - Accent6 3 2 2" xfId="1168" xr:uid="{00000000-0005-0000-0000-0000C8000000}"/>
    <cellStyle name="20% - Accent6 3 2 2 2" xfId="2214" xr:uid="{00000000-0005-0000-0000-0000C9000000}"/>
    <cellStyle name="20% - Accent6 3 2 3" xfId="902" xr:uid="{00000000-0005-0000-0000-0000CA000000}"/>
    <cellStyle name="20% - Accent6 3 2 3 2" xfId="1948" xr:uid="{00000000-0005-0000-0000-0000CB000000}"/>
    <cellStyle name="20% - Accent6 3 2 4" xfId="631" xr:uid="{00000000-0005-0000-0000-0000CC000000}"/>
    <cellStyle name="20% - Accent6 3 2 4 2" xfId="1682" xr:uid="{00000000-0005-0000-0000-0000CD000000}"/>
    <cellStyle name="20% - Accent6 3 2 5" xfId="1434" xr:uid="{00000000-0005-0000-0000-0000CE000000}"/>
    <cellStyle name="20% - Accent6 3 3" xfId="1044" xr:uid="{00000000-0005-0000-0000-0000CF000000}"/>
    <cellStyle name="20% - Accent6 3 3 2" xfId="2090" xr:uid="{00000000-0005-0000-0000-0000D0000000}"/>
    <cellStyle name="20% - Accent6 3 4" xfId="778" xr:uid="{00000000-0005-0000-0000-0000D1000000}"/>
    <cellStyle name="20% - Accent6 3 4 2" xfId="1824" xr:uid="{00000000-0005-0000-0000-0000D2000000}"/>
    <cellStyle name="20% - Accent6 3 5" xfId="507" xr:uid="{00000000-0005-0000-0000-0000D3000000}"/>
    <cellStyle name="20% - Accent6 3 5 2" xfId="1558" xr:uid="{00000000-0005-0000-0000-0000D4000000}"/>
    <cellStyle name="20% - Accent6 3 6" xfId="1310" xr:uid="{00000000-0005-0000-0000-0000D5000000}"/>
    <cellStyle name="20% - Accent6 4" xfId="365" xr:uid="{00000000-0005-0000-0000-0000D6000000}"/>
    <cellStyle name="20% - Accent6 4 2" xfId="1150" xr:uid="{00000000-0005-0000-0000-0000D7000000}"/>
    <cellStyle name="20% - Accent6 4 2 2" xfId="2196" xr:uid="{00000000-0005-0000-0000-0000D8000000}"/>
    <cellStyle name="20% - Accent6 4 3" xfId="884" xr:uid="{00000000-0005-0000-0000-0000D9000000}"/>
    <cellStyle name="20% - Accent6 4 3 2" xfId="1930" xr:uid="{00000000-0005-0000-0000-0000DA000000}"/>
    <cellStyle name="20% - Accent6 4 4" xfId="613" xr:uid="{00000000-0005-0000-0000-0000DB000000}"/>
    <cellStyle name="20% - Accent6 4 4 2" xfId="1664" xr:uid="{00000000-0005-0000-0000-0000DC000000}"/>
    <cellStyle name="20% - Accent6 4 5" xfId="1416" xr:uid="{00000000-0005-0000-0000-0000DD000000}"/>
    <cellStyle name="20% - Accent6 5" xfId="645" xr:uid="{00000000-0005-0000-0000-0000DE000000}"/>
    <cellStyle name="20% - Accent6 5 2" xfId="1182" xr:uid="{00000000-0005-0000-0000-0000DF000000}"/>
    <cellStyle name="20% - Accent6 5 2 2" xfId="2228" xr:uid="{00000000-0005-0000-0000-0000E0000000}"/>
    <cellStyle name="20% - Accent6 5 3" xfId="916" xr:uid="{00000000-0005-0000-0000-0000E1000000}"/>
    <cellStyle name="20% - Accent6 5 3 2" xfId="1962" xr:uid="{00000000-0005-0000-0000-0000E2000000}"/>
    <cellStyle name="20% - Accent6 5 4" xfId="1696" xr:uid="{00000000-0005-0000-0000-0000E3000000}"/>
    <cellStyle name="20% - Accent6 6" xfId="1026" xr:uid="{00000000-0005-0000-0000-0000E4000000}"/>
    <cellStyle name="20% - Accent6 6 2" xfId="2072" xr:uid="{00000000-0005-0000-0000-0000E5000000}"/>
    <cellStyle name="20% - Accent6 7" xfId="760" xr:uid="{00000000-0005-0000-0000-0000E6000000}"/>
    <cellStyle name="20% - Accent6 7 2" xfId="1806" xr:uid="{00000000-0005-0000-0000-0000E7000000}"/>
    <cellStyle name="20% - Accent6 8" xfId="489" xr:uid="{00000000-0005-0000-0000-0000E8000000}"/>
    <cellStyle name="20% - Accent6 8 2" xfId="1540" xr:uid="{00000000-0005-0000-0000-0000E9000000}"/>
    <cellStyle name="20% - Accent6 9" xfId="1292" xr:uid="{00000000-0005-0000-0000-0000EA000000}"/>
    <cellStyle name="40% - Accent1" xfId="219" builtinId="31" customBuiltin="1"/>
    <cellStyle name="40% - Accent1 2" xfId="25" xr:uid="{00000000-0005-0000-0000-0000EC000000}"/>
    <cellStyle name="40% - Accent1 3" xfId="250" xr:uid="{00000000-0005-0000-0000-0000ED000000}"/>
    <cellStyle name="40% - Accent1 3 2" xfId="374" xr:uid="{00000000-0005-0000-0000-0000EE000000}"/>
    <cellStyle name="40% - Accent1 3 2 2" xfId="1159" xr:uid="{00000000-0005-0000-0000-0000EF000000}"/>
    <cellStyle name="40% - Accent1 3 2 2 2" xfId="2205" xr:uid="{00000000-0005-0000-0000-0000F0000000}"/>
    <cellStyle name="40% - Accent1 3 2 3" xfId="893" xr:uid="{00000000-0005-0000-0000-0000F1000000}"/>
    <cellStyle name="40% - Accent1 3 2 3 2" xfId="1939" xr:uid="{00000000-0005-0000-0000-0000F2000000}"/>
    <cellStyle name="40% - Accent1 3 2 4" xfId="622" xr:uid="{00000000-0005-0000-0000-0000F3000000}"/>
    <cellStyle name="40% - Accent1 3 2 4 2" xfId="1673" xr:uid="{00000000-0005-0000-0000-0000F4000000}"/>
    <cellStyle name="40% - Accent1 3 2 5" xfId="1425" xr:uid="{00000000-0005-0000-0000-0000F5000000}"/>
    <cellStyle name="40% - Accent1 3 3" xfId="1035" xr:uid="{00000000-0005-0000-0000-0000F6000000}"/>
    <cellStyle name="40% - Accent1 3 3 2" xfId="2081" xr:uid="{00000000-0005-0000-0000-0000F7000000}"/>
    <cellStyle name="40% - Accent1 3 4" xfId="769" xr:uid="{00000000-0005-0000-0000-0000F8000000}"/>
    <cellStyle name="40% - Accent1 3 4 2" xfId="1815" xr:uid="{00000000-0005-0000-0000-0000F9000000}"/>
    <cellStyle name="40% - Accent1 3 5" xfId="498" xr:uid="{00000000-0005-0000-0000-0000FA000000}"/>
    <cellStyle name="40% - Accent1 3 5 2" xfId="1549" xr:uid="{00000000-0005-0000-0000-0000FB000000}"/>
    <cellStyle name="40% - Accent1 3 6" xfId="1301" xr:uid="{00000000-0005-0000-0000-0000FC000000}"/>
    <cellStyle name="40% - Accent1 4" xfId="356" xr:uid="{00000000-0005-0000-0000-0000FD000000}"/>
    <cellStyle name="40% - Accent1 4 2" xfId="1141" xr:uid="{00000000-0005-0000-0000-0000FE000000}"/>
    <cellStyle name="40% - Accent1 4 2 2" xfId="2187" xr:uid="{00000000-0005-0000-0000-0000FF000000}"/>
    <cellStyle name="40% - Accent1 4 3" xfId="875" xr:uid="{00000000-0005-0000-0000-000000010000}"/>
    <cellStyle name="40% - Accent1 4 3 2" xfId="1921" xr:uid="{00000000-0005-0000-0000-000001010000}"/>
    <cellStyle name="40% - Accent1 4 4" xfId="604" xr:uid="{00000000-0005-0000-0000-000002010000}"/>
    <cellStyle name="40% - Accent1 4 4 2" xfId="1655" xr:uid="{00000000-0005-0000-0000-000003010000}"/>
    <cellStyle name="40% - Accent1 4 5" xfId="1407" xr:uid="{00000000-0005-0000-0000-000004010000}"/>
    <cellStyle name="40% - Accent1 5" xfId="636" xr:uid="{00000000-0005-0000-0000-000005010000}"/>
    <cellStyle name="40% - Accent1 5 2" xfId="1173" xr:uid="{00000000-0005-0000-0000-000006010000}"/>
    <cellStyle name="40% - Accent1 5 2 2" xfId="2219" xr:uid="{00000000-0005-0000-0000-000007010000}"/>
    <cellStyle name="40% - Accent1 5 3" xfId="907" xr:uid="{00000000-0005-0000-0000-000008010000}"/>
    <cellStyle name="40% - Accent1 5 3 2" xfId="1953" xr:uid="{00000000-0005-0000-0000-000009010000}"/>
    <cellStyle name="40% - Accent1 5 4" xfId="1687" xr:uid="{00000000-0005-0000-0000-00000A010000}"/>
    <cellStyle name="40% - Accent1 6" xfId="1017" xr:uid="{00000000-0005-0000-0000-00000B010000}"/>
    <cellStyle name="40% - Accent1 6 2" xfId="2063" xr:uid="{00000000-0005-0000-0000-00000C010000}"/>
    <cellStyle name="40% - Accent1 7" xfId="751" xr:uid="{00000000-0005-0000-0000-00000D010000}"/>
    <cellStyle name="40% - Accent1 7 2" xfId="1797" xr:uid="{00000000-0005-0000-0000-00000E010000}"/>
    <cellStyle name="40% - Accent1 8" xfId="480" xr:uid="{00000000-0005-0000-0000-00000F010000}"/>
    <cellStyle name="40% - Accent1 8 2" xfId="1531" xr:uid="{00000000-0005-0000-0000-000010010000}"/>
    <cellStyle name="40% - Accent1 9" xfId="1283" xr:uid="{00000000-0005-0000-0000-000011010000}"/>
    <cellStyle name="40% - Accent2" xfId="223" builtinId="35" customBuiltin="1"/>
    <cellStyle name="40% - Accent2 2" xfId="26" xr:uid="{00000000-0005-0000-0000-000013010000}"/>
    <cellStyle name="40% - Accent2 3" xfId="252" xr:uid="{00000000-0005-0000-0000-000014010000}"/>
    <cellStyle name="40% - Accent2 3 2" xfId="376" xr:uid="{00000000-0005-0000-0000-000015010000}"/>
    <cellStyle name="40% - Accent2 3 2 2" xfId="1161" xr:uid="{00000000-0005-0000-0000-000016010000}"/>
    <cellStyle name="40% - Accent2 3 2 2 2" xfId="2207" xr:uid="{00000000-0005-0000-0000-000017010000}"/>
    <cellStyle name="40% - Accent2 3 2 3" xfId="895" xr:uid="{00000000-0005-0000-0000-000018010000}"/>
    <cellStyle name="40% - Accent2 3 2 3 2" xfId="1941" xr:uid="{00000000-0005-0000-0000-000019010000}"/>
    <cellStyle name="40% - Accent2 3 2 4" xfId="624" xr:uid="{00000000-0005-0000-0000-00001A010000}"/>
    <cellStyle name="40% - Accent2 3 2 4 2" xfId="1675" xr:uid="{00000000-0005-0000-0000-00001B010000}"/>
    <cellStyle name="40% - Accent2 3 2 5" xfId="1427" xr:uid="{00000000-0005-0000-0000-00001C010000}"/>
    <cellStyle name="40% - Accent2 3 3" xfId="1037" xr:uid="{00000000-0005-0000-0000-00001D010000}"/>
    <cellStyle name="40% - Accent2 3 3 2" xfId="2083" xr:uid="{00000000-0005-0000-0000-00001E010000}"/>
    <cellStyle name="40% - Accent2 3 4" xfId="771" xr:uid="{00000000-0005-0000-0000-00001F010000}"/>
    <cellStyle name="40% - Accent2 3 4 2" xfId="1817" xr:uid="{00000000-0005-0000-0000-000020010000}"/>
    <cellStyle name="40% - Accent2 3 5" xfId="500" xr:uid="{00000000-0005-0000-0000-000021010000}"/>
    <cellStyle name="40% - Accent2 3 5 2" xfId="1551" xr:uid="{00000000-0005-0000-0000-000022010000}"/>
    <cellStyle name="40% - Accent2 3 6" xfId="1303" xr:uid="{00000000-0005-0000-0000-000023010000}"/>
    <cellStyle name="40% - Accent2 4" xfId="358" xr:uid="{00000000-0005-0000-0000-000024010000}"/>
    <cellStyle name="40% - Accent2 4 2" xfId="1143" xr:uid="{00000000-0005-0000-0000-000025010000}"/>
    <cellStyle name="40% - Accent2 4 2 2" xfId="2189" xr:uid="{00000000-0005-0000-0000-000026010000}"/>
    <cellStyle name="40% - Accent2 4 3" xfId="877" xr:uid="{00000000-0005-0000-0000-000027010000}"/>
    <cellStyle name="40% - Accent2 4 3 2" xfId="1923" xr:uid="{00000000-0005-0000-0000-000028010000}"/>
    <cellStyle name="40% - Accent2 4 4" xfId="606" xr:uid="{00000000-0005-0000-0000-000029010000}"/>
    <cellStyle name="40% - Accent2 4 4 2" xfId="1657" xr:uid="{00000000-0005-0000-0000-00002A010000}"/>
    <cellStyle name="40% - Accent2 4 5" xfId="1409" xr:uid="{00000000-0005-0000-0000-00002B010000}"/>
    <cellStyle name="40% - Accent2 5" xfId="638" xr:uid="{00000000-0005-0000-0000-00002C010000}"/>
    <cellStyle name="40% - Accent2 5 2" xfId="1175" xr:uid="{00000000-0005-0000-0000-00002D010000}"/>
    <cellStyle name="40% - Accent2 5 2 2" xfId="2221" xr:uid="{00000000-0005-0000-0000-00002E010000}"/>
    <cellStyle name="40% - Accent2 5 3" xfId="909" xr:uid="{00000000-0005-0000-0000-00002F010000}"/>
    <cellStyle name="40% - Accent2 5 3 2" xfId="1955" xr:uid="{00000000-0005-0000-0000-000030010000}"/>
    <cellStyle name="40% - Accent2 5 4" xfId="1689" xr:uid="{00000000-0005-0000-0000-000031010000}"/>
    <cellStyle name="40% - Accent2 6" xfId="1019" xr:uid="{00000000-0005-0000-0000-000032010000}"/>
    <cellStyle name="40% - Accent2 6 2" xfId="2065" xr:uid="{00000000-0005-0000-0000-000033010000}"/>
    <cellStyle name="40% - Accent2 7" xfId="753" xr:uid="{00000000-0005-0000-0000-000034010000}"/>
    <cellStyle name="40% - Accent2 7 2" xfId="1799" xr:uid="{00000000-0005-0000-0000-000035010000}"/>
    <cellStyle name="40% - Accent2 8" xfId="482" xr:uid="{00000000-0005-0000-0000-000036010000}"/>
    <cellStyle name="40% - Accent2 8 2" xfId="1533" xr:uid="{00000000-0005-0000-0000-000037010000}"/>
    <cellStyle name="40% - Accent2 9" xfId="1285" xr:uid="{00000000-0005-0000-0000-000038010000}"/>
    <cellStyle name="40% - Accent3" xfId="227" builtinId="39" customBuiltin="1"/>
    <cellStyle name="40% - Accent3 2" xfId="27" xr:uid="{00000000-0005-0000-0000-00003A010000}"/>
    <cellStyle name="40% - Accent3 3" xfId="254" xr:uid="{00000000-0005-0000-0000-00003B010000}"/>
    <cellStyle name="40% - Accent3 3 2" xfId="378" xr:uid="{00000000-0005-0000-0000-00003C010000}"/>
    <cellStyle name="40% - Accent3 3 2 2" xfId="1163" xr:uid="{00000000-0005-0000-0000-00003D010000}"/>
    <cellStyle name="40% - Accent3 3 2 2 2" xfId="2209" xr:uid="{00000000-0005-0000-0000-00003E010000}"/>
    <cellStyle name="40% - Accent3 3 2 3" xfId="897" xr:uid="{00000000-0005-0000-0000-00003F010000}"/>
    <cellStyle name="40% - Accent3 3 2 3 2" xfId="1943" xr:uid="{00000000-0005-0000-0000-000040010000}"/>
    <cellStyle name="40% - Accent3 3 2 4" xfId="626" xr:uid="{00000000-0005-0000-0000-000041010000}"/>
    <cellStyle name="40% - Accent3 3 2 4 2" xfId="1677" xr:uid="{00000000-0005-0000-0000-000042010000}"/>
    <cellStyle name="40% - Accent3 3 2 5" xfId="1429" xr:uid="{00000000-0005-0000-0000-000043010000}"/>
    <cellStyle name="40% - Accent3 3 3" xfId="1039" xr:uid="{00000000-0005-0000-0000-000044010000}"/>
    <cellStyle name="40% - Accent3 3 3 2" xfId="2085" xr:uid="{00000000-0005-0000-0000-000045010000}"/>
    <cellStyle name="40% - Accent3 3 4" xfId="773" xr:uid="{00000000-0005-0000-0000-000046010000}"/>
    <cellStyle name="40% - Accent3 3 4 2" xfId="1819" xr:uid="{00000000-0005-0000-0000-000047010000}"/>
    <cellStyle name="40% - Accent3 3 5" xfId="502" xr:uid="{00000000-0005-0000-0000-000048010000}"/>
    <cellStyle name="40% - Accent3 3 5 2" xfId="1553" xr:uid="{00000000-0005-0000-0000-000049010000}"/>
    <cellStyle name="40% - Accent3 3 6" xfId="1305" xr:uid="{00000000-0005-0000-0000-00004A010000}"/>
    <cellStyle name="40% - Accent3 4" xfId="360" xr:uid="{00000000-0005-0000-0000-00004B010000}"/>
    <cellStyle name="40% - Accent3 4 2" xfId="1145" xr:uid="{00000000-0005-0000-0000-00004C010000}"/>
    <cellStyle name="40% - Accent3 4 2 2" xfId="2191" xr:uid="{00000000-0005-0000-0000-00004D010000}"/>
    <cellStyle name="40% - Accent3 4 3" xfId="879" xr:uid="{00000000-0005-0000-0000-00004E010000}"/>
    <cellStyle name="40% - Accent3 4 3 2" xfId="1925" xr:uid="{00000000-0005-0000-0000-00004F010000}"/>
    <cellStyle name="40% - Accent3 4 4" xfId="608" xr:uid="{00000000-0005-0000-0000-000050010000}"/>
    <cellStyle name="40% - Accent3 4 4 2" xfId="1659" xr:uid="{00000000-0005-0000-0000-000051010000}"/>
    <cellStyle name="40% - Accent3 4 5" xfId="1411" xr:uid="{00000000-0005-0000-0000-000052010000}"/>
    <cellStyle name="40% - Accent3 5" xfId="640" xr:uid="{00000000-0005-0000-0000-000053010000}"/>
    <cellStyle name="40% - Accent3 5 2" xfId="1177" xr:uid="{00000000-0005-0000-0000-000054010000}"/>
    <cellStyle name="40% - Accent3 5 2 2" xfId="2223" xr:uid="{00000000-0005-0000-0000-000055010000}"/>
    <cellStyle name="40% - Accent3 5 3" xfId="911" xr:uid="{00000000-0005-0000-0000-000056010000}"/>
    <cellStyle name="40% - Accent3 5 3 2" xfId="1957" xr:uid="{00000000-0005-0000-0000-000057010000}"/>
    <cellStyle name="40% - Accent3 5 4" xfId="1691" xr:uid="{00000000-0005-0000-0000-000058010000}"/>
    <cellStyle name="40% - Accent3 6" xfId="1021" xr:uid="{00000000-0005-0000-0000-000059010000}"/>
    <cellStyle name="40% - Accent3 6 2" xfId="2067" xr:uid="{00000000-0005-0000-0000-00005A010000}"/>
    <cellStyle name="40% - Accent3 7" xfId="755" xr:uid="{00000000-0005-0000-0000-00005B010000}"/>
    <cellStyle name="40% - Accent3 7 2" xfId="1801" xr:uid="{00000000-0005-0000-0000-00005C010000}"/>
    <cellStyle name="40% - Accent3 8" xfId="484" xr:uid="{00000000-0005-0000-0000-00005D010000}"/>
    <cellStyle name="40% - Accent3 8 2" xfId="1535" xr:uid="{00000000-0005-0000-0000-00005E010000}"/>
    <cellStyle name="40% - Accent3 9" xfId="1287" xr:uid="{00000000-0005-0000-0000-00005F010000}"/>
    <cellStyle name="40% - Accent4" xfId="231" builtinId="43" customBuiltin="1"/>
    <cellStyle name="40% - Accent4 2" xfId="28" xr:uid="{00000000-0005-0000-0000-000061010000}"/>
    <cellStyle name="40% - Accent4 3" xfId="256" xr:uid="{00000000-0005-0000-0000-000062010000}"/>
    <cellStyle name="40% - Accent4 3 2" xfId="380" xr:uid="{00000000-0005-0000-0000-000063010000}"/>
    <cellStyle name="40% - Accent4 3 2 2" xfId="1165" xr:uid="{00000000-0005-0000-0000-000064010000}"/>
    <cellStyle name="40% - Accent4 3 2 2 2" xfId="2211" xr:uid="{00000000-0005-0000-0000-000065010000}"/>
    <cellStyle name="40% - Accent4 3 2 3" xfId="899" xr:uid="{00000000-0005-0000-0000-000066010000}"/>
    <cellStyle name="40% - Accent4 3 2 3 2" xfId="1945" xr:uid="{00000000-0005-0000-0000-000067010000}"/>
    <cellStyle name="40% - Accent4 3 2 4" xfId="628" xr:uid="{00000000-0005-0000-0000-000068010000}"/>
    <cellStyle name="40% - Accent4 3 2 4 2" xfId="1679" xr:uid="{00000000-0005-0000-0000-000069010000}"/>
    <cellStyle name="40% - Accent4 3 2 5" xfId="1431" xr:uid="{00000000-0005-0000-0000-00006A010000}"/>
    <cellStyle name="40% - Accent4 3 3" xfId="1041" xr:uid="{00000000-0005-0000-0000-00006B010000}"/>
    <cellStyle name="40% - Accent4 3 3 2" xfId="2087" xr:uid="{00000000-0005-0000-0000-00006C010000}"/>
    <cellStyle name="40% - Accent4 3 4" xfId="775" xr:uid="{00000000-0005-0000-0000-00006D010000}"/>
    <cellStyle name="40% - Accent4 3 4 2" xfId="1821" xr:uid="{00000000-0005-0000-0000-00006E010000}"/>
    <cellStyle name="40% - Accent4 3 5" xfId="504" xr:uid="{00000000-0005-0000-0000-00006F010000}"/>
    <cellStyle name="40% - Accent4 3 5 2" xfId="1555" xr:uid="{00000000-0005-0000-0000-000070010000}"/>
    <cellStyle name="40% - Accent4 3 6" xfId="1307" xr:uid="{00000000-0005-0000-0000-000071010000}"/>
    <cellStyle name="40% - Accent4 4" xfId="362" xr:uid="{00000000-0005-0000-0000-000072010000}"/>
    <cellStyle name="40% - Accent4 4 2" xfId="1147" xr:uid="{00000000-0005-0000-0000-000073010000}"/>
    <cellStyle name="40% - Accent4 4 2 2" xfId="2193" xr:uid="{00000000-0005-0000-0000-000074010000}"/>
    <cellStyle name="40% - Accent4 4 3" xfId="881" xr:uid="{00000000-0005-0000-0000-000075010000}"/>
    <cellStyle name="40% - Accent4 4 3 2" xfId="1927" xr:uid="{00000000-0005-0000-0000-000076010000}"/>
    <cellStyle name="40% - Accent4 4 4" xfId="610" xr:uid="{00000000-0005-0000-0000-000077010000}"/>
    <cellStyle name="40% - Accent4 4 4 2" xfId="1661" xr:uid="{00000000-0005-0000-0000-000078010000}"/>
    <cellStyle name="40% - Accent4 4 5" xfId="1413" xr:uid="{00000000-0005-0000-0000-000079010000}"/>
    <cellStyle name="40% - Accent4 5" xfId="642" xr:uid="{00000000-0005-0000-0000-00007A010000}"/>
    <cellStyle name="40% - Accent4 5 2" xfId="1179" xr:uid="{00000000-0005-0000-0000-00007B010000}"/>
    <cellStyle name="40% - Accent4 5 2 2" xfId="2225" xr:uid="{00000000-0005-0000-0000-00007C010000}"/>
    <cellStyle name="40% - Accent4 5 3" xfId="913" xr:uid="{00000000-0005-0000-0000-00007D010000}"/>
    <cellStyle name="40% - Accent4 5 3 2" xfId="1959" xr:uid="{00000000-0005-0000-0000-00007E010000}"/>
    <cellStyle name="40% - Accent4 5 4" xfId="1693" xr:uid="{00000000-0005-0000-0000-00007F010000}"/>
    <cellStyle name="40% - Accent4 6" xfId="1023" xr:uid="{00000000-0005-0000-0000-000080010000}"/>
    <cellStyle name="40% - Accent4 6 2" xfId="2069" xr:uid="{00000000-0005-0000-0000-000081010000}"/>
    <cellStyle name="40% - Accent4 7" xfId="757" xr:uid="{00000000-0005-0000-0000-000082010000}"/>
    <cellStyle name="40% - Accent4 7 2" xfId="1803" xr:uid="{00000000-0005-0000-0000-000083010000}"/>
    <cellStyle name="40% - Accent4 8" xfId="486" xr:uid="{00000000-0005-0000-0000-000084010000}"/>
    <cellStyle name="40% - Accent4 8 2" xfId="1537" xr:uid="{00000000-0005-0000-0000-000085010000}"/>
    <cellStyle name="40% - Accent4 9" xfId="1289" xr:uid="{00000000-0005-0000-0000-000086010000}"/>
    <cellStyle name="40% - Accent5" xfId="235" builtinId="47" customBuiltin="1"/>
    <cellStyle name="40% - Accent5 2" xfId="29" xr:uid="{00000000-0005-0000-0000-000088010000}"/>
    <cellStyle name="40% - Accent5 3" xfId="258" xr:uid="{00000000-0005-0000-0000-000089010000}"/>
    <cellStyle name="40% - Accent5 3 2" xfId="382" xr:uid="{00000000-0005-0000-0000-00008A010000}"/>
    <cellStyle name="40% - Accent5 3 2 2" xfId="1167" xr:uid="{00000000-0005-0000-0000-00008B010000}"/>
    <cellStyle name="40% - Accent5 3 2 2 2" xfId="2213" xr:uid="{00000000-0005-0000-0000-00008C010000}"/>
    <cellStyle name="40% - Accent5 3 2 3" xfId="901" xr:uid="{00000000-0005-0000-0000-00008D010000}"/>
    <cellStyle name="40% - Accent5 3 2 3 2" xfId="1947" xr:uid="{00000000-0005-0000-0000-00008E010000}"/>
    <cellStyle name="40% - Accent5 3 2 4" xfId="630" xr:uid="{00000000-0005-0000-0000-00008F010000}"/>
    <cellStyle name="40% - Accent5 3 2 4 2" xfId="1681" xr:uid="{00000000-0005-0000-0000-000090010000}"/>
    <cellStyle name="40% - Accent5 3 2 5" xfId="1433" xr:uid="{00000000-0005-0000-0000-000091010000}"/>
    <cellStyle name="40% - Accent5 3 3" xfId="1043" xr:uid="{00000000-0005-0000-0000-000092010000}"/>
    <cellStyle name="40% - Accent5 3 3 2" xfId="2089" xr:uid="{00000000-0005-0000-0000-000093010000}"/>
    <cellStyle name="40% - Accent5 3 4" xfId="777" xr:uid="{00000000-0005-0000-0000-000094010000}"/>
    <cellStyle name="40% - Accent5 3 4 2" xfId="1823" xr:uid="{00000000-0005-0000-0000-000095010000}"/>
    <cellStyle name="40% - Accent5 3 5" xfId="506" xr:uid="{00000000-0005-0000-0000-000096010000}"/>
    <cellStyle name="40% - Accent5 3 5 2" xfId="1557" xr:uid="{00000000-0005-0000-0000-000097010000}"/>
    <cellStyle name="40% - Accent5 3 6" xfId="1309" xr:uid="{00000000-0005-0000-0000-000098010000}"/>
    <cellStyle name="40% - Accent5 4" xfId="364" xr:uid="{00000000-0005-0000-0000-000099010000}"/>
    <cellStyle name="40% - Accent5 4 2" xfId="1149" xr:uid="{00000000-0005-0000-0000-00009A010000}"/>
    <cellStyle name="40% - Accent5 4 2 2" xfId="2195" xr:uid="{00000000-0005-0000-0000-00009B010000}"/>
    <cellStyle name="40% - Accent5 4 3" xfId="883" xr:uid="{00000000-0005-0000-0000-00009C010000}"/>
    <cellStyle name="40% - Accent5 4 3 2" xfId="1929" xr:uid="{00000000-0005-0000-0000-00009D010000}"/>
    <cellStyle name="40% - Accent5 4 4" xfId="612" xr:uid="{00000000-0005-0000-0000-00009E010000}"/>
    <cellStyle name="40% - Accent5 4 4 2" xfId="1663" xr:uid="{00000000-0005-0000-0000-00009F010000}"/>
    <cellStyle name="40% - Accent5 4 5" xfId="1415" xr:uid="{00000000-0005-0000-0000-0000A0010000}"/>
    <cellStyle name="40% - Accent5 5" xfId="644" xr:uid="{00000000-0005-0000-0000-0000A1010000}"/>
    <cellStyle name="40% - Accent5 5 2" xfId="1181" xr:uid="{00000000-0005-0000-0000-0000A2010000}"/>
    <cellStyle name="40% - Accent5 5 2 2" xfId="2227" xr:uid="{00000000-0005-0000-0000-0000A3010000}"/>
    <cellStyle name="40% - Accent5 5 3" xfId="915" xr:uid="{00000000-0005-0000-0000-0000A4010000}"/>
    <cellStyle name="40% - Accent5 5 3 2" xfId="1961" xr:uid="{00000000-0005-0000-0000-0000A5010000}"/>
    <cellStyle name="40% - Accent5 5 4" xfId="1695" xr:uid="{00000000-0005-0000-0000-0000A6010000}"/>
    <cellStyle name="40% - Accent5 6" xfId="1025" xr:uid="{00000000-0005-0000-0000-0000A7010000}"/>
    <cellStyle name="40% - Accent5 6 2" xfId="2071" xr:uid="{00000000-0005-0000-0000-0000A8010000}"/>
    <cellStyle name="40% - Accent5 7" xfId="759" xr:uid="{00000000-0005-0000-0000-0000A9010000}"/>
    <cellStyle name="40% - Accent5 7 2" xfId="1805" xr:uid="{00000000-0005-0000-0000-0000AA010000}"/>
    <cellStyle name="40% - Accent5 8" xfId="488" xr:uid="{00000000-0005-0000-0000-0000AB010000}"/>
    <cellStyle name="40% - Accent5 8 2" xfId="1539" xr:uid="{00000000-0005-0000-0000-0000AC010000}"/>
    <cellStyle name="40% - Accent5 9" xfId="1291" xr:uid="{00000000-0005-0000-0000-0000AD010000}"/>
    <cellStyle name="40% - Accent6" xfId="239" builtinId="51" customBuiltin="1"/>
    <cellStyle name="40% - Accent6 2" xfId="30" xr:uid="{00000000-0005-0000-0000-0000AF010000}"/>
    <cellStyle name="40% - Accent6 3" xfId="260" xr:uid="{00000000-0005-0000-0000-0000B0010000}"/>
    <cellStyle name="40% - Accent6 3 2" xfId="384" xr:uid="{00000000-0005-0000-0000-0000B1010000}"/>
    <cellStyle name="40% - Accent6 3 2 2" xfId="1169" xr:uid="{00000000-0005-0000-0000-0000B2010000}"/>
    <cellStyle name="40% - Accent6 3 2 2 2" xfId="2215" xr:uid="{00000000-0005-0000-0000-0000B3010000}"/>
    <cellStyle name="40% - Accent6 3 2 3" xfId="903" xr:uid="{00000000-0005-0000-0000-0000B4010000}"/>
    <cellStyle name="40% - Accent6 3 2 3 2" xfId="1949" xr:uid="{00000000-0005-0000-0000-0000B5010000}"/>
    <cellStyle name="40% - Accent6 3 2 4" xfId="632" xr:uid="{00000000-0005-0000-0000-0000B6010000}"/>
    <cellStyle name="40% - Accent6 3 2 4 2" xfId="1683" xr:uid="{00000000-0005-0000-0000-0000B7010000}"/>
    <cellStyle name="40% - Accent6 3 2 5" xfId="1435" xr:uid="{00000000-0005-0000-0000-0000B8010000}"/>
    <cellStyle name="40% - Accent6 3 3" xfId="1045" xr:uid="{00000000-0005-0000-0000-0000B9010000}"/>
    <cellStyle name="40% - Accent6 3 3 2" xfId="2091" xr:uid="{00000000-0005-0000-0000-0000BA010000}"/>
    <cellStyle name="40% - Accent6 3 4" xfId="779" xr:uid="{00000000-0005-0000-0000-0000BB010000}"/>
    <cellStyle name="40% - Accent6 3 4 2" xfId="1825" xr:uid="{00000000-0005-0000-0000-0000BC010000}"/>
    <cellStyle name="40% - Accent6 3 5" xfId="508" xr:uid="{00000000-0005-0000-0000-0000BD010000}"/>
    <cellStyle name="40% - Accent6 3 5 2" xfId="1559" xr:uid="{00000000-0005-0000-0000-0000BE010000}"/>
    <cellStyle name="40% - Accent6 3 6" xfId="1311" xr:uid="{00000000-0005-0000-0000-0000BF010000}"/>
    <cellStyle name="40% - Accent6 4" xfId="366" xr:uid="{00000000-0005-0000-0000-0000C0010000}"/>
    <cellStyle name="40% - Accent6 4 2" xfId="1151" xr:uid="{00000000-0005-0000-0000-0000C1010000}"/>
    <cellStyle name="40% - Accent6 4 2 2" xfId="2197" xr:uid="{00000000-0005-0000-0000-0000C2010000}"/>
    <cellStyle name="40% - Accent6 4 3" xfId="885" xr:uid="{00000000-0005-0000-0000-0000C3010000}"/>
    <cellStyle name="40% - Accent6 4 3 2" xfId="1931" xr:uid="{00000000-0005-0000-0000-0000C4010000}"/>
    <cellStyle name="40% - Accent6 4 4" xfId="614" xr:uid="{00000000-0005-0000-0000-0000C5010000}"/>
    <cellStyle name="40% - Accent6 4 4 2" xfId="1665" xr:uid="{00000000-0005-0000-0000-0000C6010000}"/>
    <cellStyle name="40% - Accent6 4 5" xfId="1417" xr:uid="{00000000-0005-0000-0000-0000C7010000}"/>
    <cellStyle name="40% - Accent6 5" xfId="646" xr:uid="{00000000-0005-0000-0000-0000C8010000}"/>
    <cellStyle name="40% - Accent6 5 2" xfId="1183" xr:uid="{00000000-0005-0000-0000-0000C9010000}"/>
    <cellStyle name="40% - Accent6 5 2 2" xfId="2229" xr:uid="{00000000-0005-0000-0000-0000CA010000}"/>
    <cellStyle name="40% - Accent6 5 3" xfId="917" xr:uid="{00000000-0005-0000-0000-0000CB010000}"/>
    <cellStyle name="40% - Accent6 5 3 2" xfId="1963" xr:uid="{00000000-0005-0000-0000-0000CC010000}"/>
    <cellStyle name="40% - Accent6 5 4" xfId="1697" xr:uid="{00000000-0005-0000-0000-0000CD010000}"/>
    <cellStyle name="40% - Accent6 6" xfId="1027" xr:uid="{00000000-0005-0000-0000-0000CE010000}"/>
    <cellStyle name="40% - Accent6 6 2" xfId="2073" xr:uid="{00000000-0005-0000-0000-0000CF010000}"/>
    <cellStyle name="40% - Accent6 7" xfId="761" xr:uid="{00000000-0005-0000-0000-0000D0010000}"/>
    <cellStyle name="40% - Accent6 7 2" xfId="1807" xr:uid="{00000000-0005-0000-0000-0000D1010000}"/>
    <cellStyle name="40% - Accent6 8" xfId="490" xr:uid="{00000000-0005-0000-0000-0000D2010000}"/>
    <cellStyle name="40% - Accent6 8 2" xfId="1541" xr:uid="{00000000-0005-0000-0000-0000D3010000}"/>
    <cellStyle name="40% - Accent6 9" xfId="1293" xr:uid="{00000000-0005-0000-0000-0000D4010000}"/>
    <cellStyle name="60% - Accent1" xfId="220" builtinId="32" customBuiltin="1"/>
    <cellStyle name="60% - Accent1 2" xfId="31" xr:uid="{00000000-0005-0000-0000-0000D6010000}"/>
    <cellStyle name="60% - Accent2" xfId="224" builtinId="36" customBuiltin="1"/>
    <cellStyle name="60% - Accent2 2" xfId="32" xr:uid="{00000000-0005-0000-0000-0000D8010000}"/>
    <cellStyle name="60% - Accent3" xfId="228" builtinId="40" customBuiltin="1"/>
    <cellStyle name="60% - Accent3 2" xfId="33" xr:uid="{00000000-0005-0000-0000-0000DA010000}"/>
    <cellStyle name="60% - Accent4" xfId="232" builtinId="44" customBuiltin="1"/>
    <cellStyle name="60% - Accent4 2" xfId="34" xr:uid="{00000000-0005-0000-0000-0000DC010000}"/>
    <cellStyle name="60% - Accent5" xfId="236" builtinId="48" customBuiltin="1"/>
    <cellStyle name="60% - Accent5 2" xfId="35" xr:uid="{00000000-0005-0000-0000-0000DE010000}"/>
    <cellStyle name="60% - Accent6" xfId="240" builtinId="52" customBuiltin="1"/>
    <cellStyle name="60% - Accent6 2" xfId="36" xr:uid="{00000000-0005-0000-0000-0000E0010000}"/>
    <cellStyle name="Accent1" xfId="217" builtinId="29" customBuiltin="1"/>
    <cellStyle name="Accent1 2" xfId="37" xr:uid="{00000000-0005-0000-0000-0000E2010000}"/>
    <cellStyle name="Accent2" xfId="221" builtinId="33" customBuiltin="1"/>
    <cellStyle name="Accent2 2" xfId="38" xr:uid="{00000000-0005-0000-0000-0000E4010000}"/>
    <cellStyle name="Accent3" xfId="225" builtinId="37" customBuiltin="1"/>
    <cellStyle name="Accent3 2" xfId="39" xr:uid="{00000000-0005-0000-0000-0000E6010000}"/>
    <cellStyle name="Accent4" xfId="229" builtinId="41" customBuiltin="1"/>
    <cellStyle name="Accent4 2" xfId="40" xr:uid="{00000000-0005-0000-0000-0000E8010000}"/>
    <cellStyle name="Accent5" xfId="233" builtinId="45" customBuiltin="1"/>
    <cellStyle name="Accent5 2" xfId="41" xr:uid="{00000000-0005-0000-0000-0000EA010000}"/>
    <cellStyle name="Accent6" xfId="237" builtinId="49" customBuiltin="1"/>
    <cellStyle name="Accent6 2" xfId="42" xr:uid="{00000000-0005-0000-0000-0000EC010000}"/>
    <cellStyle name="Bad" xfId="207" builtinId="27" customBuiltin="1"/>
    <cellStyle name="Bad 2" xfId="43" xr:uid="{00000000-0005-0000-0000-0000EE010000}"/>
    <cellStyle name="Calculation" xfId="211" builtinId="22" customBuiltin="1"/>
    <cellStyle name="Calculation 2" xfId="44" xr:uid="{00000000-0005-0000-0000-0000F0010000}"/>
    <cellStyle name="Check Cell" xfId="213" builtinId="23" customBuiltin="1"/>
    <cellStyle name="Check Cell 2" xfId="45" xr:uid="{00000000-0005-0000-0000-0000F2010000}"/>
    <cellStyle name="Comma" xfId="132" builtinId="3"/>
    <cellStyle name="Comma 10" xfId="647" xr:uid="{00000000-0005-0000-0000-0000F4010000}"/>
    <cellStyle name="Comma 10 2" xfId="1184" xr:uid="{00000000-0005-0000-0000-0000F5010000}"/>
    <cellStyle name="Comma 10 2 2" xfId="2230" xr:uid="{00000000-0005-0000-0000-0000F6010000}"/>
    <cellStyle name="Comma 10 3" xfId="918" xr:uid="{00000000-0005-0000-0000-0000F7010000}"/>
    <cellStyle name="Comma 10 3 2" xfId="1964" xr:uid="{00000000-0005-0000-0000-0000F8010000}"/>
    <cellStyle name="Comma 10 4" xfId="1698" xr:uid="{00000000-0005-0000-0000-0000F9010000}"/>
    <cellStyle name="Comma 2" xfId="1" xr:uid="{00000000-0005-0000-0000-0000FA010000}"/>
    <cellStyle name="Comma 2 2" xfId="46" xr:uid="{00000000-0005-0000-0000-0000FB010000}"/>
    <cellStyle name="Comma 2 3" xfId="47" xr:uid="{00000000-0005-0000-0000-0000FC010000}"/>
    <cellStyle name="Comma 2 4" xfId="48" xr:uid="{00000000-0005-0000-0000-0000FD010000}"/>
    <cellStyle name="Comma 3" xfId="2" xr:uid="{00000000-0005-0000-0000-0000FE010000}"/>
    <cellStyle name="Comma 3 2" xfId="49" xr:uid="{00000000-0005-0000-0000-0000FF010000}"/>
    <cellStyle name="Comma 3 3" xfId="50" xr:uid="{00000000-0005-0000-0000-000000020000}"/>
    <cellStyle name="Comma 4" xfId="51" xr:uid="{00000000-0005-0000-0000-000001020000}"/>
    <cellStyle name="Comma 4 2" xfId="135" xr:uid="{00000000-0005-0000-0000-000002020000}"/>
    <cellStyle name="Comma 4 2 2" xfId="189" xr:uid="{00000000-0005-0000-0000-000003020000}"/>
    <cellStyle name="Comma 4 2 2 2" xfId="343" xr:uid="{00000000-0005-0000-0000-000004020000}"/>
    <cellStyle name="Comma 4 2 2 2 2" xfId="1128" xr:uid="{00000000-0005-0000-0000-000005020000}"/>
    <cellStyle name="Comma 4 2 2 2 2 2" xfId="2174" xr:uid="{00000000-0005-0000-0000-000006020000}"/>
    <cellStyle name="Comma 4 2 2 2 3" xfId="862" xr:uid="{00000000-0005-0000-0000-000007020000}"/>
    <cellStyle name="Comma 4 2 2 2 3 2" xfId="1908" xr:uid="{00000000-0005-0000-0000-000008020000}"/>
    <cellStyle name="Comma 4 2 2 2 4" xfId="591" xr:uid="{00000000-0005-0000-0000-000009020000}"/>
    <cellStyle name="Comma 4 2 2 2 4 2" xfId="1642" xr:uid="{00000000-0005-0000-0000-00000A020000}"/>
    <cellStyle name="Comma 4 2 2 2 5" xfId="1394" xr:uid="{00000000-0005-0000-0000-00000B020000}"/>
    <cellStyle name="Comma 4 2 2 3" xfId="1004" xr:uid="{00000000-0005-0000-0000-00000C020000}"/>
    <cellStyle name="Comma 4 2 2 3 2" xfId="2050" xr:uid="{00000000-0005-0000-0000-00000D020000}"/>
    <cellStyle name="Comma 4 2 2 4" xfId="738" xr:uid="{00000000-0005-0000-0000-00000E020000}"/>
    <cellStyle name="Comma 4 2 2 4 2" xfId="1784" xr:uid="{00000000-0005-0000-0000-00000F020000}"/>
    <cellStyle name="Comma 4 2 2 5" xfId="467" xr:uid="{00000000-0005-0000-0000-000010020000}"/>
    <cellStyle name="Comma 4 2 2 5 2" xfId="1518" xr:uid="{00000000-0005-0000-0000-000011020000}"/>
    <cellStyle name="Comma 4 2 2 6" xfId="1270" xr:uid="{00000000-0005-0000-0000-000012020000}"/>
    <cellStyle name="Comma 4 2 3" xfId="296" xr:uid="{00000000-0005-0000-0000-000013020000}"/>
    <cellStyle name="Comma 4 2 3 2" xfId="1081" xr:uid="{00000000-0005-0000-0000-000014020000}"/>
    <cellStyle name="Comma 4 2 3 2 2" xfId="2127" xr:uid="{00000000-0005-0000-0000-000015020000}"/>
    <cellStyle name="Comma 4 2 3 3" xfId="815" xr:uid="{00000000-0005-0000-0000-000016020000}"/>
    <cellStyle name="Comma 4 2 3 3 2" xfId="1861" xr:uid="{00000000-0005-0000-0000-000017020000}"/>
    <cellStyle name="Comma 4 2 3 4" xfId="544" xr:uid="{00000000-0005-0000-0000-000018020000}"/>
    <cellStyle name="Comma 4 2 3 4 2" xfId="1595" xr:uid="{00000000-0005-0000-0000-000019020000}"/>
    <cellStyle name="Comma 4 2 3 5" xfId="1347" xr:uid="{00000000-0005-0000-0000-00001A020000}"/>
    <cellStyle name="Comma 4 2 4" xfId="957" xr:uid="{00000000-0005-0000-0000-00001B020000}"/>
    <cellStyle name="Comma 4 2 4 2" xfId="2003" xr:uid="{00000000-0005-0000-0000-00001C020000}"/>
    <cellStyle name="Comma 4 2 5" xfId="691" xr:uid="{00000000-0005-0000-0000-00001D020000}"/>
    <cellStyle name="Comma 4 2 5 2" xfId="1737" xr:uid="{00000000-0005-0000-0000-00001E020000}"/>
    <cellStyle name="Comma 4 2 6" xfId="420" xr:uid="{00000000-0005-0000-0000-00001F020000}"/>
    <cellStyle name="Comma 4 2 6 2" xfId="1471" xr:uid="{00000000-0005-0000-0000-000020020000}"/>
    <cellStyle name="Comma 4 2 7" xfId="1223" xr:uid="{00000000-0005-0000-0000-000021020000}"/>
    <cellStyle name="Comma 4 3" xfId="159" xr:uid="{00000000-0005-0000-0000-000022020000}"/>
    <cellStyle name="Comma 4 3 2" xfId="313" xr:uid="{00000000-0005-0000-0000-000023020000}"/>
    <cellStyle name="Comma 4 3 2 2" xfId="1098" xr:uid="{00000000-0005-0000-0000-000024020000}"/>
    <cellStyle name="Comma 4 3 2 2 2" xfId="2144" xr:uid="{00000000-0005-0000-0000-000025020000}"/>
    <cellStyle name="Comma 4 3 2 3" xfId="832" xr:uid="{00000000-0005-0000-0000-000026020000}"/>
    <cellStyle name="Comma 4 3 2 3 2" xfId="1878" xr:uid="{00000000-0005-0000-0000-000027020000}"/>
    <cellStyle name="Comma 4 3 2 4" xfId="561" xr:uid="{00000000-0005-0000-0000-000028020000}"/>
    <cellStyle name="Comma 4 3 2 4 2" xfId="1612" xr:uid="{00000000-0005-0000-0000-000029020000}"/>
    <cellStyle name="Comma 4 3 2 5" xfId="1364" xr:uid="{00000000-0005-0000-0000-00002A020000}"/>
    <cellStyle name="Comma 4 3 3" xfId="974" xr:uid="{00000000-0005-0000-0000-00002B020000}"/>
    <cellStyle name="Comma 4 3 3 2" xfId="2020" xr:uid="{00000000-0005-0000-0000-00002C020000}"/>
    <cellStyle name="Comma 4 3 4" xfId="708" xr:uid="{00000000-0005-0000-0000-00002D020000}"/>
    <cellStyle name="Comma 4 3 4 2" xfId="1754" xr:uid="{00000000-0005-0000-0000-00002E020000}"/>
    <cellStyle name="Comma 4 3 5" xfId="437" xr:uid="{00000000-0005-0000-0000-00002F020000}"/>
    <cellStyle name="Comma 4 3 5 2" xfId="1488" xr:uid="{00000000-0005-0000-0000-000030020000}"/>
    <cellStyle name="Comma 4 3 6" xfId="1240" xr:uid="{00000000-0005-0000-0000-000031020000}"/>
    <cellStyle name="Comma 4 4" xfId="266" xr:uid="{00000000-0005-0000-0000-000032020000}"/>
    <cellStyle name="Comma 4 4 2" xfId="1051" xr:uid="{00000000-0005-0000-0000-000033020000}"/>
    <cellStyle name="Comma 4 4 2 2" xfId="2097" xr:uid="{00000000-0005-0000-0000-000034020000}"/>
    <cellStyle name="Comma 4 4 3" xfId="785" xr:uid="{00000000-0005-0000-0000-000035020000}"/>
    <cellStyle name="Comma 4 4 3 2" xfId="1831" xr:uid="{00000000-0005-0000-0000-000036020000}"/>
    <cellStyle name="Comma 4 4 4" xfId="514" xr:uid="{00000000-0005-0000-0000-000037020000}"/>
    <cellStyle name="Comma 4 4 4 2" xfId="1565" xr:uid="{00000000-0005-0000-0000-000038020000}"/>
    <cellStyle name="Comma 4 4 5" xfId="1317" xr:uid="{00000000-0005-0000-0000-000039020000}"/>
    <cellStyle name="Comma 4 5" xfId="927" xr:uid="{00000000-0005-0000-0000-00003A020000}"/>
    <cellStyle name="Comma 4 5 2" xfId="1973" xr:uid="{00000000-0005-0000-0000-00003B020000}"/>
    <cellStyle name="Comma 4 6" xfId="661" xr:uid="{00000000-0005-0000-0000-00003C020000}"/>
    <cellStyle name="Comma 4 6 2" xfId="1707" xr:uid="{00000000-0005-0000-0000-00003D020000}"/>
    <cellStyle name="Comma 4 7" xfId="390" xr:uid="{00000000-0005-0000-0000-00003E020000}"/>
    <cellStyle name="Comma 4 7 2" xfId="1441" xr:uid="{00000000-0005-0000-0000-00003F020000}"/>
    <cellStyle name="Comma 4 8" xfId="1193" xr:uid="{00000000-0005-0000-0000-000040020000}"/>
    <cellStyle name="Comma 5" xfId="52" xr:uid="{00000000-0005-0000-0000-000041020000}"/>
    <cellStyle name="Comma 6" xfId="53" xr:uid="{00000000-0005-0000-0000-000042020000}"/>
    <cellStyle name="Comma 6 2" xfId="160" xr:uid="{00000000-0005-0000-0000-000043020000}"/>
    <cellStyle name="Comma 6 2 2" xfId="314" xr:uid="{00000000-0005-0000-0000-000044020000}"/>
    <cellStyle name="Comma 6 2 2 2" xfId="1099" xr:uid="{00000000-0005-0000-0000-000045020000}"/>
    <cellStyle name="Comma 6 2 2 2 2" xfId="2145" xr:uid="{00000000-0005-0000-0000-000046020000}"/>
    <cellStyle name="Comma 6 2 2 3" xfId="833" xr:uid="{00000000-0005-0000-0000-000047020000}"/>
    <cellStyle name="Comma 6 2 2 3 2" xfId="1879" xr:uid="{00000000-0005-0000-0000-000048020000}"/>
    <cellStyle name="Comma 6 2 2 4" xfId="562" xr:uid="{00000000-0005-0000-0000-000049020000}"/>
    <cellStyle name="Comma 6 2 2 4 2" xfId="1613" xr:uid="{00000000-0005-0000-0000-00004A020000}"/>
    <cellStyle name="Comma 6 2 2 5" xfId="1365" xr:uid="{00000000-0005-0000-0000-00004B020000}"/>
    <cellStyle name="Comma 6 2 3" xfId="975" xr:uid="{00000000-0005-0000-0000-00004C020000}"/>
    <cellStyle name="Comma 6 2 3 2" xfId="2021" xr:uid="{00000000-0005-0000-0000-00004D020000}"/>
    <cellStyle name="Comma 6 2 4" xfId="709" xr:uid="{00000000-0005-0000-0000-00004E020000}"/>
    <cellStyle name="Comma 6 2 4 2" xfId="1755" xr:uid="{00000000-0005-0000-0000-00004F020000}"/>
    <cellStyle name="Comma 6 2 5" xfId="438" xr:uid="{00000000-0005-0000-0000-000050020000}"/>
    <cellStyle name="Comma 6 2 5 2" xfId="1489" xr:uid="{00000000-0005-0000-0000-000051020000}"/>
    <cellStyle name="Comma 6 2 6" xfId="1241" xr:uid="{00000000-0005-0000-0000-000052020000}"/>
    <cellStyle name="Comma 6 3" xfId="267" xr:uid="{00000000-0005-0000-0000-000053020000}"/>
    <cellStyle name="Comma 6 3 2" xfId="1052" xr:uid="{00000000-0005-0000-0000-000054020000}"/>
    <cellStyle name="Comma 6 3 2 2" xfId="2098" xr:uid="{00000000-0005-0000-0000-000055020000}"/>
    <cellStyle name="Comma 6 3 3" xfId="786" xr:uid="{00000000-0005-0000-0000-000056020000}"/>
    <cellStyle name="Comma 6 3 3 2" xfId="1832" xr:uid="{00000000-0005-0000-0000-000057020000}"/>
    <cellStyle name="Comma 6 3 4" xfId="515" xr:uid="{00000000-0005-0000-0000-000058020000}"/>
    <cellStyle name="Comma 6 3 4 2" xfId="1566" xr:uid="{00000000-0005-0000-0000-000059020000}"/>
    <cellStyle name="Comma 6 3 5" xfId="1318" xr:uid="{00000000-0005-0000-0000-00005A020000}"/>
    <cellStyle name="Comma 6 4" xfId="928" xr:uid="{00000000-0005-0000-0000-00005B020000}"/>
    <cellStyle name="Comma 6 4 2" xfId="1974" xr:uid="{00000000-0005-0000-0000-00005C020000}"/>
    <cellStyle name="Comma 6 5" xfId="662" xr:uid="{00000000-0005-0000-0000-00005D020000}"/>
    <cellStyle name="Comma 6 5 2" xfId="1708" xr:uid="{00000000-0005-0000-0000-00005E020000}"/>
    <cellStyle name="Comma 6 6" xfId="391" xr:uid="{00000000-0005-0000-0000-00005F020000}"/>
    <cellStyle name="Comma 6 6 2" xfId="1442" xr:uid="{00000000-0005-0000-0000-000060020000}"/>
    <cellStyle name="Comma 6 7" xfId="1194" xr:uid="{00000000-0005-0000-0000-000061020000}"/>
    <cellStyle name="Comma 7" xfId="54" xr:uid="{00000000-0005-0000-0000-000062020000}"/>
    <cellStyle name="Comma 8" xfId="55" xr:uid="{00000000-0005-0000-0000-000063020000}"/>
    <cellStyle name="Comma 8 2" xfId="161" xr:uid="{00000000-0005-0000-0000-000064020000}"/>
    <cellStyle name="Comma 8 2 2" xfId="315" xr:uid="{00000000-0005-0000-0000-000065020000}"/>
    <cellStyle name="Comma 8 2 2 2" xfId="1100" xr:uid="{00000000-0005-0000-0000-000066020000}"/>
    <cellStyle name="Comma 8 2 2 2 2" xfId="2146" xr:uid="{00000000-0005-0000-0000-000067020000}"/>
    <cellStyle name="Comma 8 2 2 3" xfId="834" xr:uid="{00000000-0005-0000-0000-000068020000}"/>
    <cellStyle name="Comma 8 2 2 3 2" xfId="1880" xr:uid="{00000000-0005-0000-0000-000069020000}"/>
    <cellStyle name="Comma 8 2 2 4" xfId="563" xr:uid="{00000000-0005-0000-0000-00006A020000}"/>
    <cellStyle name="Comma 8 2 2 4 2" xfId="1614" xr:uid="{00000000-0005-0000-0000-00006B020000}"/>
    <cellStyle name="Comma 8 2 2 5" xfId="1366" xr:uid="{00000000-0005-0000-0000-00006C020000}"/>
    <cellStyle name="Comma 8 2 3" xfId="976" xr:uid="{00000000-0005-0000-0000-00006D020000}"/>
    <cellStyle name="Comma 8 2 3 2" xfId="2022" xr:uid="{00000000-0005-0000-0000-00006E020000}"/>
    <cellStyle name="Comma 8 2 4" xfId="710" xr:uid="{00000000-0005-0000-0000-00006F020000}"/>
    <cellStyle name="Comma 8 2 4 2" xfId="1756" xr:uid="{00000000-0005-0000-0000-000070020000}"/>
    <cellStyle name="Comma 8 2 5" xfId="439" xr:uid="{00000000-0005-0000-0000-000071020000}"/>
    <cellStyle name="Comma 8 2 5 2" xfId="1490" xr:uid="{00000000-0005-0000-0000-000072020000}"/>
    <cellStyle name="Comma 8 2 6" xfId="1242" xr:uid="{00000000-0005-0000-0000-000073020000}"/>
    <cellStyle name="Comma 8 3" xfId="268" xr:uid="{00000000-0005-0000-0000-000074020000}"/>
    <cellStyle name="Comma 8 3 2" xfId="1053" xr:uid="{00000000-0005-0000-0000-000075020000}"/>
    <cellStyle name="Comma 8 3 2 2" xfId="2099" xr:uid="{00000000-0005-0000-0000-000076020000}"/>
    <cellStyle name="Comma 8 3 3" xfId="787" xr:uid="{00000000-0005-0000-0000-000077020000}"/>
    <cellStyle name="Comma 8 3 3 2" xfId="1833" xr:uid="{00000000-0005-0000-0000-000078020000}"/>
    <cellStyle name="Comma 8 3 4" xfId="516" xr:uid="{00000000-0005-0000-0000-000079020000}"/>
    <cellStyle name="Comma 8 3 4 2" xfId="1567" xr:uid="{00000000-0005-0000-0000-00007A020000}"/>
    <cellStyle name="Comma 8 3 5" xfId="1319" xr:uid="{00000000-0005-0000-0000-00007B020000}"/>
    <cellStyle name="Comma 8 4" xfId="929" xr:uid="{00000000-0005-0000-0000-00007C020000}"/>
    <cellStyle name="Comma 8 4 2" xfId="1975" xr:uid="{00000000-0005-0000-0000-00007D020000}"/>
    <cellStyle name="Comma 8 5" xfId="663" xr:uid="{00000000-0005-0000-0000-00007E020000}"/>
    <cellStyle name="Comma 8 5 2" xfId="1709" xr:uid="{00000000-0005-0000-0000-00007F020000}"/>
    <cellStyle name="Comma 8 6" xfId="392" xr:uid="{00000000-0005-0000-0000-000080020000}"/>
    <cellStyle name="Comma 8 6 2" xfId="1443" xr:uid="{00000000-0005-0000-0000-000081020000}"/>
    <cellStyle name="Comma 8 7" xfId="1195" xr:uid="{00000000-0005-0000-0000-000082020000}"/>
    <cellStyle name="Comma 9" xfId="134" xr:uid="{00000000-0005-0000-0000-000083020000}"/>
    <cellStyle name="Comma 9 2" xfId="188" xr:uid="{00000000-0005-0000-0000-000084020000}"/>
    <cellStyle name="Comma 9 2 2" xfId="342" xr:uid="{00000000-0005-0000-0000-000085020000}"/>
    <cellStyle name="Comma 9 2 2 2" xfId="1127" xr:uid="{00000000-0005-0000-0000-000086020000}"/>
    <cellStyle name="Comma 9 2 2 2 2" xfId="2173" xr:uid="{00000000-0005-0000-0000-000087020000}"/>
    <cellStyle name="Comma 9 2 2 3" xfId="861" xr:uid="{00000000-0005-0000-0000-000088020000}"/>
    <cellStyle name="Comma 9 2 2 3 2" xfId="1907" xr:uid="{00000000-0005-0000-0000-000089020000}"/>
    <cellStyle name="Comma 9 2 2 4" xfId="590" xr:uid="{00000000-0005-0000-0000-00008A020000}"/>
    <cellStyle name="Comma 9 2 2 4 2" xfId="1641" xr:uid="{00000000-0005-0000-0000-00008B020000}"/>
    <cellStyle name="Comma 9 2 2 5" xfId="1393" xr:uid="{00000000-0005-0000-0000-00008C020000}"/>
    <cellStyle name="Comma 9 2 3" xfId="1003" xr:uid="{00000000-0005-0000-0000-00008D020000}"/>
    <cellStyle name="Comma 9 2 3 2" xfId="2049" xr:uid="{00000000-0005-0000-0000-00008E020000}"/>
    <cellStyle name="Comma 9 2 4" xfId="737" xr:uid="{00000000-0005-0000-0000-00008F020000}"/>
    <cellStyle name="Comma 9 2 4 2" xfId="1783" xr:uid="{00000000-0005-0000-0000-000090020000}"/>
    <cellStyle name="Comma 9 2 5" xfId="466" xr:uid="{00000000-0005-0000-0000-000091020000}"/>
    <cellStyle name="Comma 9 2 5 2" xfId="1517" xr:uid="{00000000-0005-0000-0000-000092020000}"/>
    <cellStyle name="Comma 9 2 6" xfId="1269" xr:uid="{00000000-0005-0000-0000-000093020000}"/>
    <cellStyle name="Comma 9 3" xfId="295" xr:uid="{00000000-0005-0000-0000-000094020000}"/>
    <cellStyle name="Comma 9 3 2" xfId="1080" xr:uid="{00000000-0005-0000-0000-000095020000}"/>
    <cellStyle name="Comma 9 3 2 2" xfId="2126" xr:uid="{00000000-0005-0000-0000-000096020000}"/>
    <cellStyle name="Comma 9 3 3" xfId="814" xr:uid="{00000000-0005-0000-0000-000097020000}"/>
    <cellStyle name="Comma 9 3 3 2" xfId="1860" xr:uid="{00000000-0005-0000-0000-000098020000}"/>
    <cellStyle name="Comma 9 3 4" xfId="543" xr:uid="{00000000-0005-0000-0000-000099020000}"/>
    <cellStyle name="Comma 9 3 4 2" xfId="1594" xr:uid="{00000000-0005-0000-0000-00009A020000}"/>
    <cellStyle name="Comma 9 3 5" xfId="1346" xr:uid="{00000000-0005-0000-0000-00009B020000}"/>
    <cellStyle name="Comma 9 4" xfId="956" xr:uid="{00000000-0005-0000-0000-00009C020000}"/>
    <cellStyle name="Comma 9 4 2" xfId="2002" xr:uid="{00000000-0005-0000-0000-00009D020000}"/>
    <cellStyle name="Comma 9 5" xfId="690" xr:uid="{00000000-0005-0000-0000-00009E020000}"/>
    <cellStyle name="Comma 9 5 2" xfId="1736" xr:uid="{00000000-0005-0000-0000-00009F020000}"/>
    <cellStyle name="Comma 9 6" xfId="419" xr:uid="{00000000-0005-0000-0000-0000A0020000}"/>
    <cellStyle name="Comma 9 6 2" xfId="1470" xr:uid="{00000000-0005-0000-0000-0000A1020000}"/>
    <cellStyle name="Comma 9 7" xfId="1222" xr:uid="{00000000-0005-0000-0000-0000A2020000}"/>
    <cellStyle name="Currency 2" xfId="3" xr:uid="{00000000-0005-0000-0000-0000A3020000}"/>
    <cellStyle name="Currency 2 2" xfId="56" xr:uid="{00000000-0005-0000-0000-0000A4020000}"/>
    <cellStyle name="Currency 2 2 2" xfId="57" xr:uid="{00000000-0005-0000-0000-0000A5020000}"/>
    <cellStyle name="Currency 2 2 3" xfId="58" xr:uid="{00000000-0005-0000-0000-0000A6020000}"/>
    <cellStyle name="Currency 2 3" xfId="59" xr:uid="{00000000-0005-0000-0000-0000A7020000}"/>
    <cellStyle name="Currency 2 3 2" xfId="136" xr:uid="{00000000-0005-0000-0000-0000A8020000}"/>
    <cellStyle name="Currency 2 3 2 2" xfId="190" xr:uid="{00000000-0005-0000-0000-0000A9020000}"/>
    <cellStyle name="Currency 2 3 2 2 2" xfId="344" xr:uid="{00000000-0005-0000-0000-0000AA020000}"/>
    <cellStyle name="Currency 2 3 2 2 2 2" xfId="1129" xr:uid="{00000000-0005-0000-0000-0000AB020000}"/>
    <cellStyle name="Currency 2 3 2 2 2 2 2" xfId="2175" xr:uid="{00000000-0005-0000-0000-0000AC020000}"/>
    <cellStyle name="Currency 2 3 2 2 2 3" xfId="863" xr:uid="{00000000-0005-0000-0000-0000AD020000}"/>
    <cellStyle name="Currency 2 3 2 2 2 3 2" xfId="1909" xr:uid="{00000000-0005-0000-0000-0000AE020000}"/>
    <cellStyle name="Currency 2 3 2 2 2 4" xfId="592" xr:uid="{00000000-0005-0000-0000-0000AF020000}"/>
    <cellStyle name="Currency 2 3 2 2 2 4 2" xfId="1643" xr:uid="{00000000-0005-0000-0000-0000B0020000}"/>
    <cellStyle name="Currency 2 3 2 2 2 5" xfId="1395" xr:uid="{00000000-0005-0000-0000-0000B1020000}"/>
    <cellStyle name="Currency 2 3 2 2 3" xfId="1005" xr:uid="{00000000-0005-0000-0000-0000B2020000}"/>
    <cellStyle name="Currency 2 3 2 2 3 2" xfId="2051" xr:uid="{00000000-0005-0000-0000-0000B3020000}"/>
    <cellStyle name="Currency 2 3 2 2 4" xfId="739" xr:uid="{00000000-0005-0000-0000-0000B4020000}"/>
    <cellStyle name="Currency 2 3 2 2 4 2" xfId="1785" xr:uid="{00000000-0005-0000-0000-0000B5020000}"/>
    <cellStyle name="Currency 2 3 2 2 5" xfId="468" xr:uid="{00000000-0005-0000-0000-0000B6020000}"/>
    <cellStyle name="Currency 2 3 2 2 5 2" xfId="1519" xr:uid="{00000000-0005-0000-0000-0000B7020000}"/>
    <cellStyle name="Currency 2 3 2 2 6" xfId="1271" xr:uid="{00000000-0005-0000-0000-0000B8020000}"/>
    <cellStyle name="Currency 2 3 2 3" xfId="297" xr:uid="{00000000-0005-0000-0000-0000B9020000}"/>
    <cellStyle name="Currency 2 3 2 3 2" xfId="1082" xr:uid="{00000000-0005-0000-0000-0000BA020000}"/>
    <cellStyle name="Currency 2 3 2 3 2 2" xfId="2128" xr:uid="{00000000-0005-0000-0000-0000BB020000}"/>
    <cellStyle name="Currency 2 3 2 3 3" xfId="816" xr:uid="{00000000-0005-0000-0000-0000BC020000}"/>
    <cellStyle name="Currency 2 3 2 3 3 2" xfId="1862" xr:uid="{00000000-0005-0000-0000-0000BD020000}"/>
    <cellStyle name="Currency 2 3 2 3 4" xfId="545" xr:uid="{00000000-0005-0000-0000-0000BE020000}"/>
    <cellStyle name="Currency 2 3 2 3 4 2" xfId="1596" xr:uid="{00000000-0005-0000-0000-0000BF020000}"/>
    <cellStyle name="Currency 2 3 2 3 5" xfId="1348" xr:uid="{00000000-0005-0000-0000-0000C0020000}"/>
    <cellStyle name="Currency 2 3 2 4" xfId="958" xr:uid="{00000000-0005-0000-0000-0000C1020000}"/>
    <cellStyle name="Currency 2 3 2 4 2" xfId="2004" xr:uid="{00000000-0005-0000-0000-0000C2020000}"/>
    <cellStyle name="Currency 2 3 2 5" xfId="692" xr:uid="{00000000-0005-0000-0000-0000C3020000}"/>
    <cellStyle name="Currency 2 3 2 5 2" xfId="1738" xr:uid="{00000000-0005-0000-0000-0000C4020000}"/>
    <cellStyle name="Currency 2 3 2 6" xfId="421" xr:uid="{00000000-0005-0000-0000-0000C5020000}"/>
    <cellStyle name="Currency 2 3 2 6 2" xfId="1472" xr:uid="{00000000-0005-0000-0000-0000C6020000}"/>
    <cellStyle name="Currency 2 3 2 7" xfId="1224" xr:uid="{00000000-0005-0000-0000-0000C7020000}"/>
    <cellStyle name="Currency 2 3 3" xfId="162" xr:uid="{00000000-0005-0000-0000-0000C8020000}"/>
    <cellStyle name="Currency 2 3 3 2" xfId="316" xr:uid="{00000000-0005-0000-0000-0000C9020000}"/>
    <cellStyle name="Currency 2 3 3 2 2" xfId="1101" xr:uid="{00000000-0005-0000-0000-0000CA020000}"/>
    <cellStyle name="Currency 2 3 3 2 2 2" xfId="2147" xr:uid="{00000000-0005-0000-0000-0000CB020000}"/>
    <cellStyle name="Currency 2 3 3 2 3" xfId="835" xr:uid="{00000000-0005-0000-0000-0000CC020000}"/>
    <cellStyle name="Currency 2 3 3 2 3 2" xfId="1881" xr:uid="{00000000-0005-0000-0000-0000CD020000}"/>
    <cellStyle name="Currency 2 3 3 2 4" xfId="564" xr:uid="{00000000-0005-0000-0000-0000CE020000}"/>
    <cellStyle name="Currency 2 3 3 2 4 2" xfId="1615" xr:uid="{00000000-0005-0000-0000-0000CF020000}"/>
    <cellStyle name="Currency 2 3 3 2 5" xfId="1367" xr:uid="{00000000-0005-0000-0000-0000D0020000}"/>
    <cellStyle name="Currency 2 3 3 3" xfId="977" xr:uid="{00000000-0005-0000-0000-0000D1020000}"/>
    <cellStyle name="Currency 2 3 3 3 2" xfId="2023" xr:uid="{00000000-0005-0000-0000-0000D2020000}"/>
    <cellStyle name="Currency 2 3 3 4" xfId="711" xr:uid="{00000000-0005-0000-0000-0000D3020000}"/>
    <cellStyle name="Currency 2 3 3 4 2" xfId="1757" xr:uid="{00000000-0005-0000-0000-0000D4020000}"/>
    <cellStyle name="Currency 2 3 3 5" xfId="440" xr:uid="{00000000-0005-0000-0000-0000D5020000}"/>
    <cellStyle name="Currency 2 3 3 5 2" xfId="1491" xr:uid="{00000000-0005-0000-0000-0000D6020000}"/>
    <cellStyle name="Currency 2 3 3 6" xfId="1243" xr:uid="{00000000-0005-0000-0000-0000D7020000}"/>
    <cellStyle name="Currency 2 3 4" xfId="269" xr:uid="{00000000-0005-0000-0000-0000D8020000}"/>
    <cellStyle name="Currency 2 3 4 2" xfId="1054" xr:uid="{00000000-0005-0000-0000-0000D9020000}"/>
    <cellStyle name="Currency 2 3 4 2 2" xfId="2100" xr:uid="{00000000-0005-0000-0000-0000DA020000}"/>
    <cellStyle name="Currency 2 3 4 3" xfId="788" xr:uid="{00000000-0005-0000-0000-0000DB020000}"/>
    <cellStyle name="Currency 2 3 4 3 2" xfId="1834" xr:uid="{00000000-0005-0000-0000-0000DC020000}"/>
    <cellStyle name="Currency 2 3 4 4" xfId="517" xr:uid="{00000000-0005-0000-0000-0000DD020000}"/>
    <cellStyle name="Currency 2 3 4 4 2" xfId="1568" xr:uid="{00000000-0005-0000-0000-0000DE020000}"/>
    <cellStyle name="Currency 2 3 4 5" xfId="1320" xr:uid="{00000000-0005-0000-0000-0000DF020000}"/>
    <cellStyle name="Currency 2 3 5" xfId="930" xr:uid="{00000000-0005-0000-0000-0000E0020000}"/>
    <cellStyle name="Currency 2 3 5 2" xfId="1976" xr:uid="{00000000-0005-0000-0000-0000E1020000}"/>
    <cellStyle name="Currency 2 3 6" xfId="664" xr:uid="{00000000-0005-0000-0000-0000E2020000}"/>
    <cellStyle name="Currency 2 3 6 2" xfId="1710" xr:uid="{00000000-0005-0000-0000-0000E3020000}"/>
    <cellStyle name="Currency 2 3 7" xfId="393" xr:uid="{00000000-0005-0000-0000-0000E4020000}"/>
    <cellStyle name="Currency 2 3 7 2" xfId="1444" xr:uid="{00000000-0005-0000-0000-0000E5020000}"/>
    <cellStyle name="Currency 2 3 8" xfId="1196" xr:uid="{00000000-0005-0000-0000-0000E6020000}"/>
    <cellStyle name="Currency 2 4" xfId="60" xr:uid="{00000000-0005-0000-0000-0000E7020000}"/>
    <cellStyle name="Currency 3" xfId="61" xr:uid="{00000000-0005-0000-0000-0000E8020000}"/>
    <cellStyle name="Currency 3 2" xfId="62" xr:uid="{00000000-0005-0000-0000-0000E9020000}"/>
    <cellStyle name="Currency 3 3" xfId="63" xr:uid="{00000000-0005-0000-0000-0000EA020000}"/>
    <cellStyle name="Currency 4" xfId="64" xr:uid="{00000000-0005-0000-0000-0000EB020000}"/>
    <cellStyle name="Currency 4 2" xfId="137" xr:uid="{00000000-0005-0000-0000-0000EC020000}"/>
    <cellStyle name="Currency 4 2 2" xfId="191" xr:uid="{00000000-0005-0000-0000-0000ED020000}"/>
    <cellStyle name="Currency 4 2 2 2" xfId="345" xr:uid="{00000000-0005-0000-0000-0000EE020000}"/>
    <cellStyle name="Currency 4 2 2 2 2" xfId="1130" xr:uid="{00000000-0005-0000-0000-0000EF020000}"/>
    <cellStyle name="Currency 4 2 2 2 2 2" xfId="2176" xr:uid="{00000000-0005-0000-0000-0000F0020000}"/>
    <cellStyle name="Currency 4 2 2 2 3" xfId="864" xr:uid="{00000000-0005-0000-0000-0000F1020000}"/>
    <cellStyle name="Currency 4 2 2 2 3 2" xfId="1910" xr:uid="{00000000-0005-0000-0000-0000F2020000}"/>
    <cellStyle name="Currency 4 2 2 2 4" xfId="593" xr:uid="{00000000-0005-0000-0000-0000F3020000}"/>
    <cellStyle name="Currency 4 2 2 2 4 2" xfId="1644" xr:uid="{00000000-0005-0000-0000-0000F4020000}"/>
    <cellStyle name="Currency 4 2 2 2 5" xfId="1396" xr:uid="{00000000-0005-0000-0000-0000F5020000}"/>
    <cellStyle name="Currency 4 2 2 3" xfId="1006" xr:uid="{00000000-0005-0000-0000-0000F6020000}"/>
    <cellStyle name="Currency 4 2 2 3 2" xfId="2052" xr:uid="{00000000-0005-0000-0000-0000F7020000}"/>
    <cellStyle name="Currency 4 2 2 4" xfId="740" xr:uid="{00000000-0005-0000-0000-0000F8020000}"/>
    <cellStyle name="Currency 4 2 2 4 2" xfId="1786" xr:uid="{00000000-0005-0000-0000-0000F9020000}"/>
    <cellStyle name="Currency 4 2 2 5" xfId="469" xr:uid="{00000000-0005-0000-0000-0000FA020000}"/>
    <cellStyle name="Currency 4 2 2 5 2" xfId="1520" xr:uid="{00000000-0005-0000-0000-0000FB020000}"/>
    <cellStyle name="Currency 4 2 2 6" xfId="1272" xr:uid="{00000000-0005-0000-0000-0000FC020000}"/>
    <cellStyle name="Currency 4 2 3" xfId="298" xr:uid="{00000000-0005-0000-0000-0000FD020000}"/>
    <cellStyle name="Currency 4 2 3 2" xfId="1083" xr:uid="{00000000-0005-0000-0000-0000FE020000}"/>
    <cellStyle name="Currency 4 2 3 2 2" xfId="2129" xr:uid="{00000000-0005-0000-0000-0000FF020000}"/>
    <cellStyle name="Currency 4 2 3 3" xfId="817" xr:uid="{00000000-0005-0000-0000-000000030000}"/>
    <cellStyle name="Currency 4 2 3 3 2" xfId="1863" xr:uid="{00000000-0005-0000-0000-000001030000}"/>
    <cellStyle name="Currency 4 2 3 4" xfId="546" xr:uid="{00000000-0005-0000-0000-000002030000}"/>
    <cellStyle name="Currency 4 2 3 4 2" xfId="1597" xr:uid="{00000000-0005-0000-0000-000003030000}"/>
    <cellStyle name="Currency 4 2 3 5" xfId="1349" xr:uid="{00000000-0005-0000-0000-000004030000}"/>
    <cellStyle name="Currency 4 2 4" xfId="959" xr:uid="{00000000-0005-0000-0000-000005030000}"/>
    <cellStyle name="Currency 4 2 4 2" xfId="2005" xr:uid="{00000000-0005-0000-0000-000006030000}"/>
    <cellStyle name="Currency 4 2 5" xfId="693" xr:uid="{00000000-0005-0000-0000-000007030000}"/>
    <cellStyle name="Currency 4 2 5 2" xfId="1739" xr:uid="{00000000-0005-0000-0000-000008030000}"/>
    <cellStyle name="Currency 4 2 6" xfId="422" xr:uid="{00000000-0005-0000-0000-000009030000}"/>
    <cellStyle name="Currency 4 2 6 2" xfId="1473" xr:uid="{00000000-0005-0000-0000-00000A030000}"/>
    <cellStyle name="Currency 4 2 7" xfId="1225" xr:uid="{00000000-0005-0000-0000-00000B030000}"/>
    <cellStyle name="Currency 4 3" xfId="163" xr:uid="{00000000-0005-0000-0000-00000C030000}"/>
    <cellStyle name="Currency 4 3 2" xfId="317" xr:uid="{00000000-0005-0000-0000-00000D030000}"/>
    <cellStyle name="Currency 4 3 2 2" xfId="1102" xr:uid="{00000000-0005-0000-0000-00000E030000}"/>
    <cellStyle name="Currency 4 3 2 2 2" xfId="2148" xr:uid="{00000000-0005-0000-0000-00000F030000}"/>
    <cellStyle name="Currency 4 3 2 3" xfId="836" xr:uid="{00000000-0005-0000-0000-000010030000}"/>
    <cellStyle name="Currency 4 3 2 3 2" xfId="1882" xr:uid="{00000000-0005-0000-0000-000011030000}"/>
    <cellStyle name="Currency 4 3 2 4" xfId="565" xr:uid="{00000000-0005-0000-0000-000012030000}"/>
    <cellStyle name="Currency 4 3 2 4 2" xfId="1616" xr:uid="{00000000-0005-0000-0000-000013030000}"/>
    <cellStyle name="Currency 4 3 2 5" xfId="1368" xr:uid="{00000000-0005-0000-0000-000014030000}"/>
    <cellStyle name="Currency 4 3 3" xfId="978" xr:uid="{00000000-0005-0000-0000-000015030000}"/>
    <cellStyle name="Currency 4 3 3 2" xfId="2024" xr:uid="{00000000-0005-0000-0000-000016030000}"/>
    <cellStyle name="Currency 4 3 4" xfId="712" xr:uid="{00000000-0005-0000-0000-000017030000}"/>
    <cellStyle name="Currency 4 3 4 2" xfId="1758" xr:uid="{00000000-0005-0000-0000-000018030000}"/>
    <cellStyle name="Currency 4 3 5" xfId="441" xr:uid="{00000000-0005-0000-0000-000019030000}"/>
    <cellStyle name="Currency 4 3 5 2" xfId="1492" xr:uid="{00000000-0005-0000-0000-00001A030000}"/>
    <cellStyle name="Currency 4 3 6" xfId="1244" xr:uid="{00000000-0005-0000-0000-00001B030000}"/>
    <cellStyle name="Currency 4 4" xfId="270" xr:uid="{00000000-0005-0000-0000-00001C030000}"/>
    <cellStyle name="Currency 4 4 2" xfId="1055" xr:uid="{00000000-0005-0000-0000-00001D030000}"/>
    <cellStyle name="Currency 4 4 2 2" xfId="2101" xr:uid="{00000000-0005-0000-0000-00001E030000}"/>
    <cellStyle name="Currency 4 4 3" xfId="789" xr:uid="{00000000-0005-0000-0000-00001F030000}"/>
    <cellStyle name="Currency 4 4 3 2" xfId="1835" xr:uid="{00000000-0005-0000-0000-000020030000}"/>
    <cellStyle name="Currency 4 4 4" xfId="518" xr:uid="{00000000-0005-0000-0000-000021030000}"/>
    <cellStyle name="Currency 4 4 4 2" xfId="1569" xr:uid="{00000000-0005-0000-0000-000022030000}"/>
    <cellStyle name="Currency 4 4 5" xfId="1321" xr:uid="{00000000-0005-0000-0000-000023030000}"/>
    <cellStyle name="Currency 4 5" xfId="931" xr:uid="{00000000-0005-0000-0000-000024030000}"/>
    <cellStyle name="Currency 4 5 2" xfId="1977" xr:uid="{00000000-0005-0000-0000-000025030000}"/>
    <cellStyle name="Currency 4 6" xfId="665" xr:uid="{00000000-0005-0000-0000-000026030000}"/>
    <cellStyle name="Currency 4 6 2" xfId="1711" xr:uid="{00000000-0005-0000-0000-000027030000}"/>
    <cellStyle name="Currency 4 7" xfId="394" xr:uid="{00000000-0005-0000-0000-000028030000}"/>
    <cellStyle name="Currency 4 7 2" xfId="1445" xr:uid="{00000000-0005-0000-0000-000029030000}"/>
    <cellStyle name="Currency 4 8" xfId="1197" xr:uid="{00000000-0005-0000-0000-00002A030000}"/>
    <cellStyle name="Currency 5" xfId="653" xr:uid="{00000000-0005-0000-0000-00002B030000}"/>
    <cellStyle name="Currency 5 2" xfId="1187" xr:uid="{00000000-0005-0000-0000-00002C030000}"/>
    <cellStyle name="Currency 5 2 2" xfId="2233" xr:uid="{00000000-0005-0000-0000-00002D030000}"/>
    <cellStyle name="Currency 5 3" xfId="921" xr:uid="{00000000-0005-0000-0000-00002E030000}"/>
    <cellStyle name="Currency 5 3 2" xfId="1967" xr:uid="{00000000-0005-0000-0000-00002F030000}"/>
    <cellStyle name="Currency 5 4" xfId="1701" xr:uid="{00000000-0005-0000-0000-000030030000}"/>
    <cellStyle name="Explanatory Text" xfId="215" builtinId="53" customBuiltin="1"/>
    <cellStyle name="Explanatory Text 2" xfId="65" xr:uid="{00000000-0005-0000-0000-000032030000}"/>
    <cellStyle name="globaldir" xfId="648" xr:uid="{00000000-0005-0000-0000-000033030000}"/>
    <cellStyle name="Good" xfId="206" builtinId="26" customBuiltin="1"/>
    <cellStyle name="Good 2" xfId="66" xr:uid="{00000000-0005-0000-0000-000035030000}"/>
    <cellStyle name="Heading 1" xfId="202" builtinId="16" customBuiltin="1"/>
    <cellStyle name="Heading 1 2" xfId="67" xr:uid="{00000000-0005-0000-0000-000037030000}"/>
    <cellStyle name="Heading 2" xfId="203" builtinId="17" customBuiltin="1"/>
    <cellStyle name="Heading 2 2" xfId="68" xr:uid="{00000000-0005-0000-0000-000039030000}"/>
    <cellStyle name="Heading 3" xfId="204" builtinId="18" customBuiltin="1"/>
    <cellStyle name="Heading 3 2" xfId="69" xr:uid="{00000000-0005-0000-0000-00003B030000}"/>
    <cellStyle name="Heading 3 3" xfId="70" xr:uid="{00000000-0005-0000-0000-00003C030000}"/>
    <cellStyle name="Heading 4" xfId="205" builtinId="19" customBuiltin="1"/>
    <cellStyle name="Heading 4 2" xfId="71" xr:uid="{00000000-0005-0000-0000-00003E030000}"/>
    <cellStyle name="Hyperlink" xfId="2238" builtinId="8"/>
    <cellStyle name="Hyperlink 2" xfId="151" xr:uid="{00000000-0005-0000-0000-000040030000}"/>
    <cellStyle name="Input" xfId="209" builtinId="20" customBuiltin="1"/>
    <cellStyle name="Input 2" xfId="72" xr:uid="{00000000-0005-0000-0000-000042030000}"/>
    <cellStyle name="Linked Cell" xfId="212" builtinId="24" customBuiltin="1"/>
    <cellStyle name="Linked Cell 2" xfId="73" xr:uid="{00000000-0005-0000-0000-000044030000}"/>
    <cellStyle name="LockedStyle" xfId="74" xr:uid="{00000000-0005-0000-0000-000045030000}"/>
    <cellStyle name="Neutral" xfId="208" builtinId="28" customBuiltin="1"/>
    <cellStyle name="Neutral 2" xfId="75" xr:uid="{00000000-0005-0000-0000-000047030000}"/>
    <cellStyle name="Normal" xfId="0" builtinId="0" customBuiltin="1"/>
    <cellStyle name="Normal - Style1" xfId="649" xr:uid="{00000000-0005-0000-0000-000049030000}"/>
    <cellStyle name="Normal 10" xfId="76" xr:uid="{00000000-0005-0000-0000-00004A030000}"/>
    <cellStyle name="Normal 10 2" xfId="150" xr:uid="{00000000-0005-0000-0000-00004B030000}"/>
    <cellStyle name="Normal 10 2 2" xfId="200" xr:uid="{00000000-0005-0000-0000-00004C030000}"/>
    <cellStyle name="Normal 10 2 2 2" xfId="354" xr:uid="{00000000-0005-0000-0000-00004D030000}"/>
    <cellStyle name="Normal 10 2 2 2 2" xfId="1139" xr:uid="{00000000-0005-0000-0000-00004E030000}"/>
    <cellStyle name="Normal 10 2 2 2 2 2" xfId="2185" xr:uid="{00000000-0005-0000-0000-00004F030000}"/>
    <cellStyle name="Normal 10 2 2 2 3" xfId="873" xr:uid="{00000000-0005-0000-0000-000050030000}"/>
    <cellStyle name="Normal 10 2 2 2 3 2" xfId="1919" xr:uid="{00000000-0005-0000-0000-000051030000}"/>
    <cellStyle name="Normal 10 2 2 2 4" xfId="602" xr:uid="{00000000-0005-0000-0000-000052030000}"/>
    <cellStyle name="Normal 10 2 2 2 4 2" xfId="1653" xr:uid="{00000000-0005-0000-0000-000053030000}"/>
    <cellStyle name="Normal 10 2 2 2 5" xfId="1405" xr:uid="{00000000-0005-0000-0000-000054030000}"/>
    <cellStyle name="Normal 10 2 2 3" xfId="1015" xr:uid="{00000000-0005-0000-0000-000055030000}"/>
    <cellStyle name="Normal 10 2 2 3 2" xfId="2061" xr:uid="{00000000-0005-0000-0000-000056030000}"/>
    <cellStyle name="Normal 10 2 2 4" xfId="749" xr:uid="{00000000-0005-0000-0000-000057030000}"/>
    <cellStyle name="Normal 10 2 2 4 2" xfId="1795" xr:uid="{00000000-0005-0000-0000-000058030000}"/>
    <cellStyle name="Normal 10 2 2 5" xfId="478" xr:uid="{00000000-0005-0000-0000-000059030000}"/>
    <cellStyle name="Normal 10 2 2 5 2" xfId="1529" xr:uid="{00000000-0005-0000-0000-00005A030000}"/>
    <cellStyle name="Normal 10 2 2 6" xfId="1281" xr:uid="{00000000-0005-0000-0000-00005B030000}"/>
    <cellStyle name="Normal 10 2 3" xfId="307" xr:uid="{00000000-0005-0000-0000-00005C030000}"/>
    <cellStyle name="Normal 10 2 3 2" xfId="1092" xr:uid="{00000000-0005-0000-0000-00005D030000}"/>
    <cellStyle name="Normal 10 2 3 2 2" xfId="2138" xr:uid="{00000000-0005-0000-0000-00005E030000}"/>
    <cellStyle name="Normal 10 2 3 3" xfId="826" xr:uid="{00000000-0005-0000-0000-00005F030000}"/>
    <cellStyle name="Normal 10 2 3 3 2" xfId="1872" xr:uid="{00000000-0005-0000-0000-000060030000}"/>
    <cellStyle name="Normal 10 2 3 4" xfId="555" xr:uid="{00000000-0005-0000-0000-000061030000}"/>
    <cellStyle name="Normal 10 2 3 4 2" xfId="1606" xr:uid="{00000000-0005-0000-0000-000062030000}"/>
    <cellStyle name="Normal 10 2 3 5" xfId="1358" xr:uid="{00000000-0005-0000-0000-000063030000}"/>
    <cellStyle name="Normal 10 2 4" xfId="968" xr:uid="{00000000-0005-0000-0000-000064030000}"/>
    <cellStyle name="Normal 10 2 4 2" xfId="2014" xr:uid="{00000000-0005-0000-0000-000065030000}"/>
    <cellStyle name="Normal 10 2 5" xfId="702" xr:uid="{00000000-0005-0000-0000-000066030000}"/>
    <cellStyle name="Normal 10 2 5 2" xfId="1748" xr:uid="{00000000-0005-0000-0000-000067030000}"/>
    <cellStyle name="Normal 10 2 6" xfId="431" xr:uid="{00000000-0005-0000-0000-000068030000}"/>
    <cellStyle name="Normal 10 2 6 2" xfId="1482" xr:uid="{00000000-0005-0000-0000-000069030000}"/>
    <cellStyle name="Normal 10 2 7" xfId="1234" xr:uid="{00000000-0005-0000-0000-00006A030000}"/>
    <cellStyle name="Normal 10 3" xfId="164" xr:uid="{00000000-0005-0000-0000-00006B030000}"/>
    <cellStyle name="Normal 10 3 2" xfId="318" xr:uid="{00000000-0005-0000-0000-00006C030000}"/>
    <cellStyle name="Normal 10 3 2 2" xfId="1103" xr:uid="{00000000-0005-0000-0000-00006D030000}"/>
    <cellStyle name="Normal 10 3 2 2 2" xfId="2149" xr:uid="{00000000-0005-0000-0000-00006E030000}"/>
    <cellStyle name="Normal 10 3 2 3" xfId="837" xr:uid="{00000000-0005-0000-0000-00006F030000}"/>
    <cellStyle name="Normal 10 3 2 3 2" xfId="1883" xr:uid="{00000000-0005-0000-0000-000070030000}"/>
    <cellStyle name="Normal 10 3 2 4" xfId="566" xr:uid="{00000000-0005-0000-0000-000071030000}"/>
    <cellStyle name="Normal 10 3 2 4 2" xfId="1617" xr:uid="{00000000-0005-0000-0000-000072030000}"/>
    <cellStyle name="Normal 10 3 2 5" xfId="1369" xr:uid="{00000000-0005-0000-0000-000073030000}"/>
    <cellStyle name="Normal 10 3 3" xfId="979" xr:uid="{00000000-0005-0000-0000-000074030000}"/>
    <cellStyle name="Normal 10 3 3 2" xfId="2025" xr:uid="{00000000-0005-0000-0000-000075030000}"/>
    <cellStyle name="Normal 10 3 4" xfId="713" xr:uid="{00000000-0005-0000-0000-000076030000}"/>
    <cellStyle name="Normal 10 3 4 2" xfId="1759" xr:uid="{00000000-0005-0000-0000-000077030000}"/>
    <cellStyle name="Normal 10 3 5" xfId="442" xr:uid="{00000000-0005-0000-0000-000078030000}"/>
    <cellStyle name="Normal 10 3 5 2" xfId="1493" xr:uid="{00000000-0005-0000-0000-000079030000}"/>
    <cellStyle name="Normal 10 3 6" xfId="1245" xr:uid="{00000000-0005-0000-0000-00007A030000}"/>
    <cellStyle name="Normal 10 4" xfId="271" xr:uid="{00000000-0005-0000-0000-00007B030000}"/>
    <cellStyle name="Normal 10 4 2" xfId="1056" xr:uid="{00000000-0005-0000-0000-00007C030000}"/>
    <cellStyle name="Normal 10 4 2 2" xfId="2102" xr:uid="{00000000-0005-0000-0000-00007D030000}"/>
    <cellStyle name="Normal 10 4 3" xfId="790" xr:uid="{00000000-0005-0000-0000-00007E030000}"/>
    <cellStyle name="Normal 10 4 3 2" xfId="1836" xr:uid="{00000000-0005-0000-0000-00007F030000}"/>
    <cellStyle name="Normal 10 4 4" xfId="519" xr:uid="{00000000-0005-0000-0000-000080030000}"/>
    <cellStyle name="Normal 10 4 4 2" xfId="1570" xr:uid="{00000000-0005-0000-0000-000081030000}"/>
    <cellStyle name="Normal 10 4 5" xfId="1322" xr:uid="{00000000-0005-0000-0000-000082030000}"/>
    <cellStyle name="Normal 10 5" xfId="932" xr:uid="{00000000-0005-0000-0000-000083030000}"/>
    <cellStyle name="Normal 10 5 2" xfId="1978" xr:uid="{00000000-0005-0000-0000-000084030000}"/>
    <cellStyle name="Normal 10 6" xfId="666" xr:uid="{00000000-0005-0000-0000-000085030000}"/>
    <cellStyle name="Normal 10 6 2" xfId="1712" xr:uid="{00000000-0005-0000-0000-000086030000}"/>
    <cellStyle name="Normal 10 7" xfId="395" xr:uid="{00000000-0005-0000-0000-000087030000}"/>
    <cellStyle name="Normal 10 7 2" xfId="1446" xr:uid="{00000000-0005-0000-0000-000088030000}"/>
    <cellStyle name="Normal 10 8" xfId="1198" xr:uid="{00000000-0005-0000-0000-000089030000}"/>
    <cellStyle name="Normal 11" xfId="77" xr:uid="{00000000-0005-0000-0000-00008A030000}"/>
    <cellStyle name="Normal 12" xfId="78" xr:uid="{00000000-0005-0000-0000-00008B030000}"/>
    <cellStyle name="Normal 13" xfId="79" xr:uid="{00000000-0005-0000-0000-00008C030000}"/>
    <cellStyle name="Normal 14" xfId="80" xr:uid="{00000000-0005-0000-0000-00008D030000}"/>
    <cellStyle name="Normal 14 2" xfId="81" xr:uid="{00000000-0005-0000-0000-00008E030000}"/>
    <cellStyle name="Normal 14 5" xfId="82" xr:uid="{00000000-0005-0000-0000-00008F030000}"/>
    <cellStyle name="Normal 15" xfId="83" xr:uid="{00000000-0005-0000-0000-000090030000}"/>
    <cellStyle name="Normal 15 2" xfId="165" xr:uid="{00000000-0005-0000-0000-000091030000}"/>
    <cellStyle name="Normal 15 2 2" xfId="319" xr:uid="{00000000-0005-0000-0000-000092030000}"/>
    <cellStyle name="Normal 15 2 2 2" xfId="1104" xr:uid="{00000000-0005-0000-0000-000093030000}"/>
    <cellStyle name="Normal 15 2 2 2 2" xfId="2150" xr:uid="{00000000-0005-0000-0000-000094030000}"/>
    <cellStyle name="Normal 15 2 2 3" xfId="838" xr:uid="{00000000-0005-0000-0000-000095030000}"/>
    <cellStyle name="Normal 15 2 2 3 2" xfId="1884" xr:uid="{00000000-0005-0000-0000-000096030000}"/>
    <cellStyle name="Normal 15 2 2 4" xfId="567" xr:uid="{00000000-0005-0000-0000-000097030000}"/>
    <cellStyle name="Normal 15 2 2 4 2" xfId="1618" xr:uid="{00000000-0005-0000-0000-000098030000}"/>
    <cellStyle name="Normal 15 2 2 5" xfId="1370" xr:uid="{00000000-0005-0000-0000-000099030000}"/>
    <cellStyle name="Normal 15 2 3" xfId="980" xr:uid="{00000000-0005-0000-0000-00009A030000}"/>
    <cellStyle name="Normal 15 2 3 2" xfId="2026" xr:uid="{00000000-0005-0000-0000-00009B030000}"/>
    <cellStyle name="Normal 15 2 4" xfId="714" xr:uid="{00000000-0005-0000-0000-00009C030000}"/>
    <cellStyle name="Normal 15 2 4 2" xfId="1760" xr:uid="{00000000-0005-0000-0000-00009D030000}"/>
    <cellStyle name="Normal 15 2 5" xfId="443" xr:uid="{00000000-0005-0000-0000-00009E030000}"/>
    <cellStyle name="Normal 15 2 5 2" xfId="1494" xr:uid="{00000000-0005-0000-0000-00009F030000}"/>
    <cellStyle name="Normal 15 2 6" xfId="1246" xr:uid="{00000000-0005-0000-0000-0000A0030000}"/>
    <cellStyle name="Normal 15 3" xfId="272" xr:uid="{00000000-0005-0000-0000-0000A1030000}"/>
    <cellStyle name="Normal 15 3 2" xfId="1057" xr:uid="{00000000-0005-0000-0000-0000A2030000}"/>
    <cellStyle name="Normal 15 3 2 2" xfId="2103" xr:uid="{00000000-0005-0000-0000-0000A3030000}"/>
    <cellStyle name="Normal 15 3 3" xfId="791" xr:uid="{00000000-0005-0000-0000-0000A4030000}"/>
    <cellStyle name="Normal 15 3 3 2" xfId="1837" xr:uid="{00000000-0005-0000-0000-0000A5030000}"/>
    <cellStyle name="Normal 15 3 4" xfId="520" xr:uid="{00000000-0005-0000-0000-0000A6030000}"/>
    <cellStyle name="Normal 15 3 4 2" xfId="1571" xr:uid="{00000000-0005-0000-0000-0000A7030000}"/>
    <cellStyle name="Normal 15 3 5" xfId="1323" xr:uid="{00000000-0005-0000-0000-0000A8030000}"/>
    <cellStyle name="Normal 15 4" xfId="933" xr:uid="{00000000-0005-0000-0000-0000A9030000}"/>
    <cellStyle name="Normal 15 4 2" xfId="1979" xr:uid="{00000000-0005-0000-0000-0000AA030000}"/>
    <cellStyle name="Normal 15 5" xfId="667" xr:uid="{00000000-0005-0000-0000-0000AB030000}"/>
    <cellStyle name="Normal 15 5 2" xfId="1713" xr:uid="{00000000-0005-0000-0000-0000AC030000}"/>
    <cellStyle name="Normal 15 6" xfId="396" xr:uid="{00000000-0005-0000-0000-0000AD030000}"/>
    <cellStyle name="Normal 15 6 2" xfId="1447" xr:uid="{00000000-0005-0000-0000-0000AE030000}"/>
    <cellStyle name="Normal 15 7" xfId="1199" xr:uid="{00000000-0005-0000-0000-0000AF030000}"/>
    <cellStyle name="Normal 16" xfId="84" xr:uid="{00000000-0005-0000-0000-0000B0030000}"/>
    <cellStyle name="Normal 16 2" xfId="166" xr:uid="{00000000-0005-0000-0000-0000B1030000}"/>
    <cellStyle name="Normal 16 2 2" xfId="320" xr:uid="{00000000-0005-0000-0000-0000B2030000}"/>
    <cellStyle name="Normal 16 2 2 2" xfId="1105" xr:uid="{00000000-0005-0000-0000-0000B3030000}"/>
    <cellStyle name="Normal 16 2 2 2 2" xfId="2151" xr:uid="{00000000-0005-0000-0000-0000B4030000}"/>
    <cellStyle name="Normal 16 2 2 3" xfId="839" xr:uid="{00000000-0005-0000-0000-0000B5030000}"/>
    <cellStyle name="Normal 16 2 2 3 2" xfId="1885" xr:uid="{00000000-0005-0000-0000-0000B6030000}"/>
    <cellStyle name="Normal 16 2 2 4" xfId="568" xr:uid="{00000000-0005-0000-0000-0000B7030000}"/>
    <cellStyle name="Normal 16 2 2 4 2" xfId="1619" xr:uid="{00000000-0005-0000-0000-0000B8030000}"/>
    <cellStyle name="Normal 16 2 2 5" xfId="1371" xr:uid="{00000000-0005-0000-0000-0000B9030000}"/>
    <cellStyle name="Normal 16 2 3" xfId="981" xr:uid="{00000000-0005-0000-0000-0000BA030000}"/>
    <cellStyle name="Normal 16 2 3 2" xfId="2027" xr:uid="{00000000-0005-0000-0000-0000BB030000}"/>
    <cellStyle name="Normal 16 2 4" xfId="715" xr:uid="{00000000-0005-0000-0000-0000BC030000}"/>
    <cellStyle name="Normal 16 2 4 2" xfId="1761" xr:uid="{00000000-0005-0000-0000-0000BD030000}"/>
    <cellStyle name="Normal 16 2 5" xfId="444" xr:uid="{00000000-0005-0000-0000-0000BE030000}"/>
    <cellStyle name="Normal 16 2 5 2" xfId="1495" xr:uid="{00000000-0005-0000-0000-0000BF030000}"/>
    <cellStyle name="Normal 16 2 6" xfId="1247" xr:uid="{00000000-0005-0000-0000-0000C0030000}"/>
    <cellStyle name="Normal 16 3" xfId="273" xr:uid="{00000000-0005-0000-0000-0000C1030000}"/>
    <cellStyle name="Normal 16 3 2" xfId="1058" xr:uid="{00000000-0005-0000-0000-0000C2030000}"/>
    <cellStyle name="Normal 16 3 2 2" xfId="2104" xr:uid="{00000000-0005-0000-0000-0000C3030000}"/>
    <cellStyle name="Normal 16 3 3" xfId="792" xr:uid="{00000000-0005-0000-0000-0000C4030000}"/>
    <cellStyle name="Normal 16 3 3 2" xfId="1838" xr:uid="{00000000-0005-0000-0000-0000C5030000}"/>
    <cellStyle name="Normal 16 3 4" xfId="521" xr:uid="{00000000-0005-0000-0000-0000C6030000}"/>
    <cellStyle name="Normal 16 3 4 2" xfId="1572" xr:uid="{00000000-0005-0000-0000-0000C7030000}"/>
    <cellStyle name="Normal 16 3 5" xfId="1324" xr:uid="{00000000-0005-0000-0000-0000C8030000}"/>
    <cellStyle name="Normal 16 4" xfId="934" xr:uid="{00000000-0005-0000-0000-0000C9030000}"/>
    <cellStyle name="Normal 16 4 2" xfId="1980" xr:uid="{00000000-0005-0000-0000-0000CA030000}"/>
    <cellStyle name="Normal 16 5" xfId="668" xr:uid="{00000000-0005-0000-0000-0000CB030000}"/>
    <cellStyle name="Normal 16 5 2" xfId="1714" xr:uid="{00000000-0005-0000-0000-0000CC030000}"/>
    <cellStyle name="Normal 16 6" xfId="397" xr:uid="{00000000-0005-0000-0000-0000CD030000}"/>
    <cellStyle name="Normal 16 6 2" xfId="1448" xr:uid="{00000000-0005-0000-0000-0000CE030000}"/>
    <cellStyle name="Normal 16 7" xfId="1200" xr:uid="{00000000-0005-0000-0000-0000CF030000}"/>
    <cellStyle name="Normal 17" xfId="85" xr:uid="{00000000-0005-0000-0000-0000D0030000}"/>
    <cellStyle name="Normal 17 2" xfId="167" xr:uid="{00000000-0005-0000-0000-0000D1030000}"/>
    <cellStyle name="Normal 17 2 2" xfId="321" xr:uid="{00000000-0005-0000-0000-0000D2030000}"/>
    <cellStyle name="Normal 17 2 2 2" xfId="1106" xr:uid="{00000000-0005-0000-0000-0000D3030000}"/>
    <cellStyle name="Normal 17 2 2 2 2" xfId="2152" xr:uid="{00000000-0005-0000-0000-0000D4030000}"/>
    <cellStyle name="Normal 17 2 2 3" xfId="840" xr:uid="{00000000-0005-0000-0000-0000D5030000}"/>
    <cellStyle name="Normal 17 2 2 3 2" xfId="1886" xr:uid="{00000000-0005-0000-0000-0000D6030000}"/>
    <cellStyle name="Normal 17 2 2 4" xfId="569" xr:uid="{00000000-0005-0000-0000-0000D7030000}"/>
    <cellStyle name="Normal 17 2 2 4 2" xfId="1620" xr:uid="{00000000-0005-0000-0000-0000D8030000}"/>
    <cellStyle name="Normal 17 2 2 5" xfId="1372" xr:uid="{00000000-0005-0000-0000-0000D9030000}"/>
    <cellStyle name="Normal 17 2 3" xfId="982" xr:uid="{00000000-0005-0000-0000-0000DA030000}"/>
    <cellStyle name="Normal 17 2 3 2" xfId="2028" xr:uid="{00000000-0005-0000-0000-0000DB030000}"/>
    <cellStyle name="Normal 17 2 4" xfId="716" xr:uid="{00000000-0005-0000-0000-0000DC030000}"/>
    <cellStyle name="Normal 17 2 4 2" xfId="1762" xr:uid="{00000000-0005-0000-0000-0000DD030000}"/>
    <cellStyle name="Normal 17 2 5" xfId="445" xr:uid="{00000000-0005-0000-0000-0000DE030000}"/>
    <cellStyle name="Normal 17 2 5 2" xfId="1496" xr:uid="{00000000-0005-0000-0000-0000DF030000}"/>
    <cellStyle name="Normal 17 2 6" xfId="1248" xr:uid="{00000000-0005-0000-0000-0000E0030000}"/>
    <cellStyle name="Normal 17 3" xfId="274" xr:uid="{00000000-0005-0000-0000-0000E1030000}"/>
    <cellStyle name="Normal 17 3 2" xfId="1059" xr:uid="{00000000-0005-0000-0000-0000E2030000}"/>
    <cellStyle name="Normal 17 3 2 2" xfId="2105" xr:uid="{00000000-0005-0000-0000-0000E3030000}"/>
    <cellStyle name="Normal 17 3 3" xfId="793" xr:uid="{00000000-0005-0000-0000-0000E4030000}"/>
    <cellStyle name="Normal 17 3 3 2" xfId="1839" xr:uid="{00000000-0005-0000-0000-0000E5030000}"/>
    <cellStyle name="Normal 17 3 4" xfId="522" xr:uid="{00000000-0005-0000-0000-0000E6030000}"/>
    <cellStyle name="Normal 17 3 4 2" xfId="1573" xr:uid="{00000000-0005-0000-0000-0000E7030000}"/>
    <cellStyle name="Normal 17 3 5" xfId="1325" xr:uid="{00000000-0005-0000-0000-0000E8030000}"/>
    <cellStyle name="Normal 17 4" xfId="935" xr:uid="{00000000-0005-0000-0000-0000E9030000}"/>
    <cellStyle name="Normal 17 4 2" xfId="1981" xr:uid="{00000000-0005-0000-0000-0000EA030000}"/>
    <cellStyle name="Normal 17 5" xfId="669" xr:uid="{00000000-0005-0000-0000-0000EB030000}"/>
    <cellStyle name="Normal 17 5 2" xfId="1715" xr:uid="{00000000-0005-0000-0000-0000EC030000}"/>
    <cellStyle name="Normal 17 6" xfId="398" xr:uid="{00000000-0005-0000-0000-0000ED030000}"/>
    <cellStyle name="Normal 17 6 2" xfId="1449" xr:uid="{00000000-0005-0000-0000-0000EE030000}"/>
    <cellStyle name="Normal 17 7" xfId="1201" xr:uid="{00000000-0005-0000-0000-0000EF030000}"/>
    <cellStyle name="Normal 18" xfId="86" xr:uid="{00000000-0005-0000-0000-0000F0030000}"/>
    <cellStyle name="Normal 18 2" xfId="168" xr:uid="{00000000-0005-0000-0000-0000F1030000}"/>
    <cellStyle name="Normal 18 2 2" xfId="322" xr:uid="{00000000-0005-0000-0000-0000F2030000}"/>
    <cellStyle name="Normal 18 2 2 2" xfId="1107" xr:uid="{00000000-0005-0000-0000-0000F3030000}"/>
    <cellStyle name="Normal 18 2 2 2 2" xfId="2153" xr:uid="{00000000-0005-0000-0000-0000F4030000}"/>
    <cellStyle name="Normal 18 2 2 3" xfId="841" xr:uid="{00000000-0005-0000-0000-0000F5030000}"/>
    <cellStyle name="Normal 18 2 2 3 2" xfId="1887" xr:uid="{00000000-0005-0000-0000-0000F6030000}"/>
    <cellStyle name="Normal 18 2 2 4" xfId="570" xr:uid="{00000000-0005-0000-0000-0000F7030000}"/>
    <cellStyle name="Normal 18 2 2 4 2" xfId="1621" xr:uid="{00000000-0005-0000-0000-0000F8030000}"/>
    <cellStyle name="Normal 18 2 2 5" xfId="1373" xr:uid="{00000000-0005-0000-0000-0000F9030000}"/>
    <cellStyle name="Normal 18 2 3" xfId="983" xr:uid="{00000000-0005-0000-0000-0000FA030000}"/>
    <cellStyle name="Normal 18 2 3 2" xfId="2029" xr:uid="{00000000-0005-0000-0000-0000FB030000}"/>
    <cellStyle name="Normal 18 2 4" xfId="717" xr:uid="{00000000-0005-0000-0000-0000FC030000}"/>
    <cellStyle name="Normal 18 2 4 2" xfId="1763" xr:uid="{00000000-0005-0000-0000-0000FD030000}"/>
    <cellStyle name="Normal 18 2 5" xfId="446" xr:uid="{00000000-0005-0000-0000-0000FE030000}"/>
    <cellStyle name="Normal 18 2 5 2" xfId="1497" xr:uid="{00000000-0005-0000-0000-0000FF030000}"/>
    <cellStyle name="Normal 18 2 6" xfId="1249" xr:uid="{00000000-0005-0000-0000-000000040000}"/>
    <cellStyle name="Normal 18 3" xfId="275" xr:uid="{00000000-0005-0000-0000-000001040000}"/>
    <cellStyle name="Normal 18 3 2" xfId="1060" xr:uid="{00000000-0005-0000-0000-000002040000}"/>
    <cellStyle name="Normal 18 3 2 2" xfId="2106" xr:uid="{00000000-0005-0000-0000-000003040000}"/>
    <cellStyle name="Normal 18 3 3" xfId="794" xr:uid="{00000000-0005-0000-0000-000004040000}"/>
    <cellStyle name="Normal 18 3 3 2" xfId="1840" xr:uid="{00000000-0005-0000-0000-000005040000}"/>
    <cellStyle name="Normal 18 3 4" xfId="523" xr:uid="{00000000-0005-0000-0000-000006040000}"/>
    <cellStyle name="Normal 18 3 4 2" xfId="1574" xr:uid="{00000000-0005-0000-0000-000007040000}"/>
    <cellStyle name="Normal 18 3 5" xfId="1326" xr:uid="{00000000-0005-0000-0000-000008040000}"/>
    <cellStyle name="Normal 18 4" xfId="936" xr:uid="{00000000-0005-0000-0000-000009040000}"/>
    <cellStyle name="Normal 18 4 2" xfId="1982" xr:uid="{00000000-0005-0000-0000-00000A040000}"/>
    <cellStyle name="Normal 18 5" xfId="670" xr:uid="{00000000-0005-0000-0000-00000B040000}"/>
    <cellStyle name="Normal 18 5 2" xfId="1716" xr:uid="{00000000-0005-0000-0000-00000C040000}"/>
    <cellStyle name="Normal 18 6" xfId="399" xr:uid="{00000000-0005-0000-0000-00000D040000}"/>
    <cellStyle name="Normal 18 6 2" xfId="1450" xr:uid="{00000000-0005-0000-0000-00000E040000}"/>
    <cellStyle name="Normal 18 7" xfId="1202" xr:uid="{00000000-0005-0000-0000-00000F040000}"/>
    <cellStyle name="Normal 19" xfId="87" xr:uid="{00000000-0005-0000-0000-000010040000}"/>
    <cellStyle name="Normal 19 2" xfId="17" xr:uid="{00000000-0005-0000-0000-000011040000}"/>
    <cellStyle name="Normal 2" xfId="4" xr:uid="{00000000-0005-0000-0000-000012040000}"/>
    <cellStyle name="Normal 2 2" xfId="5" xr:uid="{00000000-0005-0000-0000-000013040000}"/>
    <cellStyle name="Normal 2 2 2" xfId="6" xr:uid="{00000000-0005-0000-0000-000014040000}"/>
    <cellStyle name="Normal 2 2 2 2" xfId="139" xr:uid="{00000000-0005-0000-0000-000015040000}"/>
    <cellStyle name="Normal 2 2 2 3" xfId="154" xr:uid="{00000000-0005-0000-0000-000016040000}"/>
    <cellStyle name="Normal 2 2 2 3 2" xfId="308" xr:uid="{00000000-0005-0000-0000-000017040000}"/>
    <cellStyle name="Normal 2 2 2 3 2 2" xfId="1093" xr:uid="{00000000-0005-0000-0000-000018040000}"/>
    <cellStyle name="Normal 2 2 2 3 2 2 2" xfId="2139" xr:uid="{00000000-0005-0000-0000-000019040000}"/>
    <cellStyle name="Normal 2 2 2 3 2 3" xfId="827" xr:uid="{00000000-0005-0000-0000-00001A040000}"/>
    <cellStyle name="Normal 2 2 2 3 2 3 2" xfId="1873" xr:uid="{00000000-0005-0000-0000-00001B040000}"/>
    <cellStyle name="Normal 2 2 2 3 2 4" xfId="556" xr:uid="{00000000-0005-0000-0000-00001C040000}"/>
    <cellStyle name="Normal 2 2 2 3 2 4 2" xfId="1607" xr:uid="{00000000-0005-0000-0000-00001D040000}"/>
    <cellStyle name="Normal 2 2 2 3 2 5" xfId="1359" xr:uid="{00000000-0005-0000-0000-00001E040000}"/>
    <cellStyle name="Normal 2 2 2 3 3" xfId="969" xr:uid="{00000000-0005-0000-0000-00001F040000}"/>
    <cellStyle name="Normal 2 2 2 3 3 2" xfId="2015" xr:uid="{00000000-0005-0000-0000-000020040000}"/>
    <cellStyle name="Normal 2 2 2 3 4" xfId="703" xr:uid="{00000000-0005-0000-0000-000021040000}"/>
    <cellStyle name="Normal 2 2 2 3 4 2" xfId="1749" xr:uid="{00000000-0005-0000-0000-000022040000}"/>
    <cellStyle name="Normal 2 2 2 3 5" xfId="432" xr:uid="{00000000-0005-0000-0000-000023040000}"/>
    <cellStyle name="Normal 2 2 2 3 5 2" xfId="1483" xr:uid="{00000000-0005-0000-0000-000024040000}"/>
    <cellStyle name="Normal 2 2 2 3 6" xfId="1235" xr:uid="{00000000-0005-0000-0000-000025040000}"/>
    <cellStyle name="Normal 2 2 2 4" xfId="261" xr:uid="{00000000-0005-0000-0000-000026040000}"/>
    <cellStyle name="Normal 2 2 2 4 2" xfId="1046" xr:uid="{00000000-0005-0000-0000-000027040000}"/>
    <cellStyle name="Normal 2 2 2 4 2 2" xfId="2092" xr:uid="{00000000-0005-0000-0000-000028040000}"/>
    <cellStyle name="Normal 2 2 2 4 3" xfId="780" xr:uid="{00000000-0005-0000-0000-000029040000}"/>
    <cellStyle name="Normal 2 2 2 4 3 2" xfId="1826" xr:uid="{00000000-0005-0000-0000-00002A040000}"/>
    <cellStyle name="Normal 2 2 2 4 4" xfId="509" xr:uid="{00000000-0005-0000-0000-00002B040000}"/>
    <cellStyle name="Normal 2 2 2 4 4 2" xfId="1560" xr:uid="{00000000-0005-0000-0000-00002C040000}"/>
    <cellStyle name="Normal 2 2 2 4 5" xfId="1312" xr:uid="{00000000-0005-0000-0000-00002D040000}"/>
    <cellStyle name="Normal 2 2 2 5" xfId="922" xr:uid="{00000000-0005-0000-0000-00002E040000}"/>
    <cellStyle name="Normal 2 2 2 5 2" xfId="1968" xr:uid="{00000000-0005-0000-0000-00002F040000}"/>
    <cellStyle name="Normal 2 2 2 6" xfId="656" xr:uid="{00000000-0005-0000-0000-000030040000}"/>
    <cellStyle name="Normal 2 2 2 6 2" xfId="1702" xr:uid="{00000000-0005-0000-0000-000031040000}"/>
    <cellStyle name="Normal 2 2 2 7" xfId="385" xr:uid="{00000000-0005-0000-0000-000032040000}"/>
    <cellStyle name="Normal 2 2 2 7 2" xfId="1436" xr:uid="{00000000-0005-0000-0000-000033040000}"/>
    <cellStyle name="Normal 2 2 2 8" xfId="1188" xr:uid="{00000000-0005-0000-0000-000034040000}"/>
    <cellStyle name="Normal 2 2 3" xfId="88" xr:uid="{00000000-0005-0000-0000-000035040000}"/>
    <cellStyle name="Normal 2 2 4" xfId="89" xr:uid="{00000000-0005-0000-0000-000036040000}"/>
    <cellStyle name="Normal 2 2 4 2" xfId="169" xr:uid="{00000000-0005-0000-0000-000037040000}"/>
    <cellStyle name="Normal 2 2 4 2 2" xfId="323" xr:uid="{00000000-0005-0000-0000-000038040000}"/>
    <cellStyle name="Normal 2 2 4 2 2 2" xfId="1108" xr:uid="{00000000-0005-0000-0000-000039040000}"/>
    <cellStyle name="Normal 2 2 4 2 2 2 2" xfId="2154" xr:uid="{00000000-0005-0000-0000-00003A040000}"/>
    <cellStyle name="Normal 2 2 4 2 2 3" xfId="842" xr:uid="{00000000-0005-0000-0000-00003B040000}"/>
    <cellStyle name="Normal 2 2 4 2 2 3 2" xfId="1888" xr:uid="{00000000-0005-0000-0000-00003C040000}"/>
    <cellStyle name="Normal 2 2 4 2 2 4" xfId="571" xr:uid="{00000000-0005-0000-0000-00003D040000}"/>
    <cellStyle name="Normal 2 2 4 2 2 4 2" xfId="1622" xr:uid="{00000000-0005-0000-0000-00003E040000}"/>
    <cellStyle name="Normal 2 2 4 2 2 5" xfId="1374" xr:uid="{00000000-0005-0000-0000-00003F040000}"/>
    <cellStyle name="Normal 2 2 4 2 3" xfId="984" xr:uid="{00000000-0005-0000-0000-000040040000}"/>
    <cellStyle name="Normal 2 2 4 2 3 2" xfId="2030" xr:uid="{00000000-0005-0000-0000-000041040000}"/>
    <cellStyle name="Normal 2 2 4 2 4" xfId="718" xr:uid="{00000000-0005-0000-0000-000042040000}"/>
    <cellStyle name="Normal 2 2 4 2 4 2" xfId="1764" xr:uid="{00000000-0005-0000-0000-000043040000}"/>
    <cellStyle name="Normal 2 2 4 2 5" xfId="447" xr:uid="{00000000-0005-0000-0000-000044040000}"/>
    <cellStyle name="Normal 2 2 4 2 5 2" xfId="1498" xr:uid="{00000000-0005-0000-0000-000045040000}"/>
    <cellStyle name="Normal 2 2 4 2 6" xfId="1250" xr:uid="{00000000-0005-0000-0000-000046040000}"/>
    <cellStyle name="Normal 2 2 4 3" xfId="276" xr:uid="{00000000-0005-0000-0000-000047040000}"/>
    <cellStyle name="Normal 2 2 4 3 2" xfId="1061" xr:uid="{00000000-0005-0000-0000-000048040000}"/>
    <cellStyle name="Normal 2 2 4 3 2 2" xfId="2107" xr:uid="{00000000-0005-0000-0000-000049040000}"/>
    <cellStyle name="Normal 2 2 4 3 3" xfId="795" xr:uid="{00000000-0005-0000-0000-00004A040000}"/>
    <cellStyle name="Normal 2 2 4 3 3 2" xfId="1841" xr:uid="{00000000-0005-0000-0000-00004B040000}"/>
    <cellStyle name="Normal 2 2 4 3 4" xfId="524" xr:uid="{00000000-0005-0000-0000-00004C040000}"/>
    <cellStyle name="Normal 2 2 4 3 4 2" xfId="1575" xr:uid="{00000000-0005-0000-0000-00004D040000}"/>
    <cellStyle name="Normal 2 2 4 3 5" xfId="1327" xr:uid="{00000000-0005-0000-0000-00004E040000}"/>
    <cellStyle name="Normal 2 2 4 4" xfId="937" xr:uid="{00000000-0005-0000-0000-00004F040000}"/>
    <cellStyle name="Normal 2 2 4 4 2" xfId="1983" xr:uid="{00000000-0005-0000-0000-000050040000}"/>
    <cellStyle name="Normal 2 2 4 5" xfId="671" xr:uid="{00000000-0005-0000-0000-000051040000}"/>
    <cellStyle name="Normal 2 2 4 5 2" xfId="1717" xr:uid="{00000000-0005-0000-0000-000052040000}"/>
    <cellStyle name="Normal 2 2 4 6" xfId="400" xr:uid="{00000000-0005-0000-0000-000053040000}"/>
    <cellStyle name="Normal 2 2 4 6 2" xfId="1451" xr:uid="{00000000-0005-0000-0000-000054040000}"/>
    <cellStyle name="Normal 2 2 4 7" xfId="1203" xr:uid="{00000000-0005-0000-0000-000055040000}"/>
    <cellStyle name="Normal 2 2 5" xfId="138" xr:uid="{00000000-0005-0000-0000-000056040000}"/>
    <cellStyle name="Normal 2 2 5 2" xfId="192" xr:uid="{00000000-0005-0000-0000-000057040000}"/>
    <cellStyle name="Normal 2 2 5 2 2" xfId="346" xr:uid="{00000000-0005-0000-0000-000058040000}"/>
    <cellStyle name="Normal 2 2 5 2 2 2" xfId="1131" xr:uid="{00000000-0005-0000-0000-000059040000}"/>
    <cellStyle name="Normal 2 2 5 2 2 2 2" xfId="2177" xr:uid="{00000000-0005-0000-0000-00005A040000}"/>
    <cellStyle name="Normal 2 2 5 2 2 3" xfId="865" xr:uid="{00000000-0005-0000-0000-00005B040000}"/>
    <cellStyle name="Normal 2 2 5 2 2 3 2" xfId="1911" xr:uid="{00000000-0005-0000-0000-00005C040000}"/>
    <cellStyle name="Normal 2 2 5 2 2 4" xfId="594" xr:uid="{00000000-0005-0000-0000-00005D040000}"/>
    <cellStyle name="Normal 2 2 5 2 2 4 2" xfId="1645" xr:uid="{00000000-0005-0000-0000-00005E040000}"/>
    <cellStyle name="Normal 2 2 5 2 2 5" xfId="1397" xr:uid="{00000000-0005-0000-0000-00005F040000}"/>
    <cellStyle name="Normal 2 2 5 2 3" xfId="1007" xr:uid="{00000000-0005-0000-0000-000060040000}"/>
    <cellStyle name="Normal 2 2 5 2 3 2" xfId="2053" xr:uid="{00000000-0005-0000-0000-000061040000}"/>
    <cellStyle name="Normal 2 2 5 2 4" xfId="741" xr:uid="{00000000-0005-0000-0000-000062040000}"/>
    <cellStyle name="Normal 2 2 5 2 4 2" xfId="1787" xr:uid="{00000000-0005-0000-0000-000063040000}"/>
    <cellStyle name="Normal 2 2 5 2 5" xfId="470" xr:uid="{00000000-0005-0000-0000-000064040000}"/>
    <cellStyle name="Normal 2 2 5 2 5 2" xfId="1521" xr:uid="{00000000-0005-0000-0000-000065040000}"/>
    <cellStyle name="Normal 2 2 5 2 6" xfId="1273" xr:uid="{00000000-0005-0000-0000-000066040000}"/>
    <cellStyle name="Normal 2 2 5 3" xfId="299" xr:uid="{00000000-0005-0000-0000-000067040000}"/>
    <cellStyle name="Normal 2 2 5 3 2" xfId="1084" xr:uid="{00000000-0005-0000-0000-000068040000}"/>
    <cellStyle name="Normal 2 2 5 3 2 2" xfId="2130" xr:uid="{00000000-0005-0000-0000-000069040000}"/>
    <cellStyle name="Normal 2 2 5 3 3" xfId="818" xr:uid="{00000000-0005-0000-0000-00006A040000}"/>
    <cellStyle name="Normal 2 2 5 3 3 2" xfId="1864" xr:uid="{00000000-0005-0000-0000-00006B040000}"/>
    <cellStyle name="Normal 2 2 5 3 4" xfId="547" xr:uid="{00000000-0005-0000-0000-00006C040000}"/>
    <cellStyle name="Normal 2 2 5 3 4 2" xfId="1598" xr:uid="{00000000-0005-0000-0000-00006D040000}"/>
    <cellStyle name="Normal 2 2 5 3 5" xfId="1350" xr:uid="{00000000-0005-0000-0000-00006E040000}"/>
    <cellStyle name="Normal 2 2 5 4" xfId="960" xr:uid="{00000000-0005-0000-0000-00006F040000}"/>
    <cellStyle name="Normal 2 2 5 4 2" xfId="2006" xr:uid="{00000000-0005-0000-0000-000070040000}"/>
    <cellStyle name="Normal 2 2 5 5" xfId="694" xr:uid="{00000000-0005-0000-0000-000071040000}"/>
    <cellStyle name="Normal 2 2 5 5 2" xfId="1740" xr:uid="{00000000-0005-0000-0000-000072040000}"/>
    <cellStyle name="Normal 2 2 5 6" xfId="423" xr:uid="{00000000-0005-0000-0000-000073040000}"/>
    <cellStyle name="Normal 2 2 5 6 2" xfId="1474" xr:uid="{00000000-0005-0000-0000-000074040000}"/>
    <cellStyle name="Normal 2 2 5 7" xfId="1226" xr:uid="{00000000-0005-0000-0000-000075040000}"/>
    <cellStyle name="Normal 2 3" xfId="90" xr:uid="{00000000-0005-0000-0000-000076040000}"/>
    <cellStyle name="Normal 2 3 10" xfId="1204" xr:uid="{00000000-0005-0000-0000-000077040000}"/>
    <cellStyle name="Normal 2 3 2" xfId="91" xr:uid="{00000000-0005-0000-0000-000078040000}"/>
    <cellStyle name="Normal 2 3 2 2" xfId="141" xr:uid="{00000000-0005-0000-0000-000079040000}"/>
    <cellStyle name="Normal 2 3 2 2 2" xfId="194" xr:uid="{00000000-0005-0000-0000-00007A040000}"/>
    <cellStyle name="Normal 2 3 2 2 2 2" xfId="348" xr:uid="{00000000-0005-0000-0000-00007B040000}"/>
    <cellStyle name="Normal 2 3 2 2 2 2 2" xfId="1133" xr:uid="{00000000-0005-0000-0000-00007C040000}"/>
    <cellStyle name="Normal 2 3 2 2 2 2 2 2" xfId="2179" xr:uid="{00000000-0005-0000-0000-00007D040000}"/>
    <cellStyle name="Normal 2 3 2 2 2 2 3" xfId="867" xr:uid="{00000000-0005-0000-0000-00007E040000}"/>
    <cellStyle name="Normal 2 3 2 2 2 2 3 2" xfId="1913" xr:uid="{00000000-0005-0000-0000-00007F040000}"/>
    <cellStyle name="Normal 2 3 2 2 2 2 4" xfId="596" xr:uid="{00000000-0005-0000-0000-000080040000}"/>
    <cellStyle name="Normal 2 3 2 2 2 2 4 2" xfId="1647" xr:uid="{00000000-0005-0000-0000-000081040000}"/>
    <cellStyle name="Normal 2 3 2 2 2 2 5" xfId="1399" xr:uid="{00000000-0005-0000-0000-000082040000}"/>
    <cellStyle name="Normal 2 3 2 2 2 3" xfId="1009" xr:uid="{00000000-0005-0000-0000-000083040000}"/>
    <cellStyle name="Normal 2 3 2 2 2 3 2" xfId="2055" xr:uid="{00000000-0005-0000-0000-000084040000}"/>
    <cellStyle name="Normal 2 3 2 2 2 4" xfId="743" xr:uid="{00000000-0005-0000-0000-000085040000}"/>
    <cellStyle name="Normal 2 3 2 2 2 4 2" xfId="1789" xr:uid="{00000000-0005-0000-0000-000086040000}"/>
    <cellStyle name="Normal 2 3 2 2 2 5" xfId="472" xr:uid="{00000000-0005-0000-0000-000087040000}"/>
    <cellStyle name="Normal 2 3 2 2 2 5 2" xfId="1523" xr:uid="{00000000-0005-0000-0000-000088040000}"/>
    <cellStyle name="Normal 2 3 2 2 2 6" xfId="1275" xr:uid="{00000000-0005-0000-0000-000089040000}"/>
    <cellStyle name="Normal 2 3 2 2 3" xfId="301" xr:uid="{00000000-0005-0000-0000-00008A040000}"/>
    <cellStyle name="Normal 2 3 2 2 3 2" xfId="1086" xr:uid="{00000000-0005-0000-0000-00008B040000}"/>
    <cellStyle name="Normal 2 3 2 2 3 2 2" xfId="2132" xr:uid="{00000000-0005-0000-0000-00008C040000}"/>
    <cellStyle name="Normal 2 3 2 2 3 3" xfId="820" xr:uid="{00000000-0005-0000-0000-00008D040000}"/>
    <cellStyle name="Normal 2 3 2 2 3 3 2" xfId="1866" xr:uid="{00000000-0005-0000-0000-00008E040000}"/>
    <cellStyle name="Normal 2 3 2 2 3 4" xfId="549" xr:uid="{00000000-0005-0000-0000-00008F040000}"/>
    <cellStyle name="Normal 2 3 2 2 3 4 2" xfId="1600" xr:uid="{00000000-0005-0000-0000-000090040000}"/>
    <cellStyle name="Normal 2 3 2 2 3 5" xfId="1352" xr:uid="{00000000-0005-0000-0000-000091040000}"/>
    <cellStyle name="Normal 2 3 2 2 4" xfId="962" xr:uid="{00000000-0005-0000-0000-000092040000}"/>
    <cellStyle name="Normal 2 3 2 2 4 2" xfId="2008" xr:uid="{00000000-0005-0000-0000-000093040000}"/>
    <cellStyle name="Normal 2 3 2 2 5" xfId="696" xr:uid="{00000000-0005-0000-0000-000094040000}"/>
    <cellStyle name="Normal 2 3 2 2 5 2" xfId="1742" xr:uid="{00000000-0005-0000-0000-000095040000}"/>
    <cellStyle name="Normal 2 3 2 2 6" xfId="425" xr:uid="{00000000-0005-0000-0000-000096040000}"/>
    <cellStyle name="Normal 2 3 2 2 6 2" xfId="1476" xr:uid="{00000000-0005-0000-0000-000097040000}"/>
    <cellStyle name="Normal 2 3 2 2 7" xfId="1228" xr:uid="{00000000-0005-0000-0000-000098040000}"/>
    <cellStyle name="Normal 2 3 2 3" xfId="171" xr:uid="{00000000-0005-0000-0000-000099040000}"/>
    <cellStyle name="Normal 2 3 2 3 2" xfId="325" xr:uid="{00000000-0005-0000-0000-00009A040000}"/>
    <cellStyle name="Normal 2 3 2 3 2 2" xfId="1110" xr:uid="{00000000-0005-0000-0000-00009B040000}"/>
    <cellStyle name="Normal 2 3 2 3 2 2 2" xfId="2156" xr:uid="{00000000-0005-0000-0000-00009C040000}"/>
    <cellStyle name="Normal 2 3 2 3 2 3" xfId="844" xr:uid="{00000000-0005-0000-0000-00009D040000}"/>
    <cellStyle name="Normal 2 3 2 3 2 3 2" xfId="1890" xr:uid="{00000000-0005-0000-0000-00009E040000}"/>
    <cellStyle name="Normal 2 3 2 3 2 4" xfId="573" xr:uid="{00000000-0005-0000-0000-00009F040000}"/>
    <cellStyle name="Normal 2 3 2 3 2 4 2" xfId="1624" xr:uid="{00000000-0005-0000-0000-0000A0040000}"/>
    <cellStyle name="Normal 2 3 2 3 2 5" xfId="1376" xr:uid="{00000000-0005-0000-0000-0000A1040000}"/>
    <cellStyle name="Normal 2 3 2 3 3" xfId="986" xr:uid="{00000000-0005-0000-0000-0000A2040000}"/>
    <cellStyle name="Normal 2 3 2 3 3 2" xfId="2032" xr:uid="{00000000-0005-0000-0000-0000A3040000}"/>
    <cellStyle name="Normal 2 3 2 3 4" xfId="720" xr:uid="{00000000-0005-0000-0000-0000A4040000}"/>
    <cellStyle name="Normal 2 3 2 3 4 2" xfId="1766" xr:uid="{00000000-0005-0000-0000-0000A5040000}"/>
    <cellStyle name="Normal 2 3 2 3 5" xfId="449" xr:uid="{00000000-0005-0000-0000-0000A6040000}"/>
    <cellStyle name="Normal 2 3 2 3 5 2" xfId="1500" xr:uid="{00000000-0005-0000-0000-0000A7040000}"/>
    <cellStyle name="Normal 2 3 2 3 6" xfId="1252" xr:uid="{00000000-0005-0000-0000-0000A8040000}"/>
    <cellStyle name="Normal 2 3 2 4" xfId="278" xr:uid="{00000000-0005-0000-0000-0000A9040000}"/>
    <cellStyle name="Normal 2 3 2 4 2" xfId="1063" xr:uid="{00000000-0005-0000-0000-0000AA040000}"/>
    <cellStyle name="Normal 2 3 2 4 2 2" xfId="2109" xr:uid="{00000000-0005-0000-0000-0000AB040000}"/>
    <cellStyle name="Normal 2 3 2 4 3" xfId="797" xr:uid="{00000000-0005-0000-0000-0000AC040000}"/>
    <cellStyle name="Normal 2 3 2 4 3 2" xfId="1843" xr:uid="{00000000-0005-0000-0000-0000AD040000}"/>
    <cellStyle name="Normal 2 3 2 4 4" xfId="526" xr:uid="{00000000-0005-0000-0000-0000AE040000}"/>
    <cellStyle name="Normal 2 3 2 4 4 2" xfId="1577" xr:uid="{00000000-0005-0000-0000-0000AF040000}"/>
    <cellStyle name="Normal 2 3 2 4 5" xfId="1329" xr:uid="{00000000-0005-0000-0000-0000B0040000}"/>
    <cellStyle name="Normal 2 3 2 5" xfId="939" xr:uid="{00000000-0005-0000-0000-0000B1040000}"/>
    <cellStyle name="Normal 2 3 2 5 2" xfId="1985" xr:uid="{00000000-0005-0000-0000-0000B2040000}"/>
    <cellStyle name="Normal 2 3 2 6" xfId="673" xr:uid="{00000000-0005-0000-0000-0000B3040000}"/>
    <cellStyle name="Normal 2 3 2 6 2" xfId="1719" xr:uid="{00000000-0005-0000-0000-0000B4040000}"/>
    <cellStyle name="Normal 2 3 2 7" xfId="402" xr:uid="{00000000-0005-0000-0000-0000B5040000}"/>
    <cellStyle name="Normal 2 3 2 7 2" xfId="1453" xr:uid="{00000000-0005-0000-0000-0000B6040000}"/>
    <cellStyle name="Normal 2 3 2 8" xfId="1205" xr:uid="{00000000-0005-0000-0000-0000B7040000}"/>
    <cellStyle name="Normal 2 3 3" xfId="92" xr:uid="{00000000-0005-0000-0000-0000B8040000}"/>
    <cellStyle name="Normal 2 3 4" xfId="140" xr:uid="{00000000-0005-0000-0000-0000B9040000}"/>
    <cellStyle name="Normal 2 3 4 2" xfId="193" xr:uid="{00000000-0005-0000-0000-0000BA040000}"/>
    <cellStyle name="Normal 2 3 4 2 2" xfId="347" xr:uid="{00000000-0005-0000-0000-0000BB040000}"/>
    <cellStyle name="Normal 2 3 4 2 2 2" xfId="1132" xr:uid="{00000000-0005-0000-0000-0000BC040000}"/>
    <cellStyle name="Normal 2 3 4 2 2 2 2" xfId="2178" xr:uid="{00000000-0005-0000-0000-0000BD040000}"/>
    <cellStyle name="Normal 2 3 4 2 2 3" xfId="866" xr:uid="{00000000-0005-0000-0000-0000BE040000}"/>
    <cellStyle name="Normal 2 3 4 2 2 3 2" xfId="1912" xr:uid="{00000000-0005-0000-0000-0000BF040000}"/>
    <cellStyle name="Normal 2 3 4 2 2 4" xfId="595" xr:uid="{00000000-0005-0000-0000-0000C0040000}"/>
    <cellStyle name="Normal 2 3 4 2 2 4 2" xfId="1646" xr:uid="{00000000-0005-0000-0000-0000C1040000}"/>
    <cellStyle name="Normal 2 3 4 2 2 5" xfId="1398" xr:uid="{00000000-0005-0000-0000-0000C2040000}"/>
    <cellStyle name="Normal 2 3 4 2 3" xfId="1008" xr:uid="{00000000-0005-0000-0000-0000C3040000}"/>
    <cellStyle name="Normal 2 3 4 2 3 2" xfId="2054" xr:uid="{00000000-0005-0000-0000-0000C4040000}"/>
    <cellStyle name="Normal 2 3 4 2 4" xfId="742" xr:uid="{00000000-0005-0000-0000-0000C5040000}"/>
    <cellStyle name="Normal 2 3 4 2 4 2" xfId="1788" xr:uid="{00000000-0005-0000-0000-0000C6040000}"/>
    <cellStyle name="Normal 2 3 4 2 5" xfId="471" xr:uid="{00000000-0005-0000-0000-0000C7040000}"/>
    <cellStyle name="Normal 2 3 4 2 5 2" xfId="1522" xr:uid="{00000000-0005-0000-0000-0000C8040000}"/>
    <cellStyle name="Normal 2 3 4 2 6" xfId="1274" xr:uid="{00000000-0005-0000-0000-0000C9040000}"/>
    <cellStyle name="Normal 2 3 4 3" xfId="300" xr:uid="{00000000-0005-0000-0000-0000CA040000}"/>
    <cellStyle name="Normal 2 3 4 3 2" xfId="1085" xr:uid="{00000000-0005-0000-0000-0000CB040000}"/>
    <cellStyle name="Normal 2 3 4 3 2 2" xfId="2131" xr:uid="{00000000-0005-0000-0000-0000CC040000}"/>
    <cellStyle name="Normal 2 3 4 3 3" xfId="819" xr:uid="{00000000-0005-0000-0000-0000CD040000}"/>
    <cellStyle name="Normal 2 3 4 3 3 2" xfId="1865" xr:uid="{00000000-0005-0000-0000-0000CE040000}"/>
    <cellStyle name="Normal 2 3 4 3 4" xfId="548" xr:uid="{00000000-0005-0000-0000-0000CF040000}"/>
    <cellStyle name="Normal 2 3 4 3 4 2" xfId="1599" xr:uid="{00000000-0005-0000-0000-0000D0040000}"/>
    <cellStyle name="Normal 2 3 4 3 5" xfId="1351" xr:uid="{00000000-0005-0000-0000-0000D1040000}"/>
    <cellStyle name="Normal 2 3 4 4" xfId="961" xr:uid="{00000000-0005-0000-0000-0000D2040000}"/>
    <cellStyle name="Normal 2 3 4 4 2" xfId="2007" xr:uid="{00000000-0005-0000-0000-0000D3040000}"/>
    <cellStyle name="Normal 2 3 4 5" xfId="695" xr:uid="{00000000-0005-0000-0000-0000D4040000}"/>
    <cellStyle name="Normal 2 3 4 5 2" xfId="1741" xr:uid="{00000000-0005-0000-0000-0000D5040000}"/>
    <cellStyle name="Normal 2 3 4 6" xfId="424" xr:uid="{00000000-0005-0000-0000-0000D6040000}"/>
    <cellStyle name="Normal 2 3 4 6 2" xfId="1475" xr:uid="{00000000-0005-0000-0000-0000D7040000}"/>
    <cellStyle name="Normal 2 3 4 7" xfId="1227" xr:uid="{00000000-0005-0000-0000-0000D8040000}"/>
    <cellStyle name="Normal 2 3 5" xfId="170" xr:uid="{00000000-0005-0000-0000-0000D9040000}"/>
    <cellStyle name="Normal 2 3 5 2" xfId="324" xr:uid="{00000000-0005-0000-0000-0000DA040000}"/>
    <cellStyle name="Normal 2 3 5 2 2" xfId="1109" xr:uid="{00000000-0005-0000-0000-0000DB040000}"/>
    <cellStyle name="Normal 2 3 5 2 2 2" xfId="2155" xr:uid="{00000000-0005-0000-0000-0000DC040000}"/>
    <cellStyle name="Normal 2 3 5 2 3" xfId="843" xr:uid="{00000000-0005-0000-0000-0000DD040000}"/>
    <cellStyle name="Normal 2 3 5 2 3 2" xfId="1889" xr:uid="{00000000-0005-0000-0000-0000DE040000}"/>
    <cellStyle name="Normal 2 3 5 2 4" xfId="572" xr:uid="{00000000-0005-0000-0000-0000DF040000}"/>
    <cellStyle name="Normal 2 3 5 2 4 2" xfId="1623" xr:uid="{00000000-0005-0000-0000-0000E0040000}"/>
    <cellStyle name="Normal 2 3 5 2 5" xfId="1375" xr:uid="{00000000-0005-0000-0000-0000E1040000}"/>
    <cellStyle name="Normal 2 3 5 3" xfId="985" xr:uid="{00000000-0005-0000-0000-0000E2040000}"/>
    <cellStyle name="Normal 2 3 5 3 2" xfId="2031" xr:uid="{00000000-0005-0000-0000-0000E3040000}"/>
    <cellStyle name="Normal 2 3 5 4" xfId="719" xr:uid="{00000000-0005-0000-0000-0000E4040000}"/>
    <cellStyle name="Normal 2 3 5 4 2" xfId="1765" xr:uid="{00000000-0005-0000-0000-0000E5040000}"/>
    <cellStyle name="Normal 2 3 5 5" xfId="448" xr:uid="{00000000-0005-0000-0000-0000E6040000}"/>
    <cellStyle name="Normal 2 3 5 5 2" xfId="1499" xr:uid="{00000000-0005-0000-0000-0000E7040000}"/>
    <cellStyle name="Normal 2 3 5 6" xfId="1251" xr:uid="{00000000-0005-0000-0000-0000E8040000}"/>
    <cellStyle name="Normal 2 3 6" xfId="277" xr:uid="{00000000-0005-0000-0000-0000E9040000}"/>
    <cellStyle name="Normal 2 3 6 2" xfId="1062" xr:uid="{00000000-0005-0000-0000-0000EA040000}"/>
    <cellStyle name="Normal 2 3 6 2 2" xfId="2108" xr:uid="{00000000-0005-0000-0000-0000EB040000}"/>
    <cellStyle name="Normal 2 3 6 3" xfId="796" xr:uid="{00000000-0005-0000-0000-0000EC040000}"/>
    <cellStyle name="Normal 2 3 6 3 2" xfId="1842" xr:uid="{00000000-0005-0000-0000-0000ED040000}"/>
    <cellStyle name="Normal 2 3 6 4" xfId="525" xr:uid="{00000000-0005-0000-0000-0000EE040000}"/>
    <cellStyle name="Normal 2 3 6 4 2" xfId="1576" xr:uid="{00000000-0005-0000-0000-0000EF040000}"/>
    <cellStyle name="Normal 2 3 6 5" xfId="1328" xr:uid="{00000000-0005-0000-0000-0000F0040000}"/>
    <cellStyle name="Normal 2 3 7" xfId="938" xr:uid="{00000000-0005-0000-0000-0000F1040000}"/>
    <cellStyle name="Normal 2 3 7 2" xfId="1984" xr:uid="{00000000-0005-0000-0000-0000F2040000}"/>
    <cellStyle name="Normal 2 3 8" xfId="672" xr:uid="{00000000-0005-0000-0000-0000F3040000}"/>
    <cellStyle name="Normal 2 3 8 2" xfId="1718" xr:uid="{00000000-0005-0000-0000-0000F4040000}"/>
    <cellStyle name="Normal 2 3 9" xfId="401" xr:uid="{00000000-0005-0000-0000-0000F5040000}"/>
    <cellStyle name="Normal 2 3 9 2" xfId="1452" xr:uid="{00000000-0005-0000-0000-0000F6040000}"/>
    <cellStyle name="Normal 2 4" xfId="93" xr:uid="{00000000-0005-0000-0000-0000F7040000}"/>
    <cellStyle name="Normal 2 5" xfId="94" xr:uid="{00000000-0005-0000-0000-0000F8040000}"/>
    <cellStyle name="Normal 2 6" xfId="95" xr:uid="{00000000-0005-0000-0000-0000F9040000}"/>
    <cellStyle name="Normal 2 7" xfId="96" xr:uid="{00000000-0005-0000-0000-0000FA040000}"/>
    <cellStyle name="Normal 2 7 2" xfId="172" xr:uid="{00000000-0005-0000-0000-0000FB040000}"/>
    <cellStyle name="Normal 2 7 2 2" xfId="326" xr:uid="{00000000-0005-0000-0000-0000FC040000}"/>
    <cellStyle name="Normal 2 7 2 2 2" xfId="1111" xr:uid="{00000000-0005-0000-0000-0000FD040000}"/>
    <cellStyle name="Normal 2 7 2 2 2 2" xfId="2157" xr:uid="{00000000-0005-0000-0000-0000FE040000}"/>
    <cellStyle name="Normal 2 7 2 2 3" xfId="845" xr:uid="{00000000-0005-0000-0000-0000FF040000}"/>
    <cellStyle name="Normal 2 7 2 2 3 2" xfId="1891" xr:uid="{00000000-0005-0000-0000-000000050000}"/>
    <cellStyle name="Normal 2 7 2 2 4" xfId="574" xr:uid="{00000000-0005-0000-0000-000001050000}"/>
    <cellStyle name="Normal 2 7 2 2 4 2" xfId="1625" xr:uid="{00000000-0005-0000-0000-000002050000}"/>
    <cellStyle name="Normal 2 7 2 2 5" xfId="1377" xr:uid="{00000000-0005-0000-0000-000003050000}"/>
    <cellStyle name="Normal 2 7 2 3" xfId="987" xr:uid="{00000000-0005-0000-0000-000004050000}"/>
    <cellStyle name="Normal 2 7 2 3 2" xfId="2033" xr:uid="{00000000-0005-0000-0000-000005050000}"/>
    <cellStyle name="Normal 2 7 2 4" xfId="721" xr:uid="{00000000-0005-0000-0000-000006050000}"/>
    <cellStyle name="Normal 2 7 2 4 2" xfId="1767" xr:uid="{00000000-0005-0000-0000-000007050000}"/>
    <cellStyle name="Normal 2 7 2 5" xfId="450" xr:uid="{00000000-0005-0000-0000-000008050000}"/>
    <cellStyle name="Normal 2 7 2 5 2" xfId="1501" xr:uid="{00000000-0005-0000-0000-000009050000}"/>
    <cellStyle name="Normal 2 7 2 6" xfId="1253" xr:uid="{00000000-0005-0000-0000-00000A050000}"/>
    <cellStyle name="Normal 2 7 3" xfId="279" xr:uid="{00000000-0005-0000-0000-00000B050000}"/>
    <cellStyle name="Normal 2 7 3 2" xfId="1064" xr:uid="{00000000-0005-0000-0000-00000C050000}"/>
    <cellStyle name="Normal 2 7 3 2 2" xfId="2110" xr:uid="{00000000-0005-0000-0000-00000D050000}"/>
    <cellStyle name="Normal 2 7 3 3" xfId="798" xr:uid="{00000000-0005-0000-0000-00000E050000}"/>
    <cellStyle name="Normal 2 7 3 3 2" xfId="1844" xr:uid="{00000000-0005-0000-0000-00000F050000}"/>
    <cellStyle name="Normal 2 7 3 4" xfId="527" xr:uid="{00000000-0005-0000-0000-000010050000}"/>
    <cellStyle name="Normal 2 7 3 4 2" xfId="1578" xr:uid="{00000000-0005-0000-0000-000011050000}"/>
    <cellStyle name="Normal 2 7 3 5" xfId="1330" xr:uid="{00000000-0005-0000-0000-000012050000}"/>
    <cellStyle name="Normal 2 7 4" xfId="940" xr:uid="{00000000-0005-0000-0000-000013050000}"/>
    <cellStyle name="Normal 2 7 4 2" xfId="1986" xr:uid="{00000000-0005-0000-0000-000014050000}"/>
    <cellStyle name="Normal 2 7 5" xfId="674" xr:uid="{00000000-0005-0000-0000-000015050000}"/>
    <cellStyle name="Normal 2 7 5 2" xfId="1720" xr:uid="{00000000-0005-0000-0000-000016050000}"/>
    <cellStyle name="Normal 2 7 6" xfId="403" xr:uid="{00000000-0005-0000-0000-000017050000}"/>
    <cellStyle name="Normal 2 7 6 2" xfId="1454" xr:uid="{00000000-0005-0000-0000-000018050000}"/>
    <cellStyle name="Normal 2 7 7" xfId="1206" xr:uid="{00000000-0005-0000-0000-000019050000}"/>
    <cellStyle name="Normal 20" xfId="97" xr:uid="{00000000-0005-0000-0000-00001A050000}"/>
    <cellStyle name="Normal 20 2" xfId="173" xr:uid="{00000000-0005-0000-0000-00001B050000}"/>
    <cellStyle name="Normal 20 2 2" xfId="327" xr:uid="{00000000-0005-0000-0000-00001C050000}"/>
    <cellStyle name="Normal 20 2 2 2" xfId="1112" xr:uid="{00000000-0005-0000-0000-00001D050000}"/>
    <cellStyle name="Normal 20 2 2 2 2" xfId="2158" xr:uid="{00000000-0005-0000-0000-00001E050000}"/>
    <cellStyle name="Normal 20 2 2 3" xfId="846" xr:uid="{00000000-0005-0000-0000-00001F050000}"/>
    <cellStyle name="Normal 20 2 2 3 2" xfId="1892" xr:uid="{00000000-0005-0000-0000-000020050000}"/>
    <cellStyle name="Normal 20 2 2 4" xfId="575" xr:uid="{00000000-0005-0000-0000-000021050000}"/>
    <cellStyle name="Normal 20 2 2 4 2" xfId="1626" xr:uid="{00000000-0005-0000-0000-000022050000}"/>
    <cellStyle name="Normal 20 2 2 5" xfId="1378" xr:uid="{00000000-0005-0000-0000-000023050000}"/>
    <cellStyle name="Normal 20 2 3" xfId="988" xr:uid="{00000000-0005-0000-0000-000024050000}"/>
    <cellStyle name="Normal 20 2 3 2" xfId="2034" xr:uid="{00000000-0005-0000-0000-000025050000}"/>
    <cellStyle name="Normal 20 2 4" xfId="722" xr:uid="{00000000-0005-0000-0000-000026050000}"/>
    <cellStyle name="Normal 20 2 4 2" xfId="1768" xr:uid="{00000000-0005-0000-0000-000027050000}"/>
    <cellStyle name="Normal 20 2 5" xfId="451" xr:uid="{00000000-0005-0000-0000-000028050000}"/>
    <cellStyle name="Normal 20 2 5 2" xfId="1502" xr:uid="{00000000-0005-0000-0000-000029050000}"/>
    <cellStyle name="Normal 20 2 6" xfId="1254" xr:uid="{00000000-0005-0000-0000-00002A050000}"/>
    <cellStyle name="Normal 20 3" xfId="280" xr:uid="{00000000-0005-0000-0000-00002B050000}"/>
    <cellStyle name="Normal 20 3 2" xfId="1065" xr:uid="{00000000-0005-0000-0000-00002C050000}"/>
    <cellStyle name="Normal 20 3 2 2" xfId="2111" xr:uid="{00000000-0005-0000-0000-00002D050000}"/>
    <cellStyle name="Normal 20 3 3" xfId="799" xr:uid="{00000000-0005-0000-0000-00002E050000}"/>
    <cellStyle name="Normal 20 3 3 2" xfId="1845" xr:uid="{00000000-0005-0000-0000-00002F050000}"/>
    <cellStyle name="Normal 20 3 4" xfId="528" xr:uid="{00000000-0005-0000-0000-000030050000}"/>
    <cellStyle name="Normal 20 3 4 2" xfId="1579" xr:uid="{00000000-0005-0000-0000-000031050000}"/>
    <cellStyle name="Normal 20 3 5" xfId="1331" xr:uid="{00000000-0005-0000-0000-000032050000}"/>
    <cellStyle name="Normal 20 4" xfId="941" xr:uid="{00000000-0005-0000-0000-000033050000}"/>
    <cellStyle name="Normal 20 4 2" xfId="1987" xr:uid="{00000000-0005-0000-0000-000034050000}"/>
    <cellStyle name="Normal 20 5" xfId="675" xr:uid="{00000000-0005-0000-0000-000035050000}"/>
    <cellStyle name="Normal 20 5 2" xfId="1721" xr:uid="{00000000-0005-0000-0000-000036050000}"/>
    <cellStyle name="Normal 20 6" xfId="404" xr:uid="{00000000-0005-0000-0000-000037050000}"/>
    <cellStyle name="Normal 20 6 2" xfId="1455" xr:uid="{00000000-0005-0000-0000-000038050000}"/>
    <cellStyle name="Normal 20 7" xfId="1207" xr:uid="{00000000-0005-0000-0000-000039050000}"/>
    <cellStyle name="Normal 21" xfId="133" xr:uid="{00000000-0005-0000-0000-00003A050000}"/>
    <cellStyle name="Normal 21 2" xfId="187" xr:uid="{00000000-0005-0000-0000-00003B050000}"/>
    <cellStyle name="Normal 21 2 2" xfId="341" xr:uid="{00000000-0005-0000-0000-00003C050000}"/>
    <cellStyle name="Normal 21 2 2 2" xfId="1126" xr:uid="{00000000-0005-0000-0000-00003D050000}"/>
    <cellStyle name="Normal 21 2 2 2 2" xfId="2172" xr:uid="{00000000-0005-0000-0000-00003E050000}"/>
    <cellStyle name="Normal 21 2 2 3" xfId="860" xr:uid="{00000000-0005-0000-0000-00003F050000}"/>
    <cellStyle name="Normal 21 2 2 3 2" xfId="1906" xr:uid="{00000000-0005-0000-0000-000040050000}"/>
    <cellStyle name="Normal 21 2 2 4" xfId="589" xr:uid="{00000000-0005-0000-0000-000041050000}"/>
    <cellStyle name="Normal 21 2 2 4 2" xfId="1640" xr:uid="{00000000-0005-0000-0000-000042050000}"/>
    <cellStyle name="Normal 21 2 2 5" xfId="1392" xr:uid="{00000000-0005-0000-0000-000043050000}"/>
    <cellStyle name="Normal 21 2 3" xfId="1002" xr:uid="{00000000-0005-0000-0000-000044050000}"/>
    <cellStyle name="Normal 21 2 3 2" xfId="2048" xr:uid="{00000000-0005-0000-0000-000045050000}"/>
    <cellStyle name="Normal 21 2 4" xfId="736" xr:uid="{00000000-0005-0000-0000-000046050000}"/>
    <cellStyle name="Normal 21 2 4 2" xfId="1782" xr:uid="{00000000-0005-0000-0000-000047050000}"/>
    <cellStyle name="Normal 21 2 5" xfId="465" xr:uid="{00000000-0005-0000-0000-000048050000}"/>
    <cellStyle name="Normal 21 2 5 2" xfId="1516" xr:uid="{00000000-0005-0000-0000-000049050000}"/>
    <cellStyle name="Normal 21 2 6" xfId="1268" xr:uid="{00000000-0005-0000-0000-00004A050000}"/>
    <cellStyle name="Normal 21 3" xfId="294" xr:uid="{00000000-0005-0000-0000-00004B050000}"/>
    <cellStyle name="Normal 21 3 2" xfId="1079" xr:uid="{00000000-0005-0000-0000-00004C050000}"/>
    <cellStyle name="Normal 21 3 2 2" xfId="2125" xr:uid="{00000000-0005-0000-0000-00004D050000}"/>
    <cellStyle name="Normal 21 3 3" xfId="813" xr:uid="{00000000-0005-0000-0000-00004E050000}"/>
    <cellStyle name="Normal 21 3 3 2" xfId="1859" xr:uid="{00000000-0005-0000-0000-00004F050000}"/>
    <cellStyle name="Normal 21 3 4" xfId="542" xr:uid="{00000000-0005-0000-0000-000050050000}"/>
    <cellStyle name="Normal 21 3 4 2" xfId="1593" xr:uid="{00000000-0005-0000-0000-000051050000}"/>
    <cellStyle name="Normal 21 3 5" xfId="1345" xr:uid="{00000000-0005-0000-0000-000052050000}"/>
    <cellStyle name="Normal 21 4" xfId="955" xr:uid="{00000000-0005-0000-0000-000053050000}"/>
    <cellStyle name="Normal 21 4 2" xfId="2001" xr:uid="{00000000-0005-0000-0000-000054050000}"/>
    <cellStyle name="Normal 21 5" xfId="689" xr:uid="{00000000-0005-0000-0000-000055050000}"/>
    <cellStyle name="Normal 21 5 2" xfId="1735" xr:uid="{00000000-0005-0000-0000-000056050000}"/>
    <cellStyle name="Normal 21 6" xfId="418" xr:uid="{00000000-0005-0000-0000-000057050000}"/>
    <cellStyle name="Normal 21 6 2" xfId="1469" xr:uid="{00000000-0005-0000-0000-000058050000}"/>
    <cellStyle name="Normal 21 7" xfId="1221" xr:uid="{00000000-0005-0000-0000-000059050000}"/>
    <cellStyle name="Normal 22" xfId="241" xr:uid="{00000000-0005-0000-0000-00005A050000}"/>
    <cellStyle name="Normal 22 2" xfId="367" xr:uid="{00000000-0005-0000-0000-00005B050000}"/>
    <cellStyle name="Normal 22 2 2" xfId="1152" xr:uid="{00000000-0005-0000-0000-00005C050000}"/>
    <cellStyle name="Normal 22 2 2 2" xfId="2198" xr:uid="{00000000-0005-0000-0000-00005D050000}"/>
    <cellStyle name="Normal 22 2 3" xfId="886" xr:uid="{00000000-0005-0000-0000-00005E050000}"/>
    <cellStyle name="Normal 22 2 3 2" xfId="1932" xr:uid="{00000000-0005-0000-0000-00005F050000}"/>
    <cellStyle name="Normal 22 2 4" xfId="615" xr:uid="{00000000-0005-0000-0000-000060050000}"/>
    <cellStyle name="Normal 22 2 4 2" xfId="1666" xr:uid="{00000000-0005-0000-0000-000061050000}"/>
    <cellStyle name="Normal 22 2 5" xfId="1418" xr:uid="{00000000-0005-0000-0000-000062050000}"/>
    <cellStyle name="Normal 22 3" xfId="1028" xr:uid="{00000000-0005-0000-0000-000063050000}"/>
    <cellStyle name="Normal 22 3 2" xfId="2074" xr:uid="{00000000-0005-0000-0000-000064050000}"/>
    <cellStyle name="Normal 22 4" xfId="762" xr:uid="{00000000-0005-0000-0000-000065050000}"/>
    <cellStyle name="Normal 22 4 2" xfId="1808" xr:uid="{00000000-0005-0000-0000-000066050000}"/>
    <cellStyle name="Normal 22 5" xfId="491" xr:uid="{00000000-0005-0000-0000-000067050000}"/>
    <cellStyle name="Normal 22 5 2" xfId="1542" xr:uid="{00000000-0005-0000-0000-000068050000}"/>
    <cellStyle name="Normal 22 6" xfId="1294" xr:uid="{00000000-0005-0000-0000-000069050000}"/>
    <cellStyle name="Normal 23" xfId="244" xr:uid="{00000000-0005-0000-0000-00006A050000}"/>
    <cellStyle name="Normal 23 2" xfId="369" xr:uid="{00000000-0005-0000-0000-00006B050000}"/>
    <cellStyle name="Normal 23 2 2" xfId="1154" xr:uid="{00000000-0005-0000-0000-00006C050000}"/>
    <cellStyle name="Normal 23 2 2 2" xfId="2200" xr:uid="{00000000-0005-0000-0000-00006D050000}"/>
    <cellStyle name="Normal 23 2 3" xfId="888" xr:uid="{00000000-0005-0000-0000-00006E050000}"/>
    <cellStyle name="Normal 23 2 3 2" xfId="1934" xr:uid="{00000000-0005-0000-0000-00006F050000}"/>
    <cellStyle name="Normal 23 2 4" xfId="617" xr:uid="{00000000-0005-0000-0000-000070050000}"/>
    <cellStyle name="Normal 23 2 4 2" xfId="1668" xr:uid="{00000000-0005-0000-0000-000071050000}"/>
    <cellStyle name="Normal 23 2 5" xfId="1420" xr:uid="{00000000-0005-0000-0000-000072050000}"/>
    <cellStyle name="Normal 23 3" xfId="1030" xr:uid="{00000000-0005-0000-0000-000073050000}"/>
    <cellStyle name="Normal 23 3 2" xfId="2076" xr:uid="{00000000-0005-0000-0000-000074050000}"/>
    <cellStyle name="Normal 23 4" xfId="764" xr:uid="{00000000-0005-0000-0000-000075050000}"/>
    <cellStyle name="Normal 23 4 2" xfId="1810" xr:uid="{00000000-0005-0000-0000-000076050000}"/>
    <cellStyle name="Normal 23 5" xfId="493" xr:uid="{00000000-0005-0000-0000-000077050000}"/>
    <cellStyle name="Normal 23 5 2" xfId="1544" xr:uid="{00000000-0005-0000-0000-000078050000}"/>
    <cellStyle name="Normal 23 6" xfId="1296" xr:uid="{00000000-0005-0000-0000-000079050000}"/>
    <cellStyle name="Normal 23 8" xfId="2241" xr:uid="{B716BD6A-1149-4D32-B4A4-061FBE3DF274}"/>
    <cellStyle name="Normal 24" xfId="247" xr:uid="{00000000-0005-0000-0000-00007A050000}"/>
    <cellStyle name="Normal 24 2" xfId="371" xr:uid="{00000000-0005-0000-0000-00007B050000}"/>
    <cellStyle name="Normal 24 2 2" xfId="1156" xr:uid="{00000000-0005-0000-0000-00007C050000}"/>
    <cellStyle name="Normal 24 2 2 2" xfId="2202" xr:uid="{00000000-0005-0000-0000-00007D050000}"/>
    <cellStyle name="Normal 24 2 3" xfId="890" xr:uid="{00000000-0005-0000-0000-00007E050000}"/>
    <cellStyle name="Normal 24 2 3 2" xfId="1936" xr:uid="{00000000-0005-0000-0000-00007F050000}"/>
    <cellStyle name="Normal 24 2 4" xfId="619" xr:uid="{00000000-0005-0000-0000-000080050000}"/>
    <cellStyle name="Normal 24 2 4 2" xfId="1670" xr:uid="{00000000-0005-0000-0000-000081050000}"/>
    <cellStyle name="Normal 24 2 5" xfId="1422" xr:uid="{00000000-0005-0000-0000-000082050000}"/>
    <cellStyle name="Normal 24 3" xfId="1032" xr:uid="{00000000-0005-0000-0000-000083050000}"/>
    <cellStyle name="Normal 24 3 2" xfId="2078" xr:uid="{00000000-0005-0000-0000-000084050000}"/>
    <cellStyle name="Normal 24 4" xfId="766" xr:uid="{00000000-0005-0000-0000-000085050000}"/>
    <cellStyle name="Normal 24 4 2" xfId="1812" xr:uid="{00000000-0005-0000-0000-000086050000}"/>
    <cellStyle name="Normal 24 5" xfId="495" xr:uid="{00000000-0005-0000-0000-000087050000}"/>
    <cellStyle name="Normal 24 5 2" xfId="1546" xr:uid="{00000000-0005-0000-0000-000088050000}"/>
    <cellStyle name="Normal 24 6" xfId="1298" xr:uid="{00000000-0005-0000-0000-000089050000}"/>
    <cellStyle name="Normal 25" xfId="633" xr:uid="{00000000-0005-0000-0000-00008A050000}"/>
    <cellStyle name="Normal 25 2" xfId="1170" xr:uid="{00000000-0005-0000-0000-00008B050000}"/>
    <cellStyle name="Normal 25 2 2" xfId="2216" xr:uid="{00000000-0005-0000-0000-00008C050000}"/>
    <cellStyle name="Normal 25 3" xfId="904" xr:uid="{00000000-0005-0000-0000-00008D050000}"/>
    <cellStyle name="Normal 25 3 2" xfId="1950" xr:uid="{00000000-0005-0000-0000-00008E050000}"/>
    <cellStyle name="Normal 25 4" xfId="1684" xr:uid="{00000000-0005-0000-0000-00008F050000}"/>
    <cellStyle name="Normal 26" xfId="2234" xr:uid="{00000000-0005-0000-0000-000090050000}"/>
    <cellStyle name="Normal 26 2" xfId="2237" xr:uid="{00000000-0005-0000-0000-000091050000}"/>
    <cellStyle name="Normal 26 2 2" xfId="2240" xr:uid="{C7D21045-942B-45BA-9CD4-56F1122032A6}"/>
    <cellStyle name="Normal 26 3" xfId="2239" xr:uid="{774F4754-97F1-4EF6-A3C2-2D8846025FA7}"/>
    <cellStyle name="Normal 3" xfId="7" xr:uid="{00000000-0005-0000-0000-000092050000}"/>
    <cellStyle name="Normal 3 2" xfId="8" xr:uid="{00000000-0005-0000-0000-000093050000}"/>
    <cellStyle name="Normal 3 2 2" xfId="98" xr:uid="{00000000-0005-0000-0000-000094050000}"/>
    <cellStyle name="Normal 3 2 2 2" xfId="174" xr:uid="{00000000-0005-0000-0000-000095050000}"/>
    <cellStyle name="Normal 3 2 2 2 2" xfId="328" xr:uid="{00000000-0005-0000-0000-000096050000}"/>
    <cellStyle name="Normal 3 2 2 2 2 2" xfId="1113" xr:uid="{00000000-0005-0000-0000-000097050000}"/>
    <cellStyle name="Normal 3 2 2 2 2 2 2" xfId="2159" xr:uid="{00000000-0005-0000-0000-000098050000}"/>
    <cellStyle name="Normal 3 2 2 2 2 3" xfId="847" xr:uid="{00000000-0005-0000-0000-000099050000}"/>
    <cellStyle name="Normal 3 2 2 2 2 3 2" xfId="1893" xr:uid="{00000000-0005-0000-0000-00009A050000}"/>
    <cellStyle name="Normal 3 2 2 2 2 4" xfId="576" xr:uid="{00000000-0005-0000-0000-00009B050000}"/>
    <cellStyle name="Normal 3 2 2 2 2 4 2" xfId="1627" xr:uid="{00000000-0005-0000-0000-00009C050000}"/>
    <cellStyle name="Normal 3 2 2 2 2 5" xfId="1379" xr:uid="{00000000-0005-0000-0000-00009D050000}"/>
    <cellStyle name="Normal 3 2 2 2 3" xfId="989" xr:uid="{00000000-0005-0000-0000-00009E050000}"/>
    <cellStyle name="Normal 3 2 2 2 3 2" xfId="2035" xr:uid="{00000000-0005-0000-0000-00009F050000}"/>
    <cellStyle name="Normal 3 2 2 2 4" xfId="723" xr:uid="{00000000-0005-0000-0000-0000A0050000}"/>
    <cellStyle name="Normal 3 2 2 2 4 2" xfId="1769" xr:uid="{00000000-0005-0000-0000-0000A1050000}"/>
    <cellStyle name="Normal 3 2 2 2 5" xfId="452" xr:uid="{00000000-0005-0000-0000-0000A2050000}"/>
    <cellStyle name="Normal 3 2 2 2 5 2" xfId="1503" xr:uid="{00000000-0005-0000-0000-0000A3050000}"/>
    <cellStyle name="Normal 3 2 2 2 6" xfId="1255" xr:uid="{00000000-0005-0000-0000-0000A4050000}"/>
    <cellStyle name="Normal 3 2 2 3" xfId="281" xr:uid="{00000000-0005-0000-0000-0000A5050000}"/>
    <cellStyle name="Normal 3 2 2 3 2" xfId="1066" xr:uid="{00000000-0005-0000-0000-0000A6050000}"/>
    <cellStyle name="Normal 3 2 2 3 2 2" xfId="2112" xr:uid="{00000000-0005-0000-0000-0000A7050000}"/>
    <cellStyle name="Normal 3 2 2 3 3" xfId="800" xr:uid="{00000000-0005-0000-0000-0000A8050000}"/>
    <cellStyle name="Normal 3 2 2 3 3 2" xfId="1846" xr:uid="{00000000-0005-0000-0000-0000A9050000}"/>
    <cellStyle name="Normal 3 2 2 3 4" xfId="529" xr:uid="{00000000-0005-0000-0000-0000AA050000}"/>
    <cellStyle name="Normal 3 2 2 3 4 2" xfId="1580" xr:uid="{00000000-0005-0000-0000-0000AB050000}"/>
    <cellStyle name="Normal 3 2 2 3 5" xfId="1332" xr:uid="{00000000-0005-0000-0000-0000AC050000}"/>
    <cellStyle name="Normal 3 2 2 4" xfId="942" xr:uid="{00000000-0005-0000-0000-0000AD050000}"/>
    <cellStyle name="Normal 3 2 2 4 2" xfId="1988" xr:uid="{00000000-0005-0000-0000-0000AE050000}"/>
    <cellStyle name="Normal 3 2 2 5" xfId="676" xr:uid="{00000000-0005-0000-0000-0000AF050000}"/>
    <cellStyle name="Normal 3 2 2 5 2" xfId="1722" xr:uid="{00000000-0005-0000-0000-0000B0050000}"/>
    <cellStyle name="Normal 3 2 2 6" xfId="405" xr:uid="{00000000-0005-0000-0000-0000B1050000}"/>
    <cellStyle name="Normal 3 2 2 6 2" xfId="1456" xr:uid="{00000000-0005-0000-0000-0000B2050000}"/>
    <cellStyle name="Normal 3 2 2 7" xfId="1208" xr:uid="{00000000-0005-0000-0000-0000B3050000}"/>
    <cellStyle name="Normal 3 2 3" xfId="99" xr:uid="{00000000-0005-0000-0000-0000B4050000}"/>
    <cellStyle name="Normal 3 2 3 2" xfId="175" xr:uid="{00000000-0005-0000-0000-0000B5050000}"/>
    <cellStyle name="Normal 3 2 3 2 2" xfId="329" xr:uid="{00000000-0005-0000-0000-0000B6050000}"/>
    <cellStyle name="Normal 3 2 3 2 2 2" xfId="1114" xr:uid="{00000000-0005-0000-0000-0000B7050000}"/>
    <cellStyle name="Normal 3 2 3 2 2 2 2" xfId="2160" xr:uid="{00000000-0005-0000-0000-0000B8050000}"/>
    <cellStyle name="Normal 3 2 3 2 2 3" xfId="848" xr:uid="{00000000-0005-0000-0000-0000B9050000}"/>
    <cellStyle name="Normal 3 2 3 2 2 3 2" xfId="1894" xr:uid="{00000000-0005-0000-0000-0000BA050000}"/>
    <cellStyle name="Normal 3 2 3 2 2 4" xfId="577" xr:uid="{00000000-0005-0000-0000-0000BB050000}"/>
    <cellStyle name="Normal 3 2 3 2 2 4 2" xfId="1628" xr:uid="{00000000-0005-0000-0000-0000BC050000}"/>
    <cellStyle name="Normal 3 2 3 2 2 5" xfId="1380" xr:uid="{00000000-0005-0000-0000-0000BD050000}"/>
    <cellStyle name="Normal 3 2 3 2 3" xfId="990" xr:uid="{00000000-0005-0000-0000-0000BE050000}"/>
    <cellStyle name="Normal 3 2 3 2 3 2" xfId="2036" xr:uid="{00000000-0005-0000-0000-0000BF050000}"/>
    <cellStyle name="Normal 3 2 3 2 4" xfId="724" xr:uid="{00000000-0005-0000-0000-0000C0050000}"/>
    <cellStyle name="Normal 3 2 3 2 4 2" xfId="1770" xr:uid="{00000000-0005-0000-0000-0000C1050000}"/>
    <cellStyle name="Normal 3 2 3 2 5" xfId="453" xr:uid="{00000000-0005-0000-0000-0000C2050000}"/>
    <cellStyle name="Normal 3 2 3 2 5 2" xfId="1504" xr:uid="{00000000-0005-0000-0000-0000C3050000}"/>
    <cellStyle name="Normal 3 2 3 2 6" xfId="1256" xr:uid="{00000000-0005-0000-0000-0000C4050000}"/>
    <cellStyle name="Normal 3 2 3 3" xfId="282" xr:uid="{00000000-0005-0000-0000-0000C5050000}"/>
    <cellStyle name="Normal 3 2 3 3 2" xfId="1067" xr:uid="{00000000-0005-0000-0000-0000C6050000}"/>
    <cellStyle name="Normal 3 2 3 3 2 2" xfId="2113" xr:uid="{00000000-0005-0000-0000-0000C7050000}"/>
    <cellStyle name="Normal 3 2 3 3 3" xfId="801" xr:uid="{00000000-0005-0000-0000-0000C8050000}"/>
    <cellStyle name="Normal 3 2 3 3 3 2" xfId="1847" xr:uid="{00000000-0005-0000-0000-0000C9050000}"/>
    <cellStyle name="Normal 3 2 3 3 4" xfId="530" xr:uid="{00000000-0005-0000-0000-0000CA050000}"/>
    <cellStyle name="Normal 3 2 3 3 4 2" xfId="1581" xr:uid="{00000000-0005-0000-0000-0000CB050000}"/>
    <cellStyle name="Normal 3 2 3 3 5" xfId="1333" xr:uid="{00000000-0005-0000-0000-0000CC050000}"/>
    <cellStyle name="Normal 3 2 3 4" xfId="943" xr:uid="{00000000-0005-0000-0000-0000CD050000}"/>
    <cellStyle name="Normal 3 2 3 4 2" xfId="1989" xr:uid="{00000000-0005-0000-0000-0000CE050000}"/>
    <cellStyle name="Normal 3 2 3 5" xfId="677" xr:uid="{00000000-0005-0000-0000-0000CF050000}"/>
    <cellStyle name="Normal 3 2 3 5 2" xfId="1723" xr:uid="{00000000-0005-0000-0000-0000D0050000}"/>
    <cellStyle name="Normal 3 2 3 6" xfId="406" xr:uid="{00000000-0005-0000-0000-0000D1050000}"/>
    <cellStyle name="Normal 3 2 3 6 2" xfId="1457" xr:uid="{00000000-0005-0000-0000-0000D2050000}"/>
    <cellStyle name="Normal 3 2 3 7" xfId="1209" xr:uid="{00000000-0005-0000-0000-0000D3050000}"/>
    <cellStyle name="Normal 3 2 4" xfId="143" xr:uid="{00000000-0005-0000-0000-0000D4050000}"/>
    <cellStyle name="Normal 3 2 4 2" xfId="196" xr:uid="{00000000-0005-0000-0000-0000D5050000}"/>
    <cellStyle name="Normal 3 2 4 2 2" xfId="350" xr:uid="{00000000-0005-0000-0000-0000D6050000}"/>
    <cellStyle name="Normal 3 2 4 2 2 2" xfId="1135" xr:uid="{00000000-0005-0000-0000-0000D7050000}"/>
    <cellStyle name="Normal 3 2 4 2 2 2 2" xfId="2181" xr:uid="{00000000-0005-0000-0000-0000D8050000}"/>
    <cellStyle name="Normal 3 2 4 2 2 3" xfId="869" xr:uid="{00000000-0005-0000-0000-0000D9050000}"/>
    <cellStyle name="Normal 3 2 4 2 2 3 2" xfId="1915" xr:uid="{00000000-0005-0000-0000-0000DA050000}"/>
    <cellStyle name="Normal 3 2 4 2 2 4" xfId="598" xr:uid="{00000000-0005-0000-0000-0000DB050000}"/>
    <cellStyle name="Normal 3 2 4 2 2 4 2" xfId="1649" xr:uid="{00000000-0005-0000-0000-0000DC050000}"/>
    <cellStyle name="Normal 3 2 4 2 2 5" xfId="1401" xr:uid="{00000000-0005-0000-0000-0000DD050000}"/>
    <cellStyle name="Normal 3 2 4 2 3" xfId="1011" xr:uid="{00000000-0005-0000-0000-0000DE050000}"/>
    <cellStyle name="Normal 3 2 4 2 3 2" xfId="2057" xr:uid="{00000000-0005-0000-0000-0000DF050000}"/>
    <cellStyle name="Normal 3 2 4 2 4" xfId="745" xr:uid="{00000000-0005-0000-0000-0000E0050000}"/>
    <cellStyle name="Normal 3 2 4 2 4 2" xfId="1791" xr:uid="{00000000-0005-0000-0000-0000E1050000}"/>
    <cellStyle name="Normal 3 2 4 2 5" xfId="474" xr:uid="{00000000-0005-0000-0000-0000E2050000}"/>
    <cellStyle name="Normal 3 2 4 2 5 2" xfId="1525" xr:uid="{00000000-0005-0000-0000-0000E3050000}"/>
    <cellStyle name="Normal 3 2 4 2 6" xfId="1277" xr:uid="{00000000-0005-0000-0000-0000E4050000}"/>
    <cellStyle name="Normal 3 2 4 3" xfId="303" xr:uid="{00000000-0005-0000-0000-0000E5050000}"/>
    <cellStyle name="Normal 3 2 4 3 2" xfId="1088" xr:uid="{00000000-0005-0000-0000-0000E6050000}"/>
    <cellStyle name="Normal 3 2 4 3 2 2" xfId="2134" xr:uid="{00000000-0005-0000-0000-0000E7050000}"/>
    <cellStyle name="Normal 3 2 4 3 3" xfId="822" xr:uid="{00000000-0005-0000-0000-0000E8050000}"/>
    <cellStyle name="Normal 3 2 4 3 3 2" xfId="1868" xr:uid="{00000000-0005-0000-0000-0000E9050000}"/>
    <cellStyle name="Normal 3 2 4 3 4" xfId="551" xr:uid="{00000000-0005-0000-0000-0000EA050000}"/>
    <cellStyle name="Normal 3 2 4 3 4 2" xfId="1602" xr:uid="{00000000-0005-0000-0000-0000EB050000}"/>
    <cellStyle name="Normal 3 2 4 3 5" xfId="1354" xr:uid="{00000000-0005-0000-0000-0000EC050000}"/>
    <cellStyle name="Normal 3 2 4 4" xfId="964" xr:uid="{00000000-0005-0000-0000-0000ED050000}"/>
    <cellStyle name="Normal 3 2 4 4 2" xfId="2010" xr:uid="{00000000-0005-0000-0000-0000EE050000}"/>
    <cellStyle name="Normal 3 2 4 5" xfId="698" xr:uid="{00000000-0005-0000-0000-0000EF050000}"/>
    <cellStyle name="Normal 3 2 4 5 2" xfId="1744" xr:uid="{00000000-0005-0000-0000-0000F0050000}"/>
    <cellStyle name="Normal 3 2 4 6" xfId="427" xr:uid="{00000000-0005-0000-0000-0000F1050000}"/>
    <cellStyle name="Normal 3 2 4 6 2" xfId="1478" xr:uid="{00000000-0005-0000-0000-0000F2050000}"/>
    <cellStyle name="Normal 3 2 4 7" xfId="1230" xr:uid="{00000000-0005-0000-0000-0000F3050000}"/>
    <cellStyle name="Normal 3 3" xfId="9" xr:uid="{00000000-0005-0000-0000-0000F4050000}"/>
    <cellStyle name="Normal 3 3 2" xfId="144" xr:uid="{00000000-0005-0000-0000-0000F5050000}"/>
    <cellStyle name="Normal 3 4" xfId="10" xr:uid="{00000000-0005-0000-0000-0000F6050000}"/>
    <cellStyle name="Normal 3 4 2" xfId="152" xr:uid="{00000000-0005-0000-0000-0000F7050000}"/>
    <cellStyle name="Normal 3 5" xfId="100" xr:uid="{00000000-0005-0000-0000-0000F8050000}"/>
    <cellStyle name="Normal 3 5 2" xfId="176" xr:uid="{00000000-0005-0000-0000-0000F9050000}"/>
    <cellStyle name="Normal 3 5 2 2" xfId="330" xr:uid="{00000000-0005-0000-0000-0000FA050000}"/>
    <cellStyle name="Normal 3 5 2 2 2" xfId="1115" xr:uid="{00000000-0005-0000-0000-0000FB050000}"/>
    <cellStyle name="Normal 3 5 2 2 2 2" xfId="2161" xr:uid="{00000000-0005-0000-0000-0000FC050000}"/>
    <cellStyle name="Normal 3 5 2 2 3" xfId="849" xr:uid="{00000000-0005-0000-0000-0000FD050000}"/>
    <cellStyle name="Normal 3 5 2 2 3 2" xfId="1895" xr:uid="{00000000-0005-0000-0000-0000FE050000}"/>
    <cellStyle name="Normal 3 5 2 2 4" xfId="578" xr:uid="{00000000-0005-0000-0000-0000FF050000}"/>
    <cellStyle name="Normal 3 5 2 2 4 2" xfId="1629" xr:uid="{00000000-0005-0000-0000-000000060000}"/>
    <cellStyle name="Normal 3 5 2 2 5" xfId="1381" xr:uid="{00000000-0005-0000-0000-000001060000}"/>
    <cellStyle name="Normal 3 5 2 3" xfId="991" xr:uid="{00000000-0005-0000-0000-000002060000}"/>
    <cellStyle name="Normal 3 5 2 3 2" xfId="2037" xr:uid="{00000000-0005-0000-0000-000003060000}"/>
    <cellStyle name="Normal 3 5 2 4" xfId="725" xr:uid="{00000000-0005-0000-0000-000004060000}"/>
    <cellStyle name="Normal 3 5 2 4 2" xfId="1771" xr:uid="{00000000-0005-0000-0000-000005060000}"/>
    <cellStyle name="Normal 3 5 2 5" xfId="454" xr:uid="{00000000-0005-0000-0000-000006060000}"/>
    <cellStyle name="Normal 3 5 2 5 2" xfId="1505" xr:uid="{00000000-0005-0000-0000-000007060000}"/>
    <cellStyle name="Normal 3 5 2 6" xfId="1257" xr:uid="{00000000-0005-0000-0000-000008060000}"/>
    <cellStyle name="Normal 3 5 3" xfId="283" xr:uid="{00000000-0005-0000-0000-000009060000}"/>
    <cellStyle name="Normal 3 5 3 2" xfId="1068" xr:uid="{00000000-0005-0000-0000-00000A060000}"/>
    <cellStyle name="Normal 3 5 3 2 2" xfId="2114" xr:uid="{00000000-0005-0000-0000-00000B060000}"/>
    <cellStyle name="Normal 3 5 3 3" xfId="802" xr:uid="{00000000-0005-0000-0000-00000C060000}"/>
    <cellStyle name="Normal 3 5 3 3 2" xfId="1848" xr:uid="{00000000-0005-0000-0000-00000D060000}"/>
    <cellStyle name="Normal 3 5 3 4" xfId="531" xr:uid="{00000000-0005-0000-0000-00000E060000}"/>
    <cellStyle name="Normal 3 5 3 4 2" xfId="1582" xr:uid="{00000000-0005-0000-0000-00000F060000}"/>
    <cellStyle name="Normal 3 5 3 5" xfId="1334" xr:uid="{00000000-0005-0000-0000-000010060000}"/>
    <cellStyle name="Normal 3 5 4" xfId="944" xr:uid="{00000000-0005-0000-0000-000011060000}"/>
    <cellStyle name="Normal 3 5 4 2" xfId="1990" xr:uid="{00000000-0005-0000-0000-000012060000}"/>
    <cellStyle name="Normal 3 5 5" xfId="678" xr:uid="{00000000-0005-0000-0000-000013060000}"/>
    <cellStyle name="Normal 3 5 5 2" xfId="1724" xr:uid="{00000000-0005-0000-0000-000014060000}"/>
    <cellStyle name="Normal 3 5 6" xfId="407" xr:uid="{00000000-0005-0000-0000-000015060000}"/>
    <cellStyle name="Normal 3 5 6 2" xfId="1458" xr:uid="{00000000-0005-0000-0000-000016060000}"/>
    <cellStyle name="Normal 3 5 7" xfId="1210" xr:uid="{00000000-0005-0000-0000-000017060000}"/>
    <cellStyle name="Normal 3 6" xfId="142" xr:uid="{00000000-0005-0000-0000-000018060000}"/>
    <cellStyle name="Normal 3 6 2" xfId="195" xr:uid="{00000000-0005-0000-0000-000019060000}"/>
    <cellStyle name="Normal 3 6 2 2" xfId="349" xr:uid="{00000000-0005-0000-0000-00001A060000}"/>
    <cellStyle name="Normal 3 6 2 2 2" xfId="1134" xr:uid="{00000000-0005-0000-0000-00001B060000}"/>
    <cellStyle name="Normal 3 6 2 2 2 2" xfId="2180" xr:uid="{00000000-0005-0000-0000-00001C060000}"/>
    <cellStyle name="Normal 3 6 2 2 3" xfId="868" xr:uid="{00000000-0005-0000-0000-00001D060000}"/>
    <cellStyle name="Normal 3 6 2 2 3 2" xfId="1914" xr:uid="{00000000-0005-0000-0000-00001E060000}"/>
    <cellStyle name="Normal 3 6 2 2 4" xfId="597" xr:uid="{00000000-0005-0000-0000-00001F060000}"/>
    <cellStyle name="Normal 3 6 2 2 4 2" xfId="1648" xr:uid="{00000000-0005-0000-0000-000020060000}"/>
    <cellStyle name="Normal 3 6 2 2 5" xfId="1400" xr:uid="{00000000-0005-0000-0000-000021060000}"/>
    <cellStyle name="Normal 3 6 2 3" xfId="1010" xr:uid="{00000000-0005-0000-0000-000022060000}"/>
    <cellStyle name="Normal 3 6 2 3 2" xfId="2056" xr:uid="{00000000-0005-0000-0000-000023060000}"/>
    <cellStyle name="Normal 3 6 2 4" xfId="744" xr:uid="{00000000-0005-0000-0000-000024060000}"/>
    <cellStyle name="Normal 3 6 2 4 2" xfId="1790" xr:uid="{00000000-0005-0000-0000-000025060000}"/>
    <cellStyle name="Normal 3 6 2 5" xfId="473" xr:uid="{00000000-0005-0000-0000-000026060000}"/>
    <cellStyle name="Normal 3 6 2 5 2" xfId="1524" xr:uid="{00000000-0005-0000-0000-000027060000}"/>
    <cellStyle name="Normal 3 6 2 6" xfId="1276" xr:uid="{00000000-0005-0000-0000-000028060000}"/>
    <cellStyle name="Normal 3 6 3" xfId="302" xr:uid="{00000000-0005-0000-0000-000029060000}"/>
    <cellStyle name="Normal 3 6 3 2" xfId="1087" xr:uid="{00000000-0005-0000-0000-00002A060000}"/>
    <cellStyle name="Normal 3 6 3 2 2" xfId="2133" xr:uid="{00000000-0005-0000-0000-00002B060000}"/>
    <cellStyle name="Normal 3 6 3 3" xfId="821" xr:uid="{00000000-0005-0000-0000-00002C060000}"/>
    <cellStyle name="Normal 3 6 3 3 2" xfId="1867" xr:uid="{00000000-0005-0000-0000-00002D060000}"/>
    <cellStyle name="Normal 3 6 3 4" xfId="550" xr:uid="{00000000-0005-0000-0000-00002E060000}"/>
    <cellStyle name="Normal 3 6 3 4 2" xfId="1601" xr:uid="{00000000-0005-0000-0000-00002F060000}"/>
    <cellStyle name="Normal 3 6 3 5" xfId="1353" xr:uid="{00000000-0005-0000-0000-000030060000}"/>
    <cellStyle name="Normal 3 6 4" xfId="963" xr:uid="{00000000-0005-0000-0000-000031060000}"/>
    <cellStyle name="Normal 3 6 4 2" xfId="2009" xr:uid="{00000000-0005-0000-0000-000032060000}"/>
    <cellStyle name="Normal 3 6 5" xfId="697" xr:uid="{00000000-0005-0000-0000-000033060000}"/>
    <cellStyle name="Normal 3 6 5 2" xfId="1743" xr:uid="{00000000-0005-0000-0000-000034060000}"/>
    <cellStyle name="Normal 3 6 6" xfId="426" xr:uid="{00000000-0005-0000-0000-000035060000}"/>
    <cellStyle name="Normal 3 6 6 2" xfId="1477" xr:uid="{00000000-0005-0000-0000-000036060000}"/>
    <cellStyle name="Normal 3 6 7" xfId="1229" xr:uid="{00000000-0005-0000-0000-000037060000}"/>
    <cellStyle name="Normal 3 7" xfId="651" xr:uid="{00000000-0005-0000-0000-000038060000}"/>
    <cellStyle name="Normal 3 7 2" xfId="1185" xr:uid="{00000000-0005-0000-0000-000039060000}"/>
    <cellStyle name="Normal 3 7 2 2" xfId="2231" xr:uid="{00000000-0005-0000-0000-00003A060000}"/>
    <cellStyle name="Normal 3 7 3" xfId="919" xr:uid="{00000000-0005-0000-0000-00003B060000}"/>
    <cellStyle name="Normal 3 7 3 2" xfId="1965" xr:uid="{00000000-0005-0000-0000-00003C060000}"/>
    <cellStyle name="Normal 3 7 4" xfId="1699" xr:uid="{00000000-0005-0000-0000-00003D060000}"/>
    <cellStyle name="Normal 3 8" xfId="2236" xr:uid="{00000000-0005-0000-0000-00003E060000}"/>
    <cellStyle name="Normal 4" xfId="11" xr:uid="{00000000-0005-0000-0000-00003F060000}"/>
    <cellStyle name="Normal 4 2" xfId="101" xr:uid="{00000000-0005-0000-0000-000040060000}"/>
    <cellStyle name="Normal 4 2 10" xfId="1211" xr:uid="{00000000-0005-0000-0000-000041060000}"/>
    <cellStyle name="Normal 4 2 2" xfId="102" xr:uid="{00000000-0005-0000-0000-000042060000}"/>
    <cellStyle name="Normal 4 2 3" xfId="103" xr:uid="{00000000-0005-0000-0000-000043060000}"/>
    <cellStyle name="Normal 4 2 4" xfId="104" xr:uid="{00000000-0005-0000-0000-000044060000}"/>
    <cellStyle name="Normal 4 2 4 2" xfId="178" xr:uid="{00000000-0005-0000-0000-000045060000}"/>
    <cellStyle name="Normal 4 2 4 2 2" xfId="332" xr:uid="{00000000-0005-0000-0000-000046060000}"/>
    <cellStyle name="Normal 4 2 4 2 2 2" xfId="1117" xr:uid="{00000000-0005-0000-0000-000047060000}"/>
    <cellStyle name="Normal 4 2 4 2 2 2 2" xfId="2163" xr:uid="{00000000-0005-0000-0000-000048060000}"/>
    <cellStyle name="Normal 4 2 4 2 2 3" xfId="851" xr:uid="{00000000-0005-0000-0000-000049060000}"/>
    <cellStyle name="Normal 4 2 4 2 2 3 2" xfId="1897" xr:uid="{00000000-0005-0000-0000-00004A060000}"/>
    <cellStyle name="Normal 4 2 4 2 2 4" xfId="580" xr:uid="{00000000-0005-0000-0000-00004B060000}"/>
    <cellStyle name="Normal 4 2 4 2 2 4 2" xfId="1631" xr:uid="{00000000-0005-0000-0000-00004C060000}"/>
    <cellStyle name="Normal 4 2 4 2 2 5" xfId="1383" xr:uid="{00000000-0005-0000-0000-00004D060000}"/>
    <cellStyle name="Normal 4 2 4 2 3" xfId="993" xr:uid="{00000000-0005-0000-0000-00004E060000}"/>
    <cellStyle name="Normal 4 2 4 2 3 2" xfId="2039" xr:uid="{00000000-0005-0000-0000-00004F060000}"/>
    <cellStyle name="Normal 4 2 4 2 4" xfId="727" xr:uid="{00000000-0005-0000-0000-000050060000}"/>
    <cellStyle name="Normal 4 2 4 2 4 2" xfId="1773" xr:uid="{00000000-0005-0000-0000-000051060000}"/>
    <cellStyle name="Normal 4 2 4 2 5" xfId="456" xr:uid="{00000000-0005-0000-0000-000052060000}"/>
    <cellStyle name="Normal 4 2 4 2 5 2" xfId="1507" xr:uid="{00000000-0005-0000-0000-000053060000}"/>
    <cellStyle name="Normal 4 2 4 2 6" xfId="1259" xr:uid="{00000000-0005-0000-0000-000054060000}"/>
    <cellStyle name="Normal 4 2 4 3" xfId="285" xr:uid="{00000000-0005-0000-0000-000055060000}"/>
    <cellStyle name="Normal 4 2 4 3 2" xfId="1070" xr:uid="{00000000-0005-0000-0000-000056060000}"/>
    <cellStyle name="Normal 4 2 4 3 2 2" xfId="2116" xr:uid="{00000000-0005-0000-0000-000057060000}"/>
    <cellStyle name="Normal 4 2 4 3 3" xfId="804" xr:uid="{00000000-0005-0000-0000-000058060000}"/>
    <cellStyle name="Normal 4 2 4 3 3 2" xfId="1850" xr:uid="{00000000-0005-0000-0000-000059060000}"/>
    <cellStyle name="Normal 4 2 4 3 4" xfId="533" xr:uid="{00000000-0005-0000-0000-00005A060000}"/>
    <cellStyle name="Normal 4 2 4 3 4 2" xfId="1584" xr:uid="{00000000-0005-0000-0000-00005B060000}"/>
    <cellStyle name="Normal 4 2 4 3 5" xfId="1336" xr:uid="{00000000-0005-0000-0000-00005C060000}"/>
    <cellStyle name="Normal 4 2 4 4" xfId="946" xr:uid="{00000000-0005-0000-0000-00005D060000}"/>
    <cellStyle name="Normal 4 2 4 4 2" xfId="1992" xr:uid="{00000000-0005-0000-0000-00005E060000}"/>
    <cellStyle name="Normal 4 2 4 5" xfId="680" xr:uid="{00000000-0005-0000-0000-00005F060000}"/>
    <cellStyle name="Normal 4 2 4 5 2" xfId="1726" xr:uid="{00000000-0005-0000-0000-000060060000}"/>
    <cellStyle name="Normal 4 2 4 6" xfId="409" xr:uid="{00000000-0005-0000-0000-000061060000}"/>
    <cellStyle name="Normal 4 2 4 6 2" xfId="1460" xr:uid="{00000000-0005-0000-0000-000062060000}"/>
    <cellStyle name="Normal 4 2 4 7" xfId="1212" xr:uid="{00000000-0005-0000-0000-000063060000}"/>
    <cellStyle name="Normal 4 2 5" xfId="177" xr:uid="{00000000-0005-0000-0000-000064060000}"/>
    <cellStyle name="Normal 4 2 5 2" xfId="331" xr:uid="{00000000-0005-0000-0000-000065060000}"/>
    <cellStyle name="Normal 4 2 5 2 2" xfId="1116" xr:uid="{00000000-0005-0000-0000-000066060000}"/>
    <cellStyle name="Normal 4 2 5 2 2 2" xfId="2162" xr:uid="{00000000-0005-0000-0000-000067060000}"/>
    <cellStyle name="Normal 4 2 5 2 3" xfId="850" xr:uid="{00000000-0005-0000-0000-000068060000}"/>
    <cellStyle name="Normal 4 2 5 2 3 2" xfId="1896" xr:uid="{00000000-0005-0000-0000-000069060000}"/>
    <cellStyle name="Normal 4 2 5 2 4" xfId="579" xr:uid="{00000000-0005-0000-0000-00006A060000}"/>
    <cellStyle name="Normal 4 2 5 2 4 2" xfId="1630" xr:uid="{00000000-0005-0000-0000-00006B060000}"/>
    <cellStyle name="Normal 4 2 5 2 5" xfId="1382" xr:uid="{00000000-0005-0000-0000-00006C060000}"/>
    <cellStyle name="Normal 4 2 5 3" xfId="992" xr:uid="{00000000-0005-0000-0000-00006D060000}"/>
    <cellStyle name="Normal 4 2 5 3 2" xfId="2038" xr:uid="{00000000-0005-0000-0000-00006E060000}"/>
    <cellStyle name="Normal 4 2 5 4" xfId="726" xr:uid="{00000000-0005-0000-0000-00006F060000}"/>
    <cellStyle name="Normal 4 2 5 4 2" xfId="1772" xr:uid="{00000000-0005-0000-0000-000070060000}"/>
    <cellStyle name="Normal 4 2 5 5" xfId="455" xr:uid="{00000000-0005-0000-0000-000071060000}"/>
    <cellStyle name="Normal 4 2 5 5 2" xfId="1506" xr:uid="{00000000-0005-0000-0000-000072060000}"/>
    <cellStyle name="Normal 4 2 5 6" xfId="1258" xr:uid="{00000000-0005-0000-0000-000073060000}"/>
    <cellStyle name="Normal 4 2 6" xfId="284" xr:uid="{00000000-0005-0000-0000-000074060000}"/>
    <cellStyle name="Normal 4 2 6 2" xfId="1069" xr:uid="{00000000-0005-0000-0000-000075060000}"/>
    <cellStyle name="Normal 4 2 6 2 2" xfId="2115" xr:uid="{00000000-0005-0000-0000-000076060000}"/>
    <cellStyle name="Normal 4 2 6 3" xfId="803" xr:uid="{00000000-0005-0000-0000-000077060000}"/>
    <cellStyle name="Normal 4 2 6 3 2" xfId="1849" xr:uid="{00000000-0005-0000-0000-000078060000}"/>
    <cellStyle name="Normal 4 2 6 4" xfId="532" xr:uid="{00000000-0005-0000-0000-000079060000}"/>
    <cellStyle name="Normal 4 2 6 4 2" xfId="1583" xr:uid="{00000000-0005-0000-0000-00007A060000}"/>
    <cellStyle name="Normal 4 2 6 5" xfId="1335" xr:uid="{00000000-0005-0000-0000-00007B060000}"/>
    <cellStyle name="Normal 4 2 7" xfId="945" xr:uid="{00000000-0005-0000-0000-00007C060000}"/>
    <cellStyle name="Normal 4 2 7 2" xfId="1991" xr:uid="{00000000-0005-0000-0000-00007D060000}"/>
    <cellStyle name="Normal 4 2 8" xfId="679" xr:uid="{00000000-0005-0000-0000-00007E060000}"/>
    <cellStyle name="Normal 4 2 8 2" xfId="1725" xr:uid="{00000000-0005-0000-0000-00007F060000}"/>
    <cellStyle name="Normal 4 2 9" xfId="408" xr:uid="{00000000-0005-0000-0000-000080060000}"/>
    <cellStyle name="Normal 4 2 9 2" xfId="1459" xr:uid="{00000000-0005-0000-0000-000081060000}"/>
    <cellStyle name="Normal 4 3" xfId="105" xr:uid="{00000000-0005-0000-0000-000082060000}"/>
    <cellStyle name="Normal 4 3 2" xfId="106" xr:uid="{00000000-0005-0000-0000-000083060000}"/>
    <cellStyle name="Normal 4 4" xfId="107" xr:uid="{00000000-0005-0000-0000-000084060000}"/>
    <cellStyle name="Normal 4 5" xfId="108" xr:uid="{00000000-0005-0000-0000-000085060000}"/>
    <cellStyle name="Normal 4 6" xfId="655" xr:uid="{00000000-0005-0000-0000-000086060000}"/>
    <cellStyle name="Normal 5" xfId="12" xr:uid="{00000000-0005-0000-0000-000087060000}"/>
    <cellStyle name="Normal 5 10" xfId="386" xr:uid="{00000000-0005-0000-0000-000088060000}"/>
    <cellStyle name="Normal 5 10 2" xfId="1437" xr:uid="{00000000-0005-0000-0000-000089060000}"/>
    <cellStyle name="Normal 5 11" xfId="1189" xr:uid="{00000000-0005-0000-0000-00008A060000}"/>
    <cellStyle name="Normal 5 2" xfId="13" xr:uid="{00000000-0005-0000-0000-00008B060000}"/>
    <cellStyle name="Normal 5 2 2" xfId="146" xr:uid="{00000000-0005-0000-0000-00008C060000}"/>
    <cellStyle name="Normal 5 2 2 2" xfId="198" xr:uid="{00000000-0005-0000-0000-00008D060000}"/>
    <cellStyle name="Normal 5 2 2 2 2" xfId="352" xr:uid="{00000000-0005-0000-0000-00008E060000}"/>
    <cellStyle name="Normal 5 2 2 2 2 2" xfId="1137" xr:uid="{00000000-0005-0000-0000-00008F060000}"/>
    <cellStyle name="Normal 5 2 2 2 2 2 2" xfId="2183" xr:uid="{00000000-0005-0000-0000-000090060000}"/>
    <cellStyle name="Normal 5 2 2 2 2 3" xfId="871" xr:uid="{00000000-0005-0000-0000-000091060000}"/>
    <cellStyle name="Normal 5 2 2 2 2 3 2" xfId="1917" xr:uid="{00000000-0005-0000-0000-000092060000}"/>
    <cellStyle name="Normal 5 2 2 2 2 4" xfId="600" xr:uid="{00000000-0005-0000-0000-000093060000}"/>
    <cellStyle name="Normal 5 2 2 2 2 4 2" xfId="1651" xr:uid="{00000000-0005-0000-0000-000094060000}"/>
    <cellStyle name="Normal 5 2 2 2 2 5" xfId="1403" xr:uid="{00000000-0005-0000-0000-000095060000}"/>
    <cellStyle name="Normal 5 2 2 2 3" xfId="1013" xr:uid="{00000000-0005-0000-0000-000096060000}"/>
    <cellStyle name="Normal 5 2 2 2 3 2" xfId="2059" xr:uid="{00000000-0005-0000-0000-000097060000}"/>
    <cellStyle name="Normal 5 2 2 2 4" xfId="747" xr:uid="{00000000-0005-0000-0000-000098060000}"/>
    <cellStyle name="Normal 5 2 2 2 4 2" xfId="1793" xr:uid="{00000000-0005-0000-0000-000099060000}"/>
    <cellStyle name="Normal 5 2 2 2 5" xfId="476" xr:uid="{00000000-0005-0000-0000-00009A060000}"/>
    <cellStyle name="Normal 5 2 2 2 5 2" xfId="1527" xr:uid="{00000000-0005-0000-0000-00009B060000}"/>
    <cellStyle name="Normal 5 2 2 2 6" xfId="1279" xr:uid="{00000000-0005-0000-0000-00009C060000}"/>
    <cellStyle name="Normal 5 2 2 3" xfId="305" xr:uid="{00000000-0005-0000-0000-00009D060000}"/>
    <cellStyle name="Normal 5 2 2 3 2" xfId="1090" xr:uid="{00000000-0005-0000-0000-00009E060000}"/>
    <cellStyle name="Normal 5 2 2 3 2 2" xfId="2136" xr:uid="{00000000-0005-0000-0000-00009F060000}"/>
    <cellStyle name="Normal 5 2 2 3 3" xfId="824" xr:uid="{00000000-0005-0000-0000-0000A0060000}"/>
    <cellStyle name="Normal 5 2 2 3 3 2" xfId="1870" xr:uid="{00000000-0005-0000-0000-0000A1060000}"/>
    <cellStyle name="Normal 5 2 2 3 4" xfId="553" xr:uid="{00000000-0005-0000-0000-0000A2060000}"/>
    <cellStyle name="Normal 5 2 2 3 4 2" xfId="1604" xr:uid="{00000000-0005-0000-0000-0000A3060000}"/>
    <cellStyle name="Normal 5 2 2 3 5" xfId="1356" xr:uid="{00000000-0005-0000-0000-0000A4060000}"/>
    <cellStyle name="Normal 5 2 2 4" xfId="966" xr:uid="{00000000-0005-0000-0000-0000A5060000}"/>
    <cellStyle name="Normal 5 2 2 4 2" xfId="2012" xr:uid="{00000000-0005-0000-0000-0000A6060000}"/>
    <cellStyle name="Normal 5 2 2 5" xfId="700" xr:uid="{00000000-0005-0000-0000-0000A7060000}"/>
    <cellStyle name="Normal 5 2 2 5 2" xfId="1746" xr:uid="{00000000-0005-0000-0000-0000A8060000}"/>
    <cellStyle name="Normal 5 2 2 6" xfId="429" xr:uid="{00000000-0005-0000-0000-0000A9060000}"/>
    <cellStyle name="Normal 5 2 2 6 2" xfId="1480" xr:uid="{00000000-0005-0000-0000-0000AA060000}"/>
    <cellStyle name="Normal 5 2 2 7" xfId="1232" xr:uid="{00000000-0005-0000-0000-0000AB060000}"/>
    <cellStyle name="Normal 5 2 3" xfId="156" xr:uid="{00000000-0005-0000-0000-0000AC060000}"/>
    <cellStyle name="Normal 5 2 3 2" xfId="310" xr:uid="{00000000-0005-0000-0000-0000AD060000}"/>
    <cellStyle name="Normal 5 2 3 2 2" xfId="1095" xr:uid="{00000000-0005-0000-0000-0000AE060000}"/>
    <cellStyle name="Normal 5 2 3 2 2 2" xfId="2141" xr:uid="{00000000-0005-0000-0000-0000AF060000}"/>
    <cellStyle name="Normal 5 2 3 2 3" xfId="829" xr:uid="{00000000-0005-0000-0000-0000B0060000}"/>
    <cellStyle name="Normal 5 2 3 2 3 2" xfId="1875" xr:uid="{00000000-0005-0000-0000-0000B1060000}"/>
    <cellStyle name="Normal 5 2 3 2 4" xfId="558" xr:uid="{00000000-0005-0000-0000-0000B2060000}"/>
    <cellStyle name="Normal 5 2 3 2 4 2" xfId="1609" xr:uid="{00000000-0005-0000-0000-0000B3060000}"/>
    <cellStyle name="Normal 5 2 3 2 5" xfId="1361" xr:uid="{00000000-0005-0000-0000-0000B4060000}"/>
    <cellStyle name="Normal 5 2 3 3" xfId="971" xr:uid="{00000000-0005-0000-0000-0000B5060000}"/>
    <cellStyle name="Normal 5 2 3 3 2" xfId="2017" xr:uid="{00000000-0005-0000-0000-0000B6060000}"/>
    <cellStyle name="Normal 5 2 3 4" xfId="705" xr:uid="{00000000-0005-0000-0000-0000B7060000}"/>
    <cellStyle name="Normal 5 2 3 4 2" xfId="1751" xr:uid="{00000000-0005-0000-0000-0000B8060000}"/>
    <cellStyle name="Normal 5 2 3 5" xfId="434" xr:uid="{00000000-0005-0000-0000-0000B9060000}"/>
    <cellStyle name="Normal 5 2 3 5 2" xfId="1485" xr:uid="{00000000-0005-0000-0000-0000BA060000}"/>
    <cellStyle name="Normal 5 2 3 6" xfId="1237" xr:uid="{00000000-0005-0000-0000-0000BB060000}"/>
    <cellStyle name="Normal 5 2 4" xfId="263" xr:uid="{00000000-0005-0000-0000-0000BC060000}"/>
    <cellStyle name="Normal 5 2 4 2" xfId="1048" xr:uid="{00000000-0005-0000-0000-0000BD060000}"/>
    <cellStyle name="Normal 5 2 4 2 2" xfId="2094" xr:uid="{00000000-0005-0000-0000-0000BE060000}"/>
    <cellStyle name="Normal 5 2 4 3" xfId="782" xr:uid="{00000000-0005-0000-0000-0000BF060000}"/>
    <cellStyle name="Normal 5 2 4 3 2" xfId="1828" xr:uid="{00000000-0005-0000-0000-0000C0060000}"/>
    <cellStyle name="Normal 5 2 4 4" xfId="511" xr:uid="{00000000-0005-0000-0000-0000C1060000}"/>
    <cellStyle name="Normal 5 2 4 4 2" xfId="1562" xr:uid="{00000000-0005-0000-0000-0000C2060000}"/>
    <cellStyle name="Normal 5 2 4 5" xfId="1314" xr:uid="{00000000-0005-0000-0000-0000C3060000}"/>
    <cellStyle name="Normal 5 2 5" xfId="924" xr:uid="{00000000-0005-0000-0000-0000C4060000}"/>
    <cellStyle name="Normal 5 2 5 2" xfId="1970" xr:uid="{00000000-0005-0000-0000-0000C5060000}"/>
    <cellStyle name="Normal 5 2 6" xfId="658" xr:uid="{00000000-0005-0000-0000-0000C6060000}"/>
    <cellStyle name="Normal 5 2 6 2" xfId="1704" xr:uid="{00000000-0005-0000-0000-0000C7060000}"/>
    <cellStyle name="Normal 5 2 7" xfId="387" xr:uid="{00000000-0005-0000-0000-0000C8060000}"/>
    <cellStyle name="Normal 5 2 7 2" xfId="1438" xr:uid="{00000000-0005-0000-0000-0000C9060000}"/>
    <cellStyle name="Normal 5 2 8" xfId="1190" xr:uid="{00000000-0005-0000-0000-0000CA060000}"/>
    <cellStyle name="Normal 5 3" xfId="109" xr:uid="{00000000-0005-0000-0000-0000CB060000}"/>
    <cellStyle name="Normal 5 4" xfId="145" xr:uid="{00000000-0005-0000-0000-0000CC060000}"/>
    <cellStyle name="Normal 5 4 2" xfId="197" xr:uid="{00000000-0005-0000-0000-0000CD060000}"/>
    <cellStyle name="Normal 5 4 2 2" xfId="351" xr:uid="{00000000-0005-0000-0000-0000CE060000}"/>
    <cellStyle name="Normal 5 4 2 2 2" xfId="1136" xr:uid="{00000000-0005-0000-0000-0000CF060000}"/>
    <cellStyle name="Normal 5 4 2 2 2 2" xfId="2182" xr:uid="{00000000-0005-0000-0000-0000D0060000}"/>
    <cellStyle name="Normal 5 4 2 2 3" xfId="870" xr:uid="{00000000-0005-0000-0000-0000D1060000}"/>
    <cellStyle name="Normal 5 4 2 2 3 2" xfId="1916" xr:uid="{00000000-0005-0000-0000-0000D2060000}"/>
    <cellStyle name="Normal 5 4 2 2 4" xfId="599" xr:uid="{00000000-0005-0000-0000-0000D3060000}"/>
    <cellStyle name="Normal 5 4 2 2 4 2" xfId="1650" xr:uid="{00000000-0005-0000-0000-0000D4060000}"/>
    <cellStyle name="Normal 5 4 2 2 5" xfId="1402" xr:uid="{00000000-0005-0000-0000-0000D5060000}"/>
    <cellStyle name="Normal 5 4 2 3" xfId="1012" xr:uid="{00000000-0005-0000-0000-0000D6060000}"/>
    <cellStyle name="Normal 5 4 2 3 2" xfId="2058" xr:uid="{00000000-0005-0000-0000-0000D7060000}"/>
    <cellStyle name="Normal 5 4 2 4" xfId="746" xr:uid="{00000000-0005-0000-0000-0000D8060000}"/>
    <cellStyle name="Normal 5 4 2 4 2" xfId="1792" xr:uid="{00000000-0005-0000-0000-0000D9060000}"/>
    <cellStyle name="Normal 5 4 2 5" xfId="475" xr:uid="{00000000-0005-0000-0000-0000DA060000}"/>
    <cellStyle name="Normal 5 4 2 5 2" xfId="1526" xr:uid="{00000000-0005-0000-0000-0000DB060000}"/>
    <cellStyle name="Normal 5 4 2 6" xfId="1278" xr:uid="{00000000-0005-0000-0000-0000DC060000}"/>
    <cellStyle name="Normal 5 4 3" xfId="304" xr:uid="{00000000-0005-0000-0000-0000DD060000}"/>
    <cellStyle name="Normal 5 4 3 2" xfId="1089" xr:uid="{00000000-0005-0000-0000-0000DE060000}"/>
    <cellStyle name="Normal 5 4 3 2 2" xfId="2135" xr:uid="{00000000-0005-0000-0000-0000DF060000}"/>
    <cellStyle name="Normal 5 4 3 3" xfId="823" xr:uid="{00000000-0005-0000-0000-0000E0060000}"/>
    <cellStyle name="Normal 5 4 3 3 2" xfId="1869" xr:uid="{00000000-0005-0000-0000-0000E1060000}"/>
    <cellStyle name="Normal 5 4 3 4" xfId="552" xr:uid="{00000000-0005-0000-0000-0000E2060000}"/>
    <cellStyle name="Normal 5 4 3 4 2" xfId="1603" xr:uid="{00000000-0005-0000-0000-0000E3060000}"/>
    <cellStyle name="Normal 5 4 3 5" xfId="1355" xr:uid="{00000000-0005-0000-0000-0000E4060000}"/>
    <cellStyle name="Normal 5 4 4" xfId="965" xr:uid="{00000000-0005-0000-0000-0000E5060000}"/>
    <cellStyle name="Normal 5 4 4 2" xfId="2011" xr:uid="{00000000-0005-0000-0000-0000E6060000}"/>
    <cellStyle name="Normal 5 4 5" xfId="699" xr:uid="{00000000-0005-0000-0000-0000E7060000}"/>
    <cellStyle name="Normal 5 4 5 2" xfId="1745" xr:uid="{00000000-0005-0000-0000-0000E8060000}"/>
    <cellStyle name="Normal 5 4 6" xfId="428" xr:uid="{00000000-0005-0000-0000-0000E9060000}"/>
    <cellStyle name="Normal 5 4 6 2" xfId="1479" xr:uid="{00000000-0005-0000-0000-0000EA060000}"/>
    <cellStyle name="Normal 5 4 7" xfId="1231" xr:uid="{00000000-0005-0000-0000-0000EB060000}"/>
    <cellStyle name="Normal 5 5" xfId="155" xr:uid="{00000000-0005-0000-0000-0000EC060000}"/>
    <cellStyle name="Normal 5 5 2" xfId="309" xr:uid="{00000000-0005-0000-0000-0000ED060000}"/>
    <cellStyle name="Normal 5 5 2 2" xfId="1094" xr:uid="{00000000-0005-0000-0000-0000EE060000}"/>
    <cellStyle name="Normal 5 5 2 2 2" xfId="2140" xr:uid="{00000000-0005-0000-0000-0000EF060000}"/>
    <cellStyle name="Normal 5 5 2 3" xfId="828" xr:uid="{00000000-0005-0000-0000-0000F0060000}"/>
    <cellStyle name="Normal 5 5 2 3 2" xfId="1874" xr:uid="{00000000-0005-0000-0000-0000F1060000}"/>
    <cellStyle name="Normal 5 5 2 4" xfId="557" xr:uid="{00000000-0005-0000-0000-0000F2060000}"/>
    <cellStyle name="Normal 5 5 2 4 2" xfId="1608" xr:uid="{00000000-0005-0000-0000-0000F3060000}"/>
    <cellStyle name="Normal 5 5 2 5" xfId="1360" xr:uid="{00000000-0005-0000-0000-0000F4060000}"/>
    <cellStyle name="Normal 5 5 3" xfId="970" xr:uid="{00000000-0005-0000-0000-0000F5060000}"/>
    <cellStyle name="Normal 5 5 3 2" xfId="2016" xr:uid="{00000000-0005-0000-0000-0000F6060000}"/>
    <cellStyle name="Normal 5 5 4" xfId="704" xr:uid="{00000000-0005-0000-0000-0000F7060000}"/>
    <cellStyle name="Normal 5 5 4 2" xfId="1750" xr:uid="{00000000-0005-0000-0000-0000F8060000}"/>
    <cellStyle name="Normal 5 5 5" xfId="433" xr:uid="{00000000-0005-0000-0000-0000F9060000}"/>
    <cellStyle name="Normal 5 5 5 2" xfId="1484" xr:uid="{00000000-0005-0000-0000-0000FA060000}"/>
    <cellStyle name="Normal 5 5 6" xfId="1236" xr:uid="{00000000-0005-0000-0000-0000FB060000}"/>
    <cellStyle name="Normal 5 6" xfId="262" xr:uid="{00000000-0005-0000-0000-0000FC060000}"/>
    <cellStyle name="Normal 5 6 2" xfId="1047" xr:uid="{00000000-0005-0000-0000-0000FD060000}"/>
    <cellStyle name="Normal 5 6 2 2" xfId="2093" xr:uid="{00000000-0005-0000-0000-0000FE060000}"/>
    <cellStyle name="Normal 5 6 3" xfId="781" xr:uid="{00000000-0005-0000-0000-0000FF060000}"/>
    <cellStyle name="Normal 5 6 3 2" xfId="1827" xr:uid="{00000000-0005-0000-0000-000000070000}"/>
    <cellStyle name="Normal 5 6 4" xfId="510" xr:uid="{00000000-0005-0000-0000-000001070000}"/>
    <cellStyle name="Normal 5 6 4 2" xfId="1561" xr:uid="{00000000-0005-0000-0000-000002070000}"/>
    <cellStyle name="Normal 5 6 5" xfId="1313" xr:uid="{00000000-0005-0000-0000-000003070000}"/>
    <cellStyle name="Normal 5 7" xfId="654" xr:uid="{00000000-0005-0000-0000-000004070000}"/>
    <cellStyle name="Normal 5 8" xfId="923" xr:uid="{00000000-0005-0000-0000-000005070000}"/>
    <cellStyle name="Normal 5 8 2" xfId="1969" xr:uid="{00000000-0005-0000-0000-000006070000}"/>
    <cellStyle name="Normal 5 9" xfId="657" xr:uid="{00000000-0005-0000-0000-000007070000}"/>
    <cellStyle name="Normal 5 9 2" xfId="1703" xr:uid="{00000000-0005-0000-0000-000008070000}"/>
    <cellStyle name="Normal 6" xfId="14" xr:uid="{00000000-0005-0000-0000-000009070000}"/>
    <cellStyle name="Normal 6 10" xfId="388" xr:uid="{00000000-0005-0000-0000-00000A070000}"/>
    <cellStyle name="Normal 6 10 2" xfId="1439" xr:uid="{00000000-0005-0000-0000-00000B070000}"/>
    <cellStyle name="Normal 6 11" xfId="1191" xr:uid="{00000000-0005-0000-0000-00000C070000}"/>
    <cellStyle name="Normal 6 2" xfId="15" xr:uid="{00000000-0005-0000-0000-00000D070000}"/>
    <cellStyle name="Normal 6 2 2" xfId="148" xr:uid="{00000000-0005-0000-0000-00000E070000}"/>
    <cellStyle name="Normal 6 2 3" xfId="158" xr:uid="{00000000-0005-0000-0000-00000F070000}"/>
    <cellStyle name="Normal 6 2 3 2" xfId="312" xr:uid="{00000000-0005-0000-0000-000010070000}"/>
    <cellStyle name="Normal 6 2 3 2 2" xfId="1097" xr:uid="{00000000-0005-0000-0000-000011070000}"/>
    <cellStyle name="Normal 6 2 3 2 2 2" xfId="2143" xr:uid="{00000000-0005-0000-0000-000012070000}"/>
    <cellStyle name="Normal 6 2 3 2 3" xfId="831" xr:uid="{00000000-0005-0000-0000-000013070000}"/>
    <cellStyle name="Normal 6 2 3 2 3 2" xfId="1877" xr:uid="{00000000-0005-0000-0000-000014070000}"/>
    <cellStyle name="Normal 6 2 3 2 4" xfId="560" xr:uid="{00000000-0005-0000-0000-000015070000}"/>
    <cellStyle name="Normal 6 2 3 2 4 2" xfId="1611" xr:uid="{00000000-0005-0000-0000-000016070000}"/>
    <cellStyle name="Normal 6 2 3 2 5" xfId="1363" xr:uid="{00000000-0005-0000-0000-000017070000}"/>
    <cellStyle name="Normal 6 2 3 3" xfId="973" xr:uid="{00000000-0005-0000-0000-000018070000}"/>
    <cellStyle name="Normal 6 2 3 3 2" xfId="2019" xr:uid="{00000000-0005-0000-0000-000019070000}"/>
    <cellStyle name="Normal 6 2 3 4" xfId="707" xr:uid="{00000000-0005-0000-0000-00001A070000}"/>
    <cellStyle name="Normal 6 2 3 4 2" xfId="1753" xr:uid="{00000000-0005-0000-0000-00001B070000}"/>
    <cellStyle name="Normal 6 2 3 5" xfId="436" xr:uid="{00000000-0005-0000-0000-00001C070000}"/>
    <cellStyle name="Normal 6 2 3 5 2" xfId="1487" xr:uid="{00000000-0005-0000-0000-00001D070000}"/>
    <cellStyle name="Normal 6 2 3 6" xfId="1239" xr:uid="{00000000-0005-0000-0000-00001E070000}"/>
    <cellStyle name="Normal 6 2 4" xfId="265" xr:uid="{00000000-0005-0000-0000-00001F070000}"/>
    <cellStyle name="Normal 6 2 4 2" xfId="1050" xr:uid="{00000000-0005-0000-0000-000020070000}"/>
    <cellStyle name="Normal 6 2 4 2 2" xfId="2096" xr:uid="{00000000-0005-0000-0000-000021070000}"/>
    <cellStyle name="Normal 6 2 4 3" xfId="784" xr:uid="{00000000-0005-0000-0000-000022070000}"/>
    <cellStyle name="Normal 6 2 4 3 2" xfId="1830" xr:uid="{00000000-0005-0000-0000-000023070000}"/>
    <cellStyle name="Normal 6 2 4 4" xfId="513" xr:uid="{00000000-0005-0000-0000-000024070000}"/>
    <cellStyle name="Normal 6 2 4 4 2" xfId="1564" xr:uid="{00000000-0005-0000-0000-000025070000}"/>
    <cellStyle name="Normal 6 2 4 5" xfId="1316" xr:uid="{00000000-0005-0000-0000-000026070000}"/>
    <cellStyle name="Normal 6 2 5" xfId="926" xr:uid="{00000000-0005-0000-0000-000027070000}"/>
    <cellStyle name="Normal 6 2 5 2" xfId="1972" xr:uid="{00000000-0005-0000-0000-000028070000}"/>
    <cellStyle name="Normal 6 2 6" xfId="660" xr:uid="{00000000-0005-0000-0000-000029070000}"/>
    <cellStyle name="Normal 6 2 6 2" xfId="1706" xr:uid="{00000000-0005-0000-0000-00002A070000}"/>
    <cellStyle name="Normal 6 2 7" xfId="389" xr:uid="{00000000-0005-0000-0000-00002B070000}"/>
    <cellStyle name="Normal 6 2 7 2" xfId="1440" xr:uid="{00000000-0005-0000-0000-00002C070000}"/>
    <cellStyle name="Normal 6 2 8" xfId="1192" xr:uid="{00000000-0005-0000-0000-00002D070000}"/>
    <cellStyle name="Normal 6 3" xfId="110" xr:uid="{00000000-0005-0000-0000-00002E070000}"/>
    <cellStyle name="Normal 6 4" xfId="147" xr:uid="{00000000-0005-0000-0000-00002F070000}"/>
    <cellStyle name="Normal 6 5" xfId="157" xr:uid="{00000000-0005-0000-0000-000030070000}"/>
    <cellStyle name="Normal 6 5 2" xfId="311" xr:uid="{00000000-0005-0000-0000-000031070000}"/>
    <cellStyle name="Normal 6 5 2 2" xfId="1096" xr:uid="{00000000-0005-0000-0000-000032070000}"/>
    <cellStyle name="Normal 6 5 2 2 2" xfId="2142" xr:uid="{00000000-0005-0000-0000-000033070000}"/>
    <cellStyle name="Normal 6 5 2 3" xfId="830" xr:uid="{00000000-0005-0000-0000-000034070000}"/>
    <cellStyle name="Normal 6 5 2 3 2" xfId="1876" xr:uid="{00000000-0005-0000-0000-000035070000}"/>
    <cellStyle name="Normal 6 5 2 4" xfId="559" xr:uid="{00000000-0005-0000-0000-000036070000}"/>
    <cellStyle name="Normal 6 5 2 4 2" xfId="1610" xr:uid="{00000000-0005-0000-0000-000037070000}"/>
    <cellStyle name="Normal 6 5 2 5" xfId="1362" xr:uid="{00000000-0005-0000-0000-000038070000}"/>
    <cellStyle name="Normal 6 5 3" xfId="972" xr:uid="{00000000-0005-0000-0000-000039070000}"/>
    <cellStyle name="Normal 6 5 3 2" xfId="2018" xr:uid="{00000000-0005-0000-0000-00003A070000}"/>
    <cellStyle name="Normal 6 5 4" xfId="706" xr:uid="{00000000-0005-0000-0000-00003B070000}"/>
    <cellStyle name="Normal 6 5 4 2" xfId="1752" xr:uid="{00000000-0005-0000-0000-00003C070000}"/>
    <cellStyle name="Normal 6 5 5" xfId="435" xr:uid="{00000000-0005-0000-0000-00003D070000}"/>
    <cellStyle name="Normal 6 5 5 2" xfId="1486" xr:uid="{00000000-0005-0000-0000-00003E070000}"/>
    <cellStyle name="Normal 6 5 6" xfId="1238" xr:uid="{00000000-0005-0000-0000-00003F070000}"/>
    <cellStyle name="Normal 6 6" xfId="246" xr:uid="{00000000-0005-0000-0000-000040070000}"/>
    <cellStyle name="Normal 6 6 2" xfId="370" xr:uid="{00000000-0005-0000-0000-000041070000}"/>
    <cellStyle name="Normal 6 6 2 2" xfId="1155" xr:uid="{00000000-0005-0000-0000-000042070000}"/>
    <cellStyle name="Normal 6 6 2 2 2" xfId="2201" xr:uid="{00000000-0005-0000-0000-000043070000}"/>
    <cellStyle name="Normal 6 6 2 3" xfId="889" xr:uid="{00000000-0005-0000-0000-000044070000}"/>
    <cellStyle name="Normal 6 6 2 3 2" xfId="1935" xr:uid="{00000000-0005-0000-0000-000045070000}"/>
    <cellStyle name="Normal 6 6 2 4" xfId="618" xr:uid="{00000000-0005-0000-0000-000046070000}"/>
    <cellStyle name="Normal 6 6 2 4 2" xfId="1669" xr:uid="{00000000-0005-0000-0000-000047070000}"/>
    <cellStyle name="Normal 6 6 2 5" xfId="1421" xr:uid="{00000000-0005-0000-0000-000048070000}"/>
    <cellStyle name="Normal 6 6 3" xfId="1031" xr:uid="{00000000-0005-0000-0000-000049070000}"/>
    <cellStyle name="Normal 6 6 3 2" xfId="2077" xr:uid="{00000000-0005-0000-0000-00004A070000}"/>
    <cellStyle name="Normal 6 6 4" xfId="765" xr:uid="{00000000-0005-0000-0000-00004B070000}"/>
    <cellStyle name="Normal 6 6 4 2" xfId="1811" xr:uid="{00000000-0005-0000-0000-00004C070000}"/>
    <cellStyle name="Normal 6 6 5" xfId="494" xr:uid="{00000000-0005-0000-0000-00004D070000}"/>
    <cellStyle name="Normal 6 6 5 2" xfId="1545" xr:uid="{00000000-0005-0000-0000-00004E070000}"/>
    <cellStyle name="Normal 6 6 6" xfId="1297" xr:uid="{00000000-0005-0000-0000-00004F070000}"/>
    <cellStyle name="Normal 6 7" xfId="264" xr:uid="{00000000-0005-0000-0000-000050070000}"/>
    <cellStyle name="Normal 6 7 2" xfId="1049" xr:uid="{00000000-0005-0000-0000-000051070000}"/>
    <cellStyle name="Normal 6 7 2 2" xfId="2095" xr:uid="{00000000-0005-0000-0000-000052070000}"/>
    <cellStyle name="Normal 6 7 3" xfId="783" xr:uid="{00000000-0005-0000-0000-000053070000}"/>
    <cellStyle name="Normal 6 7 3 2" xfId="1829" xr:uid="{00000000-0005-0000-0000-000054070000}"/>
    <cellStyle name="Normal 6 7 4" xfId="512" xr:uid="{00000000-0005-0000-0000-000055070000}"/>
    <cellStyle name="Normal 6 7 4 2" xfId="1563" xr:uid="{00000000-0005-0000-0000-000056070000}"/>
    <cellStyle name="Normal 6 7 5" xfId="1315" xr:uid="{00000000-0005-0000-0000-000057070000}"/>
    <cellStyle name="Normal 6 8" xfId="925" xr:uid="{00000000-0005-0000-0000-000058070000}"/>
    <cellStyle name="Normal 6 8 2" xfId="1971" xr:uid="{00000000-0005-0000-0000-000059070000}"/>
    <cellStyle name="Normal 6 9" xfId="659" xr:uid="{00000000-0005-0000-0000-00005A070000}"/>
    <cellStyle name="Normal 6 9 2" xfId="1705" xr:uid="{00000000-0005-0000-0000-00005B070000}"/>
    <cellStyle name="Normal 7" xfId="111" xr:uid="{00000000-0005-0000-0000-00005C070000}"/>
    <cellStyle name="Normal 7 2" xfId="112" xr:uid="{00000000-0005-0000-0000-00005D070000}"/>
    <cellStyle name="Normal 8" xfId="113" xr:uid="{00000000-0005-0000-0000-00005E070000}"/>
    <cellStyle name="Normal 9" xfId="114" xr:uid="{00000000-0005-0000-0000-00005F070000}"/>
    <cellStyle name="Normal_healthcare edit.xls" xfId="153" xr:uid="{00000000-0005-0000-0000-000060070000}"/>
    <cellStyle name="Normal_office as built edit.xls" xfId="2235" xr:uid="{00000000-0005-0000-0000-000061070000}"/>
    <cellStyle name="Note 2" xfId="115" xr:uid="{00000000-0005-0000-0000-000062070000}"/>
    <cellStyle name="Note 2 2" xfId="116" xr:uid="{00000000-0005-0000-0000-000063070000}"/>
    <cellStyle name="Note 2 2 2" xfId="179" xr:uid="{00000000-0005-0000-0000-000064070000}"/>
    <cellStyle name="Note 2 2 2 2" xfId="333" xr:uid="{00000000-0005-0000-0000-000065070000}"/>
    <cellStyle name="Note 2 2 2 2 2" xfId="1118" xr:uid="{00000000-0005-0000-0000-000066070000}"/>
    <cellStyle name="Note 2 2 2 2 2 2" xfId="2164" xr:uid="{00000000-0005-0000-0000-000067070000}"/>
    <cellStyle name="Note 2 2 2 2 3" xfId="852" xr:uid="{00000000-0005-0000-0000-000068070000}"/>
    <cellStyle name="Note 2 2 2 2 3 2" xfId="1898" xr:uid="{00000000-0005-0000-0000-000069070000}"/>
    <cellStyle name="Note 2 2 2 2 4" xfId="581" xr:uid="{00000000-0005-0000-0000-00006A070000}"/>
    <cellStyle name="Note 2 2 2 2 4 2" xfId="1632" xr:uid="{00000000-0005-0000-0000-00006B070000}"/>
    <cellStyle name="Note 2 2 2 2 5" xfId="1384" xr:uid="{00000000-0005-0000-0000-00006C070000}"/>
    <cellStyle name="Note 2 2 2 3" xfId="994" xr:uid="{00000000-0005-0000-0000-00006D070000}"/>
    <cellStyle name="Note 2 2 2 3 2" xfId="2040" xr:uid="{00000000-0005-0000-0000-00006E070000}"/>
    <cellStyle name="Note 2 2 2 4" xfId="728" xr:uid="{00000000-0005-0000-0000-00006F070000}"/>
    <cellStyle name="Note 2 2 2 4 2" xfId="1774" xr:uid="{00000000-0005-0000-0000-000070070000}"/>
    <cellStyle name="Note 2 2 2 5" xfId="457" xr:uid="{00000000-0005-0000-0000-000071070000}"/>
    <cellStyle name="Note 2 2 2 5 2" xfId="1508" xr:uid="{00000000-0005-0000-0000-000072070000}"/>
    <cellStyle name="Note 2 2 2 6" xfId="1260" xr:uid="{00000000-0005-0000-0000-000073070000}"/>
    <cellStyle name="Note 2 2 3" xfId="286" xr:uid="{00000000-0005-0000-0000-000074070000}"/>
    <cellStyle name="Note 2 2 3 2" xfId="1071" xr:uid="{00000000-0005-0000-0000-000075070000}"/>
    <cellStyle name="Note 2 2 3 2 2" xfId="2117" xr:uid="{00000000-0005-0000-0000-000076070000}"/>
    <cellStyle name="Note 2 2 3 3" xfId="805" xr:uid="{00000000-0005-0000-0000-000077070000}"/>
    <cellStyle name="Note 2 2 3 3 2" xfId="1851" xr:uid="{00000000-0005-0000-0000-000078070000}"/>
    <cellStyle name="Note 2 2 3 4" xfId="534" xr:uid="{00000000-0005-0000-0000-000079070000}"/>
    <cellStyle name="Note 2 2 3 4 2" xfId="1585" xr:uid="{00000000-0005-0000-0000-00007A070000}"/>
    <cellStyle name="Note 2 2 3 5" xfId="1337" xr:uid="{00000000-0005-0000-0000-00007B070000}"/>
    <cellStyle name="Note 2 2 4" xfId="947" xr:uid="{00000000-0005-0000-0000-00007C070000}"/>
    <cellStyle name="Note 2 2 4 2" xfId="1993" xr:uid="{00000000-0005-0000-0000-00007D070000}"/>
    <cellStyle name="Note 2 2 5" xfId="681" xr:uid="{00000000-0005-0000-0000-00007E070000}"/>
    <cellStyle name="Note 2 2 5 2" xfId="1727" xr:uid="{00000000-0005-0000-0000-00007F070000}"/>
    <cellStyle name="Note 2 2 6" xfId="410" xr:uid="{00000000-0005-0000-0000-000080070000}"/>
    <cellStyle name="Note 2 2 6 2" xfId="1461" xr:uid="{00000000-0005-0000-0000-000081070000}"/>
    <cellStyle name="Note 2 2 7" xfId="1213" xr:uid="{00000000-0005-0000-0000-000082070000}"/>
    <cellStyle name="Note 2 3" xfId="117" xr:uid="{00000000-0005-0000-0000-000083070000}"/>
    <cellStyle name="Note 2 3 2" xfId="180" xr:uid="{00000000-0005-0000-0000-000084070000}"/>
    <cellStyle name="Note 2 3 2 2" xfId="334" xr:uid="{00000000-0005-0000-0000-000085070000}"/>
    <cellStyle name="Note 2 3 2 2 2" xfId="1119" xr:uid="{00000000-0005-0000-0000-000086070000}"/>
    <cellStyle name="Note 2 3 2 2 2 2" xfId="2165" xr:uid="{00000000-0005-0000-0000-000087070000}"/>
    <cellStyle name="Note 2 3 2 2 3" xfId="853" xr:uid="{00000000-0005-0000-0000-000088070000}"/>
    <cellStyle name="Note 2 3 2 2 3 2" xfId="1899" xr:uid="{00000000-0005-0000-0000-000089070000}"/>
    <cellStyle name="Note 2 3 2 2 4" xfId="582" xr:uid="{00000000-0005-0000-0000-00008A070000}"/>
    <cellStyle name="Note 2 3 2 2 4 2" xfId="1633" xr:uid="{00000000-0005-0000-0000-00008B070000}"/>
    <cellStyle name="Note 2 3 2 2 5" xfId="1385" xr:uid="{00000000-0005-0000-0000-00008C070000}"/>
    <cellStyle name="Note 2 3 2 3" xfId="995" xr:uid="{00000000-0005-0000-0000-00008D070000}"/>
    <cellStyle name="Note 2 3 2 3 2" xfId="2041" xr:uid="{00000000-0005-0000-0000-00008E070000}"/>
    <cellStyle name="Note 2 3 2 4" xfId="729" xr:uid="{00000000-0005-0000-0000-00008F070000}"/>
    <cellStyle name="Note 2 3 2 4 2" xfId="1775" xr:uid="{00000000-0005-0000-0000-000090070000}"/>
    <cellStyle name="Note 2 3 2 5" xfId="458" xr:uid="{00000000-0005-0000-0000-000091070000}"/>
    <cellStyle name="Note 2 3 2 5 2" xfId="1509" xr:uid="{00000000-0005-0000-0000-000092070000}"/>
    <cellStyle name="Note 2 3 2 6" xfId="1261" xr:uid="{00000000-0005-0000-0000-000093070000}"/>
    <cellStyle name="Note 2 3 3" xfId="287" xr:uid="{00000000-0005-0000-0000-000094070000}"/>
    <cellStyle name="Note 2 3 3 2" xfId="1072" xr:uid="{00000000-0005-0000-0000-000095070000}"/>
    <cellStyle name="Note 2 3 3 2 2" xfId="2118" xr:uid="{00000000-0005-0000-0000-000096070000}"/>
    <cellStyle name="Note 2 3 3 3" xfId="806" xr:uid="{00000000-0005-0000-0000-000097070000}"/>
    <cellStyle name="Note 2 3 3 3 2" xfId="1852" xr:uid="{00000000-0005-0000-0000-000098070000}"/>
    <cellStyle name="Note 2 3 3 4" xfId="535" xr:uid="{00000000-0005-0000-0000-000099070000}"/>
    <cellStyle name="Note 2 3 3 4 2" xfId="1586" xr:uid="{00000000-0005-0000-0000-00009A070000}"/>
    <cellStyle name="Note 2 3 3 5" xfId="1338" xr:uid="{00000000-0005-0000-0000-00009B070000}"/>
    <cellStyle name="Note 2 3 4" xfId="948" xr:uid="{00000000-0005-0000-0000-00009C070000}"/>
    <cellStyle name="Note 2 3 4 2" xfId="1994" xr:uid="{00000000-0005-0000-0000-00009D070000}"/>
    <cellStyle name="Note 2 3 5" xfId="682" xr:uid="{00000000-0005-0000-0000-00009E070000}"/>
    <cellStyle name="Note 2 3 5 2" xfId="1728" xr:uid="{00000000-0005-0000-0000-00009F070000}"/>
    <cellStyle name="Note 2 3 6" xfId="411" xr:uid="{00000000-0005-0000-0000-0000A0070000}"/>
    <cellStyle name="Note 2 3 6 2" xfId="1462" xr:uid="{00000000-0005-0000-0000-0000A1070000}"/>
    <cellStyle name="Note 2 3 7" xfId="1214" xr:uid="{00000000-0005-0000-0000-0000A2070000}"/>
    <cellStyle name="Note 2 4" xfId="118" xr:uid="{00000000-0005-0000-0000-0000A3070000}"/>
    <cellStyle name="Note 2 4 2" xfId="181" xr:uid="{00000000-0005-0000-0000-0000A4070000}"/>
    <cellStyle name="Note 2 4 2 2" xfId="335" xr:uid="{00000000-0005-0000-0000-0000A5070000}"/>
    <cellStyle name="Note 2 4 2 2 2" xfId="1120" xr:uid="{00000000-0005-0000-0000-0000A6070000}"/>
    <cellStyle name="Note 2 4 2 2 2 2" xfId="2166" xr:uid="{00000000-0005-0000-0000-0000A7070000}"/>
    <cellStyle name="Note 2 4 2 2 3" xfId="854" xr:uid="{00000000-0005-0000-0000-0000A8070000}"/>
    <cellStyle name="Note 2 4 2 2 3 2" xfId="1900" xr:uid="{00000000-0005-0000-0000-0000A9070000}"/>
    <cellStyle name="Note 2 4 2 2 4" xfId="583" xr:uid="{00000000-0005-0000-0000-0000AA070000}"/>
    <cellStyle name="Note 2 4 2 2 4 2" xfId="1634" xr:uid="{00000000-0005-0000-0000-0000AB070000}"/>
    <cellStyle name="Note 2 4 2 2 5" xfId="1386" xr:uid="{00000000-0005-0000-0000-0000AC070000}"/>
    <cellStyle name="Note 2 4 2 3" xfId="996" xr:uid="{00000000-0005-0000-0000-0000AD070000}"/>
    <cellStyle name="Note 2 4 2 3 2" xfId="2042" xr:uid="{00000000-0005-0000-0000-0000AE070000}"/>
    <cellStyle name="Note 2 4 2 4" xfId="730" xr:uid="{00000000-0005-0000-0000-0000AF070000}"/>
    <cellStyle name="Note 2 4 2 4 2" xfId="1776" xr:uid="{00000000-0005-0000-0000-0000B0070000}"/>
    <cellStyle name="Note 2 4 2 5" xfId="459" xr:uid="{00000000-0005-0000-0000-0000B1070000}"/>
    <cellStyle name="Note 2 4 2 5 2" xfId="1510" xr:uid="{00000000-0005-0000-0000-0000B2070000}"/>
    <cellStyle name="Note 2 4 2 6" xfId="1262" xr:uid="{00000000-0005-0000-0000-0000B3070000}"/>
    <cellStyle name="Note 2 4 3" xfId="288" xr:uid="{00000000-0005-0000-0000-0000B4070000}"/>
    <cellStyle name="Note 2 4 3 2" xfId="1073" xr:uid="{00000000-0005-0000-0000-0000B5070000}"/>
    <cellStyle name="Note 2 4 3 2 2" xfId="2119" xr:uid="{00000000-0005-0000-0000-0000B6070000}"/>
    <cellStyle name="Note 2 4 3 3" xfId="807" xr:uid="{00000000-0005-0000-0000-0000B7070000}"/>
    <cellStyle name="Note 2 4 3 3 2" xfId="1853" xr:uid="{00000000-0005-0000-0000-0000B8070000}"/>
    <cellStyle name="Note 2 4 3 4" xfId="536" xr:uid="{00000000-0005-0000-0000-0000B9070000}"/>
    <cellStyle name="Note 2 4 3 4 2" xfId="1587" xr:uid="{00000000-0005-0000-0000-0000BA070000}"/>
    <cellStyle name="Note 2 4 3 5" xfId="1339" xr:uid="{00000000-0005-0000-0000-0000BB070000}"/>
    <cellStyle name="Note 2 4 4" xfId="949" xr:uid="{00000000-0005-0000-0000-0000BC070000}"/>
    <cellStyle name="Note 2 4 4 2" xfId="1995" xr:uid="{00000000-0005-0000-0000-0000BD070000}"/>
    <cellStyle name="Note 2 4 5" xfId="683" xr:uid="{00000000-0005-0000-0000-0000BE070000}"/>
    <cellStyle name="Note 2 4 5 2" xfId="1729" xr:uid="{00000000-0005-0000-0000-0000BF070000}"/>
    <cellStyle name="Note 2 4 6" xfId="412" xr:uid="{00000000-0005-0000-0000-0000C0070000}"/>
    <cellStyle name="Note 2 4 6 2" xfId="1463" xr:uid="{00000000-0005-0000-0000-0000C1070000}"/>
    <cellStyle name="Note 2 4 7" xfId="1215" xr:uid="{00000000-0005-0000-0000-0000C2070000}"/>
    <cellStyle name="Note 3" xfId="119" xr:uid="{00000000-0005-0000-0000-0000C3070000}"/>
    <cellStyle name="Note 3 2" xfId="182" xr:uid="{00000000-0005-0000-0000-0000C4070000}"/>
    <cellStyle name="Note 3 2 2" xfId="336" xr:uid="{00000000-0005-0000-0000-0000C5070000}"/>
    <cellStyle name="Note 3 2 2 2" xfId="1121" xr:uid="{00000000-0005-0000-0000-0000C6070000}"/>
    <cellStyle name="Note 3 2 2 2 2" xfId="2167" xr:uid="{00000000-0005-0000-0000-0000C7070000}"/>
    <cellStyle name="Note 3 2 2 3" xfId="855" xr:uid="{00000000-0005-0000-0000-0000C8070000}"/>
    <cellStyle name="Note 3 2 2 3 2" xfId="1901" xr:uid="{00000000-0005-0000-0000-0000C9070000}"/>
    <cellStyle name="Note 3 2 2 4" xfId="584" xr:uid="{00000000-0005-0000-0000-0000CA070000}"/>
    <cellStyle name="Note 3 2 2 4 2" xfId="1635" xr:uid="{00000000-0005-0000-0000-0000CB070000}"/>
    <cellStyle name="Note 3 2 2 5" xfId="1387" xr:uid="{00000000-0005-0000-0000-0000CC070000}"/>
    <cellStyle name="Note 3 2 3" xfId="997" xr:uid="{00000000-0005-0000-0000-0000CD070000}"/>
    <cellStyle name="Note 3 2 3 2" xfId="2043" xr:uid="{00000000-0005-0000-0000-0000CE070000}"/>
    <cellStyle name="Note 3 2 4" xfId="731" xr:uid="{00000000-0005-0000-0000-0000CF070000}"/>
    <cellStyle name="Note 3 2 4 2" xfId="1777" xr:uid="{00000000-0005-0000-0000-0000D0070000}"/>
    <cellStyle name="Note 3 2 5" xfId="460" xr:uid="{00000000-0005-0000-0000-0000D1070000}"/>
    <cellStyle name="Note 3 2 5 2" xfId="1511" xr:uid="{00000000-0005-0000-0000-0000D2070000}"/>
    <cellStyle name="Note 3 2 6" xfId="1263" xr:uid="{00000000-0005-0000-0000-0000D3070000}"/>
    <cellStyle name="Note 3 3" xfId="289" xr:uid="{00000000-0005-0000-0000-0000D4070000}"/>
    <cellStyle name="Note 3 3 2" xfId="1074" xr:uid="{00000000-0005-0000-0000-0000D5070000}"/>
    <cellStyle name="Note 3 3 2 2" xfId="2120" xr:uid="{00000000-0005-0000-0000-0000D6070000}"/>
    <cellStyle name="Note 3 3 3" xfId="808" xr:uid="{00000000-0005-0000-0000-0000D7070000}"/>
    <cellStyle name="Note 3 3 3 2" xfId="1854" xr:uid="{00000000-0005-0000-0000-0000D8070000}"/>
    <cellStyle name="Note 3 3 4" xfId="537" xr:uid="{00000000-0005-0000-0000-0000D9070000}"/>
    <cellStyle name="Note 3 3 4 2" xfId="1588" xr:uid="{00000000-0005-0000-0000-0000DA070000}"/>
    <cellStyle name="Note 3 3 5" xfId="1340" xr:uid="{00000000-0005-0000-0000-0000DB070000}"/>
    <cellStyle name="Note 3 4" xfId="950" xr:uid="{00000000-0005-0000-0000-0000DC070000}"/>
    <cellStyle name="Note 3 4 2" xfId="1996" xr:uid="{00000000-0005-0000-0000-0000DD070000}"/>
    <cellStyle name="Note 3 5" xfId="684" xr:uid="{00000000-0005-0000-0000-0000DE070000}"/>
    <cellStyle name="Note 3 5 2" xfId="1730" xr:uid="{00000000-0005-0000-0000-0000DF070000}"/>
    <cellStyle name="Note 3 6" xfId="413" xr:uid="{00000000-0005-0000-0000-0000E0070000}"/>
    <cellStyle name="Note 3 6 2" xfId="1464" xr:uid="{00000000-0005-0000-0000-0000E1070000}"/>
    <cellStyle name="Note 3 7" xfId="1216" xr:uid="{00000000-0005-0000-0000-0000E2070000}"/>
    <cellStyle name="Note 4" xfId="120" xr:uid="{00000000-0005-0000-0000-0000E3070000}"/>
    <cellStyle name="Note 4 2" xfId="183" xr:uid="{00000000-0005-0000-0000-0000E4070000}"/>
    <cellStyle name="Note 4 2 2" xfId="337" xr:uid="{00000000-0005-0000-0000-0000E5070000}"/>
    <cellStyle name="Note 4 2 2 2" xfId="1122" xr:uid="{00000000-0005-0000-0000-0000E6070000}"/>
    <cellStyle name="Note 4 2 2 2 2" xfId="2168" xr:uid="{00000000-0005-0000-0000-0000E7070000}"/>
    <cellStyle name="Note 4 2 2 3" xfId="856" xr:uid="{00000000-0005-0000-0000-0000E8070000}"/>
    <cellStyle name="Note 4 2 2 3 2" xfId="1902" xr:uid="{00000000-0005-0000-0000-0000E9070000}"/>
    <cellStyle name="Note 4 2 2 4" xfId="585" xr:uid="{00000000-0005-0000-0000-0000EA070000}"/>
    <cellStyle name="Note 4 2 2 4 2" xfId="1636" xr:uid="{00000000-0005-0000-0000-0000EB070000}"/>
    <cellStyle name="Note 4 2 2 5" xfId="1388" xr:uid="{00000000-0005-0000-0000-0000EC070000}"/>
    <cellStyle name="Note 4 2 3" xfId="998" xr:uid="{00000000-0005-0000-0000-0000ED070000}"/>
    <cellStyle name="Note 4 2 3 2" xfId="2044" xr:uid="{00000000-0005-0000-0000-0000EE070000}"/>
    <cellStyle name="Note 4 2 4" xfId="732" xr:uid="{00000000-0005-0000-0000-0000EF070000}"/>
    <cellStyle name="Note 4 2 4 2" xfId="1778" xr:uid="{00000000-0005-0000-0000-0000F0070000}"/>
    <cellStyle name="Note 4 2 5" xfId="461" xr:uid="{00000000-0005-0000-0000-0000F1070000}"/>
    <cellStyle name="Note 4 2 5 2" xfId="1512" xr:uid="{00000000-0005-0000-0000-0000F2070000}"/>
    <cellStyle name="Note 4 2 6" xfId="1264" xr:uid="{00000000-0005-0000-0000-0000F3070000}"/>
    <cellStyle name="Note 4 3" xfId="290" xr:uid="{00000000-0005-0000-0000-0000F4070000}"/>
    <cellStyle name="Note 4 3 2" xfId="1075" xr:uid="{00000000-0005-0000-0000-0000F5070000}"/>
    <cellStyle name="Note 4 3 2 2" xfId="2121" xr:uid="{00000000-0005-0000-0000-0000F6070000}"/>
    <cellStyle name="Note 4 3 3" xfId="809" xr:uid="{00000000-0005-0000-0000-0000F7070000}"/>
    <cellStyle name="Note 4 3 3 2" xfId="1855" xr:uid="{00000000-0005-0000-0000-0000F8070000}"/>
    <cellStyle name="Note 4 3 4" xfId="538" xr:uid="{00000000-0005-0000-0000-0000F9070000}"/>
    <cellStyle name="Note 4 3 4 2" xfId="1589" xr:uid="{00000000-0005-0000-0000-0000FA070000}"/>
    <cellStyle name="Note 4 3 5" xfId="1341" xr:uid="{00000000-0005-0000-0000-0000FB070000}"/>
    <cellStyle name="Note 4 4" xfId="951" xr:uid="{00000000-0005-0000-0000-0000FC070000}"/>
    <cellStyle name="Note 4 4 2" xfId="1997" xr:uid="{00000000-0005-0000-0000-0000FD070000}"/>
    <cellStyle name="Note 4 5" xfId="685" xr:uid="{00000000-0005-0000-0000-0000FE070000}"/>
    <cellStyle name="Note 4 5 2" xfId="1731" xr:uid="{00000000-0005-0000-0000-0000FF070000}"/>
    <cellStyle name="Note 4 6" xfId="414" xr:uid="{00000000-0005-0000-0000-000000080000}"/>
    <cellStyle name="Note 4 6 2" xfId="1465" xr:uid="{00000000-0005-0000-0000-000001080000}"/>
    <cellStyle name="Note 4 7" xfId="1217" xr:uid="{00000000-0005-0000-0000-000002080000}"/>
    <cellStyle name="Note 5" xfId="121" xr:uid="{00000000-0005-0000-0000-000003080000}"/>
    <cellStyle name="Note 5 2" xfId="184" xr:uid="{00000000-0005-0000-0000-000004080000}"/>
    <cellStyle name="Note 5 2 2" xfId="338" xr:uid="{00000000-0005-0000-0000-000005080000}"/>
    <cellStyle name="Note 5 2 2 2" xfId="1123" xr:uid="{00000000-0005-0000-0000-000006080000}"/>
    <cellStyle name="Note 5 2 2 2 2" xfId="2169" xr:uid="{00000000-0005-0000-0000-000007080000}"/>
    <cellStyle name="Note 5 2 2 3" xfId="857" xr:uid="{00000000-0005-0000-0000-000008080000}"/>
    <cellStyle name="Note 5 2 2 3 2" xfId="1903" xr:uid="{00000000-0005-0000-0000-000009080000}"/>
    <cellStyle name="Note 5 2 2 4" xfId="586" xr:uid="{00000000-0005-0000-0000-00000A080000}"/>
    <cellStyle name="Note 5 2 2 4 2" xfId="1637" xr:uid="{00000000-0005-0000-0000-00000B080000}"/>
    <cellStyle name="Note 5 2 2 5" xfId="1389" xr:uid="{00000000-0005-0000-0000-00000C080000}"/>
    <cellStyle name="Note 5 2 3" xfId="999" xr:uid="{00000000-0005-0000-0000-00000D080000}"/>
    <cellStyle name="Note 5 2 3 2" xfId="2045" xr:uid="{00000000-0005-0000-0000-00000E080000}"/>
    <cellStyle name="Note 5 2 4" xfId="733" xr:uid="{00000000-0005-0000-0000-00000F080000}"/>
    <cellStyle name="Note 5 2 4 2" xfId="1779" xr:uid="{00000000-0005-0000-0000-000010080000}"/>
    <cellStyle name="Note 5 2 5" xfId="462" xr:uid="{00000000-0005-0000-0000-000011080000}"/>
    <cellStyle name="Note 5 2 5 2" xfId="1513" xr:uid="{00000000-0005-0000-0000-000012080000}"/>
    <cellStyle name="Note 5 2 6" xfId="1265" xr:uid="{00000000-0005-0000-0000-000013080000}"/>
    <cellStyle name="Note 5 3" xfId="291" xr:uid="{00000000-0005-0000-0000-000014080000}"/>
    <cellStyle name="Note 5 3 2" xfId="1076" xr:uid="{00000000-0005-0000-0000-000015080000}"/>
    <cellStyle name="Note 5 3 2 2" xfId="2122" xr:uid="{00000000-0005-0000-0000-000016080000}"/>
    <cellStyle name="Note 5 3 3" xfId="810" xr:uid="{00000000-0005-0000-0000-000017080000}"/>
    <cellStyle name="Note 5 3 3 2" xfId="1856" xr:uid="{00000000-0005-0000-0000-000018080000}"/>
    <cellStyle name="Note 5 3 4" xfId="539" xr:uid="{00000000-0005-0000-0000-000019080000}"/>
    <cellStyle name="Note 5 3 4 2" xfId="1590" xr:uid="{00000000-0005-0000-0000-00001A080000}"/>
    <cellStyle name="Note 5 3 5" xfId="1342" xr:uid="{00000000-0005-0000-0000-00001B080000}"/>
    <cellStyle name="Note 5 4" xfId="952" xr:uid="{00000000-0005-0000-0000-00001C080000}"/>
    <cellStyle name="Note 5 4 2" xfId="1998" xr:uid="{00000000-0005-0000-0000-00001D080000}"/>
    <cellStyle name="Note 5 5" xfId="686" xr:uid="{00000000-0005-0000-0000-00001E080000}"/>
    <cellStyle name="Note 5 5 2" xfId="1732" xr:uid="{00000000-0005-0000-0000-00001F080000}"/>
    <cellStyle name="Note 5 6" xfId="415" xr:uid="{00000000-0005-0000-0000-000020080000}"/>
    <cellStyle name="Note 5 6 2" xfId="1466" xr:uid="{00000000-0005-0000-0000-000021080000}"/>
    <cellStyle name="Note 5 7" xfId="1218" xr:uid="{00000000-0005-0000-0000-000022080000}"/>
    <cellStyle name="Note 6" xfId="242" xr:uid="{00000000-0005-0000-0000-000023080000}"/>
    <cellStyle name="Note 6 2" xfId="368" xr:uid="{00000000-0005-0000-0000-000024080000}"/>
    <cellStyle name="Note 6 2 2" xfId="1153" xr:uid="{00000000-0005-0000-0000-000025080000}"/>
    <cellStyle name="Note 6 2 2 2" xfId="2199" xr:uid="{00000000-0005-0000-0000-000026080000}"/>
    <cellStyle name="Note 6 2 3" xfId="887" xr:uid="{00000000-0005-0000-0000-000027080000}"/>
    <cellStyle name="Note 6 2 3 2" xfId="1933" xr:uid="{00000000-0005-0000-0000-000028080000}"/>
    <cellStyle name="Note 6 2 4" xfId="616" xr:uid="{00000000-0005-0000-0000-000029080000}"/>
    <cellStyle name="Note 6 2 4 2" xfId="1667" xr:uid="{00000000-0005-0000-0000-00002A080000}"/>
    <cellStyle name="Note 6 2 5" xfId="1419" xr:uid="{00000000-0005-0000-0000-00002B080000}"/>
    <cellStyle name="Note 6 3" xfId="1029" xr:uid="{00000000-0005-0000-0000-00002C080000}"/>
    <cellStyle name="Note 6 3 2" xfId="2075" xr:uid="{00000000-0005-0000-0000-00002D080000}"/>
    <cellStyle name="Note 6 4" xfId="763" xr:uid="{00000000-0005-0000-0000-00002E080000}"/>
    <cellStyle name="Note 6 4 2" xfId="1809" xr:uid="{00000000-0005-0000-0000-00002F080000}"/>
    <cellStyle name="Note 6 5" xfId="492" xr:uid="{00000000-0005-0000-0000-000030080000}"/>
    <cellStyle name="Note 6 5 2" xfId="1543" xr:uid="{00000000-0005-0000-0000-000031080000}"/>
    <cellStyle name="Note 6 6" xfId="1295" xr:uid="{00000000-0005-0000-0000-000032080000}"/>
    <cellStyle name="Note 7" xfId="248" xr:uid="{00000000-0005-0000-0000-000033080000}"/>
    <cellStyle name="Note 7 2" xfId="372" xr:uid="{00000000-0005-0000-0000-000034080000}"/>
    <cellStyle name="Note 7 2 2" xfId="1157" xr:uid="{00000000-0005-0000-0000-000035080000}"/>
    <cellStyle name="Note 7 2 2 2" xfId="2203" xr:uid="{00000000-0005-0000-0000-000036080000}"/>
    <cellStyle name="Note 7 2 3" xfId="891" xr:uid="{00000000-0005-0000-0000-000037080000}"/>
    <cellStyle name="Note 7 2 3 2" xfId="1937" xr:uid="{00000000-0005-0000-0000-000038080000}"/>
    <cellStyle name="Note 7 2 4" xfId="620" xr:uid="{00000000-0005-0000-0000-000039080000}"/>
    <cellStyle name="Note 7 2 4 2" xfId="1671" xr:uid="{00000000-0005-0000-0000-00003A080000}"/>
    <cellStyle name="Note 7 2 5" xfId="1423" xr:uid="{00000000-0005-0000-0000-00003B080000}"/>
    <cellStyle name="Note 7 3" xfId="1033" xr:uid="{00000000-0005-0000-0000-00003C080000}"/>
    <cellStyle name="Note 7 3 2" xfId="2079" xr:uid="{00000000-0005-0000-0000-00003D080000}"/>
    <cellStyle name="Note 7 4" xfId="767" xr:uid="{00000000-0005-0000-0000-00003E080000}"/>
    <cellStyle name="Note 7 4 2" xfId="1813" xr:uid="{00000000-0005-0000-0000-00003F080000}"/>
    <cellStyle name="Note 7 5" xfId="496" xr:uid="{00000000-0005-0000-0000-000040080000}"/>
    <cellStyle name="Note 7 5 2" xfId="1547" xr:uid="{00000000-0005-0000-0000-000041080000}"/>
    <cellStyle name="Note 7 6" xfId="1299" xr:uid="{00000000-0005-0000-0000-000042080000}"/>
    <cellStyle name="Note 8" xfId="634" xr:uid="{00000000-0005-0000-0000-000043080000}"/>
    <cellStyle name="Note 8 2" xfId="1171" xr:uid="{00000000-0005-0000-0000-000044080000}"/>
    <cellStyle name="Note 8 2 2" xfId="2217" xr:uid="{00000000-0005-0000-0000-000045080000}"/>
    <cellStyle name="Note 8 3" xfId="905" xr:uid="{00000000-0005-0000-0000-000046080000}"/>
    <cellStyle name="Note 8 3 2" xfId="1951" xr:uid="{00000000-0005-0000-0000-000047080000}"/>
    <cellStyle name="Note 8 4" xfId="1685" xr:uid="{00000000-0005-0000-0000-000048080000}"/>
    <cellStyle name="Output" xfId="210" builtinId="21" customBuiltin="1"/>
    <cellStyle name="Output 2" xfId="122" xr:uid="{00000000-0005-0000-0000-00004A080000}"/>
    <cellStyle name="Percent" xfId="243" builtinId="5"/>
    <cellStyle name="Percent 2" xfId="16" xr:uid="{00000000-0005-0000-0000-00004C080000}"/>
    <cellStyle name="Percent 2 2" xfId="123" xr:uid="{00000000-0005-0000-0000-00004D080000}"/>
    <cellStyle name="Percent 2 3" xfId="245" xr:uid="{00000000-0005-0000-0000-00004E080000}"/>
    <cellStyle name="Percent 3" xfId="124" xr:uid="{00000000-0005-0000-0000-00004F080000}"/>
    <cellStyle name="Percent 3 2" xfId="125" xr:uid="{00000000-0005-0000-0000-000050080000}"/>
    <cellStyle name="Percent 3 2 2" xfId="185" xr:uid="{00000000-0005-0000-0000-000051080000}"/>
    <cellStyle name="Percent 3 2 2 2" xfId="339" xr:uid="{00000000-0005-0000-0000-000052080000}"/>
    <cellStyle name="Percent 3 2 2 2 2" xfId="1124" xr:uid="{00000000-0005-0000-0000-000053080000}"/>
    <cellStyle name="Percent 3 2 2 2 2 2" xfId="2170" xr:uid="{00000000-0005-0000-0000-000054080000}"/>
    <cellStyle name="Percent 3 2 2 2 3" xfId="858" xr:uid="{00000000-0005-0000-0000-000055080000}"/>
    <cellStyle name="Percent 3 2 2 2 3 2" xfId="1904" xr:uid="{00000000-0005-0000-0000-000056080000}"/>
    <cellStyle name="Percent 3 2 2 2 4" xfId="587" xr:uid="{00000000-0005-0000-0000-000057080000}"/>
    <cellStyle name="Percent 3 2 2 2 4 2" xfId="1638" xr:uid="{00000000-0005-0000-0000-000058080000}"/>
    <cellStyle name="Percent 3 2 2 2 5" xfId="1390" xr:uid="{00000000-0005-0000-0000-000059080000}"/>
    <cellStyle name="Percent 3 2 2 3" xfId="1000" xr:uid="{00000000-0005-0000-0000-00005A080000}"/>
    <cellStyle name="Percent 3 2 2 3 2" xfId="2046" xr:uid="{00000000-0005-0000-0000-00005B080000}"/>
    <cellStyle name="Percent 3 2 2 4" xfId="734" xr:uid="{00000000-0005-0000-0000-00005C080000}"/>
    <cellStyle name="Percent 3 2 2 4 2" xfId="1780" xr:uid="{00000000-0005-0000-0000-00005D080000}"/>
    <cellStyle name="Percent 3 2 2 5" xfId="463" xr:uid="{00000000-0005-0000-0000-00005E080000}"/>
    <cellStyle name="Percent 3 2 2 5 2" xfId="1514" xr:uid="{00000000-0005-0000-0000-00005F080000}"/>
    <cellStyle name="Percent 3 2 2 6" xfId="1266" xr:uid="{00000000-0005-0000-0000-000060080000}"/>
    <cellStyle name="Percent 3 2 3" xfId="292" xr:uid="{00000000-0005-0000-0000-000061080000}"/>
    <cellStyle name="Percent 3 2 3 2" xfId="1077" xr:uid="{00000000-0005-0000-0000-000062080000}"/>
    <cellStyle name="Percent 3 2 3 2 2" xfId="2123" xr:uid="{00000000-0005-0000-0000-000063080000}"/>
    <cellStyle name="Percent 3 2 3 3" xfId="811" xr:uid="{00000000-0005-0000-0000-000064080000}"/>
    <cellStyle name="Percent 3 2 3 3 2" xfId="1857" xr:uid="{00000000-0005-0000-0000-000065080000}"/>
    <cellStyle name="Percent 3 2 3 4" xfId="540" xr:uid="{00000000-0005-0000-0000-000066080000}"/>
    <cellStyle name="Percent 3 2 3 4 2" xfId="1591" xr:uid="{00000000-0005-0000-0000-000067080000}"/>
    <cellStyle name="Percent 3 2 3 5" xfId="1343" xr:uid="{00000000-0005-0000-0000-000068080000}"/>
    <cellStyle name="Percent 3 2 4" xfId="953" xr:uid="{00000000-0005-0000-0000-000069080000}"/>
    <cellStyle name="Percent 3 2 4 2" xfId="1999" xr:uid="{00000000-0005-0000-0000-00006A080000}"/>
    <cellStyle name="Percent 3 2 5" xfId="687" xr:uid="{00000000-0005-0000-0000-00006B080000}"/>
    <cellStyle name="Percent 3 2 5 2" xfId="1733" xr:uid="{00000000-0005-0000-0000-00006C080000}"/>
    <cellStyle name="Percent 3 2 6" xfId="416" xr:uid="{00000000-0005-0000-0000-00006D080000}"/>
    <cellStyle name="Percent 3 2 6 2" xfId="1467" xr:uid="{00000000-0005-0000-0000-00006E080000}"/>
    <cellStyle name="Percent 3 2 7" xfId="1219" xr:uid="{00000000-0005-0000-0000-00006F080000}"/>
    <cellStyle name="Percent 3 3" xfId="149" xr:uid="{00000000-0005-0000-0000-000070080000}"/>
    <cellStyle name="Percent 3 3 2" xfId="199" xr:uid="{00000000-0005-0000-0000-000071080000}"/>
    <cellStyle name="Percent 3 3 2 2" xfId="353" xr:uid="{00000000-0005-0000-0000-000072080000}"/>
    <cellStyle name="Percent 3 3 2 2 2" xfId="1138" xr:uid="{00000000-0005-0000-0000-000073080000}"/>
    <cellStyle name="Percent 3 3 2 2 2 2" xfId="2184" xr:uid="{00000000-0005-0000-0000-000074080000}"/>
    <cellStyle name="Percent 3 3 2 2 3" xfId="872" xr:uid="{00000000-0005-0000-0000-000075080000}"/>
    <cellStyle name="Percent 3 3 2 2 3 2" xfId="1918" xr:uid="{00000000-0005-0000-0000-000076080000}"/>
    <cellStyle name="Percent 3 3 2 2 4" xfId="601" xr:uid="{00000000-0005-0000-0000-000077080000}"/>
    <cellStyle name="Percent 3 3 2 2 4 2" xfId="1652" xr:uid="{00000000-0005-0000-0000-000078080000}"/>
    <cellStyle name="Percent 3 3 2 2 5" xfId="1404" xr:uid="{00000000-0005-0000-0000-000079080000}"/>
    <cellStyle name="Percent 3 3 2 3" xfId="1014" xr:uid="{00000000-0005-0000-0000-00007A080000}"/>
    <cellStyle name="Percent 3 3 2 3 2" xfId="2060" xr:uid="{00000000-0005-0000-0000-00007B080000}"/>
    <cellStyle name="Percent 3 3 2 4" xfId="748" xr:uid="{00000000-0005-0000-0000-00007C080000}"/>
    <cellStyle name="Percent 3 3 2 4 2" xfId="1794" xr:uid="{00000000-0005-0000-0000-00007D080000}"/>
    <cellStyle name="Percent 3 3 2 5" xfId="477" xr:uid="{00000000-0005-0000-0000-00007E080000}"/>
    <cellStyle name="Percent 3 3 2 5 2" xfId="1528" xr:uid="{00000000-0005-0000-0000-00007F080000}"/>
    <cellStyle name="Percent 3 3 2 6" xfId="1280" xr:uid="{00000000-0005-0000-0000-000080080000}"/>
    <cellStyle name="Percent 3 3 3" xfId="306" xr:uid="{00000000-0005-0000-0000-000081080000}"/>
    <cellStyle name="Percent 3 3 3 2" xfId="1091" xr:uid="{00000000-0005-0000-0000-000082080000}"/>
    <cellStyle name="Percent 3 3 3 2 2" xfId="2137" xr:uid="{00000000-0005-0000-0000-000083080000}"/>
    <cellStyle name="Percent 3 3 3 3" xfId="825" xr:uid="{00000000-0005-0000-0000-000084080000}"/>
    <cellStyle name="Percent 3 3 3 3 2" xfId="1871" xr:uid="{00000000-0005-0000-0000-000085080000}"/>
    <cellStyle name="Percent 3 3 3 4" xfId="554" xr:uid="{00000000-0005-0000-0000-000086080000}"/>
    <cellStyle name="Percent 3 3 3 4 2" xfId="1605" xr:uid="{00000000-0005-0000-0000-000087080000}"/>
    <cellStyle name="Percent 3 3 3 5" xfId="1357" xr:uid="{00000000-0005-0000-0000-000088080000}"/>
    <cellStyle name="Percent 3 3 4" xfId="967" xr:uid="{00000000-0005-0000-0000-000089080000}"/>
    <cellStyle name="Percent 3 3 4 2" xfId="2013" xr:uid="{00000000-0005-0000-0000-00008A080000}"/>
    <cellStyle name="Percent 3 3 5" xfId="701" xr:uid="{00000000-0005-0000-0000-00008B080000}"/>
    <cellStyle name="Percent 3 3 5 2" xfId="1747" xr:uid="{00000000-0005-0000-0000-00008C080000}"/>
    <cellStyle name="Percent 3 3 6" xfId="430" xr:uid="{00000000-0005-0000-0000-00008D080000}"/>
    <cellStyle name="Percent 3 3 6 2" xfId="1481" xr:uid="{00000000-0005-0000-0000-00008E080000}"/>
    <cellStyle name="Percent 3 3 7" xfId="1233" xr:uid="{00000000-0005-0000-0000-00008F080000}"/>
    <cellStyle name="Percent 4" xfId="126" xr:uid="{00000000-0005-0000-0000-000090080000}"/>
    <cellStyle name="Percent 5" xfId="127" xr:uid="{00000000-0005-0000-0000-000091080000}"/>
    <cellStyle name="Percent 5 2" xfId="186" xr:uid="{00000000-0005-0000-0000-000092080000}"/>
    <cellStyle name="Percent 5 2 2" xfId="340" xr:uid="{00000000-0005-0000-0000-000093080000}"/>
    <cellStyle name="Percent 5 2 2 2" xfId="1125" xr:uid="{00000000-0005-0000-0000-000094080000}"/>
    <cellStyle name="Percent 5 2 2 2 2" xfId="2171" xr:uid="{00000000-0005-0000-0000-000095080000}"/>
    <cellStyle name="Percent 5 2 2 3" xfId="859" xr:uid="{00000000-0005-0000-0000-000096080000}"/>
    <cellStyle name="Percent 5 2 2 3 2" xfId="1905" xr:uid="{00000000-0005-0000-0000-000097080000}"/>
    <cellStyle name="Percent 5 2 2 4" xfId="588" xr:uid="{00000000-0005-0000-0000-000098080000}"/>
    <cellStyle name="Percent 5 2 2 4 2" xfId="1639" xr:uid="{00000000-0005-0000-0000-000099080000}"/>
    <cellStyle name="Percent 5 2 2 5" xfId="1391" xr:uid="{00000000-0005-0000-0000-00009A080000}"/>
    <cellStyle name="Percent 5 2 3" xfId="1001" xr:uid="{00000000-0005-0000-0000-00009B080000}"/>
    <cellStyle name="Percent 5 2 3 2" xfId="2047" xr:uid="{00000000-0005-0000-0000-00009C080000}"/>
    <cellStyle name="Percent 5 2 4" xfId="735" xr:uid="{00000000-0005-0000-0000-00009D080000}"/>
    <cellStyle name="Percent 5 2 4 2" xfId="1781" xr:uid="{00000000-0005-0000-0000-00009E080000}"/>
    <cellStyle name="Percent 5 2 5" xfId="464" xr:uid="{00000000-0005-0000-0000-00009F080000}"/>
    <cellStyle name="Percent 5 2 5 2" xfId="1515" xr:uid="{00000000-0005-0000-0000-0000A0080000}"/>
    <cellStyle name="Percent 5 2 6" xfId="1267" xr:uid="{00000000-0005-0000-0000-0000A1080000}"/>
    <cellStyle name="Percent 5 3" xfId="293" xr:uid="{00000000-0005-0000-0000-0000A2080000}"/>
    <cellStyle name="Percent 5 3 2" xfId="1078" xr:uid="{00000000-0005-0000-0000-0000A3080000}"/>
    <cellStyle name="Percent 5 3 2 2" xfId="2124" xr:uid="{00000000-0005-0000-0000-0000A4080000}"/>
    <cellStyle name="Percent 5 3 3" xfId="812" xr:uid="{00000000-0005-0000-0000-0000A5080000}"/>
    <cellStyle name="Percent 5 3 3 2" xfId="1858" xr:uid="{00000000-0005-0000-0000-0000A6080000}"/>
    <cellStyle name="Percent 5 3 4" xfId="541" xr:uid="{00000000-0005-0000-0000-0000A7080000}"/>
    <cellStyle name="Percent 5 3 4 2" xfId="1592" xr:uid="{00000000-0005-0000-0000-0000A8080000}"/>
    <cellStyle name="Percent 5 3 5" xfId="1344" xr:uid="{00000000-0005-0000-0000-0000A9080000}"/>
    <cellStyle name="Percent 5 4" xfId="954" xr:uid="{00000000-0005-0000-0000-0000AA080000}"/>
    <cellStyle name="Percent 5 4 2" xfId="2000" xr:uid="{00000000-0005-0000-0000-0000AB080000}"/>
    <cellStyle name="Percent 5 5" xfId="688" xr:uid="{00000000-0005-0000-0000-0000AC080000}"/>
    <cellStyle name="Percent 5 5 2" xfId="1734" xr:uid="{00000000-0005-0000-0000-0000AD080000}"/>
    <cellStyle name="Percent 5 6" xfId="417" xr:uid="{00000000-0005-0000-0000-0000AE080000}"/>
    <cellStyle name="Percent 5 6 2" xfId="1468" xr:uid="{00000000-0005-0000-0000-0000AF080000}"/>
    <cellStyle name="Percent 5 7" xfId="1220" xr:uid="{00000000-0005-0000-0000-0000B0080000}"/>
    <cellStyle name="Percent 6" xfId="652" xr:uid="{00000000-0005-0000-0000-0000B1080000}"/>
    <cellStyle name="Percent 6 2" xfId="1186" xr:uid="{00000000-0005-0000-0000-0000B2080000}"/>
    <cellStyle name="Percent 6 2 2" xfId="2232" xr:uid="{00000000-0005-0000-0000-0000B3080000}"/>
    <cellStyle name="Percent 6 3" xfId="920" xr:uid="{00000000-0005-0000-0000-0000B4080000}"/>
    <cellStyle name="Percent 6 3 2" xfId="1966" xr:uid="{00000000-0005-0000-0000-0000B5080000}"/>
    <cellStyle name="Percent 6 4" xfId="1700" xr:uid="{00000000-0005-0000-0000-0000B6080000}"/>
    <cellStyle name="Style 1" xfId="128" xr:uid="{00000000-0005-0000-0000-0000B7080000}"/>
    <cellStyle name="Style 1 2" xfId="650" xr:uid="{00000000-0005-0000-0000-0000B8080000}"/>
    <cellStyle name="Title" xfId="201" builtinId="15" customBuiltin="1"/>
    <cellStyle name="Title 2" xfId="129" xr:uid="{00000000-0005-0000-0000-0000BA080000}"/>
    <cellStyle name="Total" xfId="216" builtinId="25" customBuiltin="1"/>
    <cellStyle name="Total 2" xfId="130" xr:uid="{00000000-0005-0000-0000-0000BC080000}"/>
    <cellStyle name="Warning Text" xfId="214" builtinId="11" customBuiltin="1"/>
    <cellStyle name="Warning Text 2" xfId="131" xr:uid="{00000000-0005-0000-0000-0000BE080000}"/>
  </cellStyles>
  <dxfs count="12">
    <dxf>
      <fill>
        <patternFill>
          <bgColor theme="0"/>
        </patternFill>
      </fill>
    </dxf>
    <dxf>
      <font>
        <color theme="0"/>
      </font>
      <border>
        <left/>
        <right/>
        <top/>
        <bottom/>
      </border>
    </dxf>
    <dxf>
      <fill>
        <patternFill>
          <bgColor rgb="FFFF5050"/>
        </patternFill>
      </fill>
    </dxf>
    <dxf>
      <font>
        <color auto="1"/>
      </font>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border>
    </dxf>
    <dxf>
      <fill>
        <patternFill>
          <bgColor theme="5" tint="0.59996337778862885"/>
        </patternFill>
      </fill>
      <border>
        <left style="thin">
          <color auto="1"/>
        </left>
        <right style="thin">
          <color auto="1"/>
        </right>
        <top style="thin">
          <color auto="1"/>
        </top>
        <bottom style="thin">
          <color auto="1"/>
        </bottom>
      </border>
    </dxf>
    <dxf>
      <fill>
        <patternFill>
          <bgColor theme="5" tint="0.59996337778862885"/>
        </patternFill>
      </fill>
      <border>
        <left style="thin">
          <color auto="1"/>
        </left>
        <right style="thin">
          <color auto="1"/>
        </right>
        <top style="thin">
          <color auto="1"/>
        </top>
        <bottom style="thin">
          <color auto="1"/>
        </bottom>
      </border>
    </dxf>
    <dxf>
      <fill>
        <patternFill>
          <bgColor theme="5" tint="0.59996337778862885"/>
        </patternFill>
      </fill>
      <border>
        <left style="thin">
          <color auto="1"/>
        </left>
        <right style="thin">
          <color auto="1"/>
        </right>
        <top style="thin">
          <color auto="1"/>
        </top>
        <bottom style="thin">
          <color auto="1"/>
        </bottom>
      </border>
    </dxf>
    <dxf>
      <font>
        <b/>
        <i val="0"/>
        <color rgb="FFFF0000"/>
      </font>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rgb="FFFF0000"/>
      </font>
    </dxf>
  </dxfs>
  <tableStyles count="0" defaultTableStyle="TableStyleMedium9"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vmlDrawing4.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vmlDrawing5.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vmlDrawing8.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304800</xdr:colOff>
      <xdr:row>0</xdr:row>
      <xdr:rowOff>2514600</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0058400" cy="2514600"/>
        </a:xfrm>
        <a:prstGeom prst="rect">
          <a:avLst/>
        </a:prstGeom>
      </xdr:spPr>
    </xdr:pic>
    <xdr:clientData/>
  </xdr:twoCellAnchor>
  <xdr:twoCellAnchor>
    <xdr:from>
      <xdr:col>0</xdr:col>
      <xdr:colOff>0</xdr:colOff>
      <xdr:row>3</xdr:row>
      <xdr:rowOff>91168</xdr:rowOff>
    </xdr:from>
    <xdr:to>
      <xdr:col>19</xdr:col>
      <xdr:colOff>0</xdr:colOff>
      <xdr:row>42</xdr:row>
      <xdr:rowOff>36739</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0" y="3030311"/>
          <a:ext cx="11702143" cy="6313714"/>
        </a:xfrm>
        <a:prstGeom prst="rect">
          <a:avLst/>
        </a:prstGeom>
        <a:solidFill>
          <a:schemeClr val="lt1"/>
        </a:solidFill>
        <a:ln w="9525" cmpd="sng">
          <a:solidFill>
            <a:schemeClr val="tx1">
              <a:lumMod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AU" sz="1000">
              <a:solidFill>
                <a:schemeClr val="dk1"/>
              </a:solidFill>
              <a:effectLst/>
              <a:latin typeface="+mn-lt"/>
              <a:ea typeface="+mn-ea"/>
              <a:cs typeface="+mn-cs"/>
            </a:rPr>
            <a:t>The Green Star environmental rating system for buildings (“Green Star”) and the Green Star – Performance rating tool (“Green Star – Performance") have been developed by the Green Building Council of Australia (“GBCA”). Green Star – Performance evaluates the operational performance of all types of existing buildings (with the exception of single detached dwellings). It is intended for use by stakeholders including project team members as a guide for sustainable existing building operations. As with all Green Star rating tools, Green Star – Performance may be subject to further development in the future. </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Australian Government’s National Carbon Offset Standard for Buildings (the standard) was developed by the Department of the Environment and Energy with input from GBCA and the National Australian Built Environment Rating Scheme Administrator. It provides a credible framework for managing emissions and achieving carbon neutrality. The standard has been designed to accommodate a wide variety of building types in Australia. The standard may be subject to further development in the future. The standard is a process document only and not to be relied upon to assert any legal or contractual relationship with the Australian Government. </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Australian Government has registered the National Carbon Offset Standard Certification Trade Mark with IP Australia and the Australian Competition and Consumer Commission. All right, title and interest in the National Carbon Offset Standard Certification Trade Mark vest in the Australian Government. The National Carbon Offset Standard Certification Trade Mark is only available to buildings that are certified by approved certifiers (including GBCA) and have an agreement in place with a certifier.</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Green Star and Green Star – Performance have been developed with the assistance and participation of representatives from many organisations. The GBCA authorises you to view and use Green Star – Performance for your individual use only. In exchange for this authorisation, you agree that the GBCA retains all copyright and other proprietary rights contained in and in relation to Green Star – Performance and agree not to sell, modify, or use for another purpose all or any part of the tool or to reproduce, display or distribute the tool in any way for any public or commercial purpose, including display on a website or in a networked environment. Unauthorised use of Green Star, Green Star – Performance, and/or the National Carbon Offset Standard Certification Trade Mark will violate copyright and other laws, and is prohibited. All text, graphics, layout and other elements of content contained in Green Star and its rating tools are owned by the GBCA and are protected by copyright, trade mark and other laws.</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To the maximum extent permitted by law, the GBCA does not accept responsibility, including without limitation for negligence, for any inaccuracy within Green Star and/or its rating tools and makes no warranty, expressed or implied, including the warranties of merchantability and fitness for a particular purpose, nor assumes any legal liability or responsibility to you or any third parties for the accuracy, completeness, or use of, or reliance on, any information contained in Green Star and/or Green Star – Performance , or for any injuries, losses or damages (including, without limitation, equitable relief and economic loss) arising out of such use or reliance.</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Green Star and Green Star – Performance are no substitute for professional advice. You should seek your own professional and other appropriate advice on the matters addressed by them.</a:t>
          </a:r>
        </a:p>
        <a:p>
          <a:r>
            <a:rPr lang="en-AU" sz="1000">
              <a:solidFill>
                <a:schemeClr val="dk1"/>
              </a:solidFill>
              <a:effectLst/>
              <a:latin typeface="+mn-lt"/>
              <a:ea typeface="+mn-ea"/>
              <a:cs typeface="+mn-cs"/>
            </a:rPr>
            <a:t>As a condition of use, you covenant not to sue, and agree to waive and release:</a:t>
          </a:r>
        </a:p>
        <a:p>
          <a:pPr marL="171450" lvl="0" indent="-171450">
            <a:buFont typeface="Arial" panose="020B0604020202020204" pitchFamily="34" charset="0"/>
            <a:buChar char="•"/>
          </a:pPr>
          <a:r>
            <a:rPr lang="en-AU" sz="1000">
              <a:solidFill>
                <a:schemeClr val="dk1"/>
              </a:solidFill>
              <a:effectLst/>
              <a:latin typeface="+mn-lt"/>
              <a:ea typeface="+mn-ea"/>
              <a:cs typeface="+mn-cs"/>
            </a:rPr>
            <a:t>the GBCA, its officers, agents, employees and its members; and</a:t>
          </a:r>
        </a:p>
        <a:p>
          <a:pPr marL="171450" lvl="0" indent="-171450">
            <a:buFont typeface="Arial" panose="020B0604020202020204" pitchFamily="34" charset="0"/>
            <a:buChar char="•"/>
          </a:pPr>
          <a:r>
            <a:rPr lang="en-AU" sz="1000">
              <a:solidFill>
                <a:schemeClr val="dk1"/>
              </a:solidFill>
              <a:effectLst/>
              <a:latin typeface="+mn-lt"/>
              <a:ea typeface="+mn-ea"/>
              <a:cs typeface="+mn-cs"/>
            </a:rPr>
            <a:t>the Commonwealth of Australia</a:t>
          </a:r>
        </a:p>
        <a:p>
          <a:r>
            <a:rPr lang="en-AU" sz="1000">
              <a:solidFill>
                <a:schemeClr val="dk1"/>
              </a:solidFill>
              <a:effectLst/>
              <a:latin typeface="+mn-lt"/>
              <a:ea typeface="+mn-ea"/>
              <a:cs typeface="+mn-cs"/>
            </a:rPr>
            <a:t>from any and all claims, demands and causes of action for any injury, loss, destruction or damage (including, without limitation, equitable relief and economic loss) that you may now or hereafter have a right to assert against such parties as a result of your use of, or reliance on, Green Star, Green Star – Performance and/or the standard.</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GBCA does not endorse any self-assessed Green Star rating achieved by the use of Green Star – Performance. The GBCA offers a formal certification process for 1 Star to 6 Star ratings; this service provides for independent third party review of points claimed to ensure all points can be demonstrated to be achieved by the provision of the necessary documentary evidence. The use of Green Star – Performance without formal certification by the GBCA does not entitle the user or any other party to promote the Green Star rating achieved.</a:t>
          </a: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The application of Green Star – Performance to the operational performance of all types of existing buildings (with the exception of single detached dwellings) is encouraged to assess and improve their environmental performance attributes. However, formal recognition of the Green Star rating – and the right to promote same – requires undertaking the formal certification process offered by the GBCA.</a:t>
          </a:r>
        </a:p>
        <a:p>
          <a:r>
            <a:rPr lang="en-AU" sz="1000">
              <a:solidFill>
                <a:schemeClr val="dk1"/>
              </a:solidFill>
              <a:effectLst/>
              <a:latin typeface="+mn-lt"/>
              <a:ea typeface="+mn-ea"/>
              <a:cs typeface="+mn-cs"/>
            </a:rPr>
            <a:t>You are only authorised to proceed to use Green Star and Green Star – Performance on this basis.</a:t>
          </a:r>
        </a:p>
        <a:p>
          <a:r>
            <a:rPr lang="en-AU" sz="1000">
              <a:solidFill>
                <a:schemeClr val="dk1"/>
              </a:solidFill>
              <a:effectLst/>
              <a:latin typeface="+mn-lt"/>
              <a:ea typeface="+mn-ea"/>
              <a:cs typeface="+mn-cs"/>
            </a:rPr>
            <a:t>All rights reserved.</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125678</xdr:colOff>
      <xdr:row>0</xdr:row>
      <xdr:rowOff>1060704</xdr:rowOff>
    </xdr:to>
    <xdr:pic>
      <xdr:nvPicPr>
        <xdr:cNvPr id="2" name="Picture 1" descr="Rating-tool-header_No-name_revised.jpg">
          <a:extLst>
            <a:ext uri="{FF2B5EF4-FFF2-40B4-BE49-F238E27FC236}">
              <a16:creationId xmlns:a16="http://schemas.microsoft.com/office/drawing/2014/main" id="{00000000-0008-0000-0500-000002000000}"/>
            </a:ext>
          </a:extLst>
        </xdr:cNvPr>
        <xdr:cNvPicPr>
          <a:picLocks noChangeAspect="1"/>
        </xdr:cNvPicPr>
      </xdr:nvPicPr>
      <xdr:blipFill rotWithShape="1">
        <a:blip xmlns:r="http://schemas.openxmlformats.org/officeDocument/2006/relationships" r:embed="rId1" cstate="print"/>
        <a:srcRect r="70215"/>
        <a:stretch/>
      </xdr:blipFill>
      <xdr:spPr>
        <a:xfrm>
          <a:off x="381000" y="0"/>
          <a:ext cx="2178844" cy="1060704"/>
        </a:xfrm>
        <a:prstGeom prst="rect">
          <a:avLst/>
        </a:prstGeom>
      </xdr:spPr>
    </xdr:pic>
    <xdr:clientData/>
  </xdr:twoCellAnchor>
  <xdr:twoCellAnchor editAs="oneCell">
    <xdr:from>
      <xdr:col>5</xdr:col>
      <xdr:colOff>419100</xdr:colOff>
      <xdr:row>0</xdr:row>
      <xdr:rowOff>0</xdr:rowOff>
    </xdr:from>
    <xdr:to>
      <xdr:col>7</xdr:col>
      <xdr:colOff>889000</xdr:colOff>
      <xdr:row>0</xdr:row>
      <xdr:rowOff>1060704</xdr:rowOff>
    </xdr:to>
    <xdr:pic>
      <xdr:nvPicPr>
        <xdr:cNvPr id="3" name="Picture 2" descr="Rating-tool-header_No-name_revised.jpg">
          <a:extLst>
            <a:ext uri="{FF2B5EF4-FFF2-40B4-BE49-F238E27FC236}">
              <a16:creationId xmlns:a16="http://schemas.microsoft.com/office/drawing/2014/main" id="{00000000-0008-0000-0500-000003000000}"/>
            </a:ext>
          </a:extLst>
        </xdr:cNvPr>
        <xdr:cNvPicPr>
          <a:picLocks noChangeAspect="1"/>
        </xdr:cNvPicPr>
      </xdr:nvPicPr>
      <xdr:blipFill rotWithShape="1">
        <a:blip xmlns:r="http://schemas.openxmlformats.org/officeDocument/2006/relationships" r:embed="rId1" cstate="print"/>
        <a:srcRect l="32292"/>
        <a:stretch/>
      </xdr:blipFill>
      <xdr:spPr>
        <a:xfrm>
          <a:off x="9677400" y="0"/>
          <a:ext cx="3895725" cy="1060704"/>
        </a:xfrm>
        <a:prstGeom prst="rect">
          <a:avLst/>
        </a:prstGeom>
      </xdr:spPr>
    </xdr:pic>
    <xdr:clientData/>
  </xdr:twoCellAnchor>
  <xdr:twoCellAnchor editAs="oneCell">
    <xdr:from>
      <xdr:col>1</xdr:col>
      <xdr:colOff>2537012</xdr:colOff>
      <xdr:row>0</xdr:row>
      <xdr:rowOff>193862</xdr:rowOff>
    </xdr:from>
    <xdr:to>
      <xdr:col>2</xdr:col>
      <xdr:colOff>1344861</xdr:colOff>
      <xdr:row>0</xdr:row>
      <xdr:rowOff>702879</xdr:rowOff>
    </xdr:to>
    <xdr:pic>
      <xdr:nvPicPr>
        <xdr:cNvPr id="7" name="Picture 6">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8012" y="193862"/>
          <a:ext cx="1342557" cy="50901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555597</xdr:colOff>
      <xdr:row>0</xdr:row>
      <xdr:rowOff>1063603</xdr:rowOff>
    </xdr:to>
    <xdr:pic>
      <xdr:nvPicPr>
        <xdr:cNvPr id="2" name="Picture 1" descr="Rating-tool-header_No-name_revised.jpg">
          <a:extLst>
            <a:ext uri="{FF2B5EF4-FFF2-40B4-BE49-F238E27FC236}">
              <a16:creationId xmlns:a16="http://schemas.microsoft.com/office/drawing/2014/main" id="{00000000-0008-0000-0800-000002000000}"/>
            </a:ext>
          </a:extLst>
        </xdr:cNvPr>
        <xdr:cNvPicPr>
          <a:picLocks noChangeAspect="1"/>
        </xdr:cNvPicPr>
      </xdr:nvPicPr>
      <xdr:blipFill rotWithShape="1">
        <a:blip xmlns:r="http://schemas.openxmlformats.org/officeDocument/2006/relationships" r:embed="rId1" cstate="print"/>
        <a:srcRect r="69654"/>
        <a:stretch/>
      </xdr:blipFill>
      <xdr:spPr>
        <a:xfrm>
          <a:off x="0" y="0"/>
          <a:ext cx="2219739" cy="1063603"/>
        </a:xfrm>
        <a:prstGeom prst="rect">
          <a:avLst/>
        </a:prstGeom>
      </xdr:spPr>
    </xdr:pic>
    <xdr:clientData/>
  </xdr:twoCellAnchor>
  <xdr:twoCellAnchor editAs="oneCell">
    <xdr:from>
      <xdr:col>5</xdr:col>
      <xdr:colOff>662609</xdr:colOff>
      <xdr:row>0</xdr:row>
      <xdr:rowOff>16566</xdr:rowOff>
    </xdr:from>
    <xdr:to>
      <xdr:col>8</xdr:col>
      <xdr:colOff>20472</xdr:colOff>
      <xdr:row>0</xdr:row>
      <xdr:rowOff>1086795</xdr:rowOff>
    </xdr:to>
    <xdr:pic>
      <xdr:nvPicPr>
        <xdr:cNvPr id="4" name="Picture 3" descr="Rating-tool-header_No-name_revised.jpg">
          <a:extLst>
            <a:ext uri="{FF2B5EF4-FFF2-40B4-BE49-F238E27FC236}">
              <a16:creationId xmlns:a16="http://schemas.microsoft.com/office/drawing/2014/main" id="{00000000-0008-0000-0800-000004000000}"/>
            </a:ext>
          </a:extLst>
        </xdr:cNvPr>
        <xdr:cNvPicPr>
          <a:picLocks noChangeAspect="1"/>
        </xdr:cNvPicPr>
      </xdr:nvPicPr>
      <xdr:blipFill rotWithShape="1">
        <a:blip xmlns:r="http://schemas.openxmlformats.org/officeDocument/2006/relationships" r:embed="rId1" cstate="print"/>
        <a:srcRect l="32281"/>
        <a:stretch/>
      </xdr:blipFill>
      <xdr:spPr>
        <a:xfrm>
          <a:off x="7967870" y="16566"/>
          <a:ext cx="4951854" cy="106070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285750</xdr:colOff>
      <xdr:row>0</xdr:row>
      <xdr:rowOff>1056894</xdr:rowOff>
    </xdr:to>
    <xdr:pic>
      <xdr:nvPicPr>
        <xdr:cNvPr id="3" name="Picture 2" descr="Rating-tool-header_No-name_revised.jpg">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stretch>
          <a:fillRect/>
        </a:stretch>
      </xdr:blipFill>
      <xdr:spPr>
        <a:xfrm>
          <a:off x="0" y="0"/>
          <a:ext cx="7315200" cy="106070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7</xdr:col>
      <xdr:colOff>0</xdr:colOff>
      <xdr:row>0</xdr:row>
      <xdr:rowOff>1060704</xdr:rowOff>
    </xdr:to>
    <xdr:pic>
      <xdr:nvPicPr>
        <xdr:cNvPr id="4" name="Picture 3" descr="Rating-tool-header_No-name_revised.jpg">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cstate="print"/>
        <a:stretch>
          <a:fillRect/>
        </a:stretch>
      </xdr:blipFill>
      <xdr:spPr>
        <a:xfrm>
          <a:off x="476250" y="0"/>
          <a:ext cx="7315200" cy="10607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3</xdr:col>
      <xdr:colOff>357186</xdr:colOff>
      <xdr:row>0</xdr:row>
      <xdr:rowOff>0</xdr:rowOff>
    </xdr:from>
    <xdr:ext cx="5441157" cy="1266824"/>
    <xdr:pic>
      <xdr:nvPicPr>
        <xdr:cNvPr id="2" name="Picture 1" descr="Rating-tool-header_No-name_revised.jpg">
          <a:extLst>
            <a:ext uri="{FF2B5EF4-FFF2-40B4-BE49-F238E27FC236}">
              <a16:creationId xmlns:a16="http://schemas.microsoft.com/office/drawing/2014/main" id="{E00E2915-1AC9-4DDF-BB68-8457E646BB44}"/>
            </a:ext>
          </a:extLst>
        </xdr:cNvPr>
        <xdr:cNvPicPr>
          <a:picLocks noChangeAspect="1"/>
        </xdr:cNvPicPr>
      </xdr:nvPicPr>
      <xdr:blipFill rotWithShape="1">
        <a:blip xmlns:r="http://schemas.openxmlformats.org/officeDocument/2006/relationships" r:embed="rId1" cstate="print"/>
        <a:srcRect l="33525" r="4196"/>
        <a:stretch/>
      </xdr:blipFill>
      <xdr:spPr>
        <a:xfrm>
          <a:off x="4476749" y="0"/>
          <a:ext cx="5441157" cy="1266824"/>
        </a:xfrm>
        <a:prstGeom prst="rect">
          <a:avLst/>
        </a:prstGeom>
      </xdr:spPr>
    </xdr:pic>
    <xdr:clientData/>
  </xdr:oneCellAnchor>
  <xdr:twoCellAnchor editAs="oneCell">
    <xdr:from>
      <xdr:col>1</xdr:col>
      <xdr:colOff>103347</xdr:colOff>
      <xdr:row>0</xdr:row>
      <xdr:rowOff>339090</xdr:rowOff>
    </xdr:from>
    <xdr:to>
      <xdr:col>3</xdr:col>
      <xdr:colOff>59155</xdr:colOff>
      <xdr:row>0</xdr:row>
      <xdr:rowOff>1125379</xdr:rowOff>
    </xdr:to>
    <xdr:pic>
      <xdr:nvPicPr>
        <xdr:cNvPr id="4" name="Picture 3">
          <a:extLst>
            <a:ext uri="{FF2B5EF4-FFF2-40B4-BE49-F238E27FC236}">
              <a16:creationId xmlns:a16="http://schemas.microsoft.com/office/drawing/2014/main" id="{BE47142C-2724-4DF5-8AE2-19345E38EBB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3378" y="339090"/>
          <a:ext cx="3829150" cy="7900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3</xdr:col>
      <xdr:colOff>2160173</xdr:colOff>
      <xdr:row>14</xdr:row>
      <xdr:rowOff>714375</xdr:rowOff>
    </xdr:from>
    <xdr:ext cx="2307560" cy="1667242"/>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37023" y="6029325"/>
          <a:ext cx="2307560" cy="1667242"/>
        </a:xfrm>
        <a:prstGeom prst="rect">
          <a:avLst/>
        </a:prstGeom>
      </xdr:spPr>
    </xdr:pic>
    <xdr:clientData/>
  </xdr:oneCellAnchor>
  <xdr:twoCellAnchor editAs="oneCell">
    <xdr:from>
      <xdr:col>2</xdr:col>
      <xdr:colOff>2840355</xdr:colOff>
      <xdr:row>0</xdr:row>
      <xdr:rowOff>5715</xdr:rowOff>
    </xdr:from>
    <xdr:to>
      <xdr:col>4</xdr:col>
      <xdr:colOff>300990</xdr:colOff>
      <xdr:row>1</xdr:row>
      <xdr:rowOff>11049</xdr:rowOff>
    </xdr:to>
    <xdr:pic>
      <xdr:nvPicPr>
        <xdr:cNvPr id="4" name="Picture 3" descr="Rating-tool-header_No-name_revised.jpg">
          <a:extLst>
            <a:ext uri="{FF2B5EF4-FFF2-40B4-BE49-F238E27FC236}">
              <a16:creationId xmlns:a16="http://schemas.microsoft.com/office/drawing/2014/main" id="{00000000-0008-0000-0200-000004000000}"/>
            </a:ext>
          </a:extLst>
        </xdr:cNvPr>
        <xdr:cNvPicPr>
          <a:picLocks noChangeAspect="1"/>
        </xdr:cNvPicPr>
      </xdr:nvPicPr>
      <xdr:blipFill rotWithShape="1">
        <a:blip xmlns:r="http://schemas.openxmlformats.org/officeDocument/2006/relationships" r:embed="rId2" cstate="print"/>
        <a:srcRect l="32627" t="1447" r="128" b="-1447"/>
        <a:stretch/>
      </xdr:blipFill>
      <xdr:spPr>
        <a:xfrm>
          <a:off x="5354955" y="5715"/>
          <a:ext cx="5023485" cy="1053084"/>
        </a:xfrm>
        <a:prstGeom prst="rect">
          <a:avLst/>
        </a:prstGeom>
      </xdr:spPr>
    </xdr:pic>
    <xdr:clientData/>
  </xdr:twoCellAnchor>
  <xdr:twoCellAnchor editAs="oneCell">
    <xdr:from>
      <xdr:col>1</xdr:col>
      <xdr:colOff>97155</xdr:colOff>
      <xdr:row>0</xdr:row>
      <xdr:rowOff>211457</xdr:rowOff>
    </xdr:from>
    <xdr:to>
      <xdr:col>2</xdr:col>
      <xdr:colOff>1000125</xdr:colOff>
      <xdr:row>0</xdr:row>
      <xdr:rowOff>869101</xdr:rowOff>
    </xdr:to>
    <xdr:pic>
      <xdr:nvPicPr>
        <xdr:cNvPr id="5" name="Picture 4">
          <a:extLst>
            <a:ext uri="{FF2B5EF4-FFF2-40B4-BE49-F238E27FC236}">
              <a16:creationId xmlns:a16="http://schemas.microsoft.com/office/drawing/2014/main" id="{DD1BBDDB-BEAA-4E37-BC17-E19483DB8AD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92430" y="211457"/>
          <a:ext cx="3122295" cy="65764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534464</xdr:colOff>
      <xdr:row>0</xdr:row>
      <xdr:rowOff>11906</xdr:rowOff>
    </xdr:from>
    <xdr:to>
      <xdr:col>10</xdr:col>
      <xdr:colOff>285152</xdr:colOff>
      <xdr:row>0</xdr:row>
      <xdr:rowOff>1083087</xdr:rowOff>
    </xdr:to>
    <xdr:pic>
      <xdr:nvPicPr>
        <xdr:cNvPr id="5" name="Picture 4" descr="Rating-tool-header_No-name_revised.jpg">
          <a:extLst>
            <a:ext uri="{FF2B5EF4-FFF2-40B4-BE49-F238E27FC236}">
              <a16:creationId xmlns:a16="http://schemas.microsoft.com/office/drawing/2014/main" id="{00000000-0008-0000-0300-000005000000}"/>
            </a:ext>
          </a:extLst>
        </xdr:cNvPr>
        <xdr:cNvPicPr>
          <a:picLocks noChangeAspect="1"/>
        </xdr:cNvPicPr>
      </xdr:nvPicPr>
      <xdr:blipFill rotWithShape="1">
        <a:blip xmlns:r="http://schemas.openxmlformats.org/officeDocument/2006/relationships" r:embed="rId1" cstate="print"/>
        <a:srcRect l="32292"/>
        <a:stretch/>
      </xdr:blipFill>
      <xdr:spPr>
        <a:xfrm>
          <a:off x="11742214" y="11906"/>
          <a:ext cx="4919588" cy="1060704"/>
        </a:xfrm>
        <a:prstGeom prst="rect">
          <a:avLst/>
        </a:prstGeom>
      </xdr:spPr>
    </xdr:pic>
    <xdr:clientData/>
  </xdr:twoCellAnchor>
  <xdr:twoCellAnchor editAs="oneCell">
    <xdr:from>
      <xdr:col>1</xdr:col>
      <xdr:colOff>141786</xdr:colOff>
      <xdr:row>0</xdr:row>
      <xdr:rowOff>200297</xdr:rowOff>
    </xdr:from>
    <xdr:to>
      <xdr:col>2</xdr:col>
      <xdr:colOff>2418534</xdr:colOff>
      <xdr:row>0</xdr:row>
      <xdr:rowOff>1122831</xdr:rowOff>
    </xdr:to>
    <xdr:pic>
      <xdr:nvPicPr>
        <xdr:cNvPr id="4" name="Picture 3">
          <a:extLst>
            <a:ext uri="{FF2B5EF4-FFF2-40B4-BE49-F238E27FC236}">
              <a16:creationId xmlns:a16="http://schemas.microsoft.com/office/drawing/2014/main" id="{BE0C3FF9-111E-B605-CD78-363B2DCEADF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18679" y="200297"/>
          <a:ext cx="4399190" cy="91872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10</xdr:col>
      <xdr:colOff>369794</xdr:colOff>
      <xdr:row>0</xdr:row>
      <xdr:rowOff>11206</xdr:rowOff>
    </xdr:from>
    <xdr:to>
      <xdr:col>15</xdr:col>
      <xdr:colOff>58843</xdr:colOff>
      <xdr:row>0</xdr:row>
      <xdr:rowOff>1086711</xdr:rowOff>
    </xdr:to>
    <xdr:pic>
      <xdr:nvPicPr>
        <xdr:cNvPr id="2" name="Picture 1" descr="Rating-tool-header_No-name_revised.jpg">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cstate="print"/>
        <a:srcRect l="33091"/>
        <a:stretch/>
      </xdr:blipFill>
      <xdr:spPr>
        <a:xfrm>
          <a:off x="14321118" y="11206"/>
          <a:ext cx="4894166" cy="1060704"/>
        </a:xfrm>
        <a:prstGeom prst="rect">
          <a:avLst/>
        </a:prstGeom>
      </xdr:spPr>
    </xdr:pic>
    <xdr:clientData/>
  </xdr:twoCellAnchor>
  <xdr:twoCellAnchor editAs="oneCell">
    <xdr:from>
      <xdr:col>1</xdr:col>
      <xdr:colOff>63500</xdr:colOff>
      <xdr:row>0</xdr:row>
      <xdr:rowOff>232833</xdr:rowOff>
    </xdr:from>
    <xdr:to>
      <xdr:col>2</xdr:col>
      <xdr:colOff>2352797</xdr:colOff>
      <xdr:row>0</xdr:row>
      <xdr:rowOff>1159177</xdr:rowOff>
    </xdr:to>
    <xdr:pic>
      <xdr:nvPicPr>
        <xdr:cNvPr id="3" name="Picture 2">
          <a:extLst>
            <a:ext uri="{FF2B5EF4-FFF2-40B4-BE49-F238E27FC236}">
              <a16:creationId xmlns:a16="http://schemas.microsoft.com/office/drawing/2014/main" id="{18BDDD78-ED2F-4EE0-96DF-6DC3DC1D73C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43417" y="232833"/>
          <a:ext cx="4399190" cy="92062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324394</xdr:colOff>
      <xdr:row>2</xdr:row>
      <xdr:rowOff>59218</xdr:rowOff>
    </xdr:to>
    <xdr:pic>
      <xdr:nvPicPr>
        <xdr:cNvPr id="3" name="Picture 2" descr="Rating-tool-header_No-name_revised.jpg">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1" cstate="print"/>
        <a:srcRect r="69005"/>
        <a:stretch/>
      </xdr:blipFill>
      <xdr:spPr>
        <a:xfrm>
          <a:off x="0" y="0"/>
          <a:ext cx="2272393" cy="1066147"/>
        </a:xfrm>
        <a:prstGeom prst="rect">
          <a:avLst/>
        </a:prstGeom>
      </xdr:spPr>
    </xdr:pic>
    <xdr:clientData/>
  </xdr:twoCellAnchor>
  <xdr:twoCellAnchor editAs="oneCell">
    <xdr:from>
      <xdr:col>23</xdr:col>
      <xdr:colOff>830035</xdr:colOff>
      <xdr:row>0</xdr:row>
      <xdr:rowOff>13607</xdr:rowOff>
    </xdr:from>
    <xdr:to>
      <xdr:col>26</xdr:col>
      <xdr:colOff>1502907</xdr:colOff>
      <xdr:row>2</xdr:row>
      <xdr:rowOff>77587</xdr:rowOff>
    </xdr:to>
    <xdr:pic>
      <xdr:nvPicPr>
        <xdr:cNvPr id="6" name="Picture 5" descr="Rating-tool-header_No-name_revised.jpg">
          <a:extLst>
            <a:ext uri="{FF2B5EF4-FFF2-40B4-BE49-F238E27FC236}">
              <a16:creationId xmlns:a16="http://schemas.microsoft.com/office/drawing/2014/main" id="{00000000-0008-0000-0600-000006000000}"/>
            </a:ext>
          </a:extLst>
        </xdr:cNvPr>
        <xdr:cNvPicPr>
          <a:picLocks noChangeAspect="1"/>
        </xdr:cNvPicPr>
      </xdr:nvPicPr>
      <xdr:blipFill rotWithShape="1">
        <a:blip xmlns:r="http://schemas.openxmlformats.org/officeDocument/2006/relationships" r:embed="rId1" cstate="print"/>
        <a:srcRect l="29695"/>
        <a:stretch/>
      </xdr:blipFill>
      <xdr:spPr>
        <a:xfrm>
          <a:off x="32997321" y="13607"/>
          <a:ext cx="5154385" cy="106614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609600</xdr:colOff>
      <xdr:row>0</xdr:row>
      <xdr:rowOff>9524</xdr:rowOff>
    </xdr:from>
    <xdr:to>
      <xdr:col>10</xdr:col>
      <xdr:colOff>169807</xdr:colOff>
      <xdr:row>0</xdr:row>
      <xdr:rowOff>1082636</xdr:rowOff>
    </xdr:to>
    <xdr:pic>
      <xdr:nvPicPr>
        <xdr:cNvPr id="7" name="Picture 6" descr="Rating-tool-header_No-name_revised.jpg">
          <a:extLst>
            <a:ext uri="{FF2B5EF4-FFF2-40B4-BE49-F238E27FC236}">
              <a16:creationId xmlns:a16="http://schemas.microsoft.com/office/drawing/2014/main" id="{B3801927-ACFD-4B82-BE25-FE7E7EA8628B}"/>
            </a:ext>
          </a:extLst>
        </xdr:cNvPr>
        <xdr:cNvPicPr>
          <a:picLocks noChangeAspect="1"/>
        </xdr:cNvPicPr>
      </xdr:nvPicPr>
      <xdr:blipFill rotWithShape="1">
        <a:blip xmlns:r="http://schemas.openxmlformats.org/officeDocument/2006/relationships" r:embed="rId1" cstate="print"/>
        <a:srcRect l="32292"/>
        <a:stretch/>
      </xdr:blipFill>
      <xdr:spPr>
        <a:xfrm>
          <a:off x="8388350" y="9524"/>
          <a:ext cx="4787845" cy="1062000"/>
        </a:xfrm>
        <a:prstGeom prst="rect">
          <a:avLst/>
        </a:prstGeom>
      </xdr:spPr>
    </xdr:pic>
    <xdr:clientData/>
  </xdr:twoCellAnchor>
  <xdr:twoCellAnchor editAs="oneCell">
    <xdr:from>
      <xdr:col>1</xdr:col>
      <xdr:colOff>0</xdr:colOff>
      <xdr:row>0</xdr:row>
      <xdr:rowOff>0</xdr:rowOff>
    </xdr:from>
    <xdr:to>
      <xdr:col>2</xdr:col>
      <xdr:colOff>128853</xdr:colOff>
      <xdr:row>0</xdr:row>
      <xdr:rowOff>1065466</xdr:rowOff>
    </xdr:to>
    <xdr:pic>
      <xdr:nvPicPr>
        <xdr:cNvPr id="9" name="Picture 8" descr="Rating-tool-header_No-name_revised.jpg">
          <a:extLst>
            <a:ext uri="{FF2B5EF4-FFF2-40B4-BE49-F238E27FC236}">
              <a16:creationId xmlns:a16="http://schemas.microsoft.com/office/drawing/2014/main" id="{15D2B5E7-DF4F-4059-92C6-E9F7367D9AFC}"/>
            </a:ext>
          </a:extLst>
        </xdr:cNvPr>
        <xdr:cNvPicPr>
          <a:picLocks noChangeAspect="1"/>
        </xdr:cNvPicPr>
      </xdr:nvPicPr>
      <xdr:blipFill rotWithShape="1">
        <a:blip xmlns:r="http://schemas.openxmlformats.org/officeDocument/2006/relationships" r:embed="rId1" cstate="print"/>
        <a:srcRect r="70215"/>
        <a:stretch/>
      </xdr:blipFill>
      <xdr:spPr>
        <a:xfrm>
          <a:off x="243417" y="0"/>
          <a:ext cx="2178844" cy="1060704"/>
        </a:xfrm>
        <a:prstGeom prst="rect">
          <a:avLst/>
        </a:prstGeom>
      </xdr:spPr>
    </xdr:pic>
    <xdr:clientData/>
  </xdr:twoCellAnchor>
  <xdr:twoCellAnchor editAs="oneCell">
    <xdr:from>
      <xdr:col>1</xdr:col>
      <xdr:colOff>2047875</xdr:colOff>
      <xdr:row>0</xdr:row>
      <xdr:rowOff>275844</xdr:rowOff>
    </xdr:from>
    <xdr:to>
      <xdr:col>2</xdr:col>
      <xdr:colOff>1348907</xdr:colOff>
      <xdr:row>0</xdr:row>
      <xdr:rowOff>795973</xdr:rowOff>
    </xdr:to>
    <xdr:pic>
      <xdr:nvPicPr>
        <xdr:cNvPr id="10" name="Picture 9">
          <a:extLst>
            <a:ext uri="{FF2B5EF4-FFF2-40B4-BE49-F238E27FC236}">
              <a16:creationId xmlns:a16="http://schemas.microsoft.com/office/drawing/2014/main" id="{5EFAD369-5B27-4B6C-AB63-629CB04BD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291292" y="275844"/>
          <a:ext cx="1347848" cy="50901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609600</xdr:colOff>
      <xdr:row>0</xdr:row>
      <xdr:rowOff>9524</xdr:rowOff>
    </xdr:from>
    <xdr:to>
      <xdr:col>10</xdr:col>
      <xdr:colOff>96782</xdr:colOff>
      <xdr:row>0</xdr:row>
      <xdr:rowOff>1076286</xdr:rowOff>
    </xdr:to>
    <xdr:pic>
      <xdr:nvPicPr>
        <xdr:cNvPr id="5" name="Picture 4" descr="Rating-tool-header_No-name_revised.jpg">
          <a:extLst>
            <a:ext uri="{FF2B5EF4-FFF2-40B4-BE49-F238E27FC236}">
              <a16:creationId xmlns:a16="http://schemas.microsoft.com/office/drawing/2014/main" id="{DF18A398-0BC7-492D-8803-779246663DDF}"/>
            </a:ext>
          </a:extLst>
        </xdr:cNvPr>
        <xdr:cNvPicPr>
          <a:picLocks noChangeAspect="1"/>
        </xdr:cNvPicPr>
      </xdr:nvPicPr>
      <xdr:blipFill rotWithShape="1">
        <a:blip xmlns:r="http://schemas.openxmlformats.org/officeDocument/2006/relationships" r:embed="rId1" cstate="print"/>
        <a:srcRect l="32292"/>
        <a:stretch/>
      </xdr:blipFill>
      <xdr:spPr>
        <a:xfrm>
          <a:off x="8293100" y="9524"/>
          <a:ext cx="4787845" cy="1062000"/>
        </a:xfrm>
        <a:prstGeom prst="rect">
          <a:avLst/>
        </a:prstGeom>
      </xdr:spPr>
    </xdr:pic>
    <xdr:clientData/>
  </xdr:twoCellAnchor>
  <xdr:twoCellAnchor editAs="oneCell">
    <xdr:from>
      <xdr:col>1</xdr:col>
      <xdr:colOff>0</xdr:colOff>
      <xdr:row>0</xdr:row>
      <xdr:rowOff>0</xdr:rowOff>
    </xdr:from>
    <xdr:to>
      <xdr:col>2</xdr:col>
      <xdr:colOff>125678</xdr:colOff>
      <xdr:row>0</xdr:row>
      <xdr:rowOff>1065466</xdr:rowOff>
    </xdr:to>
    <xdr:pic>
      <xdr:nvPicPr>
        <xdr:cNvPr id="6" name="Picture 5" descr="Rating-tool-header_No-name_revised.jpg">
          <a:extLst>
            <a:ext uri="{FF2B5EF4-FFF2-40B4-BE49-F238E27FC236}">
              <a16:creationId xmlns:a16="http://schemas.microsoft.com/office/drawing/2014/main" id="{C33AFFD5-DB96-42EE-B02A-1C3A747CEEFC}"/>
            </a:ext>
          </a:extLst>
        </xdr:cNvPr>
        <xdr:cNvPicPr>
          <a:picLocks noChangeAspect="1"/>
        </xdr:cNvPicPr>
      </xdr:nvPicPr>
      <xdr:blipFill rotWithShape="1">
        <a:blip xmlns:r="http://schemas.openxmlformats.org/officeDocument/2006/relationships" r:embed="rId1" cstate="print"/>
        <a:srcRect r="70215"/>
        <a:stretch/>
      </xdr:blipFill>
      <xdr:spPr>
        <a:xfrm>
          <a:off x="148167" y="0"/>
          <a:ext cx="2178844" cy="1060704"/>
        </a:xfrm>
        <a:prstGeom prst="rect">
          <a:avLst/>
        </a:prstGeom>
      </xdr:spPr>
    </xdr:pic>
    <xdr:clientData/>
  </xdr:twoCellAnchor>
  <xdr:twoCellAnchor editAs="oneCell">
    <xdr:from>
      <xdr:col>1</xdr:col>
      <xdr:colOff>2047875</xdr:colOff>
      <xdr:row>0</xdr:row>
      <xdr:rowOff>275844</xdr:rowOff>
    </xdr:from>
    <xdr:to>
      <xdr:col>2</xdr:col>
      <xdr:colOff>1342557</xdr:colOff>
      <xdr:row>0</xdr:row>
      <xdr:rowOff>789623</xdr:rowOff>
    </xdr:to>
    <xdr:pic>
      <xdr:nvPicPr>
        <xdr:cNvPr id="7" name="Picture 6">
          <a:extLst>
            <a:ext uri="{FF2B5EF4-FFF2-40B4-BE49-F238E27FC236}">
              <a16:creationId xmlns:a16="http://schemas.microsoft.com/office/drawing/2014/main" id="{A2355583-6EAE-4E51-9D05-CD8FB0F74E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96042" y="275844"/>
          <a:ext cx="1347848" cy="50901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xdr:colOff>
      <xdr:row>0</xdr:row>
      <xdr:rowOff>0</xdr:rowOff>
    </xdr:from>
    <xdr:to>
      <xdr:col>4</xdr:col>
      <xdr:colOff>303100</xdr:colOff>
      <xdr:row>0</xdr:row>
      <xdr:rowOff>1065466</xdr:rowOff>
    </xdr:to>
    <xdr:pic>
      <xdr:nvPicPr>
        <xdr:cNvPr id="2" name="Picture 1" descr="Rating-tool-header_No-name_revised.jpg">
          <a:extLst>
            <a:ext uri="{FF2B5EF4-FFF2-40B4-BE49-F238E27FC236}">
              <a16:creationId xmlns:a16="http://schemas.microsoft.com/office/drawing/2014/main" id="{00000000-0008-0000-0700-000002000000}"/>
            </a:ext>
          </a:extLst>
        </xdr:cNvPr>
        <xdr:cNvPicPr>
          <a:picLocks noChangeAspect="1"/>
        </xdr:cNvPicPr>
      </xdr:nvPicPr>
      <xdr:blipFill rotWithShape="1">
        <a:blip xmlns:r="http://schemas.openxmlformats.org/officeDocument/2006/relationships" r:embed="rId1" cstate="print"/>
        <a:stretch/>
      </xdr:blipFill>
      <xdr:spPr>
        <a:xfrm>
          <a:off x="1" y="0"/>
          <a:ext cx="7315200" cy="1060704"/>
        </a:xfrm>
        <a:prstGeom prst="rect">
          <a:avLst/>
        </a:prstGeom>
      </xdr:spPr>
    </xdr:pic>
    <xdr:clientData/>
  </xdr:twoCellAnchor>
</xdr:wsDr>
</file>

<file path=xl/theme/theme1.xml><?xml version="1.0" encoding="utf-8"?>
<a:theme xmlns:a="http://schemas.openxmlformats.org/drawingml/2006/main" name="Office Theme">
  <a:themeElements>
    <a:clrScheme name="Performance">
      <a:dk1>
        <a:srgbClr val="3F4450"/>
      </a:dk1>
      <a:lt1>
        <a:srgbClr val="FFFFFF"/>
      </a:lt1>
      <a:dk2>
        <a:srgbClr val="56B3D0"/>
      </a:dk2>
      <a:lt2>
        <a:srgbClr val="FFFFFF"/>
      </a:lt2>
      <a:accent1>
        <a:srgbClr val="56B3D0"/>
      </a:accent1>
      <a:accent2>
        <a:srgbClr val="78C2D9"/>
      </a:accent2>
      <a:accent3>
        <a:srgbClr val="AAD9E7"/>
      </a:accent3>
      <a:accent4>
        <a:srgbClr val="CCE8F1"/>
      </a:accent4>
      <a:accent5>
        <a:srgbClr val="3F4450"/>
      </a:accent5>
      <a:accent6>
        <a:srgbClr val="9FA2A7"/>
      </a:accent6>
      <a:hlink>
        <a:srgbClr val="56B3D0"/>
      </a:hlink>
      <a:folHlink>
        <a:srgbClr val="C5C7CA"/>
      </a:folHlink>
    </a:clrScheme>
    <a:fontScheme name="Green Star Corporate">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8" Type="http://schemas.openxmlformats.org/officeDocument/2006/relationships/vmlDrawing" Target="../drawings/vmlDrawing5.vml"/><Relationship Id="rId3" Type="http://schemas.openxmlformats.org/officeDocument/2006/relationships/printerSettings" Target="../printerSettings/printerSettings48.bin"/><Relationship Id="rId7" Type="http://schemas.openxmlformats.org/officeDocument/2006/relationships/drawing" Target="../drawings/drawing10.xml"/><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6" Type="http://schemas.openxmlformats.org/officeDocument/2006/relationships/printerSettings" Target="../printerSettings/printerSettings51.bin"/><Relationship Id="rId5" Type="http://schemas.openxmlformats.org/officeDocument/2006/relationships/printerSettings" Target="../printerSettings/printerSettings50.bin"/><Relationship Id="rId4" Type="http://schemas.openxmlformats.org/officeDocument/2006/relationships/printerSettings" Target="../printerSettings/printerSettings49.bin"/></Relationships>
</file>

<file path=xl/worksheets/_rels/sheet11.xml.rels><?xml version="1.0" encoding="UTF-8" standalone="yes"?>
<Relationships xmlns="http://schemas.openxmlformats.org/package/2006/relationships"><Relationship Id="rId8" Type="http://schemas.openxmlformats.org/officeDocument/2006/relationships/hyperlink" Target="http://www.climatechange.gov.au/en/publications/greenhouse-acctg/national-greenhouse-factors.aspx" TargetMode="External"/><Relationship Id="rId13" Type="http://schemas.openxmlformats.org/officeDocument/2006/relationships/hyperlink" Target="http://www.mfe.govt.nz/publications/climate-change/guidance-voluntary-greenhouse-gas-reporting-2016-data-and-methods-2014" TargetMode="External"/><Relationship Id="rId3" Type="http://schemas.openxmlformats.org/officeDocument/2006/relationships/printerSettings" Target="../printerSettings/printerSettings54.bin"/><Relationship Id="rId7" Type="http://schemas.openxmlformats.org/officeDocument/2006/relationships/hyperlink" Target="http://www.climatechange.gov.au/en/publications/greenhouse-acctg/national-greenhouse-factors.aspx" TargetMode="External"/><Relationship Id="rId12" Type="http://schemas.openxmlformats.org/officeDocument/2006/relationships/hyperlink" Target="http://www.mfe.govt.nz/publications/climate-change/guidance-voluntary-greenhouse-gas-reporting-2016-data-and-methods-2014" TargetMode="External"/><Relationship Id="rId2" Type="http://schemas.openxmlformats.org/officeDocument/2006/relationships/printerSettings" Target="../printerSettings/printerSettings53.bin"/><Relationship Id="rId16" Type="http://schemas.openxmlformats.org/officeDocument/2006/relationships/drawing" Target="../drawings/drawing11.xml"/><Relationship Id="rId1" Type="http://schemas.openxmlformats.org/officeDocument/2006/relationships/printerSettings" Target="../printerSettings/printerSettings52.bin"/><Relationship Id="rId6" Type="http://schemas.openxmlformats.org/officeDocument/2006/relationships/hyperlink" Target="http://www.climatechange.gov.au/en/publications/greenhouse-acctg/national-greenhouse-factors.aspx" TargetMode="External"/><Relationship Id="rId11" Type="http://schemas.openxmlformats.org/officeDocument/2006/relationships/hyperlink" Target="http://www.mfe.govt.nz/publications/climate-change/guidance-voluntary-greenhouse-gas-reporting-2016-data-and-methods-2014" TargetMode="External"/><Relationship Id="rId5" Type="http://schemas.openxmlformats.org/officeDocument/2006/relationships/printerSettings" Target="../printerSettings/printerSettings56.bin"/><Relationship Id="rId15" Type="http://schemas.openxmlformats.org/officeDocument/2006/relationships/printerSettings" Target="../printerSettings/printerSettings57.bin"/><Relationship Id="rId10" Type="http://schemas.openxmlformats.org/officeDocument/2006/relationships/hyperlink" Target="http://www.climatechange.gov.au/en/publications/greenhouse-acctg/national-greenhouse-factors.aspx" TargetMode="External"/><Relationship Id="rId4" Type="http://schemas.openxmlformats.org/officeDocument/2006/relationships/printerSettings" Target="../printerSettings/printerSettings55.bin"/><Relationship Id="rId9" Type="http://schemas.openxmlformats.org/officeDocument/2006/relationships/hyperlink" Target="http://www.climatechange.gov.au/en/publications/greenhouse-acctg/national-greenhouse-factors.aspx" TargetMode="External"/><Relationship Id="rId14" Type="http://schemas.openxmlformats.org/officeDocument/2006/relationships/hyperlink" Target="http://www.mfe.govt.nz/publications/climate-change/guidance-voluntary-greenhouse-gas-reporting-2016-data-and-methods-2014" TargetMode="External"/></Relationships>
</file>

<file path=xl/worksheets/_rels/sheet12.xml.rels><?xml version="1.0" encoding="UTF-8" standalone="yes"?>
<Relationships xmlns="http://schemas.openxmlformats.org/package/2006/relationships"><Relationship Id="rId8" Type="http://schemas.openxmlformats.org/officeDocument/2006/relationships/vmlDrawing" Target="../drawings/vmlDrawing6.vml"/><Relationship Id="rId3" Type="http://schemas.openxmlformats.org/officeDocument/2006/relationships/printerSettings" Target="../printerSettings/printerSettings60.bin"/><Relationship Id="rId7" Type="http://schemas.openxmlformats.org/officeDocument/2006/relationships/drawing" Target="../drawings/drawing12.xml"/><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6" Type="http://schemas.openxmlformats.org/officeDocument/2006/relationships/printerSettings" Target="../printerSettings/printerSettings63.bin"/><Relationship Id="rId5" Type="http://schemas.openxmlformats.org/officeDocument/2006/relationships/printerSettings" Target="../printerSettings/printerSettings62.bin"/><Relationship Id="rId4" Type="http://schemas.openxmlformats.org/officeDocument/2006/relationships/printerSettings" Target="../printerSettings/printerSettings61.bin"/></Relationships>
</file>

<file path=xl/worksheets/_rels/sheet13.xml.rels><?xml version="1.0" encoding="UTF-8" standalone="yes"?>
<Relationships xmlns="http://schemas.openxmlformats.org/package/2006/relationships"><Relationship Id="rId8" Type="http://schemas.openxmlformats.org/officeDocument/2006/relationships/vmlDrawing" Target="../drawings/vmlDrawing7.vml"/><Relationship Id="rId3" Type="http://schemas.openxmlformats.org/officeDocument/2006/relationships/printerSettings" Target="../printerSettings/printerSettings66.bin"/><Relationship Id="rId7" Type="http://schemas.openxmlformats.org/officeDocument/2006/relationships/drawing" Target="../drawings/drawing13.xml"/><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 Id="rId6" Type="http://schemas.openxmlformats.org/officeDocument/2006/relationships/printerSettings" Target="../printerSettings/printerSettings69.bin"/><Relationship Id="rId5" Type="http://schemas.openxmlformats.org/officeDocument/2006/relationships/printerSettings" Target="../printerSettings/printerSettings68.bin"/><Relationship Id="rId10" Type="http://schemas.openxmlformats.org/officeDocument/2006/relationships/comments" Target="../comments2.xml"/><Relationship Id="rId4" Type="http://schemas.openxmlformats.org/officeDocument/2006/relationships/printerSettings" Target="../printerSettings/printerSettings67.bin"/><Relationship Id="rId9" Type="http://schemas.openxmlformats.org/officeDocument/2006/relationships/vmlDrawing" Target="../drawings/vmlDrawing8.v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2.bin"/><Relationship Id="rId7" Type="http://schemas.openxmlformats.org/officeDocument/2006/relationships/drawing" Target="../drawings/drawing3.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printerSettings" Target="../printerSettings/printerSettings15.bin"/><Relationship Id="rId5" Type="http://schemas.openxmlformats.org/officeDocument/2006/relationships/printerSettings" Target="../printerSettings/printerSettings14.bin"/><Relationship Id="rId4"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printerSettings" Target="../printerSettings/printerSettings18.bin"/><Relationship Id="rId7" Type="http://schemas.openxmlformats.org/officeDocument/2006/relationships/drawing" Target="../drawings/drawing4.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printerSettings" Target="../printerSettings/printerSettings21.bin"/><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printerSettings" Target="../printerSettings/printerSettings24.bin"/><Relationship Id="rId7" Type="http://schemas.openxmlformats.org/officeDocument/2006/relationships/drawing" Target="../drawings/drawing5.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printerSettings" Target="../printerSettings/printerSettings27.bin"/><Relationship Id="rId5" Type="http://schemas.openxmlformats.org/officeDocument/2006/relationships/printerSettings" Target="../printerSettings/printerSettings26.bin"/><Relationship Id="rId10" Type="http://schemas.openxmlformats.org/officeDocument/2006/relationships/comments" Target="../comments1.xml"/><Relationship Id="rId4" Type="http://schemas.openxmlformats.org/officeDocument/2006/relationships/printerSettings" Target="../printerSettings/printerSettings25.bin"/><Relationship Id="rId9"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8" Type="http://schemas.openxmlformats.org/officeDocument/2006/relationships/vmlDrawing" Target="../drawings/vmlDrawing4.vml"/><Relationship Id="rId3" Type="http://schemas.openxmlformats.org/officeDocument/2006/relationships/printerSettings" Target="../printerSettings/printerSettings30.bin"/><Relationship Id="rId7" Type="http://schemas.openxmlformats.org/officeDocument/2006/relationships/drawing" Target="../drawings/drawing6.xml"/><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6" Type="http://schemas.openxmlformats.org/officeDocument/2006/relationships/printerSettings" Target="../printerSettings/printerSettings33.bin"/><Relationship Id="rId5" Type="http://schemas.openxmlformats.org/officeDocument/2006/relationships/printerSettings" Target="../printerSettings/printerSettings32.bin"/><Relationship Id="rId4" Type="http://schemas.openxmlformats.org/officeDocument/2006/relationships/printerSettings" Target="../printerSettings/printerSettings3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42.bin"/><Relationship Id="rId7" Type="http://schemas.openxmlformats.org/officeDocument/2006/relationships/drawing" Target="../drawings/drawing9.xml"/><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6" Type="http://schemas.openxmlformats.org/officeDocument/2006/relationships/printerSettings" Target="../printerSettings/printerSettings45.bin"/><Relationship Id="rId5" Type="http://schemas.openxmlformats.org/officeDocument/2006/relationships/printerSettings" Target="../printerSettings/printerSettings44.bin"/><Relationship Id="rId4" Type="http://schemas.openxmlformats.org/officeDocument/2006/relationships/printerSettings" Target="../printerSettings/printerSettings4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pageSetUpPr fitToPage="1"/>
  </sheetPr>
  <dimension ref="A1:S3"/>
  <sheetViews>
    <sheetView showGridLines="0" showRowColHeaders="0" zoomScaleNormal="100" workbookViewId="0">
      <selection activeCell="R1" sqref="R1"/>
    </sheetView>
  </sheetViews>
  <sheetFormatPr defaultColWidth="9.44140625" defaultRowHeight="13.2"/>
  <cols>
    <col min="19" max="19" width="10.44140625" customWidth="1"/>
  </cols>
  <sheetData>
    <row r="1" spans="1:19" ht="198.75" customHeight="1"/>
    <row r="2" spans="1:19" ht="15.75" customHeight="1"/>
    <row r="3" spans="1:19" ht="15.6">
      <c r="A3" s="536" t="s">
        <v>0</v>
      </c>
      <c r="B3" s="536"/>
      <c r="C3" s="536"/>
      <c r="D3" s="536"/>
      <c r="E3" s="536"/>
      <c r="F3" s="536"/>
      <c r="G3" s="536"/>
      <c r="H3" s="536"/>
      <c r="I3" s="536"/>
      <c r="J3" s="536"/>
      <c r="K3" s="536"/>
      <c r="L3" s="536"/>
      <c r="M3" s="536"/>
      <c r="N3" s="536"/>
      <c r="O3" s="536"/>
      <c r="P3" s="536"/>
      <c r="Q3" s="536"/>
      <c r="R3" s="536"/>
      <c r="S3" s="536"/>
    </row>
  </sheetData>
  <sheetProtection algorithmName="SHA-512" hashValue="3EwDRfFawU0zs9e9JubGKR3MxJzNAPihXfKv0Qd2mbc0cSXTRCmp4LCTUgerxlxMLf8pX6tredepD3X/YVX1wA==" saltValue="cPiqGY/Bw0OKf+9AKcuACw==" spinCount="100000" sheet="1" objects="1" scenarios="1"/>
  <customSheetViews>
    <customSheetView guid="{555478C2-F620-47D7-88F9-4C1EE7AEE227}" showGridLines="0" showRowCol="0" fitToPage="1">
      <selection activeCell="Z10" sqref="Z10"/>
      <pageMargins left="0" right="0" top="0" bottom="0" header="0" footer="0"/>
      <pageSetup paperSize="9" scale="48" orientation="portrait" r:id="rId1"/>
    </customSheetView>
    <customSheetView guid="{5E2E109E-4BFE-44CE-A2A0-BB9B6CC0D139}" showGridLines="0" showRowCol="0" fitToPage="1">
      <selection activeCell="Z10" sqref="Z10"/>
      <pageMargins left="0" right="0" top="0" bottom="0" header="0" footer="0"/>
      <pageSetup paperSize="9" scale="48" orientation="portrait" r:id="rId2"/>
    </customSheetView>
    <customSheetView guid="{3BAF3D14-B16A-4103-B9D6-D1D9B6381E90}" showGridLines="0" showRowCol="0" fitToPage="1">
      <selection activeCell="Z10" sqref="Z10"/>
      <pageMargins left="0" right="0" top="0" bottom="0" header="0" footer="0"/>
      <pageSetup paperSize="9" scale="48" orientation="portrait" r:id="rId3"/>
    </customSheetView>
    <customSheetView guid="{C362DBBD-8226-4073-BE04-D615B3B4BF31}" showGridLines="0" showRowCol="0" fitToPage="1" topLeftCell="A13">
      <pageMargins left="0" right="0" top="0" bottom="0" header="0" footer="0"/>
      <pageSetup paperSize="9" scale="48" orientation="portrait" r:id="rId4"/>
    </customSheetView>
    <customSheetView guid="{9E23992E-45A8-4DF8-9DFB-C5F9BB498A06}" showPageBreaks="1" showGridLines="0" showRowCol="0" fitToPage="1">
      <selection activeCell="U10" sqref="U10"/>
      <pageMargins left="0" right="0" top="0" bottom="0" header="0" footer="0"/>
      <pageSetup paperSize="9" scale="48" orientation="portrait" r:id="rId5"/>
    </customSheetView>
  </customSheetViews>
  <mergeCells count="1">
    <mergeCell ref="A3:S3"/>
  </mergeCells>
  <pageMargins left="0.70866141732283472" right="0.70866141732283472" top="0.74803149606299213" bottom="0.74803149606299213" header="0.31496062992125984" footer="0.31496062992125984"/>
  <pageSetup paperSize="9" scale="48" orientation="portrait"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3"/>
    <pageSetUpPr autoPageBreaks="0" fitToPage="1"/>
  </sheetPr>
  <dimension ref="A1:N200"/>
  <sheetViews>
    <sheetView showGridLines="0" topLeftCell="A60" zoomScale="90" zoomScaleNormal="90" workbookViewId="0">
      <selection activeCell="B2" sqref="B2"/>
    </sheetView>
  </sheetViews>
  <sheetFormatPr defaultColWidth="9.44140625" defaultRowHeight="13.2"/>
  <cols>
    <col min="1" max="1" width="2.5546875" style="218" customWidth="1"/>
    <col min="2" max="2" width="30.5546875" style="218" customWidth="1"/>
    <col min="3" max="3" width="40.5546875" style="218" customWidth="1"/>
    <col min="4" max="8" width="25.5546875" style="218" customWidth="1"/>
    <col min="9" max="9" width="23.44140625" style="218" customWidth="1"/>
    <col min="10" max="10" width="23.44140625" style="219" customWidth="1"/>
    <col min="11" max="11" width="22.44140625" style="218" customWidth="1"/>
    <col min="12" max="12" width="16.5546875" style="307" hidden="1" customWidth="1"/>
    <col min="13" max="13" width="20.5546875" style="307" hidden="1" customWidth="1"/>
    <col min="14" max="14" width="19.5546875" style="307" hidden="1" customWidth="1"/>
    <col min="15" max="16384" width="9.44140625" style="218"/>
  </cols>
  <sheetData>
    <row r="1" spans="2:14" ht="100.35" customHeight="1">
      <c r="L1" s="393" t="s">
        <v>42</v>
      </c>
      <c r="M1" s="393" t="s">
        <v>42</v>
      </c>
      <c r="N1" s="393" t="s">
        <v>42</v>
      </c>
    </row>
    <row r="2" spans="2:14" ht="12.75" customHeight="1">
      <c r="J2" s="218"/>
    </row>
    <row r="3" spans="2:14" s="221" customFormat="1" ht="35.1" customHeight="1">
      <c r="B3" s="220" t="s">
        <v>2208</v>
      </c>
      <c r="C3" s="220"/>
      <c r="D3" s="220"/>
      <c r="E3" s="220"/>
      <c r="F3" s="220"/>
      <c r="G3" s="220"/>
      <c r="H3" s="220"/>
      <c r="I3" s="220"/>
      <c r="J3" s="220"/>
      <c r="K3" s="220"/>
      <c r="L3" s="392"/>
      <c r="M3" s="392"/>
      <c r="N3" s="392"/>
    </row>
    <row r="5" spans="2:14" ht="20.100000000000001" customHeight="1">
      <c r="B5" s="222" t="s">
        <v>1843</v>
      </c>
      <c r="C5" s="222"/>
      <c r="D5" s="222"/>
      <c r="E5" s="222"/>
      <c r="F5" s="222"/>
      <c r="G5" s="222"/>
      <c r="H5" s="222"/>
      <c r="I5" s="222"/>
      <c r="J5" s="222"/>
      <c r="K5" s="222"/>
    </row>
    <row r="6" spans="2:14">
      <c r="I6" s="219"/>
      <c r="J6" s="218"/>
    </row>
    <row r="7" spans="2:14" ht="30" customHeight="1">
      <c r="B7" s="216" t="s">
        <v>1844</v>
      </c>
      <c r="C7" s="223"/>
      <c r="D7" s="223"/>
      <c r="G7" s="216" t="s">
        <v>1845</v>
      </c>
      <c r="H7" s="216" t="s">
        <v>1846</v>
      </c>
      <c r="J7" s="218"/>
    </row>
    <row r="8" spans="2:14" ht="30" customHeight="1">
      <c r="B8" s="216" t="s">
        <v>961</v>
      </c>
      <c r="C8" s="388">
        <f>'15B Building Details'!C8:D8</f>
        <v>0</v>
      </c>
      <c r="D8"/>
      <c r="G8" s="216" t="s">
        <v>1847</v>
      </c>
      <c r="H8" s="260">
        <f>'15B Building Details'!H8</f>
        <v>0</v>
      </c>
      <c r="J8" s="218"/>
    </row>
    <row r="9" spans="2:14" ht="30" customHeight="1">
      <c r="B9" s="216" t="s">
        <v>1849</v>
      </c>
      <c r="C9" s="388">
        <f>'15B Building Details'!C10:D10</f>
        <v>0</v>
      </c>
      <c r="D9"/>
      <c r="G9" s="216" t="s">
        <v>1848</v>
      </c>
      <c r="H9" s="260">
        <f>'15B Building Details'!H9</f>
        <v>365</v>
      </c>
      <c r="J9" s="218"/>
    </row>
    <row r="10" spans="2:14" ht="30" customHeight="1">
      <c r="B10" s="216" t="s">
        <v>1851</v>
      </c>
      <c r="C10" s="388">
        <f>'15B Building Details'!C11:D11</f>
        <v>0</v>
      </c>
      <c r="D10"/>
      <c r="F10" s="224"/>
      <c r="G10" s="216" t="s">
        <v>1850</v>
      </c>
      <c r="H10" s="261">
        <f>'15B Building Details'!H10</f>
        <v>1900</v>
      </c>
      <c r="J10" s="218"/>
    </row>
    <row r="11" spans="2:14" ht="30" customHeight="1">
      <c r="B11" s="216" t="s">
        <v>1852</v>
      </c>
      <c r="C11" s="388">
        <f>'15B Building Details'!C12:D12</f>
        <v>0</v>
      </c>
      <c r="D11"/>
      <c r="J11" s="218"/>
    </row>
    <row r="12" spans="2:14" ht="30" customHeight="1">
      <c r="B12" s="216" t="s">
        <v>1853</v>
      </c>
      <c r="C12" s="388">
        <f>'15B Building Details'!C13:D13</f>
        <v>0</v>
      </c>
      <c r="D12"/>
      <c r="G12" s="391" t="s">
        <v>2209</v>
      </c>
      <c r="H12" s="286">
        <f>'15B Building Details'!H12</f>
        <v>0</v>
      </c>
      <c r="J12" s="218"/>
    </row>
    <row r="13" spans="2:14" ht="30" customHeight="1">
      <c r="B13" s="216" t="s">
        <v>1855</v>
      </c>
      <c r="C13" s="388">
        <f>'15B Building Details'!C14:D14</f>
        <v>0</v>
      </c>
      <c r="D13"/>
      <c r="G13" s="225"/>
      <c r="H13" s="225"/>
      <c r="J13" s="218"/>
    </row>
    <row r="14" spans="2:14">
      <c r="B14" s="226"/>
      <c r="C14" s="226"/>
      <c r="D14" s="227"/>
      <c r="J14" s="218"/>
    </row>
    <row r="15" spans="2:14" ht="45" customHeight="1">
      <c r="B15" s="216" t="s">
        <v>1857</v>
      </c>
      <c r="C15" s="228">
        <f>'15B Building Details'!C17</f>
        <v>0</v>
      </c>
      <c r="D15" s="721" t="s">
        <v>1858</v>
      </c>
      <c r="E15" s="722"/>
      <c r="F15" s="722"/>
      <c r="J15" s="218"/>
    </row>
    <row r="16" spans="2:14" ht="45" customHeight="1">
      <c r="B16" s="216" t="s">
        <v>1859</v>
      </c>
      <c r="C16" s="228">
        <f>'15B Building Details'!C18</f>
        <v>0</v>
      </c>
      <c r="D16" s="721" t="s">
        <v>1860</v>
      </c>
      <c r="E16" s="722"/>
      <c r="F16" s="722"/>
    </row>
    <row r="17" spans="2:14" ht="45" customHeight="1">
      <c r="B17" s="216" t="s">
        <v>1861</v>
      </c>
      <c r="C17" s="228">
        <f>'15B Building Details'!C19</f>
        <v>0</v>
      </c>
      <c r="D17" s="721" t="s">
        <v>1862</v>
      </c>
      <c r="E17" s="722"/>
      <c r="F17" s="722"/>
      <c r="J17" s="218"/>
    </row>
    <row r="18" spans="2:14" ht="45" customHeight="1">
      <c r="B18" s="216" t="s">
        <v>1863</v>
      </c>
      <c r="C18" s="228">
        <f>'15B Building Details'!C20</f>
        <v>0</v>
      </c>
      <c r="D18" s="721" t="s">
        <v>1864</v>
      </c>
      <c r="E18" s="722"/>
      <c r="F18" s="722"/>
      <c r="J18" s="218"/>
    </row>
    <row r="19" spans="2:14" ht="45" customHeight="1">
      <c r="B19" s="216" t="str">
        <f>'15B Building Details'!B21</f>
        <v xml:space="preserve">Electricity Network </v>
      </c>
      <c r="C19" s="228">
        <f>'15B Building Details'!C21</f>
        <v>0</v>
      </c>
      <c r="D19" s="723"/>
      <c r="E19" s="723"/>
      <c r="F19" s="723"/>
      <c r="J19" s="218"/>
    </row>
    <row r="20" spans="2:14">
      <c r="D20"/>
      <c r="E20"/>
      <c r="F20"/>
      <c r="G20"/>
      <c r="H20"/>
      <c r="I20"/>
      <c r="J20"/>
      <c r="K20"/>
    </row>
    <row r="21" spans="2:14" ht="20.100000000000001" customHeight="1">
      <c r="B21" s="222" t="s">
        <v>1536</v>
      </c>
      <c r="C21" s="222"/>
      <c r="D21"/>
      <c r="E21"/>
      <c r="F21"/>
      <c r="G21"/>
      <c r="H21"/>
      <c r="I21"/>
      <c r="J21"/>
      <c r="K21"/>
    </row>
    <row r="22" spans="2:14">
      <c r="J22" s="218"/>
    </row>
    <row r="23" spans="2:14" ht="45" customHeight="1">
      <c r="B23" s="216" t="s">
        <v>1538</v>
      </c>
      <c r="C23" s="403" t="s">
        <v>1560</v>
      </c>
      <c r="J23" s="218"/>
    </row>
    <row r="24" spans="2:14">
      <c r="J24" s="218"/>
    </row>
    <row r="25" spans="2:14" ht="20.100000000000001" customHeight="1">
      <c r="B25" s="216" t="s">
        <v>1539</v>
      </c>
      <c r="C25" s="217" t="s">
        <v>1540</v>
      </c>
      <c r="J25" s="218"/>
      <c r="L25" s="279" t="s">
        <v>1553</v>
      </c>
      <c r="M25" s="279" t="s">
        <v>1203</v>
      </c>
      <c r="N25" s="279" t="s">
        <v>1560</v>
      </c>
    </row>
    <row r="26" spans="2:14" ht="20.100000000000001" customHeight="1">
      <c r="B26" s="228" t="s">
        <v>1541</v>
      </c>
      <c r="C26" s="389">
        <f>SUM('Location Based Approach'!H17:H20)/1000</f>
        <v>0</v>
      </c>
      <c r="D26" s="277"/>
      <c r="J26" s="218"/>
      <c r="L26" s="279" t="s">
        <v>1543</v>
      </c>
      <c r="M26" s="290">
        <f>SUM('Location Based Approach'!I7:I10,'Location Based Approach'!I13:I14)/1000</f>
        <v>0</v>
      </c>
      <c r="N26" s="290" t="e">
        <f>SUM('Market Based Approach'!I13,'Market Based Approach'!I15:I18)/1000</f>
        <v>#N/A</v>
      </c>
    </row>
    <row r="27" spans="2:14" ht="20.100000000000001" customHeight="1">
      <c r="B27" s="228" t="s">
        <v>1543</v>
      </c>
      <c r="C27" s="389" t="e">
        <f>IF($C$23=$M$25,$M$26,IF($C$23=$N$25,$N$26,"Please Select"))</f>
        <v>#N/A</v>
      </c>
      <c r="D27" s="277"/>
      <c r="J27" s="218"/>
      <c r="L27" s="279" t="s">
        <v>1546</v>
      </c>
      <c r="M27" s="290" t="e">
        <f>SUM('Location Based Approach'!J7:J10,'Location Based Approach'!J13:J14)/1000</f>
        <v>#N/A</v>
      </c>
      <c r="N27" s="290" t="e">
        <f>SUM('Market Based Approach'!J13,'Market Based Approach'!J15:J18)/1000</f>
        <v>#N/A</v>
      </c>
    </row>
    <row r="28" spans="2:14" ht="20.100000000000001" customHeight="1">
      <c r="B28" s="228" t="s">
        <v>1544</v>
      </c>
      <c r="C28" s="389" t="e">
        <f>SUM('Location Based Approach'!J17:J20)/1000</f>
        <v>#N/A</v>
      </c>
      <c r="D28" s="277"/>
      <c r="J28" s="218"/>
    </row>
    <row r="29" spans="2:14" ht="20.100000000000001" customHeight="1">
      <c r="B29" s="228" t="s">
        <v>1546</v>
      </c>
      <c r="C29" s="389" t="e">
        <f>IF($C$23=$M$25,$M$27,IF($C$23=$N$25,$N$27,"Please Select"))</f>
        <v>#N/A</v>
      </c>
      <c r="D29" s="277"/>
      <c r="J29" s="218"/>
    </row>
    <row r="30" spans="2:14" ht="27" customHeight="1">
      <c r="B30" s="216" t="s">
        <v>1393</v>
      </c>
      <c r="C30" s="390" t="e">
        <f>IF($C$23=$L$25,"Please select the method used to calculate the electricity emissins",SUM(C26:C29))</f>
        <v>#N/A</v>
      </c>
      <c r="D30" s="277"/>
      <c r="J30" s="218"/>
    </row>
    <row r="31" spans="2:14" ht="20.100000000000001" customHeight="1">
      <c r="B31"/>
      <c r="C31"/>
      <c r="D31" s="277"/>
      <c r="J31" s="218"/>
    </row>
    <row r="32" spans="2:14">
      <c r="D32" s="277"/>
      <c r="J32" s="218"/>
    </row>
    <row r="33" spans="2:11" ht="26.25" hidden="1" customHeight="1">
      <c r="B33" s="222" t="s">
        <v>357</v>
      </c>
      <c r="C33" s="222"/>
      <c r="D33" s="222"/>
      <c r="E33" s="222"/>
      <c r="F33" s="222"/>
      <c r="G33" s="222"/>
      <c r="H33" s="222"/>
      <c r="I33" s="222"/>
      <c r="J33" s="222"/>
      <c r="K33" s="222"/>
    </row>
    <row r="34" spans="2:11" ht="22.5" hidden="1" customHeight="1">
      <c r="B34" s="230"/>
      <c r="C34" s="230"/>
      <c r="D34" s="230"/>
      <c r="E34" s="232"/>
      <c r="F34" s="229"/>
      <c r="G34" s="231"/>
    </row>
    <row r="35" spans="2:11" ht="30" hidden="1" customHeight="1">
      <c r="B35" s="719" t="s">
        <v>2210</v>
      </c>
      <c r="C35" s="719"/>
      <c r="D35" s="719"/>
      <c r="E35" s="233" t="e">
        <f xml:space="preserve"> SUMIF(#REF!, "Scope 1",#REF!)/1000</f>
        <v>#REF!</v>
      </c>
      <c r="F35" s="229"/>
      <c r="G35" s="231"/>
    </row>
    <row r="36" spans="2:11" ht="30" hidden="1" customHeight="1">
      <c r="B36" s="719" t="s">
        <v>349</v>
      </c>
      <c r="C36" s="719"/>
      <c r="D36" s="719"/>
      <c r="E36" s="233" t="e">
        <f xml:space="preserve"> SUMIF(#REF!, "Scope 2",#REF!)/1000</f>
        <v>#REF!</v>
      </c>
      <c r="F36" s="229"/>
      <c r="G36" s="231"/>
    </row>
    <row r="37" spans="2:11" ht="30" hidden="1" customHeight="1">
      <c r="B37" s="719" t="s">
        <v>2211</v>
      </c>
      <c r="C37" s="719"/>
      <c r="D37" s="719"/>
      <c r="E37" s="234" t="e">
        <f>SUM(#REF!)/1000</f>
        <v>#REF!</v>
      </c>
      <c r="F37" s="229"/>
      <c r="G37" s="231"/>
    </row>
    <row r="38" spans="2:11" ht="30" hidden="1" customHeight="1">
      <c r="B38" s="719" t="s">
        <v>2212</v>
      </c>
      <c r="C38" s="719"/>
      <c r="D38" s="719"/>
      <c r="E38" s="233" t="e">
        <f>E48</f>
        <v>#REF!</v>
      </c>
      <c r="F38" s="229"/>
      <c r="G38" s="231"/>
    </row>
    <row r="39" spans="2:11" ht="30" hidden="1" customHeight="1">
      <c r="B39" s="719" t="s">
        <v>386</v>
      </c>
      <c r="C39" s="719"/>
      <c r="D39" s="719"/>
      <c r="E39" s="233">
        <f>C56</f>
        <v>0</v>
      </c>
      <c r="F39" s="229"/>
      <c r="G39" s="231"/>
    </row>
    <row r="40" spans="2:11" ht="31.5" hidden="1" customHeight="1">
      <c r="B40" s="720" t="s">
        <v>390</v>
      </c>
      <c r="C40" s="720"/>
      <c r="D40" s="720"/>
      <c r="E40" s="233" t="e">
        <f>SUM(E35:E38)-SUM(E39)</f>
        <v>#REF!</v>
      </c>
      <c r="F40" s="235"/>
    </row>
    <row r="41" spans="2:11" hidden="1"/>
    <row r="42" spans="2:11" ht="35.1" hidden="1" customHeight="1">
      <c r="B42" s="216" t="s">
        <v>2213</v>
      </c>
      <c r="C42" s="217" t="s">
        <v>2214</v>
      </c>
      <c r="D42" s="217" t="s">
        <v>2215</v>
      </c>
      <c r="E42" s="217" t="s">
        <v>394</v>
      </c>
    </row>
    <row r="43" spans="2:11" ht="16.5" hidden="1" customHeight="1">
      <c r="B43" s="236"/>
      <c r="C43" s="237"/>
      <c r="D43" s="238">
        <f>C43*3.6</f>
        <v>0</v>
      </c>
      <c r="E43" s="238" t="e">
        <f>D43*#REF!/1000</f>
        <v>#REF!</v>
      </c>
    </row>
    <row r="44" spans="2:11" ht="14.4" hidden="1">
      <c r="B44" s="239"/>
      <c r="C44" s="240"/>
      <c r="D44" s="238">
        <f t="shared" ref="D44:D47" si="0">C44*3.6</f>
        <v>0</v>
      </c>
      <c r="E44" s="238" t="e">
        <f>D44*#REF!/1000</f>
        <v>#REF!</v>
      </c>
    </row>
    <row r="45" spans="2:11" ht="43.5" hidden="1" customHeight="1">
      <c r="B45" s="239"/>
      <c r="C45" s="240"/>
      <c r="D45" s="238">
        <f t="shared" si="0"/>
        <v>0</v>
      </c>
      <c r="E45" s="238" t="e">
        <f>D45*#REF!/1000</f>
        <v>#REF!</v>
      </c>
    </row>
    <row r="46" spans="2:11" ht="20.100000000000001" hidden="1" customHeight="1">
      <c r="B46" s="239"/>
      <c r="C46" s="240"/>
      <c r="D46" s="238">
        <f t="shared" si="0"/>
        <v>0</v>
      </c>
      <c r="E46" s="238" t="e">
        <f>D46*#REF!/1000</f>
        <v>#REF!</v>
      </c>
    </row>
    <row r="47" spans="2:11" ht="20.100000000000001" hidden="1" customHeight="1">
      <c r="B47" s="241"/>
      <c r="C47" s="242"/>
      <c r="D47" s="238">
        <f t="shared" si="0"/>
        <v>0</v>
      </c>
      <c r="E47" s="238" t="e">
        <f>D47*#REF!/1000</f>
        <v>#REF!</v>
      </c>
    </row>
    <row r="48" spans="2:11" ht="20.100000000000001" hidden="1" customHeight="1">
      <c r="B48" s="243" t="s">
        <v>2216</v>
      </c>
      <c r="C48" s="244"/>
      <c r="D48" s="245"/>
      <c r="E48" s="246" t="e">
        <f>SUM(E43:E47)</f>
        <v>#REF!</v>
      </c>
      <c r="F48" s="247"/>
      <c r="G48" s="248"/>
      <c r="H48" s="248"/>
    </row>
    <row r="49" spans="1:9" ht="20.100000000000001" hidden="1" customHeight="1">
      <c r="B49" s="249"/>
      <c r="D49" s="247"/>
      <c r="E49" s="247"/>
      <c r="F49" s="247"/>
      <c r="G49" s="248"/>
      <c r="H49" s="248"/>
    </row>
    <row r="50" spans="1:9" ht="15.6" hidden="1">
      <c r="B50" s="216" t="s">
        <v>392</v>
      </c>
      <c r="C50" s="217" t="s">
        <v>2217</v>
      </c>
      <c r="D50" s="250"/>
      <c r="E50" s="251"/>
      <c r="G50" s="252"/>
      <c r="H50" s="253"/>
      <c r="I50" s="253"/>
    </row>
    <row r="51" spans="1:9" ht="244.8" hidden="1">
      <c r="B51" s="236" t="s">
        <v>2218</v>
      </c>
      <c r="C51" s="254"/>
      <c r="D51" s="255"/>
      <c r="E51" s="255"/>
    </row>
    <row r="52" spans="1:9" hidden="1">
      <c r="B52" s="256"/>
      <c r="C52" s="257"/>
      <c r="D52" s="255"/>
      <c r="E52" s="255"/>
    </row>
    <row r="53" spans="1:9" hidden="1">
      <c r="B53" s="256"/>
      <c r="C53" s="257"/>
      <c r="D53" s="255"/>
      <c r="E53" s="255"/>
    </row>
    <row r="54" spans="1:9" hidden="1">
      <c r="B54" s="256"/>
      <c r="C54" s="257"/>
      <c r="D54" s="255"/>
      <c r="E54" s="255"/>
    </row>
    <row r="55" spans="1:9" hidden="1">
      <c r="B55" s="241"/>
      <c r="C55" s="258"/>
      <c r="D55" s="255"/>
      <c r="E55" s="255"/>
    </row>
    <row r="56" spans="1:9" ht="13.8" hidden="1">
      <c r="B56" s="259" t="s">
        <v>412</v>
      </c>
      <c r="C56" s="246">
        <f>SUM(C51:C55)</f>
        <v>0</v>
      </c>
    </row>
    <row r="58" spans="1:9" ht="20.100000000000001" hidden="1" customHeight="1">
      <c r="A58" s="218" t="s">
        <v>42</v>
      </c>
      <c r="B58" s="252" t="str">
        <f>C12&amp;C13</f>
        <v>00</v>
      </c>
    </row>
    <row r="59" spans="1:9" ht="20.100000000000001" customHeight="1"/>
    <row r="60" spans="1:9" ht="20.100000000000001" customHeight="1"/>
    <row r="61" spans="1:9" ht="20.100000000000001" customHeight="1"/>
    <row r="62" spans="1:9" ht="20.100000000000001" customHeight="1"/>
    <row r="66" ht="20.100000000000001" customHeight="1"/>
    <row r="67" ht="20.100000000000001" customHeight="1"/>
    <row r="68" ht="20.100000000000001" customHeight="1"/>
    <row r="69" ht="20.100000000000001" customHeight="1"/>
    <row r="70" ht="20.100000000000001" customHeight="1"/>
    <row r="71" ht="16.5" customHeight="1"/>
    <row r="73" ht="40.5"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9" ht="20.100000000000001" customHeight="1"/>
    <row r="90" ht="20.100000000000001" customHeight="1"/>
    <row r="91" ht="20.100000000000001" customHeight="1"/>
    <row r="92" ht="20.100000000000001" customHeight="1"/>
    <row r="93" ht="20.100000000000001" customHeight="1"/>
    <row r="94" ht="16.5" customHeight="1"/>
    <row r="96" ht="40.35"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12" ht="20.100000000000001" customHeight="1"/>
    <row r="113" ht="20.100000000000001" customHeight="1"/>
    <row r="114" ht="20.100000000000001" customHeight="1"/>
    <row r="115" ht="20.100000000000001" customHeight="1"/>
    <row r="116" ht="20.100000000000001" customHeight="1"/>
    <row r="117" ht="16.5" customHeight="1"/>
    <row r="119" ht="40.35"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row r="131" ht="20.100000000000001" customHeight="1"/>
    <row r="135" ht="20.100000000000001" customHeight="1"/>
    <row r="136" ht="20.100000000000001" customHeight="1"/>
    <row r="137" ht="20.100000000000001" customHeight="1"/>
    <row r="138" ht="20.100000000000001" customHeight="1"/>
    <row r="139" ht="20.100000000000001" customHeight="1"/>
    <row r="140" ht="16.5" customHeight="1"/>
    <row r="142" ht="40.35" customHeight="1"/>
    <row r="143" ht="20.100000000000001" customHeight="1"/>
    <row r="144"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8" ht="20.100000000000001" customHeight="1"/>
    <row r="159" ht="20.100000000000001" customHeight="1"/>
    <row r="160" ht="20.100000000000001" customHeight="1"/>
    <row r="161" ht="20.100000000000001" customHeight="1"/>
    <row r="162" ht="20.100000000000001" customHeight="1"/>
    <row r="163" ht="16.5" customHeight="1"/>
    <row r="165" ht="40.35" customHeight="1"/>
    <row r="166" ht="20.100000000000001" customHeight="1"/>
    <row r="167" ht="20.100000000000001" customHeight="1"/>
    <row r="168" ht="20.100000000000001" customHeight="1"/>
    <row r="169" ht="20.100000000000001" customHeight="1"/>
    <row r="170" ht="20.100000000000001" customHeight="1"/>
    <row r="171" ht="20.100000000000001" customHeight="1"/>
    <row r="172" ht="20.100000000000001" customHeight="1"/>
    <row r="173" ht="20.100000000000001" customHeight="1"/>
    <row r="174" ht="20.100000000000001" customHeight="1"/>
    <row r="175" ht="20.100000000000001" customHeight="1"/>
    <row r="176" ht="20.100000000000001" customHeight="1"/>
    <row r="177" ht="20.100000000000001" customHeight="1"/>
    <row r="181" ht="20.100000000000001" customHeight="1"/>
    <row r="182" ht="20.100000000000001" customHeight="1"/>
    <row r="183" ht="20.100000000000001" customHeight="1"/>
    <row r="184" ht="20.100000000000001" customHeight="1"/>
    <row r="185" ht="20.100000000000001" customHeight="1"/>
    <row r="186" ht="16.5" customHeight="1"/>
    <row r="188" ht="40.35" customHeight="1"/>
    <row r="189" ht="20.100000000000001" customHeight="1"/>
    <row r="190" ht="20.100000000000001" customHeight="1"/>
    <row r="191" ht="20.100000000000001" customHeight="1"/>
    <row r="192" ht="20.100000000000001" customHeight="1"/>
    <row r="193" ht="20.100000000000001" customHeight="1"/>
    <row r="194" ht="20.100000000000001" customHeight="1"/>
    <row r="195" ht="20.100000000000001" customHeight="1"/>
    <row r="196" ht="20.100000000000001" customHeight="1"/>
    <row r="197" ht="20.100000000000001" customHeight="1"/>
    <row r="198" ht="20.100000000000001" customHeight="1"/>
    <row r="199" ht="20.100000000000001" customHeight="1"/>
    <row r="200" ht="20.100000000000001" customHeight="1"/>
  </sheetData>
  <customSheetViews>
    <customSheetView guid="{555478C2-F620-47D7-88F9-4C1EE7AEE227}" scale="85" showGridLines="0" fitToPage="1" hiddenColumns="1" topLeftCell="A33">
      <selection activeCell="E46" sqref="E46"/>
      <pageMargins left="0" right="0" top="0" bottom="0" header="0" footer="0"/>
      <pageSetup paperSize="9" scale="20" orientation="portrait" r:id="rId1"/>
    </customSheetView>
    <customSheetView guid="{5E2E109E-4BFE-44CE-A2A0-BB9B6CC0D139}" scale="80" showGridLines="0" fitToPage="1" hiddenColumns="1">
      <selection activeCell="B8" sqref="B8"/>
      <pageMargins left="0" right="0" top="0" bottom="0" header="0" footer="0"/>
      <pageSetup paperSize="9" scale="20" orientation="portrait" r:id="rId2"/>
    </customSheetView>
    <customSheetView guid="{3BAF3D14-B16A-4103-B9D6-D1D9B6381E90}" showGridLines="0" showRowCol="0" fitToPage="1" hiddenRows="1" topLeftCell="A4">
      <selection activeCell="E61" sqref="E61"/>
      <pageMargins left="0" right="0" top="0" bottom="0" header="0" footer="0"/>
      <pageSetup paperSize="9" scale="20" orientation="portrait" r:id="rId3"/>
    </customSheetView>
    <customSheetView guid="{C362DBBD-8226-4073-BE04-D615B3B4BF31}" scale="90" showGridLines="0" fitToPage="1" hiddenRows="1" hiddenColumns="1" topLeftCell="A10">
      <selection activeCell="C23" sqref="C23"/>
      <pageMargins left="0" right="0" top="0" bottom="0" header="0" footer="0"/>
      <pageSetup paperSize="9" scale="20" orientation="portrait" r:id="rId4"/>
    </customSheetView>
    <customSheetView guid="{9E23992E-45A8-4DF8-9DFB-C5F9BB498A06}" scale="90" showGridLines="0" fitToPage="1" hiddenRows="1" hiddenColumns="1" topLeftCell="A19">
      <selection activeCell="C28" sqref="C28"/>
      <pageMargins left="0" right="0" top="0" bottom="0" header="0" footer="0"/>
      <pageSetup paperSize="9" scale="32" orientation="portrait" r:id="rId5"/>
    </customSheetView>
  </customSheetViews>
  <mergeCells count="11">
    <mergeCell ref="B39:D39"/>
    <mergeCell ref="B40:D40"/>
    <mergeCell ref="D15:F15"/>
    <mergeCell ref="D16:F16"/>
    <mergeCell ref="D17:F17"/>
    <mergeCell ref="D18:F18"/>
    <mergeCell ref="D19:F19"/>
    <mergeCell ref="B35:D35"/>
    <mergeCell ref="B36:D36"/>
    <mergeCell ref="B38:D38"/>
    <mergeCell ref="B37:D37"/>
  </mergeCells>
  <dataValidations count="1">
    <dataValidation type="list" allowBlank="1" showInputMessage="1" showErrorMessage="1" sqref="C23" xr:uid="{FEBAE53F-0B18-40C7-9F15-D41A7B036871}">
      <formula1>$L$25:$N$25</formula1>
    </dataValidation>
  </dataValidations>
  <pageMargins left="0.70866141732283472" right="0.70866141732283472" top="0.74803149606299213" bottom="0.74803149606299213" header="0.31496062992125984" footer="0.31496062992125984"/>
  <pageSetup paperSize="9" scale="32" orientation="portrait" r:id="rId6"/>
  <drawing r:id="rId7"/>
  <legacyDrawingHF r:id="rId8"/>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0" tint="-0.14999847407452621"/>
    <pageSetUpPr fitToPage="1"/>
  </sheetPr>
  <dimension ref="A1:I205"/>
  <sheetViews>
    <sheetView showGridLines="0" topLeftCell="A59" zoomScale="115" zoomScaleNormal="115" workbookViewId="0">
      <selection activeCell="B75" sqref="B75"/>
    </sheetView>
  </sheetViews>
  <sheetFormatPr defaultColWidth="9.44140625" defaultRowHeight="13.2"/>
  <cols>
    <col min="1" max="1" width="24.5546875" style="32" customWidth="1"/>
    <col min="2" max="2" width="23.5546875" style="32" customWidth="1"/>
    <col min="3" max="3" width="19.44140625" style="32" customWidth="1"/>
    <col min="4" max="4" width="22.5546875" style="32" customWidth="1"/>
    <col min="5" max="5" width="19.44140625" style="32" customWidth="1"/>
    <col min="6" max="6" width="25.5546875" style="32" customWidth="1"/>
    <col min="7" max="7" width="18.5546875" style="32" customWidth="1"/>
    <col min="8" max="8" width="39.5546875" style="32" customWidth="1"/>
    <col min="9" max="9" width="31.44140625" style="32" customWidth="1"/>
    <col min="10" max="14" width="9.44140625" style="32"/>
    <col min="15" max="15" width="68.44140625" style="32" bestFit="1" customWidth="1"/>
    <col min="16" max="16384" width="9.44140625" style="32"/>
  </cols>
  <sheetData>
    <row r="1" spans="1:8" ht="87" customHeight="1"/>
    <row r="3" spans="1:8" ht="15.6">
      <c r="A3" s="14" t="s">
        <v>2219</v>
      </c>
      <c r="B3" s="14"/>
      <c r="C3" s="14"/>
      <c r="D3" s="14"/>
      <c r="E3" s="14"/>
      <c r="F3" s="14"/>
      <c r="G3" s="14"/>
      <c r="H3" s="14"/>
    </row>
    <row r="6" spans="1:8">
      <c r="A6" s="33" t="s">
        <v>2220</v>
      </c>
      <c r="C6" s="34" t="s">
        <v>2221</v>
      </c>
      <c r="E6" s="34" t="s">
        <v>2222</v>
      </c>
    </row>
    <row r="7" spans="1:8">
      <c r="A7" s="35" t="s">
        <v>2049</v>
      </c>
      <c r="B7" s="36"/>
      <c r="C7" s="35" t="s">
        <v>2223</v>
      </c>
      <c r="E7" s="35" t="s">
        <v>2224</v>
      </c>
    </row>
    <row r="8" spans="1:8">
      <c r="A8" s="35" t="s">
        <v>2045</v>
      </c>
      <c r="B8" s="36"/>
      <c r="C8" s="35" t="s">
        <v>2225</v>
      </c>
      <c r="E8" s="35" t="s">
        <v>2226</v>
      </c>
    </row>
    <row r="10" spans="1:8">
      <c r="A10" s="34" t="s">
        <v>2222</v>
      </c>
    </row>
    <row r="11" spans="1:8">
      <c r="A11" s="118" t="s">
        <v>575</v>
      </c>
      <c r="B11" s="118" t="s">
        <v>2227</v>
      </c>
      <c r="C11" s="118" t="s">
        <v>2228</v>
      </c>
      <c r="D11" s="118" t="s">
        <v>2229</v>
      </c>
    </row>
    <row r="12" spans="1:8">
      <c r="A12" s="37" t="s">
        <v>673</v>
      </c>
      <c r="B12" s="37" t="s">
        <v>2230</v>
      </c>
      <c r="C12" s="37" t="s">
        <v>87</v>
      </c>
      <c r="D12" s="50">
        <v>1E-3</v>
      </c>
      <c r="F12" s="120" t="s">
        <v>2231</v>
      </c>
    </row>
    <row r="13" spans="1:8">
      <c r="A13" s="37" t="s">
        <v>673</v>
      </c>
      <c r="B13" s="38" t="s">
        <v>87</v>
      </c>
      <c r="C13" s="37" t="s">
        <v>87</v>
      </c>
      <c r="D13" s="50">
        <v>1</v>
      </c>
      <c r="F13" s="32" t="s">
        <v>2232</v>
      </c>
    </row>
    <row r="14" spans="1:8">
      <c r="A14" s="37" t="s">
        <v>673</v>
      </c>
      <c r="B14" s="38" t="s">
        <v>1115</v>
      </c>
      <c r="C14" s="37" t="s">
        <v>87</v>
      </c>
      <c r="D14" s="50">
        <v>1000</v>
      </c>
      <c r="F14" s="32" t="s">
        <v>2233</v>
      </c>
    </row>
    <row r="15" spans="1:8">
      <c r="A15" s="37" t="s">
        <v>673</v>
      </c>
      <c r="B15" s="38" t="s">
        <v>2234</v>
      </c>
      <c r="C15" s="37" t="s">
        <v>87</v>
      </c>
      <c r="D15" s="50">
        <v>1000000</v>
      </c>
    </row>
    <row r="16" spans="1:8">
      <c r="A16" s="37" t="s">
        <v>673</v>
      </c>
      <c r="B16" s="38" t="s">
        <v>87</v>
      </c>
      <c r="C16" s="38" t="s">
        <v>2235</v>
      </c>
      <c r="D16" s="50">
        <v>3.5999999999999999E-3</v>
      </c>
    </row>
    <row r="17" spans="1:9">
      <c r="A17" s="37" t="s">
        <v>1964</v>
      </c>
      <c r="B17" s="37" t="s">
        <v>2236</v>
      </c>
      <c r="C17" s="38" t="s">
        <v>2235</v>
      </c>
      <c r="D17" s="50">
        <v>1.0000000000000001E-9</v>
      </c>
    </row>
    <row r="18" spans="1:9">
      <c r="A18" s="37" t="s">
        <v>1964</v>
      </c>
      <c r="B18" s="37" t="s">
        <v>2237</v>
      </c>
      <c r="C18" s="38" t="s">
        <v>2235</v>
      </c>
      <c r="D18" s="50">
        <v>9.9999999999999995E-7</v>
      </c>
    </row>
    <row r="19" spans="1:9">
      <c r="A19" s="37" t="s">
        <v>1964</v>
      </c>
      <c r="B19" s="37" t="s">
        <v>98</v>
      </c>
      <c r="C19" s="38" t="s">
        <v>2235</v>
      </c>
      <c r="D19" s="50">
        <v>1E-3</v>
      </c>
    </row>
    <row r="20" spans="1:9">
      <c r="A20" s="37" t="s">
        <v>1964</v>
      </c>
      <c r="B20" s="37" t="s">
        <v>2235</v>
      </c>
      <c r="C20" s="38" t="s">
        <v>2235</v>
      </c>
      <c r="D20" s="50">
        <v>1</v>
      </c>
      <c r="E20" s="39"/>
      <c r="F20" s="39"/>
    </row>
    <row r="21" spans="1:9">
      <c r="A21" s="37" t="s">
        <v>1964</v>
      </c>
      <c r="B21" s="37" t="s">
        <v>2238</v>
      </c>
      <c r="C21" s="38" t="s">
        <v>2235</v>
      </c>
      <c r="D21" s="50">
        <v>1000</v>
      </c>
      <c r="E21" s="39"/>
      <c r="F21" s="39"/>
    </row>
    <row r="22" spans="1:9">
      <c r="A22" s="37" t="s">
        <v>2239</v>
      </c>
      <c r="B22" s="37" t="s">
        <v>2240</v>
      </c>
      <c r="C22" s="38" t="s">
        <v>2235</v>
      </c>
      <c r="D22" s="50">
        <v>22.1</v>
      </c>
      <c r="E22" s="39"/>
      <c r="F22" s="39"/>
    </row>
    <row r="23" spans="1:9">
      <c r="A23" s="37" t="s">
        <v>2239</v>
      </c>
      <c r="B23" s="37" t="s">
        <v>2241</v>
      </c>
      <c r="C23" s="38" t="s">
        <v>2235</v>
      </c>
      <c r="D23" s="50">
        <f>22.1/1000</f>
        <v>2.2100000000000002E-2</v>
      </c>
      <c r="E23" s="39"/>
      <c r="F23" s="39"/>
    </row>
    <row r="24" spans="1:9">
      <c r="A24" s="37" t="s">
        <v>1965</v>
      </c>
      <c r="B24" s="37" t="s">
        <v>108</v>
      </c>
      <c r="C24" s="38" t="s">
        <v>2235</v>
      </c>
      <c r="D24" s="50">
        <v>25.7</v>
      </c>
      <c r="E24" s="39"/>
      <c r="F24" s="39"/>
    </row>
    <row r="25" spans="1:9">
      <c r="A25" s="37" t="s">
        <v>1965</v>
      </c>
      <c r="B25" s="37" t="s">
        <v>2242</v>
      </c>
      <c r="C25" s="38" t="s">
        <v>2235</v>
      </c>
      <c r="D25" s="50">
        <f>25.7/1000</f>
        <v>2.5700000000000001E-2</v>
      </c>
      <c r="E25" s="39"/>
      <c r="F25" s="39"/>
    </row>
    <row r="26" spans="1:9">
      <c r="A26" s="37" t="s">
        <v>2153</v>
      </c>
      <c r="B26" s="37" t="s">
        <v>108</v>
      </c>
      <c r="C26" s="38" t="s">
        <v>2235</v>
      </c>
      <c r="D26" s="50">
        <v>38.6</v>
      </c>
      <c r="E26" s="39"/>
      <c r="F26" s="40"/>
    </row>
    <row r="27" spans="1:9">
      <c r="A27" s="37" t="s">
        <v>2153</v>
      </c>
      <c r="B27" s="37" t="s">
        <v>2242</v>
      </c>
      <c r="C27" s="38" t="s">
        <v>2235</v>
      </c>
      <c r="D27" s="50">
        <f>38.6/1000</f>
        <v>3.8600000000000002E-2</v>
      </c>
      <c r="E27" s="39"/>
      <c r="F27" s="40"/>
    </row>
    <row r="29" spans="1:9">
      <c r="A29" s="34" t="s">
        <v>2243</v>
      </c>
      <c r="B29" s="39"/>
      <c r="C29" s="39"/>
      <c r="D29" s="39"/>
      <c r="E29" s="39"/>
      <c r="F29" s="39"/>
    </row>
    <row r="30" spans="1:9" ht="15.6">
      <c r="A30" s="41" t="s">
        <v>2244</v>
      </c>
      <c r="B30" s="41"/>
      <c r="C30" s="41"/>
      <c r="D30" s="41"/>
      <c r="E30" s="41"/>
      <c r="F30" s="41"/>
      <c r="G30" s="41"/>
      <c r="H30" s="41"/>
      <c r="I30" s="41"/>
    </row>
    <row r="31" spans="1:9" ht="15">
      <c r="A31" s="42" t="s">
        <v>2245</v>
      </c>
      <c r="B31" s="43"/>
      <c r="C31" s="43"/>
      <c r="D31" s="43"/>
      <c r="E31" s="42" t="s">
        <v>2246</v>
      </c>
      <c r="F31" s="40"/>
      <c r="G31" s="40"/>
    </row>
    <row r="32" spans="1:9" ht="15">
      <c r="A32" s="1" t="s">
        <v>2247</v>
      </c>
      <c r="B32" s="43"/>
      <c r="C32" s="43"/>
      <c r="D32" s="43"/>
      <c r="E32" s="129" t="s">
        <v>2248</v>
      </c>
      <c r="F32" s="40"/>
      <c r="G32" s="40"/>
    </row>
    <row r="33" spans="1:9">
      <c r="A33" s="118" t="s">
        <v>1378</v>
      </c>
      <c r="B33" s="118" t="s">
        <v>81</v>
      </c>
      <c r="C33" s="118" t="s">
        <v>1221</v>
      </c>
      <c r="D33" s="118" t="s">
        <v>1992</v>
      </c>
      <c r="E33" s="40"/>
      <c r="F33" s="40"/>
      <c r="G33" s="40"/>
    </row>
    <row r="34" spans="1:9">
      <c r="A34" s="38" t="s">
        <v>2096</v>
      </c>
      <c r="B34" s="37">
        <v>0.88</v>
      </c>
      <c r="C34" s="37">
        <v>0.18</v>
      </c>
      <c r="D34" s="37">
        <f>+B34+C34</f>
        <v>1.06</v>
      </c>
      <c r="E34" s="40"/>
      <c r="F34" s="40"/>
      <c r="G34" s="40"/>
    </row>
    <row r="35" spans="1:9">
      <c r="A35" s="38" t="s">
        <v>2099</v>
      </c>
      <c r="B35" s="37">
        <v>0.88</v>
      </c>
      <c r="C35" s="37">
        <v>0.18</v>
      </c>
      <c r="D35" s="37">
        <f t="shared" ref="D35:D42" si="0">+B35+C35</f>
        <v>1.06</v>
      </c>
      <c r="E35" s="40"/>
      <c r="F35" s="40"/>
      <c r="G35" s="40"/>
    </row>
    <row r="36" spans="1:9">
      <c r="A36" s="38" t="s">
        <v>2103</v>
      </c>
      <c r="B36" s="37">
        <v>1.19</v>
      </c>
      <c r="C36" s="37">
        <v>0.15</v>
      </c>
      <c r="D36" s="37">
        <f t="shared" si="0"/>
        <v>1.3399999999999999</v>
      </c>
      <c r="E36" s="40"/>
      <c r="F36" s="40"/>
      <c r="G36" s="40"/>
    </row>
    <row r="37" spans="1:9">
      <c r="A37" s="38" t="s">
        <v>2100</v>
      </c>
      <c r="B37" s="37">
        <v>0.86</v>
      </c>
      <c r="C37" s="37">
        <v>0.12</v>
      </c>
      <c r="D37" s="37">
        <f t="shared" si="0"/>
        <v>0.98</v>
      </c>
      <c r="E37" s="40"/>
      <c r="F37" s="40"/>
      <c r="G37" s="40"/>
    </row>
    <row r="38" spans="1:9">
      <c r="A38" s="38" t="s">
        <v>2101</v>
      </c>
      <c r="B38" s="37">
        <v>0.65</v>
      </c>
      <c r="C38" s="37">
        <v>0.14000000000000001</v>
      </c>
      <c r="D38" s="37">
        <f t="shared" si="0"/>
        <v>0.79</v>
      </c>
      <c r="E38" s="40"/>
      <c r="F38" s="40"/>
      <c r="G38" s="40"/>
    </row>
    <row r="39" spans="1:9">
      <c r="A39" s="38" t="s">
        <v>1692</v>
      </c>
      <c r="B39" s="37">
        <v>0.82</v>
      </c>
      <c r="C39" s="37">
        <v>0.1</v>
      </c>
      <c r="D39" s="37">
        <f t="shared" si="0"/>
        <v>0.91999999999999993</v>
      </c>
      <c r="E39" s="40"/>
      <c r="F39" s="40"/>
      <c r="G39" s="40"/>
    </row>
    <row r="40" spans="1:9">
      <c r="A40" s="38" t="s">
        <v>2102</v>
      </c>
      <c r="B40" s="37">
        <v>0.26</v>
      </c>
      <c r="C40" s="37">
        <v>0.02</v>
      </c>
      <c r="D40" s="37">
        <f t="shared" si="0"/>
        <v>0.28000000000000003</v>
      </c>
      <c r="E40" s="40"/>
      <c r="F40" s="40"/>
      <c r="G40" s="40"/>
    </row>
    <row r="41" spans="1:9">
      <c r="A41" s="38" t="s">
        <v>1691</v>
      </c>
      <c r="B41" s="37">
        <v>0.71</v>
      </c>
      <c r="C41" s="37">
        <v>0.08</v>
      </c>
      <c r="D41" s="37">
        <f t="shared" si="0"/>
        <v>0.78999999999999992</v>
      </c>
      <c r="E41" s="40"/>
      <c r="F41" s="40"/>
      <c r="G41" s="40"/>
    </row>
    <row r="42" spans="1:9">
      <c r="A42" s="529" t="s">
        <v>2249</v>
      </c>
      <c r="B42" s="531">
        <v>7.0217151899999997E-2</v>
      </c>
      <c r="C42" s="531">
        <v>2.5985750000000001E-3</v>
      </c>
      <c r="D42" s="531">
        <f t="shared" si="0"/>
        <v>7.2815726900000002E-2</v>
      </c>
      <c r="E42" s="40"/>
      <c r="F42" s="40"/>
      <c r="G42" s="40"/>
    </row>
    <row r="43" spans="1:9">
      <c r="A43" s="529" t="s">
        <v>2108</v>
      </c>
      <c r="B43" s="531">
        <v>7.0217151899999997E-2</v>
      </c>
      <c r="C43" s="531">
        <v>2.5985750000000001E-3</v>
      </c>
      <c r="D43" s="531">
        <f t="shared" ref="D43" si="1">+B43+C43</f>
        <v>7.2815726900000002E-2</v>
      </c>
      <c r="E43" s="40"/>
      <c r="F43" s="40"/>
      <c r="G43" s="40"/>
    </row>
    <row r="44" spans="1:9">
      <c r="A44" s="40"/>
      <c r="B44" s="40"/>
      <c r="C44" s="40"/>
      <c r="D44" s="40"/>
      <c r="E44" s="40"/>
      <c r="F44" s="40"/>
      <c r="G44" s="40"/>
      <c r="H44" s="40"/>
      <c r="I44" s="40"/>
    </row>
    <row r="45" spans="1:9">
      <c r="A45" s="34" t="s">
        <v>2250</v>
      </c>
      <c r="B45" s="39"/>
      <c r="C45" s="39"/>
      <c r="D45" s="39"/>
      <c r="E45" s="39"/>
      <c r="F45" s="39"/>
      <c r="G45" s="39"/>
      <c r="H45" s="39"/>
      <c r="I45" s="44"/>
    </row>
    <row r="46" spans="1:9" ht="15.6">
      <c r="A46" s="41" t="s">
        <v>2251</v>
      </c>
      <c r="B46" s="39"/>
      <c r="C46" s="39"/>
      <c r="D46" s="39"/>
      <c r="E46" s="39"/>
      <c r="F46" s="39"/>
      <c r="G46" s="39"/>
      <c r="H46" s="39"/>
      <c r="I46" s="44"/>
    </row>
    <row r="47" spans="1:9" ht="15">
      <c r="A47" s="42" t="s">
        <v>2245</v>
      </c>
      <c r="B47" s="43"/>
      <c r="C47" s="43"/>
      <c r="D47" s="43"/>
      <c r="E47" s="40"/>
      <c r="F47" s="42" t="s">
        <v>2246</v>
      </c>
      <c r="G47" s="40"/>
      <c r="H47" s="45"/>
    </row>
    <row r="48" spans="1:9" ht="15">
      <c r="A48" s="1" t="s">
        <v>2247</v>
      </c>
      <c r="B48" s="43"/>
      <c r="C48" s="43"/>
      <c r="D48" s="43"/>
      <c r="E48" s="40"/>
      <c r="F48" s="129" t="s">
        <v>2248</v>
      </c>
      <c r="G48" s="40"/>
      <c r="H48" s="45"/>
      <c r="I48" s="46"/>
    </row>
    <row r="49" spans="1:9" ht="12.75" customHeight="1">
      <c r="A49" s="47"/>
      <c r="B49" s="671" t="s">
        <v>92</v>
      </c>
      <c r="C49" s="672"/>
      <c r="D49" s="673"/>
      <c r="E49" s="643" t="s">
        <v>2252</v>
      </c>
      <c r="F49" s="643" t="s">
        <v>2253</v>
      </c>
      <c r="G49" s="643" t="s">
        <v>2254</v>
      </c>
      <c r="H49" s="643" t="s">
        <v>2255</v>
      </c>
    </row>
    <row r="50" spans="1:9" ht="15">
      <c r="A50" s="118" t="s">
        <v>1378</v>
      </c>
      <c r="B50" s="118" t="s">
        <v>2256</v>
      </c>
      <c r="C50" s="118" t="s">
        <v>2257</v>
      </c>
      <c r="D50" s="118" t="s">
        <v>2258</v>
      </c>
      <c r="E50" s="644"/>
      <c r="F50" s="644"/>
      <c r="G50" s="644"/>
      <c r="H50" s="644"/>
    </row>
    <row r="51" spans="1:9">
      <c r="A51" s="38" t="s">
        <v>2096</v>
      </c>
      <c r="B51" s="48">
        <v>51.2</v>
      </c>
      <c r="C51" s="48">
        <v>0.1</v>
      </c>
      <c r="D51" s="37">
        <v>0.03</v>
      </c>
      <c r="E51" s="37">
        <f t="shared" ref="E51:E58" si="2">SUM(B51:D51)</f>
        <v>51.330000000000005</v>
      </c>
      <c r="F51" s="37">
        <v>14.2</v>
      </c>
      <c r="G51" s="37">
        <v>15</v>
      </c>
      <c r="H51" s="37">
        <f>IF('15B Building Details'!C$14="Metro",E51+F51,E51+G51)</f>
        <v>66.330000000000013</v>
      </c>
    </row>
    <row r="52" spans="1:9">
      <c r="A52" s="38" t="s">
        <v>2099</v>
      </c>
      <c r="B52" s="48">
        <v>51.2</v>
      </c>
      <c r="C52" s="48">
        <v>0.1</v>
      </c>
      <c r="D52" s="37">
        <v>0.03</v>
      </c>
      <c r="E52" s="37">
        <f t="shared" si="2"/>
        <v>51.330000000000005</v>
      </c>
      <c r="F52" s="37">
        <v>14.2</v>
      </c>
      <c r="G52" s="37">
        <v>15</v>
      </c>
      <c r="H52" s="37">
        <f>IF('15B Building Details'!C$14="Metro",E52+F52,E52+G52)</f>
        <v>66.330000000000013</v>
      </c>
    </row>
    <row r="53" spans="1:9">
      <c r="A53" s="38" t="s">
        <v>2103</v>
      </c>
      <c r="B53" s="48">
        <v>51.2</v>
      </c>
      <c r="C53" s="48">
        <v>0.1</v>
      </c>
      <c r="D53" s="37">
        <v>0.03</v>
      </c>
      <c r="E53" s="37">
        <f t="shared" si="2"/>
        <v>51.330000000000005</v>
      </c>
      <c r="F53" s="37">
        <v>4</v>
      </c>
      <c r="G53" s="37">
        <v>4</v>
      </c>
      <c r="H53" s="37">
        <f>IF('15B Building Details'!C$14="Metro",E53+F53,E53+G53)</f>
        <v>55.330000000000005</v>
      </c>
    </row>
    <row r="54" spans="1:9">
      <c r="A54" s="38" t="s">
        <v>2100</v>
      </c>
      <c r="B54" s="48">
        <v>51.2</v>
      </c>
      <c r="C54" s="48">
        <v>0.1</v>
      </c>
      <c r="D54" s="37">
        <v>0.03</v>
      </c>
      <c r="E54" s="37">
        <f t="shared" si="2"/>
        <v>51.330000000000005</v>
      </c>
      <c r="F54" s="37">
        <v>8.6</v>
      </c>
      <c r="G54" s="37">
        <v>7.8</v>
      </c>
      <c r="H54" s="37">
        <f>IF('15B Building Details'!C$14="Metro",E54+F54,E54+G54)</f>
        <v>59.13</v>
      </c>
    </row>
    <row r="55" spans="1:9">
      <c r="A55" s="38" t="s">
        <v>2101</v>
      </c>
      <c r="B55" s="48">
        <v>51.2</v>
      </c>
      <c r="C55" s="48">
        <v>0.1</v>
      </c>
      <c r="D55" s="37">
        <v>0.03</v>
      </c>
      <c r="E55" s="37">
        <f t="shared" si="2"/>
        <v>51.330000000000005</v>
      </c>
      <c r="F55" s="37">
        <v>10.4</v>
      </c>
      <c r="G55" s="37">
        <v>10.199999999999999</v>
      </c>
      <c r="H55" s="37">
        <f>IF('15B Building Details'!C$14="Metro",E55+F55,E55+G55)</f>
        <v>61.53</v>
      </c>
    </row>
    <row r="56" spans="1:9">
      <c r="A56" s="38" t="s">
        <v>1692</v>
      </c>
      <c r="B56" s="48">
        <v>51.2</v>
      </c>
      <c r="C56" s="48">
        <v>0.1</v>
      </c>
      <c r="D56" s="37">
        <v>0.03</v>
      </c>
      <c r="E56" s="37">
        <f t="shared" si="2"/>
        <v>51.330000000000005</v>
      </c>
      <c r="F56" s="37">
        <v>4</v>
      </c>
      <c r="G56" s="37">
        <v>3.9</v>
      </c>
      <c r="H56" s="37">
        <f>IF('15B Building Details'!C$14="Metro",E56+F56,E56+G56)</f>
        <v>55.230000000000004</v>
      </c>
    </row>
    <row r="57" spans="1:9">
      <c r="A57" s="38" t="s">
        <v>2102</v>
      </c>
      <c r="B57" s="48">
        <v>51.2</v>
      </c>
      <c r="C57" s="48">
        <v>0.1</v>
      </c>
      <c r="D57" s="37">
        <v>0.03</v>
      </c>
      <c r="E57" s="37">
        <f t="shared" si="2"/>
        <v>51.330000000000005</v>
      </c>
      <c r="F57" s="37">
        <v>0</v>
      </c>
      <c r="G57" s="37">
        <v>0</v>
      </c>
      <c r="H57" s="37">
        <f>IF('15B Building Details'!C$14="Metro",E57+F57,E57+G57)</f>
        <v>51.330000000000005</v>
      </c>
    </row>
    <row r="58" spans="1:9">
      <c r="A58" s="38" t="s">
        <v>1691</v>
      </c>
      <c r="B58" s="48">
        <v>51.2</v>
      </c>
      <c r="C58" s="48">
        <v>0.1</v>
      </c>
      <c r="D58" s="37">
        <v>0.03</v>
      </c>
      <c r="E58" s="37">
        <f t="shared" si="2"/>
        <v>51.330000000000005</v>
      </c>
      <c r="F58" s="37">
        <v>0</v>
      </c>
      <c r="G58" s="37">
        <v>0</v>
      </c>
      <c r="H58" s="37">
        <f>IF('15B Building Details'!C$14="Metro",E58+F58,E58+G58)</f>
        <v>51.330000000000005</v>
      </c>
    </row>
    <row r="59" spans="1:9">
      <c r="A59" s="529" t="s">
        <v>2105</v>
      </c>
      <c r="B59" s="530">
        <v>53.986069449299997</v>
      </c>
      <c r="C59" s="530">
        <v>0.126</v>
      </c>
      <c r="D59" s="531">
        <v>2.385E-2</v>
      </c>
      <c r="E59" s="531">
        <f t="shared" ref="E59" si="3">SUM(B59:D59)</f>
        <v>54.135919449299998</v>
      </c>
      <c r="F59" s="531"/>
      <c r="G59" s="531"/>
      <c r="H59" s="531"/>
    </row>
    <row r="60" spans="1:9">
      <c r="A60" s="40"/>
      <c r="B60" s="40"/>
      <c r="C60" s="40"/>
      <c r="D60" s="40"/>
      <c r="E60" s="40"/>
      <c r="F60" s="40"/>
      <c r="G60" s="40"/>
      <c r="H60" s="40"/>
      <c r="I60" s="40"/>
    </row>
    <row r="61" spans="1:9">
      <c r="A61" s="34" t="s">
        <v>2259</v>
      </c>
      <c r="B61" s="39"/>
      <c r="C61" s="39"/>
      <c r="D61" s="39"/>
      <c r="E61" s="39"/>
      <c r="F61" s="39"/>
      <c r="G61" s="39"/>
      <c r="H61" s="39"/>
    </row>
    <row r="62" spans="1:9" ht="15.6">
      <c r="A62" s="41" t="s">
        <v>2260</v>
      </c>
      <c r="B62" s="49"/>
      <c r="C62" s="49"/>
      <c r="D62" s="39"/>
      <c r="E62" s="39"/>
      <c r="F62" s="39"/>
      <c r="G62" s="39"/>
      <c r="H62" s="39"/>
    </row>
    <row r="63" spans="1:9" ht="15">
      <c r="A63" s="42" t="s">
        <v>2245</v>
      </c>
      <c r="B63" s="43"/>
      <c r="C63" s="43"/>
      <c r="D63" s="43"/>
      <c r="E63" s="40"/>
      <c r="F63" s="42" t="s">
        <v>2261</v>
      </c>
      <c r="G63" s="40"/>
      <c r="H63" s="45"/>
    </row>
    <row r="64" spans="1:9" ht="15">
      <c r="A64" s="1" t="s">
        <v>2247</v>
      </c>
      <c r="B64" s="43"/>
      <c r="C64" s="43"/>
      <c r="D64" s="43"/>
      <c r="E64" s="40"/>
      <c r="F64" s="129" t="s">
        <v>2248</v>
      </c>
      <c r="G64" s="40"/>
      <c r="H64" s="45"/>
      <c r="I64" s="46"/>
    </row>
    <row r="65" spans="1:9" ht="12.75" customHeight="1">
      <c r="A65" s="47"/>
      <c r="B65" s="671" t="s">
        <v>92</v>
      </c>
      <c r="C65" s="672"/>
      <c r="D65" s="673"/>
      <c r="E65" s="643" t="s">
        <v>2252</v>
      </c>
      <c r="F65" s="643" t="s">
        <v>2262</v>
      </c>
      <c r="G65" s="643" t="s">
        <v>2263</v>
      </c>
      <c r="I65" s="40"/>
    </row>
    <row r="66" spans="1:9" ht="15">
      <c r="A66" s="118" t="s">
        <v>1378</v>
      </c>
      <c r="B66" s="118" t="s">
        <v>2256</v>
      </c>
      <c r="C66" s="118" t="s">
        <v>2257</v>
      </c>
      <c r="D66" s="118" t="s">
        <v>2258</v>
      </c>
      <c r="E66" s="644"/>
      <c r="F66" s="644"/>
      <c r="G66" s="644"/>
      <c r="I66" s="40"/>
    </row>
    <row r="67" spans="1:9">
      <c r="A67" s="38" t="s">
        <v>2096</v>
      </c>
      <c r="B67" s="50">
        <v>69.2</v>
      </c>
      <c r="C67" s="50">
        <v>0.1</v>
      </c>
      <c r="D67" s="50">
        <v>0.2</v>
      </c>
      <c r="E67" s="50">
        <f t="shared" ref="E67:E74" si="4">+B67+C67+D67</f>
        <v>69.5</v>
      </c>
      <c r="F67" s="50">
        <v>5.3</v>
      </c>
      <c r="G67" s="37">
        <f>+E67+F67</f>
        <v>74.8</v>
      </c>
      <c r="H67" s="40"/>
      <c r="I67" s="40"/>
    </row>
    <row r="68" spans="1:9">
      <c r="A68" s="38" t="s">
        <v>2099</v>
      </c>
      <c r="B68" s="50">
        <v>69.2</v>
      </c>
      <c r="C68" s="50">
        <v>0.1</v>
      </c>
      <c r="D68" s="50">
        <v>0.2</v>
      </c>
      <c r="E68" s="50">
        <f t="shared" si="4"/>
        <v>69.5</v>
      </c>
      <c r="F68" s="50">
        <v>5.3</v>
      </c>
      <c r="G68" s="37">
        <f t="shared" ref="G68:G75" si="5">+E68+F68</f>
        <v>74.8</v>
      </c>
      <c r="H68" s="40"/>
      <c r="I68" s="40"/>
    </row>
    <row r="69" spans="1:9">
      <c r="A69" s="38" t="s">
        <v>2103</v>
      </c>
      <c r="B69" s="50">
        <v>69.2</v>
      </c>
      <c r="C69" s="50">
        <v>0.1</v>
      </c>
      <c r="D69" s="50">
        <v>0.2</v>
      </c>
      <c r="E69" s="50">
        <f t="shared" si="4"/>
        <v>69.5</v>
      </c>
      <c r="F69" s="50">
        <v>5.3</v>
      </c>
      <c r="G69" s="37">
        <f t="shared" si="5"/>
        <v>74.8</v>
      </c>
      <c r="H69" s="40"/>
      <c r="I69" s="40"/>
    </row>
    <row r="70" spans="1:9">
      <c r="A70" s="38" t="s">
        <v>2100</v>
      </c>
      <c r="B70" s="50">
        <v>69.2</v>
      </c>
      <c r="C70" s="50">
        <v>0.1</v>
      </c>
      <c r="D70" s="50">
        <v>0.2</v>
      </c>
      <c r="E70" s="50">
        <f t="shared" si="4"/>
        <v>69.5</v>
      </c>
      <c r="F70" s="50">
        <v>5.3</v>
      </c>
      <c r="G70" s="37">
        <f t="shared" si="5"/>
        <v>74.8</v>
      </c>
      <c r="H70" s="40"/>
      <c r="I70" s="40"/>
    </row>
    <row r="71" spans="1:9">
      <c r="A71" s="38" t="s">
        <v>2101</v>
      </c>
      <c r="B71" s="50">
        <v>69.2</v>
      </c>
      <c r="C71" s="50">
        <v>0.1</v>
      </c>
      <c r="D71" s="50">
        <v>0.2</v>
      </c>
      <c r="E71" s="50">
        <f t="shared" si="4"/>
        <v>69.5</v>
      </c>
      <c r="F71" s="50">
        <v>5.3</v>
      </c>
      <c r="G71" s="37">
        <f t="shared" si="5"/>
        <v>74.8</v>
      </c>
      <c r="H71" s="40"/>
      <c r="I71" s="40"/>
    </row>
    <row r="72" spans="1:9">
      <c r="A72" s="38" t="s">
        <v>1692</v>
      </c>
      <c r="B72" s="50">
        <v>69.2</v>
      </c>
      <c r="C72" s="50">
        <v>0.1</v>
      </c>
      <c r="D72" s="50">
        <v>0.2</v>
      </c>
      <c r="E72" s="50">
        <f t="shared" si="4"/>
        <v>69.5</v>
      </c>
      <c r="F72" s="50">
        <v>5.3</v>
      </c>
      <c r="G72" s="37">
        <f t="shared" si="5"/>
        <v>74.8</v>
      </c>
      <c r="H72" s="40"/>
      <c r="I72" s="40"/>
    </row>
    <row r="73" spans="1:9">
      <c r="A73" s="38" t="s">
        <v>2102</v>
      </c>
      <c r="B73" s="50">
        <v>69.2</v>
      </c>
      <c r="C73" s="50">
        <v>0.1</v>
      </c>
      <c r="D73" s="50">
        <v>0.2</v>
      </c>
      <c r="E73" s="50">
        <f t="shared" si="4"/>
        <v>69.5</v>
      </c>
      <c r="F73" s="50">
        <v>5.3</v>
      </c>
      <c r="G73" s="37">
        <f t="shared" si="5"/>
        <v>74.8</v>
      </c>
    </row>
    <row r="74" spans="1:9">
      <c r="A74" s="38" t="s">
        <v>1691</v>
      </c>
      <c r="B74" s="50">
        <v>69.2</v>
      </c>
      <c r="C74" s="50">
        <v>0.1</v>
      </c>
      <c r="D74" s="50">
        <v>0.2</v>
      </c>
      <c r="E74" s="50">
        <f t="shared" si="4"/>
        <v>69.5</v>
      </c>
      <c r="F74" s="50">
        <v>5.3</v>
      </c>
      <c r="G74" s="37">
        <f t="shared" si="5"/>
        <v>74.8</v>
      </c>
      <c r="H74" s="40"/>
      <c r="I74" s="40"/>
    </row>
    <row r="75" spans="1:9">
      <c r="A75" s="127" t="s">
        <v>2105</v>
      </c>
      <c r="B75" s="128">
        <v>69.221825476207485</v>
      </c>
      <c r="C75" s="128">
        <v>0.23628107386912714</v>
      </c>
      <c r="D75" s="128">
        <v>0.16898822403119976</v>
      </c>
      <c r="E75" s="128">
        <f t="shared" ref="E75" si="6">+B75+C75+D75</f>
        <v>69.627094774107803</v>
      </c>
      <c r="F75" s="130">
        <v>0</v>
      </c>
      <c r="G75" s="128">
        <f t="shared" si="5"/>
        <v>69.627094774107803</v>
      </c>
      <c r="H75" s="40"/>
      <c r="I75" s="40"/>
    </row>
    <row r="76" spans="1:9" ht="13.8">
      <c r="B76" s="51"/>
      <c r="C76" s="40"/>
      <c r="D76" s="40"/>
      <c r="E76" s="40"/>
      <c r="F76" s="52"/>
      <c r="G76" s="40"/>
      <c r="H76" s="40"/>
      <c r="I76" s="40"/>
    </row>
    <row r="77" spans="1:9" ht="13.8">
      <c r="A77" s="34" t="s">
        <v>2243</v>
      </c>
      <c r="B77" s="39"/>
      <c r="C77" s="39"/>
      <c r="D77" s="39"/>
      <c r="E77" s="40"/>
      <c r="F77" s="527"/>
      <c r="G77" s="40"/>
      <c r="H77" s="40"/>
      <c r="I77" s="40"/>
    </row>
    <row r="78" spans="1:9" ht="15.6">
      <c r="A78" s="41" t="s">
        <v>2264</v>
      </c>
      <c r="B78" s="41"/>
      <c r="C78" s="41"/>
      <c r="D78" s="41"/>
      <c r="E78" s="40"/>
      <c r="F78" s="527"/>
      <c r="G78" s="40"/>
      <c r="H78" s="40"/>
      <c r="I78" s="40"/>
    </row>
    <row r="79" spans="1:9" ht="15">
      <c r="A79" s="42" t="s">
        <v>2245</v>
      </c>
      <c r="B79" s="43"/>
      <c r="C79" s="43"/>
      <c r="D79" s="43"/>
      <c r="E79" s="40"/>
      <c r="F79" s="42" t="s">
        <v>2261</v>
      </c>
      <c r="G79" s="40"/>
      <c r="H79" s="40"/>
      <c r="I79" s="40"/>
    </row>
    <row r="80" spans="1:9" ht="15">
      <c r="A80" s="1" t="s">
        <v>2247</v>
      </c>
      <c r="B80" s="43"/>
      <c r="C80" s="43"/>
      <c r="D80" s="43"/>
      <c r="E80" s="40"/>
      <c r="F80" s="129" t="s">
        <v>2248</v>
      </c>
      <c r="G80" s="40"/>
      <c r="H80" s="40"/>
      <c r="I80" s="40"/>
    </row>
    <row r="81" spans="1:9" ht="13.8">
      <c r="A81" s="118" t="s">
        <v>1378</v>
      </c>
      <c r="B81" s="118" t="s">
        <v>92</v>
      </c>
      <c r="C81" s="118" t="s">
        <v>1221</v>
      </c>
      <c r="D81" s="118" t="s">
        <v>1992</v>
      </c>
      <c r="E81" s="40"/>
      <c r="F81" s="527"/>
      <c r="G81" s="40"/>
      <c r="H81" s="40"/>
      <c r="I81" s="40"/>
    </row>
    <row r="82" spans="1:9" ht="13.8">
      <c r="A82" s="38" t="s">
        <v>2096</v>
      </c>
      <c r="B82" s="37">
        <f t="shared" ref="B82:B89" si="7">59.6+0.1+0.2</f>
        <v>59.900000000000006</v>
      </c>
      <c r="C82" s="37">
        <v>5</v>
      </c>
      <c r="D82" s="37">
        <f>+B82+C82</f>
        <v>64.900000000000006</v>
      </c>
      <c r="E82" s="40"/>
      <c r="F82" s="527"/>
      <c r="G82" s="40"/>
      <c r="H82" s="40"/>
      <c r="I82" s="40"/>
    </row>
    <row r="83" spans="1:9" ht="13.8">
      <c r="A83" s="38" t="s">
        <v>2099</v>
      </c>
      <c r="B83" s="37">
        <f t="shared" si="7"/>
        <v>59.900000000000006</v>
      </c>
      <c r="C83" s="37">
        <v>5</v>
      </c>
      <c r="D83" s="37">
        <f t="shared" ref="D83:D90" si="8">+B83+C83</f>
        <v>64.900000000000006</v>
      </c>
      <c r="E83" s="40"/>
      <c r="F83" s="527"/>
      <c r="G83" s="40"/>
      <c r="H83" s="40"/>
      <c r="I83" s="40"/>
    </row>
    <row r="84" spans="1:9" ht="13.8">
      <c r="A84" s="38" t="s">
        <v>2103</v>
      </c>
      <c r="B84" s="37">
        <f t="shared" si="7"/>
        <v>59.900000000000006</v>
      </c>
      <c r="C84" s="37">
        <v>5</v>
      </c>
      <c r="D84" s="37">
        <f t="shared" si="8"/>
        <v>64.900000000000006</v>
      </c>
      <c r="E84" s="40"/>
      <c r="F84" s="527"/>
      <c r="G84" s="40"/>
      <c r="H84" s="40"/>
      <c r="I84" s="40"/>
    </row>
    <row r="85" spans="1:9" ht="13.8">
      <c r="A85" s="38" t="s">
        <v>2100</v>
      </c>
      <c r="B85" s="37">
        <f t="shared" si="7"/>
        <v>59.900000000000006</v>
      </c>
      <c r="C85" s="37">
        <v>5</v>
      </c>
      <c r="D85" s="37">
        <f t="shared" si="8"/>
        <v>64.900000000000006</v>
      </c>
      <c r="E85" s="40"/>
      <c r="F85" s="527"/>
      <c r="G85" s="40"/>
      <c r="H85" s="40"/>
      <c r="I85" s="40"/>
    </row>
    <row r="86" spans="1:9" ht="13.8">
      <c r="A86" s="38" t="s">
        <v>2101</v>
      </c>
      <c r="B86" s="37">
        <f t="shared" si="7"/>
        <v>59.900000000000006</v>
      </c>
      <c r="C86" s="37">
        <v>5</v>
      </c>
      <c r="D86" s="37">
        <f t="shared" si="8"/>
        <v>64.900000000000006</v>
      </c>
      <c r="E86" s="40"/>
      <c r="F86" s="527"/>
      <c r="G86" s="40"/>
      <c r="H86" s="40"/>
      <c r="I86" s="40"/>
    </row>
    <row r="87" spans="1:9" ht="13.8">
      <c r="A87" s="38" t="s">
        <v>1692</v>
      </c>
      <c r="B87" s="37">
        <f t="shared" si="7"/>
        <v>59.900000000000006</v>
      </c>
      <c r="C87" s="37">
        <v>5</v>
      </c>
      <c r="D87" s="37">
        <f t="shared" si="8"/>
        <v>64.900000000000006</v>
      </c>
      <c r="E87" s="40"/>
      <c r="F87" s="527"/>
      <c r="G87" s="40"/>
      <c r="H87" s="40"/>
      <c r="I87" s="40"/>
    </row>
    <row r="88" spans="1:9" ht="13.8">
      <c r="A88" s="38" t="s">
        <v>2102</v>
      </c>
      <c r="B88" s="37">
        <f t="shared" si="7"/>
        <v>59.900000000000006</v>
      </c>
      <c r="C88" s="37">
        <v>5</v>
      </c>
      <c r="D88" s="37">
        <f t="shared" si="8"/>
        <v>64.900000000000006</v>
      </c>
      <c r="E88" s="40"/>
      <c r="F88" s="527"/>
      <c r="G88" s="40"/>
      <c r="H88" s="40"/>
      <c r="I88" s="40"/>
    </row>
    <row r="89" spans="1:9" ht="13.8">
      <c r="A89" s="38" t="s">
        <v>1691</v>
      </c>
      <c r="B89" s="37">
        <f t="shared" si="7"/>
        <v>59.900000000000006</v>
      </c>
      <c r="C89" s="37">
        <v>5</v>
      </c>
      <c r="D89" s="37">
        <f t="shared" si="8"/>
        <v>64.900000000000006</v>
      </c>
      <c r="E89" s="40"/>
      <c r="F89" s="527"/>
      <c r="G89" s="40"/>
      <c r="H89" s="40"/>
      <c r="I89" s="40"/>
    </row>
    <row r="90" spans="1:9" ht="13.8">
      <c r="A90" s="127" t="s">
        <v>2105</v>
      </c>
      <c r="B90" s="128">
        <v>63.166376446173729</v>
      </c>
      <c r="C90" s="128">
        <v>0</v>
      </c>
      <c r="D90" s="128">
        <f t="shared" si="8"/>
        <v>63.166376446173729</v>
      </c>
      <c r="E90" s="40"/>
      <c r="F90" s="527"/>
      <c r="G90" s="40"/>
      <c r="H90" s="40"/>
      <c r="I90" s="40"/>
    </row>
    <row r="91" spans="1:9" ht="13.8">
      <c r="B91" s="51"/>
      <c r="C91" s="40"/>
      <c r="D91" s="40"/>
      <c r="E91" s="40"/>
      <c r="F91" s="52"/>
      <c r="G91" s="40"/>
      <c r="H91" s="40"/>
      <c r="I91" s="40"/>
    </row>
    <row r="92" spans="1:9" ht="13.8">
      <c r="A92" s="34" t="s">
        <v>2243</v>
      </c>
      <c r="B92" s="39"/>
      <c r="C92" s="39"/>
      <c r="D92" s="39"/>
      <c r="E92" s="40"/>
      <c r="F92" s="527"/>
      <c r="G92" s="40"/>
      <c r="H92" s="40"/>
      <c r="I92" s="40"/>
    </row>
    <row r="93" spans="1:9" ht="15.6">
      <c r="A93" s="41" t="s">
        <v>2265</v>
      </c>
      <c r="B93" s="41"/>
      <c r="C93" s="41"/>
      <c r="D93" s="41"/>
      <c r="E93" s="40"/>
      <c r="F93" s="527"/>
      <c r="G93" s="40"/>
      <c r="H93" s="40"/>
      <c r="I93" s="40"/>
    </row>
    <row r="94" spans="1:9" ht="15">
      <c r="A94" s="42" t="s">
        <v>2245</v>
      </c>
      <c r="B94" s="43"/>
      <c r="C94" s="43"/>
      <c r="D94" s="43"/>
      <c r="E94" s="40"/>
      <c r="F94" s="527"/>
      <c r="G94" s="40"/>
      <c r="H94" s="40"/>
      <c r="I94" s="40"/>
    </row>
    <row r="95" spans="1:9" ht="15">
      <c r="A95" s="1" t="s">
        <v>2247</v>
      </c>
      <c r="B95" s="43"/>
      <c r="C95" s="43"/>
      <c r="D95" s="43"/>
      <c r="E95" s="40"/>
      <c r="F95" s="527"/>
      <c r="G95" s="40"/>
      <c r="H95" s="40"/>
      <c r="I95" s="40"/>
    </row>
    <row r="96" spans="1:9" ht="13.8">
      <c r="A96" s="118" t="s">
        <v>1378</v>
      </c>
      <c r="B96" s="118" t="s">
        <v>92</v>
      </c>
      <c r="C96" s="118" t="s">
        <v>1221</v>
      </c>
      <c r="D96" s="118" t="s">
        <v>1992</v>
      </c>
      <c r="E96" s="40"/>
      <c r="F96" s="527"/>
      <c r="G96" s="40"/>
      <c r="H96" s="40"/>
      <c r="I96" s="40"/>
    </row>
    <row r="97" spans="1:9" ht="13.8">
      <c r="A97" s="38" t="s">
        <v>2096</v>
      </c>
      <c r="B97" s="37">
        <f t="shared" ref="B97:B104" si="9">93.3+0.06+0.3</f>
        <v>93.66</v>
      </c>
      <c r="C97" s="37">
        <v>10.7</v>
      </c>
      <c r="D97" s="37">
        <f>+B97+C97</f>
        <v>104.36</v>
      </c>
      <c r="E97" s="40"/>
      <c r="F97" s="527"/>
      <c r="G97" s="40"/>
      <c r="H97" s="40"/>
      <c r="I97" s="40"/>
    </row>
    <row r="98" spans="1:9" ht="13.8">
      <c r="A98" s="38" t="s">
        <v>2099</v>
      </c>
      <c r="B98" s="37">
        <f t="shared" si="9"/>
        <v>93.66</v>
      </c>
      <c r="C98" s="37">
        <v>10.7</v>
      </c>
      <c r="D98" s="37">
        <f t="shared" ref="D98:D105" si="10">+B98+C98</f>
        <v>104.36</v>
      </c>
      <c r="E98" s="40"/>
      <c r="F98" s="527"/>
      <c r="G98" s="40"/>
      <c r="H98" s="40"/>
      <c r="I98" s="40"/>
    </row>
    <row r="99" spans="1:9" ht="13.8">
      <c r="A99" s="38" t="s">
        <v>2103</v>
      </c>
      <c r="B99" s="37">
        <f t="shared" si="9"/>
        <v>93.66</v>
      </c>
      <c r="C99" s="37">
        <v>10.7</v>
      </c>
      <c r="D99" s="37">
        <f t="shared" si="10"/>
        <v>104.36</v>
      </c>
      <c r="E99" s="40"/>
      <c r="F99" s="527"/>
      <c r="G99" s="40"/>
      <c r="H99" s="40"/>
      <c r="I99" s="40"/>
    </row>
    <row r="100" spans="1:9" ht="13.8">
      <c r="A100" s="38" t="s">
        <v>2100</v>
      </c>
      <c r="B100" s="37">
        <f t="shared" si="9"/>
        <v>93.66</v>
      </c>
      <c r="C100" s="37">
        <v>10.7</v>
      </c>
      <c r="D100" s="37">
        <f t="shared" si="10"/>
        <v>104.36</v>
      </c>
      <c r="E100" s="40"/>
      <c r="F100" s="527"/>
      <c r="G100" s="40"/>
      <c r="H100" s="40"/>
      <c r="I100" s="40"/>
    </row>
    <row r="101" spans="1:9" ht="13.8">
      <c r="A101" s="38" t="s">
        <v>2101</v>
      </c>
      <c r="B101" s="37">
        <f t="shared" si="9"/>
        <v>93.66</v>
      </c>
      <c r="C101" s="37">
        <v>10.7</v>
      </c>
      <c r="D101" s="37">
        <f t="shared" si="10"/>
        <v>104.36</v>
      </c>
      <c r="E101" s="40"/>
      <c r="F101" s="527"/>
      <c r="G101" s="40"/>
      <c r="H101" s="40"/>
      <c r="I101" s="40"/>
    </row>
    <row r="102" spans="1:9" ht="13.8">
      <c r="A102" s="38" t="s">
        <v>1692</v>
      </c>
      <c r="B102" s="37">
        <f t="shared" si="9"/>
        <v>93.66</v>
      </c>
      <c r="C102" s="37">
        <v>10.7</v>
      </c>
      <c r="D102" s="37">
        <f t="shared" si="10"/>
        <v>104.36</v>
      </c>
      <c r="E102" s="40"/>
      <c r="F102" s="527"/>
      <c r="G102" s="40"/>
      <c r="H102" s="40"/>
      <c r="I102" s="40"/>
    </row>
    <row r="103" spans="1:9" ht="13.8">
      <c r="A103" s="38" t="s">
        <v>2102</v>
      </c>
      <c r="B103" s="37">
        <f t="shared" si="9"/>
        <v>93.66</v>
      </c>
      <c r="C103" s="37">
        <v>10.7</v>
      </c>
      <c r="D103" s="37">
        <f t="shared" si="10"/>
        <v>104.36</v>
      </c>
      <c r="E103" s="40"/>
      <c r="F103" s="527"/>
      <c r="G103" s="40"/>
      <c r="H103" s="40"/>
      <c r="I103" s="40"/>
    </row>
    <row r="104" spans="1:9" ht="13.8">
      <c r="A104" s="38" t="s">
        <v>1691</v>
      </c>
      <c r="B104" s="37">
        <f t="shared" si="9"/>
        <v>93.66</v>
      </c>
      <c r="C104" s="37">
        <v>10.7</v>
      </c>
      <c r="D104" s="37">
        <f t="shared" si="10"/>
        <v>104.36</v>
      </c>
      <c r="E104" s="40"/>
      <c r="F104" s="527"/>
      <c r="G104" s="40"/>
      <c r="H104" s="40"/>
      <c r="I104" s="40"/>
    </row>
    <row r="105" spans="1:9" ht="13.8">
      <c r="A105" s="127" t="s">
        <v>2105</v>
      </c>
      <c r="B105" s="128">
        <v>88.26542237372378</v>
      </c>
      <c r="C105" s="128">
        <v>0</v>
      </c>
      <c r="D105" s="128">
        <f t="shared" si="10"/>
        <v>88.26542237372378</v>
      </c>
      <c r="E105" s="40"/>
      <c r="F105" s="527"/>
      <c r="G105" s="40"/>
      <c r="H105" s="40"/>
      <c r="I105" s="40"/>
    </row>
    <row r="106" spans="1:9" ht="13.8">
      <c r="B106" s="51"/>
      <c r="C106" s="40"/>
      <c r="D106" s="40"/>
      <c r="E106" s="40"/>
      <c r="F106" s="52"/>
      <c r="G106" s="40"/>
      <c r="H106" s="40"/>
      <c r="I106" s="40"/>
    </row>
    <row r="107" spans="1:9" ht="13.8">
      <c r="B107" s="51"/>
      <c r="C107" s="40"/>
      <c r="D107" s="40"/>
      <c r="E107" s="40"/>
      <c r="F107" s="52"/>
      <c r="G107" s="40"/>
      <c r="H107" s="40"/>
      <c r="I107" s="40"/>
    </row>
    <row r="108" spans="1:9" ht="13.8">
      <c r="B108" s="51"/>
      <c r="C108" s="40"/>
      <c r="D108" s="40"/>
      <c r="E108" s="40"/>
      <c r="F108" s="52"/>
      <c r="G108" s="40"/>
      <c r="H108" s="40"/>
      <c r="I108" s="40"/>
    </row>
    <row r="109" spans="1:9" ht="13.8">
      <c r="B109" s="51"/>
      <c r="C109" s="40"/>
      <c r="D109" s="40"/>
      <c r="E109" s="40"/>
      <c r="F109" s="52"/>
      <c r="G109" s="40"/>
      <c r="H109" s="40"/>
      <c r="I109" s="40"/>
    </row>
    <row r="110" spans="1:9" ht="13.8">
      <c r="A110" s="34" t="s">
        <v>2266</v>
      </c>
      <c r="B110" s="53" t="s">
        <v>497</v>
      </c>
      <c r="C110" s="52"/>
      <c r="D110" s="52"/>
      <c r="E110" s="52"/>
      <c r="F110" s="52"/>
      <c r="G110" s="40"/>
      <c r="H110" s="40"/>
    </row>
    <row r="111" spans="1:9">
      <c r="A111" t="s">
        <v>2267</v>
      </c>
      <c r="B111" t="s">
        <v>2268</v>
      </c>
      <c r="C111" s="40"/>
      <c r="G111"/>
      <c r="H111" s="40"/>
      <c r="I111" s="51"/>
    </row>
    <row r="112" spans="1:9">
      <c r="A112" t="s">
        <v>2269</v>
      </c>
      <c r="B112" t="s">
        <v>2268</v>
      </c>
      <c r="C112" s="40"/>
      <c r="G112"/>
      <c r="H112" s="40"/>
      <c r="I112" s="51"/>
    </row>
    <row r="113" spans="1:9">
      <c r="A113" t="s">
        <v>2270</v>
      </c>
      <c r="B113" t="s">
        <v>2268</v>
      </c>
      <c r="C113" s="40"/>
      <c r="G113"/>
      <c r="H113" s="40"/>
      <c r="I113" s="51"/>
    </row>
    <row r="114" spans="1:9">
      <c r="A114" t="s">
        <v>2271</v>
      </c>
      <c r="B114" t="s">
        <v>2268</v>
      </c>
      <c r="C114" s="40"/>
      <c r="G114"/>
      <c r="H114" s="40"/>
      <c r="I114" s="51"/>
    </row>
    <row r="115" spans="1:9">
      <c r="A115" t="s">
        <v>2272</v>
      </c>
      <c r="B115" t="s">
        <v>2268</v>
      </c>
      <c r="G115"/>
      <c r="I115" s="51"/>
    </row>
    <row r="116" spans="1:9">
      <c r="A116" t="s">
        <v>2273</v>
      </c>
      <c r="B116" t="s">
        <v>2268</v>
      </c>
      <c r="G116"/>
      <c r="I116" s="51"/>
    </row>
    <row r="117" spans="1:9">
      <c r="A117" t="s">
        <v>2274</v>
      </c>
      <c r="B117" t="s">
        <v>2268</v>
      </c>
      <c r="G117"/>
      <c r="I117" s="51"/>
    </row>
    <row r="118" spans="1:9">
      <c r="A118" t="s">
        <v>2275</v>
      </c>
      <c r="B118" t="s">
        <v>2268</v>
      </c>
      <c r="G118"/>
      <c r="I118" s="51"/>
    </row>
    <row r="119" spans="1:9">
      <c r="A119" t="s">
        <v>2276</v>
      </c>
      <c r="B119" t="s">
        <v>2268</v>
      </c>
      <c r="G119"/>
      <c r="I119" s="51"/>
    </row>
    <row r="120" spans="1:9">
      <c r="A120" t="s">
        <v>2277</v>
      </c>
      <c r="B120" t="s">
        <v>2268</v>
      </c>
      <c r="G120"/>
      <c r="I120" s="51"/>
    </row>
    <row r="121" spans="1:9">
      <c r="A121" t="s">
        <v>2278</v>
      </c>
      <c r="B121" t="s">
        <v>2268</v>
      </c>
      <c r="G121"/>
      <c r="I121" s="51"/>
    </row>
    <row r="122" spans="1:9">
      <c r="A122" t="s">
        <v>2279</v>
      </c>
      <c r="B122" t="s">
        <v>2268</v>
      </c>
      <c r="G122"/>
      <c r="I122" s="51"/>
    </row>
    <row r="123" spans="1:9">
      <c r="A123" t="s">
        <v>2280</v>
      </c>
      <c r="B123" t="s">
        <v>2268</v>
      </c>
      <c r="G123"/>
      <c r="I123" s="51"/>
    </row>
    <row r="124" spans="1:9">
      <c r="A124" t="s">
        <v>2281</v>
      </c>
      <c r="B124" t="s">
        <v>2268</v>
      </c>
      <c r="G124"/>
      <c r="I124" s="51"/>
    </row>
    <row r="125" spans="1:9">
      <c r="A125" s="54" t="s">
        <v>2282</v>
      </c>
      <c r="B125"/>
      <c r="G125"/>
      <c r="I125" s="51"/>
    </row>
    <row r="126" spans="1:9">
      <c r="A126" t="s">
        <v>2279</v>
      </c>
      <c r="B126" t="s">
        <v>2283</v>
      </c>
      <c r="E126"/>
      <c r="G126"/>
      <c r="I126" s="51"/>
    </row>
    <row r="127" spans="1:9">
      <c r="A127" t="s">
        <v>2284</v>
      </c>
      <c r="B127" t="s">
        <v>2283</v>
      </c>
      <c r="D127"/>
      <c r="E127"/>
      <c r="G127"/>
    </row>
    <row r="128" spans="1:9">
      <c r="A128" t="s">
        <v>2285</v>
      </c>
      <c r="B128" t="s">
        <v>2283</v>
      </c>
    </row>
    <row r="129" spans="1:9">
      <c r="A129" t="s">
        <v>2286</v>
      </c>
      <c r="B129" t="s">
        <v>2283</v>
      </c>
    </row>
    <row r="130" spans="1:9">
      <c r="A130" t="s">
        <v>2287</v>
      </c>
      <c r="B130" t="s">
        <v>2283</v>
      </c>
    </row>
    <row r="131" spans="1:9">
      <c r="A131" t="s">
        <v>2288</v>
      </c>
      <c r="B131" t="s">
        <v>2283</v>
      </c>
    </row>
    <row r="132" spans="1:9">
      <c r="A132" t="s">
        <v>2289</v>
      </c>
      <c r="B132" t="s">
        <v>2283</v>
      </c>
    </row>
    <row r="133" spans="1:9">
      <c r="A133" t="s">
        <v>2290</v>
      </c>
      <c r="B133" t="s">
        <v>2283</v>
      </c>
    </row>
    <row r="134" spans="1:9">
      <c r="A134" t="s">
        <v>2291</v>
      </c>
      <c r="B134" t="s">
        <v>2283</v>
      </c>
    </row>
    <row r="135" spans="1:9">
      <c r="A135" t="s">
        <v>2292</v>
      </c>
      <c r="B135" t="s">
        <v>2283</v>
      </c>
    </row>
    <row r="136" spans="1:9">
      <c r="A136" t="s">
        <v>2293</v>
      </c>
      <c r="B136" t="s">
        <v>2283</v>
      </c>
    </row>
    <row r="137" spans="1:9">
      <c r="A137" t="s">
        <v>2294</v>
      </c>
      <c r="B137" t="s">
        <v>2283</v>
      </c>
    </row>
    <row r="138" spans="1:9">
      <c r="A138" t="s">
        <v>2295</v>
      </c>
      <c r="B138" t="s">
        <v>2283</v>
      </c>
    </row>
    <row r="139" spans="1:9">
      <c r="A139" s="54" t="s">
        <v>2282</v>
      </c>
      <c r="B139"/>
      <c r="G139"/>
      <c r="I139" s="51"/>
    </row>
    <row r="140" spans="1:9">
      <c r="A140" t="s">
        <v>2296</v>
      </c>
      <c r="B140" t="s">
        <v>2297</v>
      </c>
    </row>
    <row r="141" spans="1:9">
      <c r="A141" t="s">
        <v>2298</v>
      </c>
      <c r="B141" t="s">
        <v>2297</v>
      </c>
    </row>
    <row r="142" spans="1:9">
      <c r="A142" t="s">
        <v>2299</v>
      </c>
      <c r="B142" t="s">
        <v>2297</v>
      </c>
    </row>
    <row r="143" spans="1:9">
      <c r="A143" t="s">
        <v>2300</v>
      </c>
      <c r="B143" t="s">
        <v>2297</v>
      </c>
    </row>
    <row r="144" spans="1:9">
      <c r="A144" t="s">
        <v>2301</v>
      </c>
      <c r="B144" t="s">
        <v>2297</v>
      </c>
    </row>
    <row r="145" spans="1:2">
      <c r="A145" t="s">
        <v>2302</v>
      </c>
      <c r="B145" t="s">
        <v>2297</v>
      </c>
    </row>
    <row r="146" spans="1:2">
      <c r="A146" t="s">
        <v>2303</v>
      </c>
      <c r="B146" t="s">
        <v>2297</v>
      </c>
    </row>
    <row r="147" spans="1:2">
      <c r="A147" t="s">
        <v>2304</v>
      </c>
      <c r="B147" t="s">
        <v>2297</v>
      </c>
    </row>
    <row r="148" spans="1:2">
      <c r="A148" t="s">
        <v>2305</v>
      </c>
      <c r="B148" t="s">
        <v>2297</v>
      </c>
    </row>
    <row r="149" spans="1:2">
      <c r="A149" t="s">
        <v>2306</v>
      </c>
      <c r="B149" t="s">
        <v>2297</v>
      </c>
    </row>
    <row r="150" spans="1:2">
      <c r="A150" t="s">
        <v>2307</v>
      </c>
      <c r="B150" t="s">
        <v>2297</v>
      </c>
    </row>
    <row r="151" spans="1:2">
      <c r="A151" t="s">
        <v>2308</v>
      </c>
      <c r="B151" t="s">
        <v>2297</v>
      </c>
    </row>
    <row r="152" spans="1:2">
      <c r="A152" t="s">
        <v>2309</v>
      </c>
      <c r="B152" t="s">
        <v>2297</v>
      </c>
    </row>
    <row r="153" spans="1:2">
      <c r="A153" t="s">
        <v>1940</v>
      </c>
      <c r="B153" t="s">
        <v>2297</v>
      </c>
    </row>
    <row r="154" spans="1:2">
      <c r="A154" t="s">
        <v>2310</v>
      </c>
      <c r="B154" t="s">
        <v>2297</v>
      </c>
    </row>
    <row r="156" spans="1:2">
      <c r="A156" s="34" t="s">
        <v>2266</v>
      </c>
    </row>
    <row r="157" spans="1:2">
      <c r="A157" t="s">
        <v>2311</v>
      </c>
    </row>
    <row r="158" spans="1:2">
      <c r="A158" t="s">
        <v>2312</v>
      </c>
    </row>
    <row r="159" spans="1:2">
      <c r="A159" t="s">
        <v>2313</v>
      </c>
    </row>
    <row r="160" spans="1:2">
      <c r="A160" t="s">
        <v>2314</v>
      </c>
    </row>
    <row r="161" spans="1:1">
      <c r="A161" t="s">
        <v>2315</v>
      </c>
    </row>
    <row r="162" spans="1:1">
      <c r="A162" t="s">
        <v>2316</v>
      </c>
    </row>
    <row r="163" spans="1:1">
      <c r="A163" t="s">
        <v>2317</v>
      </c>
    </row>
    <row r="164" spans="1:1">
      <c r="A164" t="s">
        <v>2318</v>
      </c>
    </row>
    <row r="165" spans="1:1">
      <c r="A165" t="s">
        <v>2319</v>
      </c>
    </row>
    <row r="166" spans="1:1">
      <c r="A166" t="s">
        <v>2320</v>
      </c>
    </row>
    <row r="167" spans="1:1">
      <c r="A167" t="s">
        <v>2321</v>
      </c>
    </row>
    <row r="168" spans="1:1">
      <c r="A168" t="s">
        <v>2322</v>
      </c>
    </row>
    <row r="169" spans="1:1">
      <c r="A169" t="s">
        <v>2323</v>
      </c>
    </row>
    <row r="170" spans="1:1">
      <c r="A170" t="s">
        <v>2324</v>
      </c>
    </row>
    <row r="171" spans="1:1">
      <c r="A171" t="s">
        <v>2325</v>
      </c>
    </row>
    <row r="172" spans="1:1">
      <c r="A172" t="s">
        <v>2326</v>
      </c>
    </row>
    <row r="173" spans="1:1">
      <c r="A173" t="s">
        <v>2327</v>
      </c>
    </row>
    <row r="174" spans="1:1">
      <c r="A174" t="s">
        <v>2328</v>
      </c>
    </row>
    <row r="175" spans="1:1">
      <c r="A175" t="s">
        <v>2329</v>
      </c>
    </row>
    <row r="177" spans="1:1">
      <c r="A177" s="32" t="s">
        <v>2330</v>
      </c>
    </row>
    <row r="178" spans="1:1">
      <c r="A178" s="12" t="s">
        <v>2331</v>
      </c>
    </row>
    <row r="179" spans="1:1" ht="12.75" customHeight="1">
      <c r="A179" s="32" t="b">
        <v>1</v>
      </c>
    </row>
    <row r="180" spans="1:1" ht="12.75" customHeight="1">
      <c r="A180" s="32" t="b">
        <v>0</v>
      </c>
    </row>
    <row r="183" spans="1:1">
      <c r="A183" s="12" t="s">
        <v>2332</v>
      </c>
    </row>
    <row r="184" spans="1:1">
      <c r="A184" s="69" t="s">
        <v>2333</v>
      </c>
    </row>
    <row r="185" spans="1:1">
      <c r="A185" s="69" t="s">
        <v>2334</v>
      </c>
    </row>
    <row r="186" spans="1:1" ht="12.75" customHeight="1"/>
    <row r="187" spans="1:1" ht="12.75" customHeight="1"/>
    <row r="202" spans="2:9">
      <c r="B202"/>
      <c r="C202"/>
      <c r="G202" s="55"/>
      <c r="H202"/>
      <c r="I202"/>
    </row>
    <row r="205" spans="2:9" ht="15" customHeight="1"/>
  </sheetData>
  <customSheetViews>
    <customSheetView guid="{555478C2-F620-47D7-88F9-4C1EE7AEE227}" scale="115" showGridLines="0" fitToPage="1" state="hidden">
      <selection activeCell="D43" sqref="D43"/>
      <pageMargins left="0" right="0" top="0" bottom="0" header="0" footer="0"/>
      <pageSetup paperSize="9" scale="31" orientation="portrait" r:id="rId1"/>
      <headerFooter alignWithMargins="0"/>
    </customSheetView>
    <customSheetView guid="{5E2E109E-4BFE-44CE-A2A0-BB9B6CC0D139}" scale="115" showGridLines="0" fitToPage="1" topLeftCell="A172">
      <selection activeCell="F214" sqref="F214"/>
      <pageMargins left="0" right="0" top="0" bottom="0" header="0" footer="0"/>
      <pageSetup paperSize="9" scale="31" orientation="portrait" r:id="rId2"/>
      <headerFooter alignWithMargins="0"/>
    </customSheetView>
    <customSheetView guid="{3BAF3D14-B16A-4103-B9D6-D1D9B6381E90}" scale="115" showGridLines="0" fitToPage="1" state="hidden">
      <selection activeCell="D43" sqref="D43"/>
      <pageMargins left="0" right="0" top="0" bottom="0" header="0" footer="0"/>
      <pageSetup paperSize="9" scale="31" orientation="portrait" r:id="rId3"/>
      <headerFooter alignWithMargins="0"/>
    </customSheetView>
    <customSheetView guid="{C362DBBD-8226-4073-BE04-D615B3B4BF31}" scale="115" showGridLines="0" fitToPage="1" state="hidden">
      <selection activeCell="D43" sqref="D43"/>
      <pageMargins left="0" right="0" top="0" bottom="0" header="0" footer="0"/>
      <pageSetup paperSize="9" scale="31" orientation="portrait" r:id="rId4"/>
      <headerFooter alignWithMargins="0"/>
    </customSheetView>
    <customSheetView guid="{9E23992E-45A8-4DF8-9DFB-C5F9BB498A06}" scale="115" showPageBreaks="1" showGridLines="0" fitToPage="1" state="hidden">
      <selection activeCell="D43" sqref="D43"/>
      <pageMargins left="0" right="0" top="0" bottom="0" header="0" footer="0"/>
      <pageSetup paperSize="9" scale="28" orientation="portrait" r:id="rId5"/>
      <headerFooter alignWithMargins="0"/>
    </customSheetView>
  </customSheetViews>
  <mergeCells count="9">
    <mergeCell ref="H49:H50"/>
    <mergeCell ref="G49:G50"/>
    <mergeCell ref="E49:E50"/>
    <mergeCell ref="B65:D65"/>
    <mergeCell ref="E65:E66"/>
    <mergeCell ref="F65:F66"/>
    <mergeCell ref="G65:G66"/>
    <mergeCell ref="F49:F50"/>
    <mergeCell ref="B49:D49"/>
  </mergeCells>
  <hyperlinks>
    <hyperlink ref="A32" r:id="rId6" xr:uid="{00000000-0004-0000-0800-000000000000}"/>
    <hyperlink ref="A48" r:id="rId7" xr:uid="{00000000-0004-0000-0800-000001000000}"/>
    <hyperlink ref="A64" r:id="rId8" xr:uid="{00000000-0004-0000-0800-000002000000}"/>
    <hyperlink ref="A80" r:id="rId9" xr:uid="{00000000-0004-0000-0800-000003000000}"/>
    <hyperlink ref="A95" r:id="rId10" xr:uid="{00000000-0004-0000-0800-000004000000}"/>
    <hyperlink ref="E32" r:id="rId11" xr:uid="{00000000-0004-0000-0800-000005000000}"/>
    <hyperlink ref="F48" r:id="rId12" xr:uid="{00000000-0004-0000-0800-000006000000}"/>
    <hyperlink ref="F64" r:id="rId13" xr:uid="{00000000-0004-0000-0800-000007000000}"/>
    <hyperlink ref="F80" r:id="rId14" xr:uid="{00000000-0004-0000-0800-000008000000}"/>
  </hyperlinks>
  <pageMargins left="0.74803149606299213" right="0.74803149606299213" top="0.98425196850393704" bottom="0.98425196850393704" header="0.51181102362204722" footer="0.51181102362204722"/>
  <pageSetup paperSize="9" scale="28" orientation="portrait" r:id="rId15"/>
  <headerFooter alignWithMargins="0"/>
  <drawing r:id="rId1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0" tint="-0.14999847407452621"/>
    <pageSetUpPr fitToPage="1"/>
  </sheetPr>
  <dimension ref="A1:E3021"/>
  <sheetViews>
    <sheetView showGridLines="0" showRowColHeaders="0" topLeftCell="A46" zoomScaleNormal="100" workbookViewId="0">
      <selection activeCell="I19" sqref="I19"/>
    </sheetView>
  </sheetViews>
  <sheetFormatPr defaultColWidth="9.44140625" defaultRowHeight="13.2"/>
  <cols>
    <col min="1" max="1" width="26" style="56" customWidth="1"/>
    <col min="2" max="2" width="17.44140625" style="56" customWidth="1"/>
    <col min="3" max="3" width="16.5546875" style="56" customWidth="1"/>
    <col min="4" max="4" width="19.5546875" style="56" customWidth="1"/>
    <col min="5" max="5" width="16.44140625" style="56" customWidth="1"/>
    <col min="6" max="16384" width="9.44140625" style="56"/>
  </cols>
  <sheetData>
    <row r="1" spans="1:5" ht="84.75" customHeight="1"/>
    <row r="3" spans="1:5" ht="15.6">
      <c r="A3" s="14" t="s">
        <v>2335</v>
      </c>
      <c r="B3" s="14"/>
      <c r="C3" s="14"/>
      <c r="D3" s="14"/>
      <c r="E3" s="14"/>
    </row>
    <row r="4" spans="1:5" ht="40.5" customHeight="1">
      <c r="A4" s="724" t="s">
        <v>2336</v>
      </c>
      <c r="B4" s="724"/>
      <c r="C4" s="724"/>
      <c r="D4" s="724"/>
      <c r="E4" s="724"/>
    </row>
    <row r="6" spans="1:5" ht="26.4">
      <c r="A6" s="118" t="s">
        <v>1947</v>
      </c>
      <c r="B6" s="118" t="s">
        <v>2337</v>
      </c>
      <c r="C6" s="118" t="s">
        <v>2338</v>
      </c>
      <c r="D6" s="118" t="s">
        <v>2339</v>
      </c>
    </row>
    <row r="7" spans="1:5">
      <c r="A7" s="57">
        <v>800</v>
      </c>
      <c r="B7" s="57">
        <v>14015</v>
      </c>
      <c r="C7" s="58">
        <v>2892.5</v>
      </c>
      <c r="D7" s="58">
        <v>0</v>
      </c>
    </row>
    <row r="8" spans="1:5">
      <c r="A8" s="57">
        <v>810</v>
      </c>
      <c r="B8" s="57">
        <v>14015</v>
      </c>
      <c r="C8" s="58">
        <v>2892.5</v>
      </c>
      <c r="D8" s="58">
        <v>0</v>
      </c>
    </row>
    <row r="9" spans="1:5">
      <c r="A9" s="57">
        <v>812</v>
      </c>
      <c r="B9" s="57">
        <v>14015</v>
      </c>
      <c r="C9" s="58">
        <v>2892.5</v>
      </c>
      <c r="D9" s="58">
        <v>0</v>
      </c>
    </row>
    <row r="10" spans="1:5">
      <c r="A10" s="57">
        <v>820</v>
      </c>
      <c r="B10" s="57">
        <v>14015</v>
      </c>
      <c r="C10" s="58">
        <v>2892.5</v>
      </c>
      <c r="D10" s="58">
        <v>0</v>
      </c>
    </row>
    <row r="11" spans="1:5">
      <c r="A11" s="57">
        <v>822</v>
      </c>
      <c r="B11" s="57">
        <v>14901</v>
      </c>
      <c r="C11" s="58">
        <v>2449.6999999999998</v>
      </c>
      <c r="D11" s="58">
        <v>4.0999999999999996</v>
      </c>
    </row>
    <row r="12" spans="1:5">
      <c r="A12" s="57">
        <v>828</v>
      </c>
      <c r="B12" s="57">
        <v>14015</v>
      </c>
      <c r="C12" s="58">
        <v>2892.5</v>
      </c>
      <c r="D12" s="58">
        <v>0</v>
      </c>
    </row>
    <row r="13" spans="1:5">
      <c r="A13" s="57">
        <v>829</v>
      </c>
      <c r="B13" s="57">
        <v>14015</v>
      </c>
      <c r="C13" s="58">
        <v>2892.5</v>
      </c>
      <c r="D13" s="58">
        <v>0</v>
      </c>
    </row>
    <row r="14" spans="1:5">
      <c r="A14" s="57">
        <v>830</v>
      </c>
      <c r="B14" s="57">
        <v>14015</v>
      </c>
      <c r="C14" s="58">
        <v>2892.5</v>
      </c>
      <c r="D14" s="58">
        <v>0</v>
      </c>
    </row>
    <row r="15" spans="1:5">
      <c r="A15" s="57">
        <v>832</v>
      </c>
      <c r="B15" s="57">
        <v>14015</v>
      </c>
      <c r="C15" s="58">
        <v>2892.5</v>
      </c>
      <c r="D15" s="58">
        <v>0</v>
      </c>
    </row>
    <row r="16" spans="1:5">
      <c r="A16" s="57">
        <v>834</v>
      </c>
      <c r="B16" s="57">
        <v>14015</v>
      </c>
      <c r="C16" s="58">
        <v>2892.5</v>
      </c>
      <c r="D16" s="58">
        <v>0</v>
      </c>
    </row>
    <row r="17" spans="1:4">
      <c r="A17" s="57">
        <v>835</v>
      </c>
      <c r="B17" s="57">
        <v>14015</v>
      </c>
      <c r="C17" s="58">
        <v>2892.5</v>
      </c>
      <c r="D17" s="58">
        <v>0</v>
      </c>
    </row>
    <row r="18" spans="1:4">
      <c r="A18" s="57">
        <v>836</v>
      </c>
      <c r="B18" s="57">
        <v>14015</v>
      </c>
      <c r="C18" s="58">
        <v>2892.5</v>
      </c>
      <c r="D18" s="58">
        <v>0</v>
      </c>
    </row>
    <row r="19" spans="1:4">
      <c r="A19" s="57">
        <v>837</v>
      </c>
      <c r="B19" s="57">
        <v>14015</v>
      </c>
      <c r="C19" s="58">
        <v>2892.5</v>
      </c>
      <c r="D19" s="58">
        <v>0</v>
      </c>
    </row>
    <row r="20" spans="1:4">
      <c r="A20" s="57">
        <v>838</v>
      </c>
      <c r="B20" s="57">
        <v>14272</v>
      </c>
      <c r="C20" s="58">
        <v>2450.9</v>
      </c>
      <c r="D20" s="58">
        <v>0.1</v>
      </c>
    </row>
    <row r="21" spans="1:4">
      <c r="A21" s="57">
        <v>839</v>
      </c>
      <c r="B21" s="57">
        <v>14015</v>
      </c>
      <c r="C21" s="58">
        <v>2892.5</v>
      </c>
      <c r="D21" s="58">
        <v>0</v>
      </c>
    </row>
    <row r="22" spans="1:4">
      <c r="A22" s="57">
        <v>840</v>
      </c>
      <c r="B22" s="57">
        <v>14277</v>
      </c>
      <c r="C22" s="58">
        <v>3090.4</v>
      </c>
      <c r="D22" s="58">
        <v>0</v>
      </c>
    </row>
    <row r="23" spans="1:4">
      <c r="A23" s="57">
        <v>841</v>
      </c>
      <c r="B23" s="57">
        <v>14272</v>
      </c>
      <c r="C23" s="58">
        <v>2450.9</v>
      </c>
      <c r="D23" s="58">
        <v>0.1</v>
      </c>
    </row>
    <row r="24" spans="1:4">
      <c r="A24" s="57">
        <v>845</v>
      </c>
      <c r="B24" s="57">
        <v>14272</v>
      </c>
      <c r="C24" s="58">
        <v>2450.9</v>
      </c>
      <c r="D24" s="58">
        <v>0.1</v>
      </c>
    </row>
    <row r="25" spans="1:4">
      <c r="A25" s="57">
        <v>846</v>
      </c>
      <c r="B25" s="57">
        <v>14015</v>
      </c>
      <c r="C25" s="58">
        <v>2892.5</v>
      </c>
      <c r="D25" s="58">
        <v>0</v>
      </c>
    </row>
    <row r="26" spans="1:4">
      <c r="A26" s="57">
        <v>847</v>
      </c>
      <c r="B26" s="57">
        <v>14901</v>
      </c>
      <c r="C26" s="58">
        <v>2449.6999999999998</v>
      </c>
      <c r="D26" s="58">
        <v>4.0999999999999996</v>
      </c>
    </row>
    <row r="27" spans="1:4">
      <c r="A27" s="57">
        <v>850</v>
      </c>
      <c r="B27" s="57">
        <v>14932</v>
      </c>
      <c r="C27" s="58">
        <v>2146.1</v>
      </c>
      <c r="D27" s="58">
        <v>8.5</v>
      </c>
    </row>
    <row r="28" spans="1:4">
      <c r="A28" s="57">
        <v>852</v>
      </c>
      <c r="B28" s="57">
        <v>14932</v>
      </c>
      <c r="C28" s="58">
        <v>2146.1</v>
      </c>
      <c r="D28" s="58">
        <v>8.5</v>
      </c>
    </row>
    <row r="29" spans="1:4">
      <c r="A29" s="57">
        <v>853</v>
      </c>
      <c r="B29" s="57">
        <v>14932</v>
      </c>
      <c r="C29" s="58">
        <v>2146.1</v>
      </c>
      <c r="D29" s="58">
        <v>8.5</v>
      </c>
    </row>
    <row r="30" spans="1:4">
      <c r="A30" s="57">
        <v>854</v>
      </c>
      <c r="B30" s="57">
        <v>14704</v>
      </c>
      <c r="C30" s="58">
        <v>2192.1</v>
      </c>
      <c r="D30" s="58">
        <v>14</v>
      </c>
    </row>
    <row r="31" spans="1:4">
      <c r="A31" s="57">
        <v>860</v>
      </c>
      <c r="B31" s="57">
        <v>15135</v>
      </c>
      <c r="C31" s="58">
        <v>1006.1</v>
      </c>
      <c r="D31" s="58">
        <v>87.7</v>
      </c>
    </row>
    <row r="32" spans="1:4">
      <c r="A32" s="57">
        <v>862</v>
      </c>
      <c r="B32" s="57">
        <v>2012</v>
      </c>
      <c r="C32" s="58">
        <v>1287.2</v>
      </c>
      <c r="D32" s="58">
        <v>27.4</v>
      </c>
    </row>
    <row r="33" spans="1:4">
      <c r="A33" s="57">
        <v>870</v>
      </c>
      <c r="B33" s="57">
        <v>15590</v>
      </c>
      <c r="C33" s="58">
        <v>458.1</v>
      </c>
      <c r="D33" s="58">
        <v>655.29999999999995</v>
      </c>
    </row>
    <row r="34" spans="1:4">
      <c r="A34" s="57">
        <v>872</v>
      </c>
      <c r="B34" s="57">
        <v>15135</v>
      </c>
      <c r="C34" s="58">
        <v>1006.1</v>
      </c>
      <c r="D34" s="58">
        <v>87.7</v>
      </c>
    </row>
    <row r="35" spans="1:4">
      <c r="A35" s="57">
        <v>880</v>
      </c>
      <c r="B35" s="57">
        <v>14508</v>
      </c>
      <c r="C35" s="58">
        <v>2930.3</v>
      </c>
      <c r="D35" s="58">
        <v>0</v>
      </c>
    </row>
    <row r="36" spans="1:4">
      <c r="A36" s="57">
        <v>885</v>
      </c>
      <c r="B36" s="57">
        <v>14518</v>
      </c>
      <c r="C36" s="58">
        <v>2641.7</v>
      </c>
      <c r="D36" s="58">
        <v>3.7</v>
      </c>
    </row>
    <row r="37" spans="1:4">
      <c r="A37" s="57">
        <v>886</v>
      </c>
      <c r="B37" s="57">
        <v>14198</v>
      </c>
      <c r="C37" s="58">
        <v>2734.1</v>
      </c>
      <c r="D37" s="58">
        <v>0</v>
      </c>
    </row>
    <row r="38" spans="1:4">
      <c r="A38" s="57">
        <v>909</v>
      </c>
      <c r="B38" s="57">
        <v>14015</v>
      </c>
      <c r="C38" s="58">
        <v>2892.5</v>
      </c>
      <c r="D38" s="58">
        <v>0</v>
      </c>
    </row>
    <row r="39" spans="1:4">
      <c r="A39" s="57">
        <v>2000</v>
      </c>
      <c r="B39" s="57">
        <v>66062</v>
      </c>
      <c r="C39" s="58">
        <v>600.20000000000005</v>
      </c>
      <c r="D39" s="58">
        <v>516.6</v>
      </c>
    </row>
    <row r="40" spans="1:4">
      <c r="A40" s="57">
        <v>2006</v>
      </c>
      <c r="B40" s="57">
        <v>66062</v>
      </c>
      <c r="C40" s="58">
        <v>600.20000000000005</v>
      </c>
      <c r="D40" s="58">
        <v>516.6</v>
      </c>
    </row>
    <row r="41" spans="1:4">
      <c r="A41" s="57">
        <v>2007</v>
      </c>
      <c r="B41" s="57">
        <v>66062</v>
      </c>
      <c r="C41" s="58">
        <v>600.20000000000005</v>
      </c>
      <c r="D41" s="58">
        <v>516.6</v>
      </c>
    </row>
    <row r="42" spans="1:4">
      <c r="A42" s="57">
        <v>2008</v>
      </c>
      <c r="B42" s="57">
        <v>66062</v>
      </c>
      <c r="C42" s="58">
        <v>600.20000000000005</v>
      </c>
      <c r="D42" s="58">
        <v>516.6</v>
      </c>
    </row>
    <row r="43" spans="1:4">
      <c r="A43" s="57">
        <v>2009</v>
      </c>
      <c r="B43" s="57">
        <v>66062</v>
      </c>
      <c r="C43" s="58">
        <v>600.20000000000005</v>
      </c>
      <c r="D43" s="58">
        <v>516.6</v>
      </c>
    </row>
    <row r="44" spans="1:4">
      <c r="A44" s="57">
        <v>2010</v>
      </c>
      <c r="B44" s="57">
        <v>66062</v>
      </c>
      <c r="C44" s="58">
        <v>600.20000000000005</v>
      </c>
      <c r="D44" s="58">
        <v>516.6</v>
      </c>
    </row>
    <row r="45" spans="1:4">
      <c r="A45" s="57">
        <v>2011</v>
      </c>
      <c r="B45" s="57">
        <v>66062</v>
      </c>
      <c r="C45" s="58">
        <v>600.20000000000005</v>
      </c>
      <c r="D45" s="58">
        <v>516.6</v>
      </c>
    </row>
    <row r="46" spans="1:4">
      <c r="A46" s="57">
        <v>2015</v>
      </c>
      <c r="B46" s="57">
        <v>66062</v>
      </c>
      <c r="C46" s="58">
        <v>600.20000000000005</v>
      </c>
      <c r="D46" s="58">
        <v>516.6</v>
      </c>
    </row>
    <row r="47" spans="1:4">
      <c r="A47" s="57">
        <v>2016</v>
      </c>
      <c r="B47" s="57">
        <v>66062</v>
      </c>
      <c r="C47" s="58">
        <v>600.20000000000005</v>
      </c>
      <c r="D47" s="58">
        <v>516.6</v>
      </c>
    </row>
    <row r="48" spans="1:4">
      <c r="A48" s="57">
        <v>2017</v>
      </c>
      <c r="B48" s="57">
        <v>66062</v>
      </c>
      <c r="C48" s="58">
        <v>600.20000000000005</v>
      </c>
      <c r="D48" s="58">
        <v>516.6</v>
      </c>
    </row>
    <row r="49" spans="1:4">
      <c r="A49" s="57">
        <v>2018</v>
      </c>
      <c r="B49" s="57">
        <v>66037</v>
      </c>
      <c r="C49" s="58">
        <v>598.9</v>
      </c>
      <c r="D49" s="58">
        <v>560.70000000000005</v>
      </c>
    </row>
    <row r="50" spans="1:4">
      <c r="A50" s="57">
        <v>2019</v>
      </c>
      <c r="B50" s="57">
        <v>66037</v>
      </c>
      <c r="C50" s="58">
        <v>598.9</v>
      </c>
      <c r="D50" s="58">
        <v>560.70000000000005</v>
      </c>
    </row>
    <row r="51" spans="1:4">
      <c r="A51" s="57">
        <v>2020</v>
      </c>
      <c r="B51" s="57">
        <v>66037</v>
      </c>
      <c r="C51" s="58">
        <v>598.9</v>
      </c>
      <c r="D51" s="58">
        <v>560.70000000000005</v>
      </c>
    </row>
    <row r="52" spans="1:4">
      <c r="A52" s="57">
        <v>2021</v>
      </c>
      <c r="B52" s="57">
        <v>66062</v>
      </c>
      <c r="C52" s="58">
        <v>600.20000000000005</v>
      </c>
      <c r="D52" s="58">
        <v>516.6</v>
      </c>
    </row>
    <row r="53" spans="1:4">
      <c r="A53" s="57">
        <v>2022</v>
      </c>
      <c r="B53" s="57">
        <v>66062</v>
      </c>
      <c r="C53" s="58">
        <v>600.20000000000005</v>
      </c>
      <c r="D53" s="58">
        <v>516.6</v>
      </c>
    </row>
    <row r="54" spans="1:4">
      <c r="A54" s="57">
        <v>2023</v>
      </c>
      <c r="B54" s="57">
        <v>66062</v>
      </c>
      <c r="C54" s="58">
        <v>600.20000000000005</v>
      </c>
      <c r="D54" s="58">
        <v>516.6</v>
      </c>
    </row>
    <row r="55" spans="1:4">
      <c r="A55" s="57">
        <v>2024</v>
      </c>
      <c r="B55" s="57">
        <v>66062</v>
      </c>
      <c r="C55" s="58">
        <v>600.20000000000005</v>
      </c>
      <c r="D55" s="58">
        <v>516.6</v>
      </c>
    </row>
    <row r="56" spans="1:4">
      <c r="A56" s="57">
        <v>2025</v>
      </c>
      <c r="B56" s="57">
        <v>66062</v>
      </c>
      <c r="C56" s="58">
        <v>600.20000000000005</v>
      </c>
      <c r="D56" s="58">
        <v>516.6</v>
      </c>
    </row>
    <row r="57" spans="1:4">
      <c r="A57" s="57">
        <v>2026</v>
      </c>
      <c r="B57" s="57">
        <v>66062</v>
      </c>
      <c r="C57" s="58">
        <v>600.20000000000005</v>
      </c>
      <c r="D57" s="58">
        <v>516.6</v>
      </c>
    </row>
    <row r="58" spans="1:4">
      <c r="A58" s="57">
        <v>2027</v>
      </c>
      <c r="B58" s="57">
        <v>66062</v>
      </c>
      <c r="C58" s="58">
        <v>600.20000000000005</v>
      </c>
      <c r="D58" s="58">
        <v>516.6</v>
      </c>
    </row>
    <row r="59" spans="1:4">
      <c r="A59" s="57">
        <v>2028</v>
      </c>
      <c r="B59" s="57">
        <v>66062</v>
      </c>
      <c r="C59" s="58">
        <v>600.20000000000005</v>
      </c>
      <c r="D59" s="58">
        <v>516.6</v>
      </c>
    </row>
    <row r="60" spans="1:4">
      <c r="A60" s="57">
        <v>2029</v>
      </c>
      <c r="B60" s="57">
        <v>66062</v>
      </c>
      <c r="C60" s="58">
        <v>600.20000000000005</v>
      </c>
      <c r="D60" s="58">
        <v>516.6</v>
      </c>
    </row>
    <row r="61" spans="1:4">
      <c r="A61" s="57">
        <v>2030</v>
      </c>
      <c r="B61" s="57">
        <v>66062</v>
      </c>
      <c r="C61" s="58">
        <v>600.20000000000005</v>
      </c>
      <c r="D61" s="58">
        <v>516.6</v>
      </c>
    </row>
    <row r="62" spans="1:4">
      <c r="A62" s="57">
        <v>2031</v>
      </c>
      <c r="B62" s="57">
        <v>66062</v>
      </c>
      <c r="C62" s="58">
        <v>600.20000000000005</v>
      </c>
      <c r="D62" s="58">
        <v>516.6</v>
      </c>
    </row>
    <row r="63" spans="1:4">
      <c r="A63" s="57">
        <v>2032</v>
      </c>
      <c r="B63" s="57">
        <v>66037</v>
      </c>
      <c r="C63" s="58">
        <v>598.9</v>
      </c>
      <c r="D63" s="58">
        <v>560.70000000000005</v>
      </c>
    </row>
    <row r="64" spans="1:4">
      <c r="A64" s="57">
        <v>2033</v>
      </c>
      <c r="B64" s="57">
        <v>66062</v>
      </c>
      <c r="C64" s="58">
        <v>600.20000000000005</v>
      </c>
      <c r="D64" s="58">
        <v>516.6</v>
      </c>
    </row>
    <row r="65" spans="1:4">
      <c r="A65" s="57">
        <v>2034</v>
      </c>
      <c r="B65" s="57">
        <v>66037</v>
      </c>
      <c r="C65" s="58">
        <v>598.9</v>
      </c>
      <c r="D65" s="58">
        <v>560.70000000000005</v>
      </c>
    </row>
    <row r="66" spans="1:4">
      <c r="A66" s="57">
        <v>2035</v>
      </c>
      <c r="B66" s="57">
        <v>66037</v>
      </c>
      <c r="C66" s="58">
        <v>598.9</v>
      </c>
      <c r="D66" s="58">
        <v>560.70000000000005</v>
      </c>
    </row>
    <row r="67" spans="1:4">
      <c r="A67" s="57">
        <v>2036</v>
      </c>
      <c r="B67" s="57">
        <v>66037</v>
      </c>
      <c r="C67" s="58">
        <v>598.9</v>
      </c>
      <c r="D67" s="58">
        <v>560.70000000000005</v>
      </c>
    </row>
    <row r="68" spans="1:4">
      <c r="A68" s="57">
        <v>2037</v>
      </c>
      <c r="B68" s="57">
        <v>66062</v>
      </c>
      <c r="C68" s="58">
        <v>600.20000000000005</v>
      </c>
      <c r="D68" s="58">
        <v>516.6</v>
      </c>
    </row>
    <row r="69" spans="1:4">
      <c r="A69" s="57">
        <v>2038</v>
      </c>
      <c r="B69" s="57">
        <v>66062</v>
      </c>
      <c r="C69" s="58">
        <v>600.20000000000005</v>
      </c>
      <c r="D69" s="58">
        <v>516.6</v>
      </c>
    </row>
    <row r="70" spans="1:4">
      <c r="A70" s="57">
        <v>2039</v>
      </c>
      <c r="B70" s="57">
        <v>66062</v>
      </c>
      <c r="C70" s="58">
        <v>600.20000000000005</v>
      </c>
      <c r="D70" s="58">
        <v>516.6</v>
      </c>
    </row>
    <row r="71" spans="1:4">
      <c r="A71" s="57">
        <v>2040</v>
      </c>
      <c r="B71" s="57">
        <v>66194</v>
      </c>
      <c r="C71" s="58">
        <v>497.6</v>
      </c>
      <c r="D71" s="58">
        <v>809.6</v>
      </c>
    </row>
    <row r="72" spans="1:4">
      <c r="A72" s="57">
        <v>2041</v>
      </c>
      <c r="B72" s="57">
        <v>66062</v>
      </c>
      <c r="C72" s="58">
        <v>600.20000000000005</v>
      </c>
      <c r="D72" s="58">
        <v>516.6</v>
      </c>
    </row>
    <row r="73" spans="1:4">
      <c r="A73" s="57">
        <v>2042</v>
      </c>
      <c r="B73" s="57">
        <v>66062</v>
      </c>
      <c r="C73" s="58">
        <v>600.20000000000005</v>
      </c>
      <c r="D73" s="58">
        <v>516.6</v>
      </c>
    </row>
    <row r="74" spans="1:4">
      <c r="A74" s="57">
        <v>2043</v>
      </c>
      <c r="B74" s="57">
        <v>66062</v>
      </c>
      <c r="C74" s="58">
        <v>600.20000000000005</v>
      </c>
      <c r="D74" s="58">
        <v>516.6</v>
      </c>
    </row>
    <row r="75" spans="1:4">
      <c r="A75" s="57">
        <v>2044</v>
      </c>
      <c r="B75" s="57">
        <v>66037</v>
      </c>
      <c r="C75" s="58">
        <v>598.9</v>
      </c>
      <c r="D75" s="58">
        <v>560.70000000000005</v>
      </c>
    </row>
    <row r="76" spans="1:4">
      <c r="A76" s="57">
        <v>2045</v>
      </c>
      <c r="B76" s="57">
        <v>66194</v>
      </c>
      <c r="C76" s="58">
        <v>497.6</v>
      </c>
      <c r="D76" s="58">
        <v>809.6</v>
      </c>
    </row>
    <row r="77" spans="1:4">
      <c r="A77" s="57">
        <v>2046</v>
      </c>
      <c r="B77" s="57">
        <v>66194</v>
      </c>
      <c r="C77" s="58">
        <v>497.6</v>
      </c>
      <c r="D77" s="58">
        <v>809.6</v>
      </c>
    </row>
    <row r="78" spans="1:4">
      <c r="A78" s="57">
        <v>2047</v>
      </c>
      <c r="B78" s="57">
        <v>66062</v>
      </c>
      <c r="C78" s="58">
        <v>600.20000000000005</v>
      </c>
      <c r="D78" s="58">
        <v>516.6</v>
      </c>
    </row>
    <row r="79" spans="1:4">
      <c r="A79" s="57">
        <v>2048</v>
      </c>
      <c r="B79" s="57">
        <v>66194</v>
      </c>
      <c r="C79" s="58">
        <v>497.6</v>
      </c>
      <c r="D79" s="58">
        <v>809.6</v>
      </c>
    </row>
    <row r="80" spans="1:4">
      <c r="A80" s="57">
        <v>2049</v>
      </c>
      <c r="B80" s="57">
        <v>66194</v>
      </c>
      <c r="C80" s="58">
        <v>497.6</v>
      </c>
      <c r="D80" s="58">
        <v>809.6</v>
      </c>
    </row>
    <row r="81" spans="1:4">
      <c r="A81" s="57">
        <v>2050</v>
      </c>
      <c r="B81" s="57">
        <v>66062</v>
      </c>
      <c r="C81" s="58">
        <v>600.20000000000005</v>
      </c>
      <c r="D81" s="58">
        <v>516.6</v>
      </c>
    </row>
    <row r="82" spans="1:4">
      <c r="A82" s="57">
        <v>2052</v>
      </c>
      <c r="B82" s="57">
        <v>66037</v>
      </c>
      <c r="C82" s="58">
        <v>598.9</v>
      </c>
      <c r="D82" s="58">
        <v>560.70000000000005</v>
      </c>
    </row>
    <row r="83" spans="1:4">
      <c r="A83" s="57">
        <v>2060</v>
      </c>
      <c r="B83" s="57">
        <v>66062</v>
      </c>
      <c r="C83" s="58">
        <v>600.20000000000005</v>
      </c>
      <c r="D83" s="58">
        <v>516.6</v>
      </c>
    </row>
    <row r="84" spans="1:4">
      <c r="A84" s="57">
        <v>2061</v>
      </c>
      <c r="B84" s="57">
        <v>66062</v>
      </c>
      <c r="C84" s="58">
        <v>600.20000000000005</v>
      </c>
      <c r="D84" s="58">
        <v>516.6</v>
      </c>
    </row>
    <row r="85" spans="1:4">
      <c r="A85" s="57">
        <v>2062</v>
      </c>
      <c r="B85" s="57">
        <v>66062</v>
      </c>
      <c r="C85" s="58">
        <v>600.20000000000005</v>
      </c>
      <c r="D85" s="58">
        <v>516.6</v>
      </c>
    </row>
    <row r="86" spans="1:4">
      <c r="A86" s="57">
        <v>2063</v>
      </c>
      <c r="B86" s="57">
        <v>66062</v>
      </c>
      <c r="C86" s="58">
        <v>600.20000000000005</v>
      </c>
      <c r="D86" s="58">
        <v>516.6</v>
      </c>
    </row>
    <row r="87" spans="1:4">
      <c r="A87" s="57">
        <v>2064</v>
      </c>
      <c r="B87" s="57">
        <v>66062</v>
      </c>
      <c r="C87" s="58">
        <v>600.20000000000005</v>
      </c>
      <c r="D87" s="58">
        <v>516.6</v>
      </c>
    </row>
    <row r="88" spans="1:4">
      <c r="A88" s="57">
        <v>2065</v>
      </c>
      <c r="B88" s="57">
        <v>66062</v>
      </c>
      <c r="C88" s="58">
        <v>600.20000000000005</v>
      </c>
      <c r="D88" s="58">
        <v>516.6</v>
      </c>
    </row>
    <row r="89" spans="1:4">
      <c r="A89" s="57">
        <v>2066</v>
      </c>
      <c r="B89" s="57">
        <v>66062</v>
      </c>
      <c r="C89" s="58">
        <v>600.20000000000005</v>
      </c>
      <c r="D89" s="58">
        <v>516.6</v>
      </c>
    </row>
    <row r="90" spans="1:4">
      <c r="A90" s="57">
        <v>2067</v>
      </c>
      <c r="B90" s="57">
        <v>66062</v>
      </c>
      <c r="C90" s="58">
        <v>600.20000000000005</v>
      </c>
      <c r="D90" s="58">
        <v>516.6</v>
      </c>
    </row>
    <row r="91" spans="1:4">
      <c r="A91" s="57">
        <v>2068</v>
      </c>
      <c r="B91" s="57">
        <v>66062</v>
      </c>
      <c r="C91" s="58">
        <v>600.20000000000005</v>
      </c>
      <c r="D91" s="58">
        <v>516.6</v>
      </c>
    </row>
    <row r="92" spans="1:4">
      <c r="A92" s="57">
        <v>2069</v>
      </c>
      <c r="B92" s="57">
        <v>66062</v>
      </c>
      <c r="C92" s="58">
        <v>600.20000000000005</v>
      </c>
      <c r="D92" s="58">
        <v>516.6</v>
      </c>
    </row>
    <row r="93" spans="1:4">
      <c r="A93" s="57">
        <v>2070</v>
      </c>
      <c r="B93" s="57">
        <v>66059</v>
      </c>
      <c r="C93" s="58">
        <v>454.4</v>
      </c>
      <c r="D93" s="58">
        <v>814.1</v>
      </c>
    </row>
    <row r="94" spans="1:4">
      <c r="A94" s="57">
        <v>2071</v>
      </c>
      <c r="B94" s="57">
        <v>66059</v>
      </c>
      <c r="C94" s="58">
        <v>454.4</v>
      </c>
      <c r="D94" s="58">
        <v>814.1</v>
      </c>
    </row>
    <row r="95" spans="1:4">
      <c r="A95" s="57">
        <v>2072</v>
      </c>
      <c r="B95" s="57">
        <v>66059</v>
      </c>
      <c r="C95" s="58">
        <v>454.4</v>
      </c>
      <c r="D95" s="58">
        <v>814.1</v>
      </c>
    </row>
    <row r="96" spans="1:4">
      <c r="A96" s="57">
        <v>2073</v>
      </c>
      <c r="B96" s="57">
        <v>66059</v>
      </c>
      <c r="C96" s="58">
        <v>454.4</v>
      </c>
      <c r="D96" s="58">
        <v>814.1</v>
      </c>
    </row>
    <row r="97" spans="1:4">
      <c r="A97" s="57">
        <v>2074</v>
      </c>
      <c r="B97" s="57">
        <v>66059</v>
      </c>
      <c r="C97" s="58">
        <v>454.4</v>
      </c>
      <c r="D97" s="58">
        <v>814.1</v>
      </c>
    </row>
    <row r="98" spans="1:4">
      <c r="A98" s="57">
        <v>2075</v>
      </c>
      <c r="B98" s="57">
        <v>66059</v>
      </c>
      <c r="C98" s="58">
        <v>454.4</v>
      </c>
      <c r="D98" s="58">
        <v>814.1</v>
      </c>
    </row>
    <row r="99" spans="1:4">
      <c r="A99" s="57">
        <v>2076</v>
      </c>
      <c r="B99" s="57">
        <v>66059</v>
      </c>
      <c r="C99" s="58">
        <v>454.4</v>
      </c>
      <c r="D99" s="58">
        <v>814.1</v>
      </c>
    </row>
    <row r="100" spans="1:4">
      <c r="A100" s="57">
        <v>2077</v>
      </c>
      <c r="B100" s="57">
        <v>66059</v>
      </c>
      <c r="C100" s="58">
        <v>454.4</v>
      </c>
      <c r="D100" s="58">
        <v>814.1</v>
      </c>
    </row>
    <row r="101" spans="1:4">
      <c r="A101" s="57">
        <v>2079</v>
      </c>
      <c r="B101" s="57">
        <v>66059</v>
      </c>
      <c r="C101" s="58">
        <v>454.4</v>
      </c>
      <c r="D101" s="58">
        <v>814.1</v>
      </c>
    </row>
    <row r="102" spans="1:4">
      <c r="A102" s="57">
        <v>2080</v>
      </c>
      <c r="B102" s="57">
        <v>66059</v>
      </c>
      <c r="C102" s="58">
        <v>454.4</v>
      </c>
      <c r="D102" s="58">
        <v>814.1</v>
      </c>
    </row>
    <row r="103" spans="1:4">
      <c r="A103" s="57">
        <v>2081</v>
      </c>
      <c r="B103" s="57">
        <v>66059</v>
      </c>
      <c r="C103" s="58">
        <v>454.4</v>
      </c>
      <c r="D103" s="58">
        <v>814.1</v>
      </c>
    </row>
    <row r="104" spans="1:4">
      <c r="A104" s="57">
        <v>2082</v>
      </c>
      <c r="B104" s="57">
        <v>66059</v>
      </c>
      <c r="C104" s="58">
        <v>454.4</v>
      </c>
      <c r="D104" s="58">
        <v>814.1</v>
      </c>
    </row>
    <row r="105" spans="1:4">
      <c r="A105" s="57">
        <v>2083</v>
      </c>
      <c r="B105" s="57">
        <v>66059</v>
      </c>
      <c r="C105" s="58">
        <v>454.4</v>
      </c>
      <c r="D105" s="58">
        <v>814.1</v>
      </c>
    </row>
    <row r="106" spans="1:4">
      <c r="A106" s="57">
        <v>2084</v>
      </c>
      <c r="B106" s="57">
        <v>66059</v>
      </c>
      <c r="C106" s="58">
        <v>454.4</v>
      </c>
      <c r="D106" s="58">
        <v>814.1</v>
      </c>
    </row>
    <row r="107" spans="1:4">
      <c r="A107" s="57">
        <v>2085</v>
      </c>
      <c r="B107" s="57">
        <v>66059</v>
      </c>
      <c r="C107" s="58">
        <v>454.4</v>
      </c>
      <c r="D107" s="58">
        <v>814.1</v>
      </c>
    </row>
    <row r="108" spans="1:4">
      <c r="A108" s="57">
        <v>2086</v>
      </c>
      <c r="B108" s="57">
        <v>66059</v>
      </c>
      <c r="C108" s="58">
        <v>454.4</v>
      </c>
      <c r="D108" s="58">
        <v>814.1</v>
      </c>
    </row>
    <row r="109" spans="1:4">
      <c r="A109" s="57">
        <v>2087</v>
      </c>
      <c r="B109" s="57">
        <v>66059</v>
      </c>
      <c r="C109" s="58">
        <v>454.4</v>
      </c>
      <c r="D109" s="58">
        <v>814.1</v>
      </c>
    </row>
    <row r="110" spans="1:4">
      <c r="A110" s="57">
        <v>2088</v>
      </c>
      <c r="B110" s="57">
        <v>66062</v>
      </c>
      <c r="C110" s="58">
        <v>600.20000000000005</v>
      </c>
      <c r="D110" s="58">
        <v>516.6</v>
      </c>
    </row>
    <row r="111" spans="1:4">
      <c r="A111" s="57">
        <v>2089</v>
      </c>
      <c r="B111" s="57">
        <v>66062</v>
      </c>
      <c r="C111" s="58">
        <v>600.20000000000005</v>
      </c>
      <c r="D111" s="58">
        <v>516.6</v>
      </c>
    </row>
    <row r="112" spans="1:4">
      <c r="A112" s="57">
        <v>2090</v>
      </c>
      <c r="B112" s="57">
        <v>66062</v>
      </c>
      <c r="C112" s="58">
        <v>600.20000000000005</v>
      </c>
      <c r="D112" s="58">
        <v>516.6</v>
      </c>
    </row>
    <row r="113" spans="1:4">
      <c r="A113" s="57">
        <v>2092</v>
      </c>
      <c r="B113" s="57">
        <v>66062</v>
      </c>
      <c r="C113" s="58">
        <v>600.20000000000005</v>
      </c>
      <c r="D113" s="58">
        <v>516.6</v>
      </c>
    </row>
    <row r="114" spans="1:4">
      <c r="A114" s="57">
        <v>2093</v>
      </c>
      <c r="B114" s="57">
        <v>66062</v>
      </c>
      <c r="C114" s="58">
        <v>600.20000000000005</v>
      </c>
      <c r="D114" s="58">
        <v>516.6</v>
      </c>
    </row>
    <row r="115" spans="1:4">
      <c r="A115" s="57">
        <v>2094</v>
      </c>
      <c r="B115" s="57">
        <v>66062</v>
      </c>
      <c r="C115" s="58">
        <v>600.20000000000005</v>
      </c>
      <c r="D115" s="58">
        <v>516.6</v>
      </c>
    </row>
    <row r="116" spans="1:4">
      <c r="A116" s="57">
        <v>2095</v>
      </c>
      <c r="B116" s="57">
        <v>66062</v>
      </c>
      <c r="C116" s="58">
        <v>600.20000000000005</v>
      </c>
      <c r="D116" s="58">
        <v>516.6</v>
      </c>
    </row>
    <row r="117" spans="1:4">
      <c r="A117" s="57">
        <v>2096</v>
      </c>
      <c r="B117" s="57">
        <v>66059</v>
      </c>
      <c r="C117" s="58">
        <v>454.4</v>
      </c>
      <c r="D117" s="58">
        <v>814.1</v>
      </c>
    </row>
    <row r="118" spans="1:4">
      <c r="A118" s="57">
        <v>2097</v>
      </c>
      <c r="B118" s="57">
        <v>66059</v>
      </c>
      <c r="C118" s="58">
        <v>454.4</v>
      </c>
      <c r="D118" s="58">
        <v>814.1</v>
      </c>
    </row>
    <row r="119" spans="1:4">
      <c r="A119" s="57">
        <v>2099</v>
      </c>
      <c r="B119" s="57">
        <v>66059</v>
      </c>
      <c r="C119" s="58">
        <v>454.4</v>
      </c>
      <c r="D119" s="58">
        <v>814.1</v>
      </c>
    </row>
    <row r="120" spans="1:4">
      <c r="A120" s="57">
        <v>2100</v>
      </c>
      <c r="B120" s="57">
        <v>66059</v>
      </c>
      <c r="C120" s="58">
        <v>454.4</v>
      </c>
      <c r="D120" s="58">
        <v>814.1</v>
      </c>
    </row>
    <row r="121" spans="1:4">
      <c r="A121" s="57">
        <v>2101</v>
      </c>
      <c r="B121" s="57">
        <v>66059</v>
      </c>
      <c r="C121" s="58">
        <v>454.4</v>
      </c>
      <c r="D121" s="58">
        <v>814.1</v>
      </c>
    </row>
    <row r="122" spans="1:4">
      <c r="A122" s="57">
        <v>2102</v>
      </c>
      <c r="B122" s="57">
        <v>66059</v>
      </c>
      <c r="C122" s="58">
        <v>454.4</v>
      </c>
      <c r="D122" s="58">
        <v>814.1</v>
      </c>
    </row>
    <row r="123" spans="1:4">
      <c r="A123" s="57">
        <v>2103</v>
      </c>
      <c r="B123" s="57">
        <v>66059</v>
      </c>
      <c r="C123" s="58">
        <v>454.4</v>
      </c>
      <c r="D123" s="58">
        <v>814.1</v>
      </c>
    </row>
    <row r="124" spans="1:4">
      <c r="A124" s="57">
        <v>2104</v>
      </c>
      <c r="B124" s="57">
        <v>66059</v>
      </c>
      <c r="C124" s="58">
        <v>454.4</v>
      </c>
      <c r="D124" s="58">
        <v>814.1</v>
      </c>
    </row>
    <row r="125" spans="1:4">
      <c r="A125" s="57">
        <v>2105</v>
      </c>
      <c r="B125" s="57">
        <v>66059</v>
      </c>
      <c r="C125" s="58">
        <v>454.4</v>
      </c>
      <c r="D125" s="58">
        <v>814.1</v>
      </c>
    </row>
    <row r="126" spans="1:4">
      <c r="A126" s="57">
        <v>2106</v>
      </c>
      <c r="B126" s="57">
        <v>66059</v>
      </c>
      <c r="C126" s="58">
        <v>454.4</v>
      </c>
      <c r="D126" s="58">
        <v>814.1</v>
      </c>
    </row>
    <row r="127" spans="1:4">
      <c r="A127" s="57">
        <v>2107</v>
      </c>
      <c r="B127" s="57">
        <v>66059</v>
      </c>
      <c r="C127" s="58">
        <v>454.4</v>
      </c>
      <c r="D127" s="58">
        <v>814.1</v>
      </c>
    </row>
    <row r="128" spans="1:4">
      <c r="A128" s="57">
        <v>2108</v>
      </c>
      <c r="B128" s="57">
        <v>66059</v>
      </c>
      <c r="C128" s="58">
        <v>454.4</v>
      </c>
      <c r="D128" s="58">
        <v>814.1</v>
      </c>
    </row>
    <row r="129" spans="1:4">
      <c r="A129" s="57">
        <v>2109</v>
      </c>
      <c r="B129" s="57">
        <v>66062</v>
      </c>
      <c r="C129" s="58">
        <v>600.20000000000005</v>
      </c>
      <c r="D129" s="58">
        <v>516.6</v>
      </c>
    </row>
    <row r="130" spans="1:4">
      <c r="A130" s="57">
        <v>2110</v>
      </c>
      <c r="B130" s="57">
        <v>66062</v>
      </c>
      <c r="C130" s="58">
        <v>600.20000000000005</v>
      </c>
      <c r="D130" s="58">
        <v>516.6</v>
      </c>
    </row>
    <row r="131" spans="1:4">
      <c r="A131" s="57">
        <v>2111</v>
      </c>
      <c r="B131" s="57">
        <v>66062</v>
      </c>
      <c r="C131" s="58">
        <v>600.20000000000005</v>
      </c>
      <c r="D131" s="58">
        <v>516.6</v>
      </c>
    </row>
    <row r="132" spans="1:4">
      <c r="A132" s="57">
        <v>2112</v>
      </c>
      <c r="B132" s="57">
        <v>66062</v>
      </c>
      <c r="C132" s="58">
        <v>600.20000000000005</v>
      </c>
      <c r="D132" s="58">
        <v>516.6</v>
      </c>
    </row>
    <row r="133" spans="1:4">
      <c r="A133" s="57">
        <v>2113</v>
      </c>
      <c r="B133" s="57">
        <v>66062</v>
      </c>
      <c r="C133" s="58">
        <v>600.20000000000005</v>
      </c>
      <c r="D133" s="58">
        <v>516.6</v>
      </c>
    </row>
    <row r="134" spans="1:4">
      <c r="A134" s="57">
        <v>2114</v>
      </c>
      <c r="B134" s="57">
        <v>66194</v>
      </c>
      <c r="C134" s="58">
        <v>497.6</v>
      </c>
      <c r="D134" s="58">
        <v>809.6</v>
      </c>
    </row>
    <row r="135" spans="1:4">
      <c r="A135" s="57">
        <v>2115</v>
      </c>
      <c r="B135" s="57">
        <v>66194</v>
      </c>
      <c r="C135" s="58">
        <v>497.6</v>
      </c>
      <c r="D135" s="58">
        <v>809.6</v>
      </c>
    </row>
    <row r="136" spans="1:4">
      <c r="A136" s="57">
        <v>2116</v>
      </c>
      <c r="B136" s="57">
        <v>66194</v>
      </c>
      <c r="C136" s="58">
        <v>497.6</v>
      </c>
      <c r="D136" s="58">
        <v>809.6</v>
      </c>
    </row>
    <row r="137" spans="1:4">
      <c r="A137" s="57">
        <v>2117</v>
      </c>
      <c r="B137" s="57">
        <v>66137</v>
      </c>
      <c r="C137" s="58">
        <v>515.79999999999995</v>
      </c>
      <c r="D137" s="58">
        <v>796.3</v>
      </c>
    </row>
    <row r="138" spans="1:4">
      <c r="A138" s="57">
        <v>2118</v>
      </c>
      <c r="B138" s="57">
        <v>66194</v>
      </c>
      <c r="C138" s="58">
        <v>497.6</v>
      </c>
      <c r="D138" s="58">
        <v>809.6</v>
      </c>
    </row>
    <row r="139" spans="1:4">
      <c r="A139" s="57">
        <v>2119</v>
      </c>
      <c r="B139" s="57">
        <v>66059</v>
      </c>
      <c r="C139" s="58">
        <v>454.4</v>
      </c>
      <c r="D139" s="58">
        <v>814.1</v>
      </c>
    </row>
    <row r="140" spans="1:4">
      <c r="A140" s="57">
        <v>2120</v>
      </c>
      <c r="B140" s="57">
        <v>66059</v>
      </c>
      <c r="C140" s="58">
        <v>454.4</v>
      </c>
      <c r="D140" s="58">
        <v>814.1</v>
      </c>
    </row>
    <row r="141" spans="1:4">
      <c r="A141" s="57">
        <v>2121</v>
      </c>
      <c r="B141" s="57">
        <v>66062</v>
      </c>
      <c r="C141" s="58">
        <v>600.20000000000005</v>
      </c>
      <c r="D141" s="58">
        <v>516.6</v>
      </c>
    </row>
    <row r="142" spans="1:4">
      <c r="A142" s="57">
        <v>2122</v>
      </c>
      <c r="B142" s="57">
        <v>66194</v>
      </c>
      <c r="C142" s="58">
        <v>497.6</v>
      </c>
      <c r="D142" s="58">
        <v>809.6</v>
      </c>
    </row>
    <row r="143" spans="1:4">
      <c r="A143" s="57">
        <v>2125</v>
      </c>
      <c r="B143" s="57">
        <v>66059</v>
      </c>
      <c r="C143" s="58">
        <v>454.4</v>
      </c>
      <c r="D143" s="58">
        <v>814.1</v>
      </c>
    </row>
    <row r="144" spans="1:4">
      <c r="A144" s="57">
        <v>2126</v>
      </c>
      <c r="B144" s="57">
        <v>66059</v>
      </c>
      <c r="C144" s="58">
        <v>454.4</v>
      </c>
      <c r="D144" s="58">
        <v>814.1</v>
      </c>
    </row>
    <row r="145" spans="1:4">
      <c r="A145" s="57">
        <v>2127</v>
      </c>
      <c r="B145" s="57">
        <v>66194</v>
      </c>
      <c r="C145" s="58">
        <v>497.6</v>
      </c>
      <c r="D145" s="58">
        <v>809.6</v>
      </c>
    </row>
    <row r="146" spans="1:4">
      <c r="A146" s="57">
        <v>2128</v>
      </c>
      <c r="B146" s="57">
        <v>66194</v>
      </c>
      <c r="C146" s="58">
        <v>497.6</v>
      </c>
      <c r="D146" s="58">
        <v>809.6</v>
      </c>
    </row>
    <row r="147" spans="1:4">
      <c r="A147" s="57">
        <v>2130</v>
      </c>
      <c r="B147" s="57">
        <v>66194</v>
      </c>
      <c r="C147" s="58">
        <v>497.6</v>
      </c>
      <c r="D147" s="58">
        <v>809.6</v>
      </c>
    </row>
    <row r="148" spans="1:4">
      <c r="A148" s="57">
        <v>2131</v>
      </c>
      <c r="B148" s="57">
        <v>66194</v>
      </c>
      <c r="C148" s="58">
        <v>497.6</v>
      </c>
      <c r="D148" s="58">
        <v>809.6</v>
      </c>
    </row>
    <row r="149" spans="1:4">
      <c r="A149" s="57">
        <v>2132</v>
      </c>
      <c r="B149" s="57">
        <v>66194</v>
      </c>
      <c r="C149" s="58">
        <v>497.6</v>
      </c>
      <c r="D149" s="58">
        <v>809.6</v>
      </c>
    </row>
    <row r="150" spans="1:4">
      <c r="A150" s="57">
        <v>2133</v>
      </c>
      <c r="B150" s="57">
        <v>66194</v>
      </c>
      <c r="C150" s="58">
        <v>497.6</v>
      </c>
      <c r="D150" s="58">
        <v>809.6</v>
      </c>
    </row>
    <row r="151" spans="1:4">
      <c r="A151" s="57">
        <v>2134</v>
      </c>
      <c r="B151" s="57">
        <v>66194</v>
      </c>
      <c r="C151" s="58">
        <v>497.6</v>
      </c>
      <c r="D151" s="58">
        <v>809.6</v>
      </c>
    </row>
    <row r="152" spans="1:4">
      <c r="A152" s="57">
        <v>2135</v>
      </c>
      <c r="B152" s="57">
        <v>66194</v>
      </c>
      <c r="C152" s="58">
        <v>497.6</v>
      </c>
      <c r="D152" s="58">
        <v>809.6</v>
      </c>
    </row>
    <row r="153" spans="1:4">
      <c r="A153" s="57">
        <v>2136</v>
      </c>
      <c r="B153" s="57">
        <v>66194</v>
      </c>
      <c r="C153" s="58">
        <v>497.6</v>
      </c>
      <c r="D153" s="58">
        <v>809.6</v>
      </c>
    </row>
    <row r="154" spans="1:4">
      <c r="A154" s="57">
        <v>2137</v>
      </c>
      <c r="B154" s="57">
        <v>66194</v>
      </c>
      <c r="C154" s="58">
        <v>497.6</v>
      </c>
      <c r="D154" s="58">
        <v>809.6</v>
      </c>
    </row>
    <row r="155" spans="1:4">
      <c r="A155" s="57">
        <v>2138</v>
      </c>
      <c r="B155" s="57">
        <v>66194</v>
      </c>
      <c r="C155" s="58">
        <v>497.6</v>
      </c>
      <c r="D155" s="58">
        <v>809.6</v>
      </c>
    </row>
    <row r="156" spans="1:4">
      <c r="A156" s="57">
        <v>2140</v>
      </c>
      <c r="B156" s="57">
        <v>66194</v>
      </c>
      <c r="C156" s="58">
        <v>497.6</v>
      </c>
      <c r="D156" s="58">
        <v>809.6</v>
      </c>
    </row>
    <row r="157" spans="1:4">
      <c r="A157" s="57">
        <v>2141</v>
      </c>
      <c r="B157" s="57">
        <v>66137</v>
      </c>
      <c r="C157" s="58">
        <v>515.79999999999995</v>
      </c>
      <c r="D157" s="58">
        <v>796.3</v>
      </c>
    </row>
    <row r="158" spans="1:4">
      <c r="A158" s="57">
        <v>2142</v>
      </c>
      <c r="B158" s="57">
        <v>66137</v>
      </c>
      <c r="C158" s="58">
        <v>515.79999999999995</v>
      </c>
      <c r="D158" s="58">
        <v>796.3</v>
      </c>
    </row>
    <row r="159" spans="1:4">
      <c r="A159" s="57">
        <v>2143</v>
      </c>
      <c r="B159" s="57">
        <v>66137</v>
      </c>
      <c r="C159" s="58">
        <v>515.79999999999995</v>
      </c>
      <c r="D159" s="58">
        <v>796.3</v>
      </c>
    </row>
    <row r="160" spans="1:4">
      <c r="A160" s="57">
        <v>2144</v>
      </c>
      <c r="B160" s="57">
        <v>66137</v>
      </c>
      <c r="C160" s="58">
        <v>515.79999999999995</v>
      </c>
      <c r="D160" s="58">
        <v>796.3</v>
      </c>
    </row>
    <row r="161" spans="1:4">
      <c r="A161" s="57">
        <v>2145</v>
      </c>
      <c r="B161" s="57">
        <v>67119</v>
      </c>
      <c r="C161" s="58">
        <v>440.8</v>
      </c>
      <c r="D161" s="58">
        <v>817.2</v>
      </c>
    </row>
    <row r="162" spans="1:4">
      <c r="A162" s="57">
        <v>2146</v>
      </c>
      <c r="B162" s="57">
        <v>67119</v>
      </c>
      <c r="C162" s="58">
        <v>440.8</v>
      </c>
      <c r="D162" s="58">
        <v>817.2</v>
      </c>
    </row>
    <row r="163" spans="1:4">
      <c r="A163" s="57">
        <v>2147</v>
      </c>
      <c r="B163" s="57">
        <v>67119</v>
      </c>
      <c r="C163" s="58">
        <v>440.8</v>
      </c>
      <c r="D163" s="58">
        <v>817.2</v>
      </c>
    </row>
    <row r="164" spans="1:4">
      <c r="A164" s="57">
        <v>2148</v>
      </c>
      <c r="B164" s="57">
        <v>67119</v>
      </c>
      <c r="C164" s="58">
        <v>440.8</v>
      </c>
      <c r="D164" s="58">
        <v>817.2</v>
      </c>
    </row>
    <row r="165" spans="1:4">
      <c r="A165" s="57">
        <v>2150</v>
      </c>
      <c r="B165" s="57">
        <v>66137</v>
      </c>
      <c r="C165" s="58">
        <v>515.79999999999995</v>
      </c>
      <c r="D165" s="58">
        <v>796.3</v>
      </c>
    </row>
    <row r="166" spans="1:4">
      <c r="A166" s="57">
        <v>2151</v>
      </c>
      <c r="B166" s="57">
        <v>66137</v>
      </c>
      <c r="C166" s="58">
        <v>515.79999999999995</v>
      </c>
      <c r="D166" s="58">
        <v>796.3</v>
      </c>
    </row>
    <row r="167" spans="1:4">
      <c r="A167" s="57">
        <v>2152</v>
      </c>
      <c r="B167" s="57">
        <v>67119</v>
      </c>
      <c r="C167" s="58">
        <v>440.8</v>
      </c>
      <c r="D167" s="58">
        <v>817.2</v>
      </c>
    </row>
    <row r="168" spans="1:4">
      <c r="A168" s="57">
        <v>2153</v>
      </c>
      <c r="B168" s="57">
        <v>67119</v>
      </c>
      <c r="C168" s="58">
        <v>440.8</v>
      </c>
      <c r="D168" s="58">
        <v>817.2</v>
      </c>
    </row>
    <row r="169" spans="1:4">
      <c r="A169" s="57">
        <v>2154</v>
      </c>
      <c r="B169" s="57">
        <v>67119</v>
      </c>
      <c r="C169" s="58">
        <v>440.8</v>
      </c>
      <c r="D169" s="58">
        <v>817.2</v>
      </c>
    </row>
    <row r="170" spans="1:4">
      <c r="A170" s="57">
        <v>2155</v>
      </c>
      <c r="B170" s="57">
        <v>67119</v>
      </c>
      <c r="C170" s="58">
        <v>440.8</v>
      </c>
      <c r="D170" s="58">
        <v>817.2</v>
      </c>
    </row>
    <row r="171" spans="1:4">
      <c r="A171" s="57">
        <v>2156</v>
      </c>
      <c r="B171" s="57">
        <v>67119</v>
      </c>
      <c r="C171" s="58">
        <v>440.8</v>
      </c>
      <c r="D171" s="58">
        <v>817.2</v>
      </c>
    </row>
    <row r="172" spans="1:4">
      <c r="A172" s="57">
        <v>2157</v>
      </c>
      <c r="B172" s="57">
        <v>66059</v>
      </c>
      <c r="C172" s="58">
        <v>454.4</v>
      </c>
      <c r="D172" s="58">
        <v>814.1</v>
      </c>
    </row>
    <row r="173" spans="1:4">
      <c r="A173" s="57">
        <v>2158</v>
      </c>
      <c r="B173" s="57">
        <v>66059</v>
      </c>
      <c r="C173" s="58">
        <v>454.4</v>
      </c>
      <c r="D173" s="58">
        <v>814.1</v>
      </c>
    </row>
    <row r="174" spans="1:4">
      <c r="A174" s="57">
        <v>2159</v>
      </c>
      <c r="B174" s="57">
        <v>66059</v>
      </c>
      <c r="C174" s="58">
        <v>454.4</v>
      </c>
      <c r="D174" s="58">
        <v>814.1</v>
      </c>
    </row>
    <row r="175" spans="1:4">
      <c r="A175" s="57">
        <v>2160</v>
      </c>
      <c r="B175" s="57">
        <v>66137</v>
      </c>
      <c r="C175" s="58">
        <v>515.79999999999995</v>
      </c>
      <c r="D175" s="58">
        <v>796.3</v>
      </c>
    </row>
    <row r="176" spans="1:4">
      <c r="A176" s="57">
        <v>2161</v>
      </c>
      <c r="B176" s="57">
        <v>66137</v>
      </c>
      <c r="C176" s="58">
        <v>515.79999999999995</v>
      </c>
      <c r="D176" s="58">
        <v>796.3</v>
      </c>
    </row>
    <row r="177" spans="1:4">
      <c r="A177" s="57">
        <v>2162</v>
      </c>
      <c r="B177" s="57">
        <v>66137</v>
      </c>
      <c r="C177" s="58">
        <v>515.79999999999995</v>
      </c>
      <c r="D177" s="58">
        <v>796.3</v>
      </c>
    </row>
    <row r="178" spans="1:4">
      <c r="A178" s="57">
        <v>2163</v>
      </c>
      <c r="B178" s="57">
        <v>66137</v>
      </c>
      <c r="C178" s="58">
        <v>515.79999999999995</v>
      </c>
      <c r="D178" s="58">
        <v>796.3</v>
      </c>
    </row>
    <row r="179" spans="1:4">
      <c r="A179" s="57">
        <v>2164</v>
      </c>
      <c r="B179" s="57">
        <v>67119</v>
      </c>
      <c r="C179" s="58">
        <v>440.8</v>
      </c>
      <c r="D179" s="58">
        <v>817.2</v>
      </c>
    </row>
    <row r="180" spans="1:4">
      <c r="A180" s="57">
        <v>2165</v>
      </c>
      <c r="B180" s="57">
        <v>66137</v>
      </c>
      <c r="C180" s="58">
        <v>515.79999999999995</v>
      </c>
      <c r="D180" s="58">
        <v>796.3</v>
      </c>
    </row>
    <row r="181" spans="1:4">
      <c r="A181" s="57">
        <v>2166</v>
      </c>
      <c r="B181" s="57">
        <v>66137</v>
      </c>
      <c r="C181" s="58">
        <v>515.79999999999995</v>
      </c>
      <c r="D181" s="58">
        <v>796.3</v>
      </c>
    </row>
    <row r="182" spans="1:4">
      <c r="A182" s="57">
        <v>2167</v>
      </c>
      <c r="B182" s="57">
        <v>67117</v>
      </c>
      <c r="C182" s="58">
        <v>476.6</v>
      </c>
      <c r="D182" s="58">
        <v>880</v>
      </c>
    </row>
    <row r="183" spans="1:4">
      <c r="A183" s="57">
        <v>2168</v>
      </c>
      <c r="B183" s="57">
        <v>67117</v>
      </c>
      <c r="C183" s="58">
        <v>476.6</v>
      </c>
      <c r="D183" s="58">
        <v>880</v>
      </c>
    </row>
    <row r="184" spans="1:4">
      <c r="A184" s="57">
        <v>2170</v>
      </c>
      <c r="B184" s="57">
        <v>67117</v>
      </c>
      <c r="C184" s="58">
        <v>476.6</v>
      </c>
      <c r="D184" s="58">
        <v>880</v>
      </c>
    </row>
    <row r="185" spans="1:4">
      <c r="A185" s="57">
        <v>2171</v>
      </c>
      <c r="B185" s="57">
        <v>67117</v>
      </c>
      <c r="C185" s="58">
        <v>476.6</v>
      </c>
      <c r="D185" s="58">
        <v>880</v>
      </c>
    </row>
    <row r="186" spans="1:4">
      <c r="A186" s="57">
        <v>2172</v>
      </c>
      <c r="B186" s="57">
        <v>66137</v>
      </c>
      <c r="C186" s="58">
        <v>515.79999999999995</v>
      </c>
      <c r="D186" s="58">
        <v>796.3</v>
      </c>
    </row>
    <row r="187" spans="1:4">
      <c r="A187" s="57">
        <v>2173</v>
      </c>
      <c r="B187" s="57">
        <v>67117</v>
      </c>
      <c r="C187" s="58">
        <v>476.6</v>
      </c>
      <c r="D187" s="58">
        <v>880</v>
      </c>
    </row>
    <row r="188" spans="1:4">
      <c r="A188" s="57">
        <v>2174</v>
      </c>
      <c r="B188" s="57">
        <v>67117</v>
      </c>
      <c r="C188" s="58">
        <v>476.6</v>
      </c>
      <c r="D188" s="58">
        <v>880</v>
      </c>
    </row>
    <row r="189" spans="1:4">
      <c r="A189" s="57">
        <v>2175</v>
      </c>
      <c r="B189" s="57">
        <v>67119</v>
      </c>
      <c r="C189" s="58">
        <v>440.8</v>
      </c>
      <c r="D189" s="58">
        <v>817.2</v>
      </c>
    </row>
    <row r="190" spans="1:4">
      <c r="A190" s="57">
        <v>2176</v>
      </c>
      <c r="B190" s="57">
        <v>67119</v>
      </c>
      <c r="C190" s="58">
        <v>440.8</v>
      </c>
      <c r="D190" s="58">
        <v>817.2</v>
      </c>
    </row>
    <row r="191" spans="1:4">
      <c r="A191" s="57">
        <v>2177</v>
      </c>
      <c r="B191" s="57">
        <v>67119</v>
      </c>
      <c r="C191" s="58">
        <v>440.8</v>
      </c>
      <c r="D191" s="58">
        <v>817.2</v>
      </c>
    </row>
    <row r="192" spans="1:4">
      <c r="A192" s="57">
        <v>2178</v>
      </c>
      <c r="B192" s="57">
        <v>67119</v>
      </c>
      <c r="C192" s="58">
        <v>440.8</v>
      </c>
      <c r="D192" s="58">
        <v>817.2</v>
      </c>
    </row>
    <row r="193" spans="1:4">
      <c r="A193" s="57">
        <v>2179</v>
      </c>
      <c r="B193" s="57">
        <v>67108</v>
      </c>
      <c r="C193" s="58">
        <v>453.2</v>
      </c>
      <c r="D193" s="58">
        <v>944.7</v>
      </c>
    </row>
    <row r="194" spans="1:4">
      <c r="A194" s="57">
        <v>2190</v>
      </c>
      <c r="B194" s="57">
        <v>66194</v>
      </c>
      <c r="C194" s="58">
        <v>497.6</v>
      </c>
      <c r="D194" s="58">
        <v>809.6</v>
      </c>
    </row>
    <row r="195" spans="1:4">
      <c r="A195" s="57">
        <v>2191</v>
      </c>
      <c r="B195" s="57">
        <v>66194</v>
      </c>
      <c r="C195" s="58">
        <v>497.6</v>
      </c>
      <c r="D195" s="58">
        <v>809.6</v>
      </c>
    </row>
    <row r="196" spans="1:4">
      <c r="A196" s="57">
        <v>2192</v>
      </c>
      <c r="B196" s="57">
        <v>66194</v>
      </c>
      <c r="C196" s="58">
        <v>497.6</v>
      </c>
      <c r="D196" s="58">
        <v>809.6</v>
      </c>
    </row>
    <row r="197" spans="1:4">
      <c r="A197" s="57">
        <v>2193</v>
      </c>
      <c r="B197" s="57">
        <v>66194</v>
      </c>
      <c r="C197" s="58">
        <v>497.6</v>
      </c>
      <c r="D197" s="58">
        <v>809.6</v>
      </c>
    </row>
    <row r="198" spans="1:4">
      <c r="A198" s="57">
        <v>2194</v>
      </c>
      <c r="B198" s="57">
        <v>66194</v>
      </c>
      <c r="C198" s="58">
        <v>497.6</v>
      </c>
      <c r="D198" s="58">
        <v>809.6</v>
      </c>
    </row>
    <row r="199" spans="1:4">
      <c r="A199" s="57">
        <v>2195</v>
      </c>
      <c r="B199" s="57">
        <v>66194</v>
      </c>
      <c r="C199" s="58">
        <v>497.6</v>
      </c>
      <c r="D199" s="58">
        <v>809.6</v>
      </c>
    </row>
    <row r="200" spans="1:4">
      <c r="A200" s="57">
        <v>2196</v>
      </c>
      <c r="B200" s="57">
        <v>66194</v>
      </c>
      <c r="C200" s="58">
        <v>497.6</v>
      </c>
      <c r="D200" s="58">
        <v>809.6</v>
      </c>
    </row>
    <row r="201" spans="1:4">
      <c r="A201" s="57">
        <v>2197</v>
      </c>
      <c r="B201" s="57">
        <v>66137</v>
      </c>
      <c r="C201" s="58">
        <v>515.79999999999995</v>
      </c>
      <c r="D201" s="58">
        <v>796.3</v>
      </c>
    </row>
    <row r="202" spans="1:4">
      <c r="A202" s="57">
        <v>2198</v>
      </c>
      <c r="B202" s="57">
        <v>66137</v>
      </c>
      <c r="C202" s="58">
        <v>515.79999999999995</v>
      </c>
      <c r="D202" s="58">
        <v>796.3</v>
      </c>
    </row>
    <row r="203" spans="1:4">
      <c r="A203" s="57">
        <v>2199</v>
      </c>
      <c r="B203" s="57">
        <v>66137</v>
      </c>
      <c r="C203" s="58">
        <v>515.79999999999995</v>
      </c>
      <c r="D203" s="58">
        <v>796.3</v>
      </c>
    </row>
    <row r="204" spans="1:4">
      <c r="A204" s="57">
        <v>2200</v>
      </c>
      <c r="B204" s="57">
        <v>66137</v>
      </c>
      <c r="C204" s="58">
        <v>515.79999999999995</v>
      </c>
      <c r="D204" s="58">
        <v>796.3</v>
      </c>
    </row>
    <row r="205" spans="1:4">
      <c r="A205" s="57">
        <v>2203</v>
      </c>
      <c r="B205" s="57">
        <v>66194</v>
      </c>
      <c r="C205" s="58">
        <v>497.6</v>
      </c>
      <c r="D205" s="58">
        <v>809.6</v>
      </c>
    </row>
    <row r="206" spans="1:4">
      <c r="A206" s="57">
        <v>2204</v>
      </c>
      <c r="B206" s="57">
        <v>66194</v>
      </c>
      <c r="C206" s="58">
        <v>497.6</v>
      </c>
      <c r="D206" s="58">
        <v>809.6</v>
      </c>
    </row>
    <row r="207" spans="1:4">
      <c r="A207" s="57">
        <v>2205</v>
      </c>
      <c r="B207" s="57">
        <v>66037</v>
      </c>
      <c r="C207" s="58">
        <v>598.9</v>
      </c>
      <c r="D207" s="58">
        <v>560.70000000000005</v>
      </c>
    </row>
    <row r="208" spans="1:4">
      <c r="A208" s="57">
        <v>2206</v>
      </c>
      <c r="B208" s="57">
        <v>66194</v>
      </c>
      <c r="C208" s="58">
        <v>497.6</v>
      </c>
      <c r="D208" s="58">
        <v>809.6</v>
      </c>
    </row>
    <row r="209" spans="1:4">
      <c r="A209" s="57">
        <v>2207</v>
      </c>
      <c r="B209" s="57">
        <v>66194</v>
      </c>
      <c r="C209" s="58">
        <v>497.6</v>
      </c>
      <c r="D209" s="58">
        <v>809.6</v>
      </c>
    </row>
    <row r="210" spans="1:4">
      <c r="A210" s="57">
        <v>2208</v>
      </c>
      <c r="B210" s="57">
        <v>66194</v>
      </c>
      <c r="C210" s="58">
        <v>497.6</v>
      </c>
      <c r="D210" s="58">
        <v>809.6</v>
      </c>
    </row>
    <row r="211" spans="1:4">
      <c r="A211" s="57">
        <v>2209</v>
      </c>
      <c r="B211" s="57">
        <v>66194</v>
      </c>
      <c r="C211" s="58">
        <v>497.6</v>
      </c>
      <c r="D211" s="58">
        <v>809.6</v>
      </c>
    </row>
    <row r="212" spans="1:4">
      <c r="A212" s="57">
        <v>2210</v>
      </c>
      <c r="B212" s="57">
        <v>66137</v>
      </c>
      <c r="C212" s="58">
        <v>515.79999999999995</v>
      </c>
      <c r="D212" s="58">
        <v>796.3</v>
      </c>
    </row>
    <row r="213" spans="1:4">
      <c r="A213" s="57">
        <v>2211</v>
      </c>
      <c r="B213" s="57">
        <v>66137</v>
      </c>
      <c r="C213" s="58">
        <v>515.79999999999995</v>
      </c>
      <c r="D213" s="58">
        <v>796.3</v>
      </c>
    </row>
    <row r="214" spans="1:4">
      <c r="A214" s="57">
        <v>2212</v>
      </c>
      <c r="B214" s="57">
        <v>66137</v>
      </c>
      <c r="C214" s="58">
        <v>515.79999999999995</v>
      </c>
      <c r="D214" s="58">
        <v>796.3</v>
      </c>
    </row>
    <row r="215" spans="1:4">
      <c r="A215" s="57">
        <v>2213</v>
      </c>
      <c r="B215" s="57">
        <v>66137</v>
      </c>
      <c r="C215" s="58">
        <v>515.79999999999995</v>
      </c>
      <c r="D215" s="58">
        <v>796.3</v>
      </c>
    </row>
    <row r="216" spans="1:4">
      <c r="A216" s="57">
        <v>2214</v>
      </c>
      <c r="B216" s="57">
        <v>66137</v>
      </c>
      <c r="C216" s="58">
        <v>515.79999999999995</v>
      </c>
      <c r="D216" s="58">
        <v>796.3</v>
      </c>
    </row>
    <row r="217" spans="1:4">
      <c r="A217" s="57">
        <v>2216</v>
      </c>
      <c r="B217" s="57">
        <v>66037</v>
      </c>
      <c r="C217" s="58">
        <v>598.9</v>
      </c>
      <c r="D217" s="58">
        <v>560.70000000000005</v>
      </c>
    </row>
    <row r="218" spans="1:4">
      <c r="A218" s="57">
        <v>2217</v>
      </c>
      <c r="B218" s="57">
        <v>66037</v>
      </c>
      <c r="C218" s="58">
        <v>598.9</v>
      </c>
      <c r="D218" s="58">
        <v>560.70000000000005</v>
      </c>
    </row>
    <row r="219" spans="1:4">
      <c r="A219" s="57">
        <v>2218</v>
      </c>
      <c r="B219" s="57">
        <v>66037</v>
      </c>
      <c r="C219" s="58">
        <v>598.9</v>
      </c>
      <c r="D219" s="58">
        <v>560.70000000000005</v>
      </c>
    </row>
    <row r="220" spans="1:4">
      <c r="A220" s="57">
        <v>2219</v>
      </c>
      <c r="B220" s="57">
        <v>66037</v>
      </c>
      <c r="C220" s="58">
        <v>598.9</v>
      </c>
      <c r="D220" s="58">
        <v>560.70000000000005</v>
      </c>
    </row>
    <row r="221" spans="1:4">
      <c r="A221" s="57">
        <v>2220</v>
      </c>
      <c r="B221" s="57">
        <v>66037</v>
      </c>
      <c r="C221" s="58">
        <v>598.9</v>
      </c>
      <c r="D221" s="58">
        <v>560.70000000000005</v>
      </c>
    </row>
    <row r="222" spans="1:4">
      <c r="A222" s="57">
        <v>2221</v>
      </c>
      <c r="B222" s="57">
        <v>66037</v>
      </c>
      <c r="C222" s="58">
        <v>598.9</v>
      </c>
      <c r="D222" s="58">
        <v>560.70000000000005</v>
      </c>
    </row>
    <row r="223" spans="1:4">
      <c r="A223" s="57">
        <v>2222</v>
      </c>
      <c r="B223" s="57">
        <v>66194</v>
      </c>
      <c r="C223" s="58">
        <v>497.6</v>
      </c>
      <c r="D223" s="58">
        <v>809.6</v>
      </c>
    </row>
    <row r="224" spans="1:4">
      <c r="A224" s="57">
        <v>2223</v>
      </c>
      <c r="B224" s="57">
        <v>66194</v>
      </c>
      <c r="C224" s="58">
        <v>497.6</v>
      </c>
      <c r="D224" s="58">
        <v>809.6</v>
      </c>
    </row>
    <row r="225" spans="1:4">
      <c r="A225" s="57">
        <v>2224</v>
      </c>
      <c r="B225" s="57">
        <v>66037</v>
      </c>
      <c r="C225" s="58">
        <v>598.9</v>
      </c>
      <c r="D225" s="58">
        <v>560.70000000000005</v>
      </c>
    </row>
    <row r="226" spans="1:4">
      <c r="A226" s="57">
        <v>2225</v>
      </c>
      <c r="B226" s="57">
        <v>66037</v>
      </c>
      <c r="C226" s="58">
        <v>598.9</v>
      </c>
      <c r="D226" s="58">
        <v>560.70000000000005</v>
      </c>
    </row>
    <row r="227" spans="1:4">
      <c r="A227" s="57">
        <v>2226</v>
      </c>
      <c r="B227" s="57">
        <v>66137</v>
      </c>
      <c r="C227" s="58">
        <v>515.79999999999995</v>
      </c>
      <c r="D227" s="58">
        <v>796.3</v>
      </c>
    </row>
    <row r="228" spans="1:4">
      <c r="A228" s="57">
        <v>2227</v>
      </c>
      <c r="B228" s="57">
        <v>66037</v>
      </c>
      <c r="C228" s="58">
        <v>598.9</v>
      </c>
      <c r="D228" s="58">
        <v>560.70000000000005</v>
      </c>
    </row>
    <row r="229" spans="1:4">
      <c r="A229" s="57">
        <v>2228</v>
      </c>
      <c r="B229" s="57">
        <v>66037</v>
      </c>
      <c r="C229" s="58">
        <v>598.9</v>
      </c>
      <c r="D229" s="58">
        <v>560.70000000000005</v>
      </c>
    </row>
    <row r="230" spans="1:4">
      <c r="A230" s="57">
        <v>2229</v>
      </c>
      <c r="B230" s="57">
        <v>66037</v>
      </c>
      <c r="C230" s="58">
        <v>598.9</v>
      </c>
      <c r="D230" s="58">
        <v>560.70000000000005</v>
      </c>
    </row>
    <row r="231" spans="1:4">
      <c r="A231" s="57">
        <v>2230</v>
      </c>
      <c r="B231" s="57">
        <v>66037</v>
      </c>
      <c r="C231" s="58">
        <v>598.9</v>
      </c>
      <c r="D231" s="58">
        <v>560.70000000000005</v>
      </c>
    </row>
    <row r="232" spans="1:4">
      <c r="A232" s="57">
        <v>2231</v>
      </c>
      <c r="B232" s="57">
        <v>66037</v>
      </c>
      <c r="C232" s="58">
        <v>598.9</v>
      </c>
      <c r="D232" s="58">
        <v>560.70000000000005</v>
      </c>
    </row>
    <row r="233" spans="1:4">
      <c r="A233" s="57">
        <v>2232</v>
      </c>
      <c r="B233" s="57">
        <v>66037</v>
      </c>
      <c r="C233" s="58">
        <v>598.9</v>
      </c>
      <c r="D233" s="58">
        <v>560.70000000000005</v>
      </c>
    </row>
    <row r="234" spans="1:4">
      <c r="A234" s="57">
        <v>2233</v>
      </c>
      <c r="B234" s="57">
        <v>67117</v>
      </c>
      <c r="C234" s="58">
        <v>476.6</v>
      </c>
      <c r="D234" s="58">
        <v>880</v>
      </c>
    </row>
    <row r="235" spans="1:4">
      <c r="A235" s="57">
        <v>2234</v>
      </c>
      <c r="B235" s="57">
        <v>66137</v>
      </c>
      <c r="C235" s="58">
        <v>515.79999999999995</v>
      </c>
      <c r="D235" s="58">
        <v>796.3</v>
      </c>
    </row>
    <row r="236" spans="1:4">
      <c r="A236" s="57">
        <v>2250</v>
      </c>
      <c r="B236" s="57">
        <v>61375</v>
      </c>
      <c r="C236" s="58">
        <v>411</v>
      </c>
      <c r="D236" s="58">
        <v>1029.4000000000001</v>
      </c>
    </row>
    <row r="237" spans="1:4">
      <c r="A237" s="57">
        <v>2251</v>
      </c>
      <c r="B237" s="57">
        <v>61366</v>
      </c>
      <c r="C237" s="58">
        <v>701.1</v>
      </c>
      <c r="D237" s="58">
        <v>506.8</v>
      </c>
    </row>
    <row r="238" spans="1:4">
      <c r="A238" s="57">
        <v>2256</v>
      </c>
      <c r="B238" s="57">
        <v>66059</v>
      </c>
      <c r="C238" s="58">
        <v>454.4</v>
      </c>
      <c r="D238" s="58">
        <v>814.1</v>
      </c>
    </row>
    <row r="239" spans="1:4">
      <c r="A239" s="57">
        <v>2257</v>
      </c>
      <c r="B239" s="57">
        <v>66059</v>
      </c>
      <c r="C239" s="58">
        <v>454.4</v>
      </c>
      <c r="D239" s="58">
        <v>814.1</v>
      </c>
    </row>
    <row r="240" spans="1:4">
      <c r="A240" s="57">
        <v>2258</v>
      </c>
      <c r="B240" s="57">
        <v>61375</v>
      </c>
      <c r="C240" s="58">
        <v>411</v>
      </c>
      <c r="D240" s="58">
        <v>1029.4000000000001</v>
      </c>
    </row>
    <row r="241" spans="1:4">
      <c r="A241" s="57">
        <v>2259</v>
      </c>
      <c r="B241" s="57">
        <v>61366</v>
      </c>
      <c r="C241" s="58">
        <v>701.1</v>
      </c>
      <c r="D241" s="58">
        <v>506.8</v>
      </c>
    </row>
    <row r="242" spans="1:4">
      <c r="A242" s="57">
        <v>2260</v>
      </c>
      <c r="B242" s="57">
        <v>61366</v>
      </c>
      <c r="C242" s="58">
        <v>701.1</v>
      </c>
      <c r="D242" s="58">
        <v>506.8</v>
      </c>
    </row>
    <row r="243" spans="1:4">
      <c r="A243" s="57">
        <v>2261</v>
      </c>
      <c r="B243" s="57">
        <v>61366</v>
      </c>
      <c r="C243" s="58">
        <v>701.1</v>
      </c>
      <c r="D243" s="58">
        <v>506.8</v>
      </c>
    </row>
    <row r="244" spans="1:4">
      <c r="A244" s="57">
        <v>2262</v>
      </c>
      <c r="B244" s="57">
        <v>61366</v>
      </c>
      <c r="C244" s="58">
        <v>701.1</v>
      </c>
      <c r="D244" s="58">
        <v>506.8</v>
      </c>
    </row>
    <row r="245" spans="1:4">
      <c r="A245" s="57">
        <v>2263</v>
      </c>
      <c r="B245" s="57">
        <v>61366</v>
      </c>
      <c r="C245" s="58">
        <v>701.1</v>
      </c>
      <c r="D245" s="58">
        <v>506.8</v>
      </c>
    </row>
    <row r="246" spans="1:4">
      <c r="A246" s="57">
        <v>2264</v>
      </c>
      <c r="B246" s="57">
        <v>61366</v>
      </c>
      <c r="C246" s="58">
        <v>701.1</v>
      </c>
      <c r="D246" s="58">
        <v>506.8</v>
      </c>
    </row>
    <row r="247" spans="1:4">
      <c r="A247" s="57">
        <v>2265</v>
      </c>
      <c r="B247" s="57">
        <v>61366</v>
      </c>
      <c r="C247" s="58">
        <v>701.1</v>
      </c>
      <c r="D247" s="58">
        <v>506.8</v>
      </c>
    </row>
    <row r="248" spans="1:4">
      <c r="A248" s="57">
        <v>2267</v>
      </c>
      <c r="B248" s="57">
        <v>61366</v>
      </c>
      <c r="C248" s="58">
        <v>701.1</v>
      </c>
      <c r="D248" s="58">
        <v>506.8</v>
      </c>
    </row>
    <row r="249" spans="1:4">
      <c r="A249" s="57">
        <v>2278</v>
      </c>
      <c r="B249" s="57">
        <v>61055</v>
      </c>
      <c r="C249" s="58">
        <v>679.8</v>
      </c>
      <c r="D249" s="58">
        <v>506.2</v>
      </c>
    </row>
    <row r="250" spans="1:4">
      <c r="A250" s="57">
        <v>2280</v>
      </c>
      <c r="B250" s="57">
        <v>61055</v>
      </c>
      <c r="C250" s="58">
        <v>679.8</v>
      </c>
      <c r="D250" s="58">
        <v>506.2</v>
      </c>
    </row>
    <row r="251" spans="1:4">
      <c r="A251" s="57">
        <v>2281</v>
      </c>
      <c r="B251" s="57">
        <v>61055</v>
      </c>
      <c r="C251" s="58">
        <v>679.8</v>
      </c>
      <c r="D251" s="58">
        <v>506.2</v>
      </c>
    </row>
    <row r="252" spans="1:4">
      <c r="A252" s="57">
        <v>2282</v>
      </c>
      <c r="B252" s="57">
        <v>61055</v>
      </c>
      <c r="C252" s="58">
        <v>679.8</v>
      </c>
      <c r="D252" s="58">
        <v>506.2</v>
      </c>
    </row>
    <row r="253" spans="1:4">
      <c r="A253" s="57">
        <v>2283</v>
      </c>
      <c r="B253" s="57">
        <v>61366</v>
      </c>
      <c r="C253" s="58">
        <v>701.1</v>
      </c>
      <c r="D253" s="58">
        <v>506.8</v>
      </c>
    </row>
    <row r="254" spans="1:4">
      <c r="A254" s="57">
        <v>2284</v>
      </c>
      <c r="B254" s="57">
        <v>61055</v>
      </c>
      <c r="C254" s="58">
        <v>679.8</v>
      </c>
      <c r="D254" s="58">
        <v>506.2</v>
      </c>
    </row>
    <row r="255" spans="1:4">
      <c r="A255" s="57">
        <v>2285</v>
      </c>
      <c r="B255" s="57">
        <v>61055</v>
      </c>
      <c r="C255" s="58">
        <v>679.8</v>
      </c>
      <c r="D255" s="58">
        <v>506.2</v>
      </c>
    </row>
    <row r="256" spans="1:4">
      <c r="A256" s="57">
        <v>2286</v>
      </c>
      <c r="B256" s="57">
        <v>61055</v>
      </c>
      <c r="C256" s="58">
        <v>679.8</v>
      </c>
      <c r="D256" s="58">
        <v>506.2</v>
      </c>
    </row>
    <row r="257" spans="1:4">
      <c r="A257" s="57">
        <v>2287</v>
      </c>
      <c r="B257" s="57">
        <v>61055</v>
      </c>
      <c r="C257" s="58">
        <v>679.8</v>
      </c>
      <c r="D257" s="58">
        <v>506.2</v>
      </c>
    </row>
    <row r="258" spans="1:4">
      <c r="A258" s="57">
        <v>2289</v>
      </c>
      <c r="B258" s="57">
        <v>61055</v>
      </c>
      <c r="C258" s="58">
        <v>679.8</v>
      </c>
      <c r="D258" s="58">
        <v>506.2</v>
      </c>
    </row>
    <row r="259" spans="1:4">
      <c r="A259" s="57">
        <v>2290</v>
      </c>
      <c r="B259" s="57">
        <v>61055</v>
      </c>
      <c r="C259" s="58">
        <v>679.8</v>
      </c>
      <c r="D259" s="58">
        <v>506.2</v>
      </c>
    </row>
    <row r="260" spans="1:4">
      <c r="A260" s="57">
        <v>2291</v>
      </c>
      <c r="B260" s="57">
        <v>61055</v>
      </c>
      <c r="C260" s="58">
        <v>679.8</v>
      </c>
      <c r="D260" s="58">
        <v>506.2</v>
      </c>
    </row>
    <row r="261" spans="1:4">
      <c r="A261" s="57">
        <v>2292</v>
      </c>
      <c r="B261" s="57">
        <v>61055</v>
      </c>
      <c r="C261" s="58">
        <v>679.8</v>
      </c>
      <c r="D261" s="58">
        <v>506.2</v>
      </c>
    </row>
    <row r="262" spans="1:4">
      <c r="A262" s="57">
        <v>2293</v>
      </c>
      <c r="B262" s="57">
        <v>61055</v>
      </c>
      <c r="C262" s="58">
        <v>679.8</v>
      </c>
      <c r="D262" s="58">
        <v>506.2</v>
      </c>
    </row>
    <row r="263" spans="1:4">
      <c r="A263" s="57">
        <v>2294</v>
      </c>
      <c r="B263" s="57">
        <v>61055</v>
      </c>
      <c r="C263" s="58">
        <v>679.8</v>
      </c>
      <c r="D263" s="58">
        <v>506.2</v>
      </c>
    </row>
    <row r="264" spans="1:4">
      <c r="A264" s="57">
        <v>2295</v>
      </c>
      <c r="B264" s="57">
        <v>61055</v>
      </c>
      <c r="C264" s="58">
        <v>679.8</v>
      </c>
      <c r="D264" s="58">
        <v>506.2</v>
      </c>
    </row>
    <row r="265" spans="1:4">
      <c r="A265" s="57">
        <v>2296</v>
      </c>
      <c r="B265" s="57">
        <v>61055</v>
      </c>
      <c r="C265" s="58">
        <v>679.8</v>
      </c>
      <c r="D265" s="58">
        <v>506.2</v>
      </c>
    </row>
    <row r="266" spans="1:4">
      <c r="A266" s="57">
        <v>2297</v>
      </c>
      <c r="B266" s="57">
        <v>61055</v>
      </c>
      <c r="C266" s="58">
        <v>679.8</v>
      </c>
      <c r="D266" s="58">
        <v>506.2</v>
      </c>
    </row>
    <row r="267" spans="1:4">
      <c r="A267" s="57">
        <v>2298</v>
      </c>
      <c r="B267" s="57">
        <v>61055</v>
      </c>
      <c r="C267" s="58">
        <v>679.8</v>
      </c>
      <c r="D267" s="58">
        <v>506.2</v>
      </c>
    </row>
    <row r="268" spans="1:4">
      <c r="A268" s="57">
        <v>2299</v>
      </c>
      <c r="B268" s="57">
        <v>61055</v>
      </c>
      <c r="C268" s="58">
        <v>679.8</v>
      </c>
      <c r="D268" s="58">
        <v>506.2</v>
      </c>
    </row>
    <row r="269" spans="1:4">
      <c r="A269" s="57">
        <v>2300</v>
      </c>
      <c r="B269" s="57">
        <v>61055</v>
      </c>
      <c r="C269" s="58">
        <v>679.8</v>
      </c>
      <c r="D269" s="58">
        <v>506.2</v>
      </c>
    </row>
    <row r="270" spans="1:4">
      <c r="A270" s="57">
        <v>2302</v>
      </c>
      <c r="B270" s="57">
        <v>61055</v>
      </c>
      <c r="C270" s="58">
        <v>679.8</v>
      </c>
      <c r="D270" s="58">
        <v>506.2</v>
      </c>
    </row>
    <row r="271" spans="1:4">
      <c r="A271" s="57">
        <v>2303</v>
      </c>
      <c r="B271" s="57">
        <v>61055</v>
      </c>
      <c r="C271" s="58">
        <v>679.8</v>
      </c>
      <c r="D271" s="58">
        <v>506.2</v>
      </c>
    </row>
    <row r="272" spans="1:4">
      <c r="A272" s="57">
        <v>2304</v>
      </c>
      <c r="B272" s="57">
        <v>61055</v>
      </c>
      <c r="C272" s="58">
        <v>679.8</v>
      </c>
      <c r="D272" s="58">
        <v>506.2</v>
      </c>
    </row>
    <row r="273" spans="1:4">
      <c r="A273" s="57">
        <v>2305</v>
      </c>
      <c r="B273" s="57">
        <v>61055</v>
      </c>
      <c r="C273" s="58">
        <v>679.8</v>
      </c>
      <c r="D273" s="58">
        <v>506.2</v>
      </c>
    </row>
    <row r="274" spans="1:4">
      <c r="A274" s="57">
        <v>2306</v>
      </c>
      <c r="B274" s="57">
        <v>61055</v>
      </c>
      <c r="C274" s="58">
        <v>679.8</v>
      </c>
      <c r="D274" s="58">
        <v>506.2</v>
      </c>
    </row>
    <row r="275" spans="1:4">
      <c r="A275" s="57">
        <v>2307</v>
      </c>
      <c r="B275" s="57">
        <v>61055</v>
      </c>
      <c r="C275" s="58">
        <v>679.8</v>
      </c>
      <c r="D275" s="58">
        <v>506.2</v>
      </c>
    </row>
    <row r="276" spans="1:4">
      <c r="A276" s="57">
        <v>2308</v>
      </c>
      <c r="B276" s="57">
        <v>61055</v>
      </c>
      <c r="C276" s="58">
        <v>679.8</v>
      </c>
      <c r="D276" s="58">
        <v>506.2</v>
      </c>
    </row>
    <row r="277" spans="1:4">
      <c r="A277" s="57">
        <v>2309</v>
      </c>
      <c r="B277" s="57">
        <v>56238</v>
      </c>
      <c r="C277" s="58">
        <v>99.8</v>
      </c>
      <c r="D277" s="58">
        <v>1872.1</v>
      </c>
    </row>
    <row r="278" spans="1:4">
      <c r="A278" s="57">
        <v>2311</v>
      </c>
      <c r="B278" s="57">
        <v>61250</v>
      </c>
      <c r="C278" s="58">
        <v>583.79999999999995</v>
      </c>
      <c r="D278" s="58">
        <v>726.9</v>
      </c>
    </row>
    <row r="279" spans="1:4">
      <c r="A279" s="57">
        <v>2312</v>
      </c>
      <c r="B279" s="57">
        <v>60141</v>
      </c>
      <c r="C279" s="58">
        <v>710.5</v>
      </c>
      <c r="D279" s="58">
        <v>654.4</v>
      </c>
    </row>
    <row r="280" spans="1:4">
      <c r="A280" s="57">
        <v>2315</v>
      </c>
      <c r="B280" s="57">
        <v>61078</v>
      </c>
      <c r="C280" s="58">
        <v>598.4</v>
      </c>
      <c r="D280" s="58">
        <v>727.9</v>
      </c>
    </row>
    <row r="281" spans="1:4">
      <c r="A281" s="57">
        <v>2316</v>
      </c>
      <c r="B281" s="57">
        <v>61078</v>
      </c>
      <c r="C281" s="58">
        <v>598.4</v>
      </c>
      <c r="D281" s="58">
        <v>727.9</v>
      </c>
    </row>
    <row r="282" spans="1:4">
      <c r="A282" s="57">
        <v>2317</v>
      </c>
      <c r="B282" s="57">
        <v>61078</v>
      </c>
      <c r="C282" s="58">
        <v>598.4</v>
      </c>
      <c r="D282" s="58">
        <v>727.9</v>
      </c>
    </row>
    <row r="283" spans="1:4">
      <c r="A283" s="57">
        <v>2318</v>
      </c>
      <c r="B283" s="57">
        <v>61078</v>
      </c>
      <c r="C283" s="58">
        <v>598.4</v>
      </c>
      <c r="D283" s="58">
        <v>727.9</v>
      </c>
    </row>
    <row r="284" spans="1:4">
      <c r="A284" s="57">
        <v>2319</v>
      </c>
      <c r="B284" s="57">
        <v>61078</v>
      </c>
      <c r="C284" s="58">
        <v>598.4</v>
      </c>
      <c r="D284" s="58">
        <v>727.9</v>
      </c>
    </row>
    <row r="285" spans="1:4">
      <c r="A285" s="57">
        <v>2320</v>
      </c>
      <c r="B285" s="57">
        <v>61250</v>
      </c>
      <c r="C285" s="58">
        <v>583.79999999999995</v>
      </c>
      <c r="D285" s="58">
        <v>726.9</v>
      </c>
    </row>
    <row r="286" spans="1:4">
      <c r="A286" s="57">
        <v>2321</v>
      </c>
      <c r="B286" s="57">
        <v>61250</v>
      </c>
      <c r="C286" s="58">
        <v>583.79999999999995</v>
      </c>
      <c r="D286" s="58">
        <v>726.9</v>
      </c>
    </row>
    <row r="287" spans="1:4">
      <c r="A287" s="57">
        <v>2322</v>
      </c>
      <c r="B287" s="57">
        <v>61078</v>
      </c>
      <c r="C287" s="58">
        <v>598.4</v>
      </c>
      <c r="D287" s="58">
        <v>727.9</v>
      </c>
    </row>
    <row r="288" spans="1:4">
      <c r="A288" s="57">
        <v>2323</v>
      </c>
      <c r="B288" s="57">
        <v>61250</v>
      </c>
      <c r="C288" s="58">
        <v>583.79999999999995</v>
      </c>
      <c r="D288" s="58">
        <v>726.9</v>
      </c>
    </row>
    <row r="289" spans="1:4">
      <c r="A289" s="57">
        <v>2324</v>
      </c>
      <c r="B289" s="57">
        <v>61078</v>
      </c>
      <c r="C289" s="58">
        <v>598.4</v>
      </c>
      <c r="D289" s="58">
        <v>727.9</v>
      </c>
    </row>
    <row r="290" spans="1:4">
      <c r="A290" s="57">
        <v>2325</v>
      </c>
      <c r="B290" s="57">
        <v>61260</v>
      </c>
      <c r="C290" s="58">
        <v>432.2</v>
      </c>
      <c r="D290" s="58">
        <v>936.9</v>
      </c>
    </row>
    <row r="291" spans="1:4">
      <c r="A291" s="57">
        <v>2326</v>
      </c>
      <c r="B291" s="57">
        <v>61260</v>
      </c>
      <c r="C291" s="58">
        <v>432.2</v>
      </c>
      <c r="D291" s="58">
        <v>936.9</v>
      </c>
    </row>
    <row r="292" spans="1:4">
      <c r="A292" s="57">
        <v>2327</v>
      </c>
      <c r="B292" s="57">
        <v>61260</v>
      </c>
      <c r="C292" s="58">
        <v>432.2</v>
      </c>
      <c r="D292" s="58">
        <v>936.9</v>
      </c>
    </row>
    <row r="293" spans="1:4">
      <c r="A293" s="57">
        <v>2328</v>
      </c>
      <c r="B293" s="57">
        <v>61363</v>
      </c>
      <c r="C293" s="58">
        <v>420.6</v>
      </c>
      <c r="D293" s="58">
        <v>1066.5</v>
      </c>
    </row>
    <row r="294" spans="1:4">
      <c r="A294" s="57">
        <v>2329</v>
      </c>
      <c r="B294" s="57">
        <v>61287</v>
      </c>
      <c r="C294" s="58">
        <v>349.6</v>
      </c>
      <c r="D294" s="58">
        <v>1259.3</v>
      </c>
    </row>
    <row r="295" spans="1:4">
      <c r="A295" s="57">
        <v>2330</v>
      </c>
      <c r="B295" s="57">
        <v>61363</v>
      </c>
      <c r="C295" s="58">
        <v>420.6</v>
      </c>
      <c r="D295" s="58">
        <v>1066.5</v>
      </c>
    </row>
    <row r="296" spans="1:4">
      <c r="A296" s="57">
        <v>2333</v>
      </c>
      <c r="B296" s="57">
        <v>61287</v>
      </c>
      <c r="C296" s="58">
        <v>349.6</v>
      </c>
      <c r="D296" s="58">
        <v>1259.3</v>
      </c>
    </row>
    <row r="297" spans="1:4">
      <c r="A297" s="57">
        <v>2334</v>
      </c>
      <c r="B297" s="57">
        <v>61260</v>
      </c>
      <c r="C297" s="58">
        <v>432.2</v>
      </c>
      <c r="D297" s="58">
        <v>936.9</v>
      </c>
    </row>
    <row r="298" spans="1:4">
      <c r="A298" s="57">
        <v>2335</v>
      </c>
      <c r="B298" s="57">
        <v>61260</v>
      </c>
      <c r="C298" s="58">
        <v>432.2</v>
      </c>
      <c r="D298" s="58">
        <v>936.9</v>
      </c>
    </row>
    <row r="299" spans="1:4">
      <c r="A299" s="57">
        <v>2336</v>
      </c>
      <c r="B299" s="57">
        <v>61363</v>
      </c>
      <c r="C299" s="58">
        <v>420.6</v>
      </c>
      <c r="D299" s="58">
        <v>1066.5</v>
      </c>
    </row>
    <row r="300" spans="1:4">
      <c r="A300" s="57">
        <v>2337</v>
      </c>
      <c r="B300" s="57">
        <v>61363</v>
      </c>
      <c r="C300" s="58">
        <v>420.6</v>
      </c>
      <c r="D300" s="58">
        <v>1066.5</v>
      </c>
    </row>
    <row r="301" spans="1:4">
      <c r="A301" s="57">
        <v>2338</v>
      </c>
      <c r="B301" s="57">
        <v>61392</v>
      </c>
      <c r="C301" s="58">
        <v>174.7</v>
      </c>
      <c r="D301" s="58">
        <v>1364.4</v>
      </c>
    </row>
    <row r="302" spans="1:4">
      <c r="A302" s="57">
        <v>2339</v>
      </c>
      <c r="B302" s="57">
        <v>61392</v>
      </c>
      <c r="C302" s="58">
        <v>174.7</v>
      </c>
      <c r="D302" s="58">
        <v>1364.4</v>
      </c>
    </row>
    <row r="303" spans="1:4">
      <c r="A303" s="57">
        <v>2340</v>
      </c>
      <c r="B303" s="57">
        <v>55325</v>
      </c>
      <c r="C303" s="58">
        <v>320.10000000000002</v>
      </c>
      <c r="D303" s="58">
        <v>1107.4000000000001</v>
      </c>
    </row>
    <row r="304" spans="1:4">
      <c r="A304" s="57">
        <v>2341</v>
      </c>
      <c r="B304" s="57">
        <v>55325</v>
      </c>
      <c r="C304" s="58">
        <v>320.10000000000002</v>
      </c>
      <c r="D304" s="58">
        <v>1107.4000000000001</v>
      </c>
    </row>
    <row r="305" spans="1:4">
      <c r="A305" s="57">
        <v>2342</v>
      </c>
      <c r="B305" s="57">
        <v>55325</v>
      </c>
      <c r="C305" s="58">
        <v>320.10000000000002</v>
      </c>
      <c r="D305" s="58">
        <v>1107.4000000000001</v>
      </c>
    </row>
    <row r="306" spans="1:4">
      <c r="A306" s="57">
        <v>2343</v>
      </c>
      <c r="B306" s="57">
        <v>61392</v>
      </c>
      <c r="C306" s="58">
        <v>174.7</v>
      </c>
      <c r="D306" s="58">
        <v>1364.4</v>
      </c>
    </row>
    <row r="307" spans="1:4">
      <c r="A307" s="57">
        <v>2344</v>
      </c>
      <c r="B307" s="57">
        <v>55325</v>
      </c>
      <c r="C307" s="58">
        <v>320.10000000000002</v>
      </c>
      <c r="D307" s="58">
        <v>1107.4000000000001</v>
      </c>
    </row>
    <row r="308" spans="1:4">
      <c r="A308" s="57">
        <v>2345</v>
      </c>
      <c r="B308" s="57">
        <v>55325</v>
      </c>
      <c r="C308" s="58">
        <v>320.10000000000002</v>
      </c>
      <c r="D308" s="58">
        <v>1107.4000000000001</v>
      </c>
    </row>
    <row r="309" spans="1:4">
      <c r="A309" s="57">
        <v>2346</v>
      </c>
      <c r="B309" s="57">
        <v>55325</v>
      </c>
      <c r="C309" s="58">
        <v>320.10000000000002</v>
      </c>
      <c r="D309" s="58">
        <v>1107.4000000000001</v>
      </c>
    </row>
    <row r="310" spans="1:4">
      <c r="A310" s="57">
        <v>2347</v>
      </c>
      <c r="B310" s="57">
        <v>54038</v>
      </c>
      <c r="C310" s="58">
        <v>493.1</v>
      </c>
      <c r="D310" s="58">
        <v>812.6</v>
      </c>
    </row>
    <row r="311" spans="1:4">
      <c r="A311" s="57">
        <v>2350</v>
      </c>
      <c r="B311" s="57">
        <v>56238</v>
      </c>
      <c r="C311" s="58">
        <v>99.8</v>
      </c>
      <c r="D311" s="58">
        <v>1872.1</v>
      </c>
    </row>
    <row r="312" spans="1:4">
      <c r="A312" s="57">
        <v>2351</v>
      </c>
      <c r="B312" s="57">
        <v>55325</v>
      </c>
      <c r="C312" s="58">
        <v>320.10000000000002</v>
      </c>
      <c r="D312" s="58">
        <v>1107.4000000000001</v>
      </c>
    </row>
    <row r="313" spans="1:4">
      <c r="A313" s="57">
        <v>2352</v>
      </c>
      <c r="B313" s="57">
        <v>55325</v>
      </c>
      <c r="C313" s="58">
        <v>320.10000000000002</v>
      </c>
      <c r="D313" s="58">
        <v>1107.4000000000001</v>
      </c>
    </row>
    <row r="314" spans="1:4">
      <c r="A314" s="57">
        <v>2353</v>
      </c>
      <c r="B314" s="57">
        <v>55325</v>
      </c>
      <c r="C314" s="58">
        <v>320.10000000000002</v>
      </c>
      <c r="D314" s="58">
        <v>1107.4000000000001</v>
      </c>
    </row>
    <row r="315" spans="1:4">
      <c r="A315" s="57">
        <v>2354</v>
      </c>
      <c r="B315" s="57">
        <v>56238</v>
      </c>
      <c r="C315" s="58">
        <v>99.8</v>
      </c>
      <c r="D315" s="58">
        <v>1872.1</v>
      </c>
    </row>
    <row r="316" spans="1:4">
      <c r="A316" s="57">
        <v>2355</v>
      </c>
      <c r="B316" s="57">
        <v>55325</v>
      </c>
      <c r="C316" s="58">
        <v>320.10000000000002</v>
      </c>
      <c r="D316" s="58">
        <v>1107.4000000000001</v>
      </c>
    </row>
    <row r="317" spans="1:4">
      <c r="A317" s="57">
        <v>2356</v>
      </c>
      <c r="B317" s="57">
        <v>51161</v>
      </c>
      <c r="C317" s="58">
        <v>519.70000000000005</v>
      </c>
      <c r="D317" s="58">
        <v>903.7</v>
      </c>
    </row>
    <row r="318" spans="1:4">
      <c r="A318" s="57">
        <v>2357</v>
      </c>
      <c r="B318" s="57">
        <v>61287</v>
      </c>
      <c r="C318" s="58">
        <v>349.6</v>
      </c>
      <c r="D318" s="58">
        <v>1259.3</v>
      </c>
    </row>
    <row r="319" spans="1:4">
      <c r="A319" s="57">
        <v>2358</v>
      </c>
      <c r="B319" s="57">
        <v>56238</v>
      </c>
      <c r="C319" s="58">
        <v>99.8</v>
      </c>
      <c r="D319" s="58">
        <v>1872.1</v>
      </c>
    </row>
    <row r="320" spans="1:4">
      <c r="A320" s="57">
        <v>2359</v>
      </c>
      <c r="B320" s="57">
        <v>56018</v>
      </c>
      <c r="C320" s="58">
        <v>278.39999999999998</v>
      </c>
      <c r="D320" s="58">
        <v>1056.4000000000001</v>
      </c>
    </row>
    <row r="321" spans="1:4">
      <c r="A321" s="57">
        <v>2360</v>
      </c>
      <c r="B321" s="57">
        <v>56018</v>
      </c>
      <c r="C321" s="58">
        <v>278.39999999999998</v>
      </c>
      <c r="D321" s="58">
        <v>1056.4000000000001</v>
      </c>
    </row>
    <row r="322" spans="1:4">
      <c r="A322" s="57">
        <v>2361</v>
      </c>
      <c r="B322" s="57">
        <v>56018</v>
      </c>
      <c r="C322" s="58">
        <v>278.39999999999998</v>
      </c>
      <c r="D322" s="58">
        <v>1056.4000000000001</v>
      </c>
    </row>
    <row r="323" spans="1:4">
      <c r="A323" s="57">
        <v>2365</v>
      </c>
      <c r="B323" s="57">
        <v>56243</v>
      </c>
      <c r="C323" s="58">
        <v>89.4</v>
      </c>
      <c r="D323" s="58">
        <v>1998.5</v>
      </c>
    </row>
    <row r="324" spans="1:4">
      <c r="A324" s="57">
        <v>2369</v>
      </c>
      <c r="B324" s="57">
        <v>56018</v>
      </c>
      <c r="C324" s="58">
        <v>278.39999999999998</v>
      </c>
      <c r="D324" s="58">
        <v>1056.4000000000001</v>
      </c>
    </row>
    <row r="325" spans="1:4">
      <c r="A325" s="57">
        <v>2370</v>
      </c>
      <c r="B325" s="57">
        <v>56243</v>
      </c>
      <c r="C325" s="58">
        <v>89.4</v>
      </c>
      <c r="D325" s="58">
        <v>1998.5</v>
      </c>
    </row>
    <row r="326" spans="1:4">
      <c r="A326" s="57">
        <v>2371</v>
      </c>
      <c r="B326" s="57">
        <v>56243</v>
      </c>
      <c r="C326" s="58">
        <v>89.4</v>
      </c>
      <c r="D326" s="58">
        <v>1998.5</v>
      </c>
    </row>
    <row r="327" spans="1:4">
      <c r="A327" s="57">
        <v>2372</v>
      </c>
      <c r="B327" s="57">
        <v>41175</v>
      </c>
      <c r="C327" s="58">
        <v>210.4</v>
      </c>
      <c r="D327" s="58">
        <v>1395.1</v>
      </c>
    </row>
    <row r="328" spans="1:4">
      <c r="A328" s="57">
        <v>2379</v>
      </c>
      <c r="B328" s="57">
        <v>54038</v>
      </c>
      <c r="C328" s="58">
        <v>493.1</v>
      </c>
      <c r="D328" s="58">
        <v>812.6</v>
      </c>
    </row>
    <row r="329" spans="1:4">
      <c r="A329" s="57">
        <v>2380</v>
      </c>
      <c r="B329" s="57">
        <v>55325</v>
      </c>
      <c r="C329" s="58">
        <v>320.10000000000002</v>
      </c>
      <c r="D329" s="58">
        <v>1107.4000000000001</v>
      </c>
    </row>
    <row r="330" spans="1:4">
      <c r="A330" s="57">
        <v>2381</v>
      </c>
      <c r="B330" s="57">
        <v>55325</v>
      </c>
      <c r="C330" s="58">
        <v>320.10000000000002</v>
      </c>
      <c r="D330" s="58">
        <v>1107.4000000000001</v>
      </c>
    </row>
    <row r="331" spans="1:4">
      <c r="A331" s="57">
        <v>2382</v>
      </c>
      <c r="B331" s="57">
        <v>54038</v>
      </c>
      <c r="C331" s="58">
        <v>493.1</v>
      </c>
      <c r="D331" s="58">
        <v>812.6</v>
      </c>
    </row>
    <row r="332" spans="1:4">
      <c r="A332" s="57">
        <v>2386</v>
      </c>
      <c r="B332" s="57">
        <v>54038</v>
      </c>
      <c r="C332" s="58">
        <v>493.1</v>
      </c>
      <c r="D332" s="58">
        <v>812.6</v>
      </c>
    </row>
    <row r="333" spans="1:4">
      <c r="A333" s="57">
        <v>2387</v>
      </c>
      <c r="B333" s="57">
        <v>53115</v>
      </c>
      <c r="C333" s="58">
        <v>533.70000000000005</v>
      </c>
      <c r="D333" s="58">
        <v>755</v>
      </c>
    </row>
    <row r="334" spans="1:4">
      <c r="A334" s="57">
        <v>2388</v>
      </c>
      <c r="B334" s="57">
        <v>54038</v>
      </c>
      <c r="C334" s="58">
        <v>493.1</v>
      </c>
      <c r="D334" s="58">
        <v>812.6</v>
      </c>
    </row>
    <row r="335" spans="1:4">
      <c r="A335" s="57">
        <v>2390</v>
      </c>
      <c r="B335" s="57">
        <v>54038</v>
      </c>
      <c r="C335" s="58">
        <v>493.1</v>
      </c>
      <c r="D335" s="58">
        <v>812.6</v>
      </c>
    </row>
    <row r="336" spans="1:4">
      <c r="A336" s="57">
        <v>2395</v>
      </c>
      <c r="B336" s="57">
        <v>61287</v>
      </c>
      <c r="C336" s="58">
        <v>349.6</v>
      </c>
      <c r="D336" s="58">
        <v>1259.3</v>
      </c>
    </row>
    <row r="337" spans="1:4">
      <c r="A337" s="57">
        <v>2396</v>
      </c>
      <c r="B337" s="57">
        <v>51161</v>
      </c>
      <c r="C337" s="58">
        <v>519.70000000000005</v>
      </c>
      <c r="D337" s="58">
        <v>903.7</v>
      </c>
    </row>
    <row r="338" spans="1:4">
      <c r="A338" s="57">
        <v>2397</v>
      </c>
      <c r="B338" s="57">
        <v>54038</v>
      </c>
      <c r="C338" s="58">
        <v>493.1</v>
      </c>
      <c r="D338" s="58">
        <v>812.6</v>
      </c>
    </row>
    <row r="339" spans="1:4">
      <c r="A339" s="57">
        <v>2398</v>
      </c>
      <c r="B339" s="57">
        <v>53115</v>
      </c>
      <c r="C339" s="58">
        <v>533.70000000000005</v>
      </c>
      <c r="D339" s="58">
        <v>755</v>
      </c>
    </row>
    <row r="340" spans="1:4">
      <c r="A340" s="57">
        <v>2399</v>
      </c>
      <c r="B340" s="57">
        <v>53115</v>
      </c>
      <c r="C340" s="58">
        <v>533.70000000000005</v>
      </c>
      <c r="D340" s="58">
        <v>755</v>
      </c>
    </row>
    <row r="341" spans="1:4">
      <c r="A341" s="57">
        <v>2400</v>
      </c>
      <c r="B341" s="57">
        <v>53115</v>
      </c>
      <c r="C341" s="58">
        <v>533.70000000000005</v>
      </c>
      <c r="D341" s="58">
        <v>755</v>
      </c>
    </row>
    <row r="342" spans="1:4">
      <c r="A342" s="57">
        <v>2401</v>
      </c>
      <c r="B342" s="57">
        <v>53115</v>
      </c>
      <c r="C342" s="58">
        <v>533.70000000000005</v>
      </c>
      <c r="D342" s="58">
        <v>755</v>
      </c>
    </row>
    <row r="343" spans="1:4">
      <c r="A343" s="57">
        <v>2402</v>
      </c>
      <c r="B343" s="57">
        <v>56018</v>
      </c>
      <c r="C343" s="58">
        <v>278.39999999999998</v>
      </c>
      <c r="D343" s="58">
        <v>1056.4000000000001</v>
      </c>
    </row>
    <row r="344" spans="1:4">
      <c r="A344" s="57">
        <v>2403</v>
      </c>
      <c r="B344" s="57">
        <v>56018</v>
      </c>
      <c r="C344" s="58">
        <v>278.39999999999998</v>
      </c>
      <c r="D344" s="58">
        <v>1056.4000000000001</v>
      </c>
    </row>
    <row r="345" spans="1:4">
      <c r="A345" s="57">
        <v>2404</v>
      </c>
      <c r="B345" s="57">
        <v>53115</v>
      </c>
      <c r="C345" s="58">
        <v>533.70000000000005</v>
      </c>
      <c r="D345" s="58">
        <v>755</v>
      </c>
    </row>
    <row r="346" spans="1:4">
      <c r="A346" s="57">
        <v>2405</v>
      </c>
      <c r="B346" s="57">
        <v>41521</v>
      </c>
      <c r="C346" s="58">
        <v>746.4</v>
      </c>
      <c r="D346" s="58">
        <v>632.1</v>
      </c>
    </row>
    <row r="347" spans="1:4">
      <c r="A347" s="57">
        <v>2406</v>
      </c>
      <c r="B347" s="57">
        <v>53115</v>
      </c>
      <c r="C347" s="58">
        <v>533.70000000000005</v>
      </c>
      <c r="D347" s="58">
        <v>755</v>
      </c>
    </row>
    <row r="348" spans="1:4">
      <c r="A348" s="57">
        <v>2408</v>
      </c>
      <c r="B348" s="57">
        <v>41521</v>
      </c>
      <c r="C348" s="58">
        <v>746.4</v>
      </c>
      <c r="D348" s="58">
        <v>632.1</v>
      </c>
    </row>
    <row r="349" spans="1:4">
      <c r="A349" s="57">
        <v>2409</v>
      </c>
      <c r="B349" s="57">
        <v>41521</v>
      </c>
      <c r="C349" s="58">
        <v>746.4</v>
      </c>
      <c r="D349" s="58">
        <v>632.1</v>
      </c>
    </row>
    <row r="350" spans="1:4">
      <c r="A350" s="57">
        <v>2410</v>
      </c>
      <c r="B350" s="57">
        <v>41521</v>
      </c>
      <c r="C350" s="58">
        <v>746.4</v>
      </c>
      <c r="D350" s="58">
        <v>632.1</v>
      </c>
    </row>
    <row r="351" spans="1:4">
      <c r="A351" s="57">
        <v>2411</v>
      </c>
      <c r="B351" s="57">
        <v>53115</v>
      </c>
      <c r="C351" s="58">
        <v>533.70000000000005</v>
      </c>
      <c r="D351" s="58">
        <v>755</v>
      </c>
    </row>
    <row r="352" spans="1:4">
      <c r="A352" s="57">
        <v>2415</v>
      </c>
      <c r="B352" s="57">
        <v>61250</v>
      </c>
      <c r="C352" s="58">
        <v>583.79999999999995</v>
      </c>
      <c r="D352" s="58">
        <v>726.9</v>
      </c>
    </row>
    <row r="353" spans="1:4">
      <c r="A353" s="57">
        <v>2420</v>
      </c>
      <c r="B353" s="57">
        <v>61250</v>
      </c>
      <c r="C353" s="58">
        <v>583.79999999999995</v>
      </c>
      <c r="D353" s="58">
        <v>726.9</v>
      </c>
    </row>
    <row r="354" spans="1:4">
      <c r="A354" s="57">
        <v>2421</v>
      </c>
      <c r="B354" s="57">
        <v>61250</v>
      </c>
      <c r="C354" s="58">
        <v>583.79999999999995</v>
      </c>
      <c r="D354" s="58">
        <v>726.9</v>
      </c>
    </row>
    <row r="355" spans="1:4">
      <c r="A355" s="57">
        <v>2422</v>
      </c>
      <c r="B355" s="57">
        <v>60141</v>
      </c>
      <c r="C355" s="58">
        <v>710.5</v>
      </c>
      <c r="D355" s="58">
        <v>654.4</v>
      </c>
    </row>
    <row r="356" spans="1:4">
      <c r="A356" s="57">
        <v>2423</v>
      </c>
      <c r="B356" s="57">
        <v>61078</v>
      </c>
      <c r="C356" s="58">
        <v>598.4</v>
      </c>
      <c r="D356" s="58">
        <v>727.9</v>
      </c>
    </row>
    <row r="357" spans="1:4">
      <c r="A357" s="57">
        <v>2424</v>
      </c>
      <c r="B357" s="57">
        <v>60141</v>
      </c>
      <c r="C357" s="58">
        <v>710.5</v>
      </c>
      <c r="D357" s="58">
        <v>654.4</v>
      </c>
    </row>
    <row r="358" spans="1:4">
      <c r="A358" s="57">
        <v>2425</v>
      </c>
      <c r="B358" s="57">
        <v>61078</v>
      </c>
      <c r="C358" s="58">
        <v>598.4</v>
      </c>
      <c r="D358" s="58">
        <v>727.9</v>
      </c>
    </row>
    <row r="359" spans="1:4">
      <c r="A359" s="57">
        <v>2426</v>
      </c>
      <c r="B359" s="57">
        <v>60141</v>
      </c>
      <c r="C359" s="58">
        <v>710.5</v>
      </c>
      <c r="D359" s="58">
        <v>654.4</v>
      </c>
    </row>
    <row r="360" spans="1:4">
      <c r="A360" s="57">
        <v>2427</v>
      </c>
      <c r="B360" s="57">
        <v>60141</v>
      </c>
      <c r="C360" s="58">
        <v>710.5</v>
      </c>
      <c r="D360" s="58">
        <v>654.4</v>
      </c>
    </row>
    <row r="361" spans="1:4">
      <c r="A361" s="57">
        <v>2428</v>
      </c>
      <c r="B361" s="57">
        <v>60141</v>
      </c>
      <c r="C361" s="58">
        <v>710.5</v>
      </c>
      <c r="D361" s="58">
        <v>654.4</v>
      </c>
    </row>
    <row r="362" spans="1:4">
      <c r="A362" s="57">
        <v>2429</v>
      </c>
      <c r="B362" s="57">
        <v>60141</v>
      </c>
      <c r="C362" s="58">
        <v>710.5</v>
      </c>
      <c r="D362" s="58">
        <v>654.4</v>
      </c>
    </row>
    <row r="363" spans="1:4">
      <c r="A363" s="57">
        <v>2430</v>
      </c>
      <c r="B363" s="57">
        <v>60141</v>
      </c>
      <c r="C363" s="58">
        <v>710.5</v>
      </c>
      <c r="D363" s="58">
        <v>654.4</v>
      </c>
    </row>
    <row r="364" spans="1:4">
      <c r="A364" s="57">
        <v>2431</v>
      </c>
      <c r="B364" s="57">
        <v>59007</v>
      </c>
      <c r="C364" s="58">
        <v>636.4</v>
      </c>
      <c r="D364" s="58">
        <v>655.7</v>
      </c>
    </row>
    <row r="365" spans="1:4">
      <c r="A365" s="57">
        <v>2439</v>
      </c>
      <c r="B365" s="57">
        <v>60141</v>
      </c>
      <c r="C365" s="58">
        <v>710.5</v>
      </c>
      <c r="D365" s="58">
        <v>654.4</v>
      </c>
    </row>
    <row r="366" spans="1:4">
      <c r="A366" s="57">
        <v>2440</v>
      </c>
      <c r="B366" s="57">
        <v>59007</v>
      </c>
      <c r="C366" s="58">
        <v>636.4</v>
      </c>
      <c r="D366" s="58">
        <v>655.7</v>
      </c>
    </row>
    <row r="367" spans="1:4">
      <c r="A367" s="57">
        <v>2441</v>
      </c>
      <c r="B367" s="57">
        <v>59007</v>
      </c>
      <c r="C367" s="58">
        <v>636.4</v>
      </c>
      <c r="D367" s="58">
        <v>655.7</v>
      </c>
    </row>
    <row r="368" spans="1:4">
      <c r="A368" s="57">
        <v>2443</v>
      </c>
      <c r="B368" s="57">
        <v>60139</v>
      </c>
      <c r="C368" s="58">
        <v>716.2</v>
      </c>
      <c r="D368" s="58">
        <v>640.79999999999995</v>
      </c>
    </row>
    <row r="369" spans="1:4">
      <c r="A369" s="57">
        <v>2444</v>
      </c>
      <c r="B369" s="57">
        <v>60139</v>
      </c>
      <c r="C369" s="58">
        <v>716.2</v>
      </c>
      <c r="D369" s="58">
        <v>640.79999999999995</v>
      </c>
    </row>
    <row r="370" spans="1:4">
      <c r="A370" s="57">
        <v>2445</v>
      </c>
      <c r="B370" s="57">
        <v>60139</v>
      </c>
      <c r="C370" s="58">
        <v>716.2</v>
      </c>
      <c r="D370" s="58">
        <v>640.79999999999995</v>
      </c>
    </row>
    <row r="371" spans="1:4">
      <c r="A371" s="57">
        <v>2446</v>
      </c>
      <c r="B371" s="57">
        <v>60139</v>
      </c>
      <c r="C371" s="58">
        <v>716.2</v>
      </c>
      <c r="D371" s="58">
        <v>640.79999999999995</v>
      </c>
    </row>
    <row r="372" spans="1:4">
      <c r="A372" s="57">
        <v>2447</v>
      </c>
      <c r="B372" s="57">
        <v>59007</v>
      </c>
      <c r="C372" s="58">
        <v>636.4</v>
      </c>
      <c r="D372" s="58">
        <v>655.7</v>
      </c>
    </row>
    <row r="373" spans="1:4">
      <c r="A373" s="57">
        <v>2448</v>
      </c>
      <c r="B373" s="57">
        <v>59040</v>
      </c>
      <c r="C373" s="58">
        <v>804.9</v>
      </c>
      <c r="D373" s="58">
        <v>491.6</v>
      </c>
    </row>
    <row r="374" spans="1:4">
      <c r="A374" s="57">
        <v>2449</v>
      </c>
      <c r="B374" s="57">
        <v>59040</v>
      </c>
      <c r="C374" s="58">
        <v>804.9</v>
      </c>
      <c r="D374" s="58">
        <v>491.6</v>
      </c>
    </row>
    <row r="375" spans="1:4">
      <c r="A375" s="57">
        <v>2450</v>
      </c>
      <c r="B375" s="57">
        <v>59040</v>
      </c>
      <c r="C375" s="58">
        <v>804.9</v>
      </c>
      <c r="D375" s="58">
        <v>491.6</v>
      </c>
    </row>
    <row r="376" spans="1:4">
      <c r="A376" s="57">
        <v>2452</v>
      </c>
      <c r="B376" s="57">
        <v>59040</v>
      </c>
      <c r="C376" s="58">
        <v>804.9</v>
      </c>
      <c r="D376" s="58">
        <v>491.6</v>
      </c>
    </row>
    <row r="377" spans="1:4">
      <c r="A377" s="57">
        <v>2453</v>
      </c>
      <c r="B377" s="57">
        <v>59040</v>
      </c>
      <c r="C377" s="58">
        <v>804.9</v>
      </c>
      <c r="D377" s="58">
        <v>491.6</v>
      </c>
    </row>
    <row r="378" spans="1:4">
      <c r="A378" s="57">
        <v>2454</v>
      </c>
      <c r="B378" s="57">
        <v>59040</v>
      </c>
      <c r="C378" s="58">
        <v>804.9</v>
      </c>
      <c r="D378" s="58">
        <v>491.6</v>
      </c>
    </row>
    <row r="379" spans="1:4">
      <c r="A379" s="57">
        <v>2455</v>
      </c>
      <c r="B379" s="57">
        <v>59040</v>
      </c>
      <c r="C379" s="58">
        <v>804.9</v>
      </c>
      <c r="D379" s="58">
        <v>491.6</v>
      </c>
    </row>
    <row r="380" spans="1:4">
      <c r="A380" s="57">
        <v>2456</v>
      </c>
      <c r="B380" s="57">
        <v>59040</v>
      </c>
      <c r="C380" s="58">
        <v>804.9</v>
      </c>
      <c r="D380" s="58">
        <v>491.6</v>
      </c>
    </row>
    <row r="381" spans="1:4">
      <c r="A381" s="57">
        <v>2460</v>
      </c>
      <c r="B381" s="57">
        <v>58161</v>
      </c>
      <c r="C381" s="58">
        <v>799.6</v>
      </c>
      <c r="D381" s="58">
        <v>565.9</v>
      </c>
    </row>
    <row r="382" spans="1:4">
      <c r="A382" s="57">
        <v>2462</v>
      </c>
      <c r="B382" s="57">
        <v>58161</v>
      </c>
      <c r="C382" s="58">
        <v>799.6</v>
      </c>
      <c r="D382" s="58">
        <v>565.9</v>
      </c>
    </row>
    <row r="383" spans="1:4">
      <c r="A383" s="57">
        <v>2463</v>
      </c>
      <c r="B383" s="57">
        <v>58012</v>
      </c>
      <c r="C383" s="58">
        <v>1045.5</v>
      </c>
      <c r="D383" s="58">
        <v>316.2</v>
      </c>
    </row>
    <row r="384" spans="1:4">
      <c r="A384" s="57">
        <v>2464</v>
      </c>
      <c r="B384" s="57">
        <v>58012</v>
      </c>
      <c r="C384" s="58">
        <v>1045.5</v>
      </c>
      <c r="D384" s="58">
        <v>316.2</v>
      </c>
    </row>
    <row r="385" spans="1:4">
      <c r="A385" s="57">
        <v>2465</v>
      </c>
      <c r="B385" s="57">
        <v>58012</v>
      </c>
      <c r="C385" s="58">
        <v>1045.5</v>
      </c>
      <c r="D385" s="58">
        <v>316.2</v>
      </c>
    </row>
    <row r="386" spans="1:4">
      <c r="A386" s="57">
        <v>2466</v>
      </c>
      <c r="B386" s="57">
        <v>58012</v>
      </c>
      <c r="C386" s="58">
        <v>1045.5</v>
      </c>
      <c r="D386" s="58">
        <v>316.2</v>
      </c>
    </row>
    <row r="387" spans="1:4">
      <c r="A387" s="57">
        <v>2469</v>
      </c>
      <c r="B387" s="57">
        <v>58208</v>
      </c>
      <c r="C387" s="58">
        <v>753.4</v>
      </c>
      <c r="D387" s="58">
        <v>463.5</v>
      </c>
    </row>
    <row r="388" spans="1:4">
      <c r="A388" s="57">
        <v>2470</v>
      </c>
      <c r="B388" s="57">
        <v>58208</v>
      </c>
      <c r="C388" s="58">
        <v>753.4</v>
      </c>
      <c r="D388" s="58">
        <v>463.5</v>
      </c>
    </row>
    <row r="389" spans="1:4">
      <c r="A389" s="57">
        <v>2471</v>
      </c>
      <c r="B389" s="57">
        <v>58212</v>
      </c>
      <c r="C389" s="58">
        <v>955.3</v>
      </c>
      <c r="D389" s="58">
        <v>321.8</v>
      </c>
    </row>
    <row r="390" spans="1:4">
      <c r="A390" s="57">
        <v>2472</v>
      </c>
      <c r="B390" s="57">
        <v>58212</v>
      </c>
      <c r="C390" s="58">
        <v>955.3</v>
      </c>
      <c r="D390" s="58">
        <v>321.8</v>
      </c>
    </row>
    <row r="391" spans="1:4">
      <c r="A391" s="57">
        <v>2473</v>
      </c>
      <c r="B391" s="57">
        <v>58212</v>
      </c>
      <c r="C391" s="58">
        <v>955.3</v>
      </c>
      <c r="D391" s="58">
        <v>321.8</v>
      </c>
    </row>
    <row r="392" spans="1:4">
      <c r="A392" s="57">
        <v>2474</v>
      </c>
      <c r="B392" s="57">
        <v>58208</v>
      </c>
      <c r="C392" s="58">
        <v>753.4</v>
      </c>
      <c r="D392" s="58">
        <v>463.5</v>
      </c>
    </row>
    <row r="393" spans="1:4">
      <c r="A393" s="57">
        <v>2475</v>
      </c>
      <c r="B393" s="57">
        <v>41175</v>
      </c>
      <c r="C393" s="58">
        <v>210.4</v>
      </c>
      <c r="D393" s="58">
        <v>1395.1</v>
      </c>
    </row>
    <row r="394" spans="1:4">
      <c r="A394" s="57">
        <v>2476</v>
      </c>
      <c r="B394" s="57">
        <v>41525</v>
      </c>
      <c r="C394" s="58">
        <v>456.8</v>
      </c>
      <c r="D394" s="58">
        <v>920.4</v>
      </c>
    </row>
    <row r="395" spans="1:4">
      <c r="A395" s="57">
        <v>2477</v>
      </c>
      <c r="B395" s="57">
        <v>58198</v>
      </c>
      <c r="C395" s="58">
        <v>990.6</v>
      </c>
      <c r="D395" s="58">
        <v>406.9</v>
      </c>
    </row>
    <row r="396" spans="1:4">
      <c r="A396" s="57">
        <v>2478</v>
      </c>
      <c r="B396" s="57">
        <v>58198</v>
      </c>
      <c r="C396" s="58">
        <v>990.6</v>
      </c>
      <c r="D396" s="58">
        <v>406.9</v>
      </c>
    </row>
    <row r="397" spans="1:4">
      <c r="A397" s="57">
        <v>2479</v>
      </c>
      <c r="B397" s="57">
        <v>58198</v>
      </c>
      <c r="C397" s="58">
        <v>990.6</v>
      </c>
      <c r="D397" s="58">
        <v>406.9</v>
      </c>
    </row>
    <row r="398" spans="1:4">
      <c r="A398" s="57">
        <v>2480</v>
      </c>
      <c r="B398" s="57">
        <v>58208</v>
      </c>
      <c r="C398" s="58">
        <v>753.4</v>
      </c>
      <c r="D398" s="58">
        <v>463.5</v>
      </c>
    </row>
    <row r="399" spans="1:4">
      <c r="A399" s="57">
        <v>2481</v>
      </c>
      <c r="B399" s="57">
        <v>58198</v>
      </c>
      <c r="C399" s="58">
        <v>990.6</v>
      </c>
      <c r="D399" s="58">
        <v>406.9</v>
      </c>
    </row>
    <row r="400" spans="1:4">
      <c r="A400" s="57">
        <v>2482</v>
      </c>
      <c r="B400" s="57">
        <v>58198</v>
      </c>
      <c r="C400" s="58">
        <v>990.6</v>
      </c>
      <c r="D400" s="58">
        <v>406.9</v>
      </c>
    </row>
    <row r="401" spans="1:4">
      <c r="A401" s="57">
        <v>2483</v>
      </c>
      <c r="B401" s="57">
        <v>40717</v>
      </c>
      <c r="C401" s="58">
        <v>1023.9</v>
      </c>
      <c r="D401" s="58">
        <v>260.2</v>
      </c>
    </row>
    <row r="402" spans="1:4">
      <c r="A402" s="57">
        <v>2484</v>
      </c>
      <c r="B402" s="57">
        <v>40717</v>
      </c>
      <c r="C402" s="58">
        <v>1023.9</v>
      </c>
      <c r="D402" s="58">
        <v>260.2</v>
      </c>
    </row>
    <row r="403" spans="1:4">
      <c r="A403" s="57">
        <v>2485</v>
      </c>
      <c r="B403" s="57">
        <v>40717</v>
      </c>
      <c r="C403" s="58">
        <v>1023.9</v>
      </c>
      <c r="D403" s="58">
        <v>260.2</v>
      </c>
    </row>
    <row r="404" spans="1:4">
      <c r="A404" s="57">
        <v>2486</v>
      </c>
      <c r="B404" s="57">
        <v>40717</v>
      </c>
      <c r="C404" s="58">
        <v>1023.9</v>
      </c>
      <c r="D404" s="58">
        <v>260.2</v>
      </c>
    </row>
    <row r="405" spans="1:4">
      <c r="A405" s="57">
        <v>2487</v>
      </c>
      <c r="B405" s="57">
        <v>40717</v>
      </c>
      <c r="C405" s="58">
        <v>1023.9</v>
      </c>
      <c r="D405" s="58">
        <v>260.2</v>
      </c>
    </row>
    <row r="406" spans="1:4">
      <c r="A406" s="57">
        <v>2488</v>
      </c>
      <c r="B406" s="57">
        <v>40717</v>
      </c>
      <c r="C406" s="58">
        <v>1023.9</v>
      </c>
      <c r="D406" s="58">
        <v>260.2</v>
      </c>
    </row>
    <row r="407" spans="1:4">
      <c r="A407" s="57">
        <v>2489</v>
      </c>
      <c r="B407" s="57">
        <v>40717</v>
      </c>
      <c r="C407" s="58">
        <v>1023.9</v>
      </c>
      <c r="D407" s="58">
        <v>260.2</v>
      </c>
    </row>
    <row r="408" spans="1:4">
      <c r="A408" s="57">
        <v>2490</v>
      </c>
      <c r="B408" s="57">
        <v>40717</v>
      </c>
      <c r="C408" s="58">
        <v>1023.9</v>
      </c>
      <c r="D408" s="58">
        <v>260.2</v>
      </c>
    </row>
    <row r="409" spans="1:4">
      <c r="A409" s="57">
        <v>2500</v>
      </c>
      <c r="B409" s="57">
        <v>68228</v>
      </c>
      <c r="C409" s="58">
        <v>510.2</v>
      </c>
      <c r="D409" s="58">
        <v>575.5</v>
      </c>
    </row>
    <row r="410" spans="1:4">
      <c r="A410" s="57">
        <v>2502</v>
      </c>
      <c r="B410" s="57">
        <v>68228</v>
      </c>
      <c r="C410" s="58">
        <v>510.2</v>
      </c>
      <c r="D410" s="58">
        <v>575.5</v>
      </c>
    </row>
    <row r="411" spans="1:4">
      <c r="A411" s="57">
        <v>2505</v>
      </c>
      <c r="B411" s="57">
        <v>68228</v>
      </c>
      <c r="C411" s="58">
        <v>510.2</v>
      </c>
      <c r="D411" s="58">
        <v>575.5</v>
      </c>
    </row>
    <row r="412" spans="1:4">
      <c r="A412" s="57">
        <v>2506</v>
      </c>
      <c r="B412" s="57">
        <v>68241</v>
      </c>
      <c r="C412" s="58">
        <v>449.2</v>
      </c>
      <c r="D412" s="58">
        <v>855.2</v>
      </c>
    </row>
    <row r="413" spans="1:4">
      <c r="A413" s="57">
        <v>2508</v>
      </c>
      <c r="B413" s="57">
        <v>68228</v>
      </c>
      <c r="C413" s="58">
        <v>510.2</v>
      </c>
      <c r="D413" s="58">
        <v>575.5</v>
      </c>
    </row>
    <row r="414" spans="1:4">
      <c r="A414" s="57">
        <v>2515</v>
      </c>
      <c r="B414" s="57">
        <v>68228</v>
      </c>
      <c r="C414" s="58">
        <v>510.2</v>
      </c>
      <c r="D414" s="58">
        <v>575.5</v>
      </c>
    </row>
    <row r="415" spans="1:4">
      <c r="A415" s="57">
        <v>2516</v>
      </c>
      <c r="B415" s="57">
        <v>68228</v>
      </c>
      <c r="C415" s="58">
        <v>510.2</v>
      </c>
      <c r="D415" s="58">
        <v>575.5</v>
      </c>
    </row>
    <row r="416" spans="1:4">
      <c r="A416" s="57">
        <v>2517</v>
      </c>
      <c r="B416" s="57">
        <v>68228</v>
      </c>
      <c r="C416" s="58">
        <v>510.2</v>
      </c>
      <c r="D416" s="58">
        <v>575.5</v>
      </c>
    </row>
    <row r="417" spans="1:4">
      <c r="A417" s="57">
        <v>2518</v>
      </c>
      <c r="B417" s="57">
        <v>68228</v>
      </c>
      <c r="C417" s="58">
        <v>510.2</v>
      </c>
      <c r="D417" s="58">
        <v>575.5</v>
      </c>
    </row>
    <row r="418" spans="1:4">
      <c r="A418" s="57">
        <v>2519</v>
      </c>
      <c r="B418" s="57">
        <v>68228</v>
      </c>
      <c r="C418" s="58">
        <v>510.2</v>
      </c>
      <c r="D418" s="58">
        <v>575.5</v>
      </c>
    </row>
    <row r="419" spans="1:4">
      <c r="A419" s="57">
        <v>2522</v>
      </c>
      <c r="B419" s="57">
        <v>68228</v>
      </c>
      <c r="C419" s="58">
        <v>510.2</v>
      </c>
      <c r="D419" s="58">
        <v>575.5</v>
      </c>
    </row>
    <row r="420" spans="1:4">
      <c r="A420" s="57">
        <v>2525</v>
      </c>
      <c r="B420" s="57">
        <v>68228</v>
      </c>
      <c r="C420" s="58">
        <v>510.2</v>
      </c>
      <c r="D420" s="58">
        <v>575.5</v>
      </c>
    </row>
    <row r="421" spans="1:4">
      <c r="A421" s="57">
        <v>2526</v>
      </c>
      <c r="B421" s="57">
        <v>68228</v>
      </c>
      <c r="C421" s="58">
        <v>510.2</v>
      </c>
      <c r="D421" s="58">
        <v>575.5</v>
      </c>
    </row>
    <row r="422" spans="1:4">
      <c r="A422" s="57">
        <v>2527</v>
      </c>
      <c r="B422" s="57">
        <v>68241</v>
      </c>
      <c r="C422" s="58">
        <v>449.2</v>
      </c>
      <c r="D422" s="58">
        <v>855.2</v>
      </c>
    </row>
    <row r="423" spans="1:4">
      <c r="A423" s="57">
        <v>2528</v>
      </c>
      <c r="B423" s="57">
        <v>68241</v>
      </c>
      <c r="C423" s="58">
        <v>449.2</v>
      </c>
      <c r="D423" s="58">
        <v>855.2</v>
      </c>
    </row>
    <row r="424" spans="1:4">
      <c r="A424" s="57">
        <v>2529</v>
      </c>
      <c r="B424" s="57">
        <v>68241</v>
      </c>
      <c r="C424" s="58">
        <v>449.2</v>
      </c>
      <c r="D424" s="58">
        <v>855.2</v>
      </c>
    </row>
    <row r="425" spans="1:4">
      <c r="A425" s="57">
        <v>2530</v>
      </c>
      <c r="B425" s="57">
        <v>68241</v>
      </c>
      <c r="C425" s="58">
        <v>449.2</v>
      </c>
      <c r="D425" s="58">
        <v>855.2</v>
      </c>
    </row>
    <row r="426" spans="1:4">
      <c r="A426" s="57">
        <v>2533</v>
      </c>
      <c r="B426" s="57">
        <v>68241</v>
      </c>
      <c r="C426" s="58">
        <v>449.2</v>
      </c>
      <c r="D426" s="58">
        <v>855.2</v>
      </c>
    </row>
    <row r="427" spans="1:4">
      <c r="A427" s="57">
        <v>2534</v>
      </c>
      <c r="B427" s="57">
        <v>68241</v>
      </c>
      <c r="C427" s="58">
        <v>449.2</v>
      </c>
      <c r="D427" s="58">
        <v>855.2</v>
      </c>
    </row>
    <row r="428" spans="1:4">
      <c r="A428" s="57">
        <v>2535</v>
      </c>
      <c r="B428" s="57">
        <v>68072</v>
      </c>
      <c r="C428" s="58">
        <v>350.9</v>
      </c>
      <c r="D428" s="58">
        <v>918.6</v>
      </c>
    </row>
    <row r="429" spans="1:4">
      <c r="A429" s="57">
        <v>2536</v>
      </c>
      <c r="B429" s="57">
        <v>69148</v>
      </c>
      <c r="C429" s="58">
        <v>323.7</v>
      </c>
      <c r="D429" s="58">
        <v>1177.9000000000001</v>
      </c>
    </row>
    <row r="430" spans="1:4">
      <c r="A430" s="57">
        <v>2537</v>
      </c>
      <c r="B430" s="57">
        <v>69018</v>
      </c>
      <c r="C430" s="58">
        <v>369.7</v>
      </c>
      <c r="D430" s="58">
        <v>938</v>
      </c>
    </row>
    <row r="431" spans="1:4">
      <c r="A431" s="57">
        <v>2538</v>
      </c>
      <c r="B431" s="57">
        <v>69138</v>
      </c>
      <c r="C431" s="58">
        <v>374.1</v>
      </c>
      <c r="D431" s="58">
        <v>792.8</v>
      </c>
    </row>
    <row r="432" spans="1:4">
      <c r="A432" s="57">
        <v>2539</v>
      </c>
      <c r="B432" s="57">
        <v>69138</v>
      </c>
      <c r="C432" s="58">
        <v>374.1</v>
      </c>
      <c r="D432" s="58">
        <v>792.8</v>
      </c>
    </row>
    <row r="433" spans="1:4">
      <c r="A433" s="57">
        <v>2540</v>
      </c>
      <c r="B433" s="57">
        <v>68072</v>
      </c>
      <c r="C433" s="58">
        <v>350.9</v>
      </c>
      <c r="D433" s="58">
        <v>918.6</v>
      </c>
    </row>
    <row r="434" spans="1:4">
      <c r="A434" s="57">
        <v>2541</v>
      </c>
      <c r="B434" s="57">
        <v>68072</v>
      </c>
      <c r="C434" s="58">
        <v>350.9</v>
      </c>
      <c r="D434" s="58">
        <v>918.6</v>
      </c>
    </row>
    <row r="435" spans="1:4">
      <c r="A435" s="57">
        <v>2545</v>
      </c>
      <c r="B435" s="57">
        <v>69148</v>
      </c>
      <c r="C435" s="58">
        <v>323.7</v>
      </c>
      <c r="D435" s="58">
        <v>1177.9000000000001</v>
      </c>
    </row>
    <row r="436" spans="1:4">
      <c r="A436" s="57">
        <v>2546</v>
      </c>
      <c r="B436" s="57">
        <v>69017</v>
      </c>
      <c r="C436" s="58">
        <v>389.1</v>
      </c>
      <c r="D436" s="58">
        <v>755.5</v>
      </c>
    </row>
    <row r="437" spans="1:4">
      <c r="A437" s="57">
        <v>2548</v>
      </c>
      <c r="B437" s="57">
        <v>69147</v>
      </c>
      <c r="C437" s="58">
        <v>245.1</v>
      </c>
      <c r="D437" s="58">
        <v>1249.8</v>
      </c>
    </row>
    <row r="438" spans="1:4">
      <c r="A438" s="57">
        <v>2549</v>
      </c>
      <c r="B438" s="57">
        <v>69147</v>
      </c>
      <c r="C438" s="58">
        <v>245.1</v>
      </c>
      <c r="D438" s="58">
        <v>1249.8</v>
      </c>
    </row>
    <row r="439" spans="1:4">
      <c r="A439" s="57">
        <v>2550</v>
      </c>
      <c r="B439" s="57">
        <v>69147</v>
      </c>
      <c r="C439" s="58">
        <v>245.1</v>
      </c>
      <c r="D439" s="58">
        <v>1249.8</v>
      </c>
    </row>
    <row r="440" spans="1:4">
      <c r="A440" s="57">
        <v>2551</v>
      </c>
      <c r="B440" s="57">
        <v>69147</v>
      </c>
      <c r="C440" s="58">
        <v>245.1</v>
      </c>
      <c r="D440" s="58">
        <v>1249.8</v>
      </c>
    </row>
    <row r="441" spans="1:4">
      <c r="A441" s="57">
        <v>2555</v>
      </c>
      <c r="B441" s="57">
        <v>67108</v>
      </c>
      <c r="C441" s="58">
        <v>453.2</v>
      </c>
      <c r="D441" s="58">
        <v>944.7</v>
      </c>
    </row>
    <row r="442" spans="1:4">
      <c r="A442" s="57">
        <v>2556</v>
      </c>
      <c r="B442" s="57">
        <v>67108</v>
      </c>
      <c r="C442" s="58">
        <v>453.2</v>
      </c>
      <c r="D442" s="58">
        <v>944.7</v>
      </c>
    </row>
    <row r="443" spans="1:4">
      <c r="A443" s="57">
        <v>2557</v>
      </c>
      <c r="B443" s="57">
        <v>68257</v>
      </c>
      <c r="C443" s="58">
        <v>399.4</v>
      </c>
      <c r="D443" s="58">
        <v>960.7</v>
      </c>
    </row>
    <row r="444" spans="1:4">
      <c r="A444" s="57">
        <v>2558</v>
      </c>
      <c r="B444" s="57">
        <v>68257</v>
      </c>
      <c r="C444" s="58">
        <v>399.4</v>
      </c>
      <c r="D444" s="58">
        <v>960.7</v>
      </c>
    </row>
    <row r="445" spans="1:4">
      <c r="A445" s="57">
        <v>2559</v>
      </c>
      <c r="B445" s="57">
        <v>68257</v>
      </c>
      <c r="C445" s="58">
        <v>399.4</v>
      </c>
      <c r="D445" s="58">
        <v>960.7</v>
      </c>
    </row>
    <row r="446" spans="1:4">
      <c r="A446" s="57">
        <v>2560</v>
      </c>
      <c r="B446" s="57">
        <v>68257</v>
      </c>
      <c r="C446" s="58">
        <v>399.4</v>
      </c>
      <c r="D446" s="58">
        <v>960.7</v>
      </c>
    </row>
    <row r="447" spans="1:4">
      <c r="A447" s="57">
        <v>2563</v>
      </c>
      <c r="B447" s="57">
        <v>68257</v>
      </c>
      <c r="C447" s="58">
        <v>399.4</v>
      </c>
      <c r="D447" s="58">
        <v>960.7</v>
      </c>
    </row>
    <row r="448" spans="1:4">
      <c r="A448" s="57">
        <v>2564</v>
      </c>
      <c r="B448" s="57">
        <v>67117</v>
      </c>
      <c r="C448" s="58">
        <v>476.6</v>
      </c>
      <c r="D448" s="58">
        <v>880</v>
      </c>
    </row>
    <row r="449" spans="1:4">
      <c r="A449" s="57">
        <v>2565</v>
      </c>
      <c r="B449" s="57">
        <v>67117</v>
      </c>
      <c r="C449" s="58">
        <v>476.6</v>
      </c>
      <c r="D449" s="58">
        <v>880</v>
      </c>
    </row>
    <row r="450" spans="1:4">
      <c r="A450" s="57">
        <v>2566</v>
      </c>
      <c r="B450" s="57">
        <v>68257</v>
      </c>
      <c r="C450" s="58">
        <v>399.4</v>
      </c>
      <c r="D450" s="58">
        <v>960.7</v>
      </c>
    </row>
    <row r="451" spans="1:4">
      <c r="A451" s="57">
        <v>2567</v>
      </c>
      <c r="B451" s="57">
        <v>68257</v>
      </c>
      <c r="C451" s="58">
        <v>399.4</v>
      </c>
      <c r="D451" s="58">
        <v>960.7</v>
      </c>
    </row>
    <row r="452" spans="1:4">
      <c r="A452" s="57">
        <v>2568</v>
      </c>
      <c r="B452" s="57">
        <v>68257</v>
      </c>
      <c r="C452" s="58">
        <v>399.4</v>
      </c>
      <c r="D452" s="58">
        <v>960.7</v>
      </c>
    </row>
    <row r="453" spans="1:4">
      <c r="A453" s="57">
        <v>2569</v>
      </c>
      <c r="B453" s="57">
        <v>68257</v>
      </c>
      <c r="C453" s="58">
        <v>399.4</v>
      </c>
      <c r="D453" s="58">
        <v>960.7</v>
      </c>
    </row>
    <row r="454" spans="1:4">
      <c r="A454" s="57">
        <v>2570</v>
      </c>
      <c r="B454" s="57">
        <v>68257</v>
      </c>
      <c r="C454" s="58">
        <v>399.4</v>
      </c>
      <c r="D454" s="58">
        <v>960.7</v>
      </c>
    </row>
    <row r="455" spans="1:4">
      <c r="A455" s="57">
        <v>2571</v>
      </c>
      <c r="B455" s="57">
        <v>68257</v>
      </c>
      <c r="C455" s="58">
        <v>399.4</v>
      </c>
      <c r="D455" s="58">
        <v>960.7</v>
      </c>
    </row>
    <row r="456" spans="1:4">
      <c r="A456" s="57">
        <v>2572</v>
      </c>
      <c r="B456" s="57">
        <v>68257</v>
      </c>
      <c r="C456" s="58">
        <v>399.4</v>
      </c>
      <c r="D456" s="58">
        <v>960.7</v>
      </c>
    </row>
    <row r="457" spans="1:4">
      <c r="A457" s="57">
        <v>2573</v>
      </c>
      <c r="B457" s="57">
        <v>68257</v>
      </c>
      <c r="C457" s="58">
        <v>399.4</v>
      </c>
      <c r="D457" s="58">
        <v>960.7</v>
      </c>
    </row>
    <row r="458" spans="1:4">
      <c r="A458" s="57">
        <v>2574</v>
      </c>
      <c r="B458" s="57">
        <v>68241</v>
      </c>
      <c r="C458" s="58">
        <v>449.2</v>
      </c>
      <c r="D458" s="58">
        <v>855.2</v>
      </c>
    </row>
    <row r="459" spans="1:4">
      <c r="A459" s="57">
        <v>2575</v>
      </c>
      <c r="B459" s="57">
        <v>68241</v>
      </c>
      <c r="C459" s="58">
        <v>449.2</v>
      </c>
      <c r="D459" s="58">
        <v>855.2</v>
      </c>
    </row>
    <row r="460" spans="1:4">
      <c r="A460" s="57">
        <v>2576</v>
      </c>
      <c r="B460" s="57">
        <v>68241</v>
      </c>
      <c r="C460" s="58">
        <v>449.2</v>
      </c>
      <c r="D460" s="58">
        <v>855.2</v>
      </c>
    </row>
    <row r="461" spans="1:4">
      <c r="A461" s="57">
        <v>2577</v>
      </c>
      <c r="B461" s="57">
        <v>68241</v>
      </c>
      <c r="C461" s="58">
        <v>449.2</v>
      </c>
      <c r="D461" s="58">
        <v>855.2</v>
      </c>
    </row>
    <row r="462" spans="1:4">
      <c r="A462" s="57">
        <v>2578</v>
      </c>
      <c r="B462" s="57">
        <v>68072</v>
      </c>
      <c r="C462" s="58">
        <v>350.9</v>
      </c>
      <c r="D462" s="58">
        <v>918.6</v>
      </c>
    </row>
    <row r="463" spans="1:4">
      <c r="A463" s="57">
        <v>2579</v>
      </c>
      <c r="B463" s="57">
        <v>70330</v>
      </c>
      <c r="C463" s="58">
        <v>103.4</v>
      </c>
      <c r="D463" s="58">
        <v>2067.6</v>
      </c>
    </row>
    <row r="464" spans="1:4">
      <c r="A464" s="57">
        <v>2580</v>
      </c>
      <c r="B464" s="57">
        <v>70330</v>
      </c>
      <c r="C464" s="58">
        <v>103.4</v>
      </c>
      <c r="D464" s="58">
        <v>2067.6</v>
      </c>
    </row>
    <row r="465" spans="1:4">
      <c r="A465" s="57">
        <v>2581</v>
      </c>
      <c r="B465" s="57">
        <v>70330</v>
      </c>
      <c r="C465" s="58">
        <v>103.4</v>
      </c>
      <c r="D465" s="58">
        <v>2067.6</v>
      </c>
    </row>
    <row r="466" spans="1:4">
      <c r="A466" s="57">
        <v>2582</v>
      </c>
      <c r="B466" s="57">
        <v>70330</v>
      </c>
      <c r="C466" s="58">
        <v>103.4</v>
      </c>
      <c r="D466" s="58">
        <v>2067.6</v>
      </c>
    </row>
    <row r="467" spans="1:4">
      <c r="A467" s="57">
        <v>2583</v>
      </c>
      <c r="B467" s="57">
        <v>63303</v>
      </c>
      <c r="C467" s="58">
        <v>69.2</v>
      </c>
      <c r="D467" s="58">
        <v>2334.5</v>
      </c>
    </row>
    <row r="468" spans="1:4">
      <c r="A468" s="57">
        <v>2584</v>
      </c>
      <c r="B468" s="57">
        <v>73138</v>
      </c>
      <c r="C468" s="58">
        <v>177.9</v>
      </c>
      <c r="D468" s="58">
        <v>1757.6</v>
      </c>
    </row>
    <row r="469" spans="1:4">
      <c r="A469" s="57">
        <v>2585</v>
      </c>
      <c r="B469" s="57">
        <v>73138</v>
      </c>
      <c r="C469" s="58">
        <v>177.9</v>
      </c>
      <c r="D469" s="58">
        <v>1757.6</v>
      </c>
    </row>
    <row r="470" spans="1:4">
      <c r="A470" s="57">
        <v>2586</v>
      </c>
      <c r="B470" s="57">
        <v>73138</v>
      </c>
      <c r="C470" s="58">
        <v>177.9</v>
      </c>
      <c r="D470" s="58">
        <v>1757.6</v>
      </c>
    </row>
    <row r="471" spans="1:4">
      <c r="A471" s="57">
        <v>2587</v>
      </c>
      <c r="B471" s="57">
        <v>73138</v>
      </c>
      <c r="C471" s="58">
        <v>177.9</v>
      </c>
      <c r="D471" s="58">
        <v>1757.6</v>
      </c>
    </row>
    <row r="472" spans="1:4">
      <c r="A472" s="57">
        <v>2588</v>
      </c>
      <c r="B472" s="57">
        <v>73138</v>
      </c>
      <c r="C472" s="58">
        <v>177.9</v>
      </c>
      <c r="D472" s="58">
        <v>1757.6</v>
      </c>
    </row>
    <row r="473" spans="1:4">
      <c r="A473" s="57">
        <v>2590</v>
      </c>
      <c r="B473" s="57">
        <v>72150</v>
      </c>
      <c r="C473" s="58">
        <v>206.4</v>
      </c>
      <c r="D473" s="58">
        <v>1447.7</v>
      </c>
    </row>
    <row r="474" spans="1:4">
      <c r="A474" s="57">
        <v>2594</v>
      </c>
      <c r="B474" s="57">
        <v>73138</v>
      </c>
      <c r="C474" s="58">
        <v>177.9</v>
      </c>
      <c r="D474" s="58">
        <v>1757.6</v>
      </c>
    </row>
    <row r="475" spans="1:4">
      <c r="A475" s="57">
        <v>2600</v>
      </c>
      <c r="B475" s="57">
        <v>70339</v>
      </c>
      <c r="C475" s="58">
        <v>111.9</v>
      </c>
      <c r="D475" s="58">
        <v>1878.7</v>
      </c>
    </row>
    <row r="476" spans="1:4">
      <c r="A476" s="57">
        <v>2601</v>
      </c>
      <c r="B476" s="57">
        <v>70339</v>
      </c>
      <c r="C476" s="58">
        <v>111.9</v>
      </c>
      <c r="D476" s="58">
        <v>1878.7</v>
      </c>
    </row>
    <row r="477" spans="1:4">
      <c r="A477" s="57">
        <v>2602</v>
      </c>
      <c r="B477" s="57">
        <v>70339</v>
      </c>
      <c r="C477" s="58">
        <v>111.9</v>
      </c>
      <c r="D477" s="58">
        <v>1878.7</v>
      </c>
    </row>
    <row r="478" spans="1:4">
      <c r="A478" s="57">
        <v>2603</v>
      </c>
      <c r="B478" s="57">
        <v>70339</v>
      </c>
      <c r="C478" s="58">
        <v>111.9</v>
      </c>
      <c r="D478" s="58">
        <v>1878.7</v>
      </c>
    </row>
    <row r="479" spans="1:4">
      <c r="A479" s="57">
        <v>2604</v>
      </c>
      <c r="B479" s="57">
        <v>70339</v>
      </c>
      <c r="C479" s="58">
        <v>111.9</v>
      </c>
      <c r="D479" s="58">
        <v>1878.7</v>
      </c>
    </row>
    <row r="480" spans="1:4">
      <c r="A480" s="57">
        <v>2605</v>
      </c>
      <c r="B480" s="57">
        <v>70339</v>
      </c>
      <c r="C480" s="58">
        <v>111.9</v>
      </c>
      <c r="D480" s="58">
        <v>1878.7</v>
      </c>
    </row>
    <row r="481" spans="1:4">
      <c r="A481" s="57">
        <v>2606</v>
      </c>
      <c r="B481" s="57">
        <v>70339</v>
      </c>
      <c r="C481" s="58">
        <v>111.9</v>
      </c>
      <c r="D481" s="58">
        <v>1878.7</v>
      </c>
    </row>
    <row r="482" spans="1:4">
      <c r="A482" s="57">
        <v>2607</v>
      </c>
      <c r="B482" s="57">
        <v>70339</v>
      </c>
      <c r="C482" s="58">
        <v>111.9</v>
      </c>
      <c r="D482" s="58">
        <v>1878.7</v>
      </c>
    </row>
    <row r="483" spans="1:4">
      <c r="A483" s="57">
        <v>2609</v>
      </c>
      <c r="B483" s="57">
        <v>70339</v>
      </c>
      <c r="C483" s="58">
        <v>111.9</v>
      </c>
      <c r="D483" s="58">
        <v>1878.7</v>
      </c>
    </row>
    <row r="484" spans="1:4">
      <c r="A484" s="57">
        <v>2611</v>
      </c>
      <c r="B484" s="57">
        <v>70339</v>
      </c>
      <c r="C484" s="58">
        <v>111.9</v>
      </c>
      <c r="D484" s="58">
        <v>1878.7</v>
      </c>
    </row>
    <row r="485" spans="1:4">
      <c r="A485" s="57">
        <v>2612</v>
      </c>
      <c r="B485" s="57">
        <v>70339</v>
      </c>
      <c r="C485" s="58">
        <v>111.9</v>
      </c>
      <c r="D485" s="58">
        <v>1878.7</v>
      </c>
    </row>
    <row r="486" spans="1:4">
      <c r="A486" s="57">
        <v>2614</v>
      </c>
      <c r="B486" s="57">
        <v>70339</v>
      </c>
      <c r="C486" s="58">
        <v>111.9</v>
      </c>
      <c r="D486" s="58">
        <v>1878.7</v>
      </c>
    </row>
    <row r="487" spans="1:4">
      <c r="A487" s="57">
        <v>2615</v>
      </c>
      <c r="B487" s="57">
        <v>70339</v>
      </c>
      <c r="C487" s="58">
        <v>111.9</v>
      </c>
      <c r="D487" s="58">
        <v>1878.7</v>
      </c>
    </row>
    <row r="488" spans="1:4">
      <c r="A488" s="57">
        <v>2617</v>
      </c>
      <c r="B488" s="57">
        <v>70339</v>
      </c>
      <c r="C488" s="58">
        <v>111.9</v>
      </c>
      <c r="D488" s="58">
        <v>1878.7</v>
      </c>
    </row>
    <row r="489" spans="1:4">
      <c r="A489" s="57">
        <v>2618</v>
      </c>
      <c r="B489" s="57">
        <v>70339</v>
      </c>
      <c r="C489" s="58">
        <v>111.9</v>
      </c>
      <c r="D489" s="58">
        <v>1878.7</v>
      </c>
    </row>
    <row r="490" spans="1:4">
      <c r="A490" s="57">
        <v>2619</v>
      </c>
      <c r="B490" s="57">
        <v>70339</v>
      </c>
      <c r="C490" s="58">
        <v>111.9</v>
      </c>
      <c r="D490" s="58">
        <v>1878.7</v>
      </c>
    </row>
    <row r="491" spans="1:4">
      <c r="A491" s="57">
        <v>2620</v>
      </c>
      <c r="B491" s="57">
        <v>70339</v>
      </c>
      <c r="C491" s="58">
        <v>111.9</v>
      </c>
      <c r="D491" s="58">
        <v>1878.7</v>
      </c>
    </row>
    <row r="492" spans="1:4">
      <c r="A492" s="57">
        <v>2621</v>
      </c>
      <c r="B492" s="57">
        <v>70339</v>
      </c>
      <c r="C492" s="58">
        <v>111.9</v>
      </c>
      <c r="D492" s="58">
        <v>1878.7</v>
      </c>
    </row>
    <row r="493" spans="1:4">
      <c r="A493" s="57">
        <v>2622</v>
      </c>
      <c r="B493" s="57">
        <v>69132</v>
      </c>
      <c r="C493" s="58">
        <v>69.599999999999994</v>
      </c>
      <c r="D493" s="58">
        <v>2153.4</v>
      </c>
    </row>
    <row r="494" spans="1:4">
      <c r="A494" s="57">
        <v>2623</v>
      </c>
      <c r="B494" s="57">
        <v>69132</v>
      </c>
      <c r="C494" s="58">
        <v>69.599999999999994</v>
      </c>
      <c r="D494" s="58">
        <v>2153.4</v>
      </c>
    </row>
    <row r="495" spans="1:4">
      <c r="A495" s="57">
        <v>2624</v>
      </c>
      <c r="B495" s="57">
        <v>71032</v>
      </c>
      <c r="C495" s="58">
        <v>0</v>
      </c>
      <c r="D495" s="58">
        <v>4855.7</v>
      </c>
    </row>
    <row r="496" spans="1:4">
      <c r="A496" s="57">
        <v>2625</v>
      </c>
      <c r="B496" s="57">
        <v>71032</v>
      </c>
      <c r="C496" s="58">
        <v>0</v>
      </c>
      <c r="D496" s="58">
        <v>4855.7</v>
      </c>
    </row>
    <row r="497" spans="1:4">
      <c r="A497" s="57">
        <v>2626</v>
      </c>
      <c r="B497" s="57">
        <v>70217</v>
      </c>
      <c r="C497" s="58">
        <v>32.200000000000003</v>
      </c>
      <c r="D497" s="58">
        <v>2660.9</v>
      </c>
    </row>
    <row r="498" spans="1:4">
      <c r="A498" s="57">
        <v>2627</v>
      </c>
      <c r="B498" s="57">
        <v>71032</v>
      </c>
      <c r="C498" s="58">
        <v>0</v>
      </c>
      <c r="D498" s="58">
        <v>4855.7</v>
      </c>
    </row>
    <row r="499" spans="1:4">
      <c r="A499" s="57">
        <v>2628</v>
      </c>
      <c r="B499" s="57">
        <v>70217</v>
      </c>
      <c r="C499" s="58">
        <v>32.200000000000003</v>
      </c>
      <c r="D499" s="58">
        <v>2660.9</v>
      </c>
    </row>
    <row r="500" spans="1:4">
      <c r="A500" s="57">
        <v>2629</v>
      </c>
      <c r="B500" s="57">
        <v>72161</v>
      </c>
      <c r="C500" s="58">
        <v>7.2</v>
      </c>
      <c r="D500" s="58">
        <v>3444.3</v>
      </c>
    </row>
    <row r="501" spans="1:4">
      <c r="A501" s="57">
        <v>2630</v>
      </c>
      <c r="B501" s="57">
        <v>70217</v>
      </c>
      <c r="C501" s="58">
        <v>32.200000000000003</v>
      </c>
      <c r="D501" s="58">
        <v>2660.9</v>
      </c>
    </row>
    <row r="502" spans="1:4">
      <c r="A502" s="57">
        <v>2631</v>
      </c>
      <c r="B502" s="57">
        <v>70328</v>
      </c>
      <c r="C502" s="58">
        <v>48.3</v>
      </c>
      <c r="D502" s="58">
        <v>2513.6999999999998</v>
      </c>
    </row>
    <row r="503" spans="1:4">
      <c r="A503" s="57">
        <v>2632</v>
      </c>
      <c r="B503" s="57">
        <v>70328</v>
      </c>
      <c r="C503" s="58">
        <v>48.3</v>
      </c>
      <c r="D503" s="58">
        <v>2513.6999999999998</v>
      </c>
    </row>
    <row r="504" spans="1:4">
      <c r="A504" s="57">
        <v>2633</v>
      </c>
      <c r="B504" s="57">
        <v>70328</v>
      </c>
      <c r="C504" s="58">
        <v>48.3</v>
      </c>
      <c r="D504" s="58">
        <v>2513.6999999999998</v>
      </c>
    </row>
    <row r="505" spans="1:4">
      <c r="A505" s="57">
        <v>2640</v>
      </c>
      <c r="B505" s="57">
        <v>72160</v>
      </c>
      <c r="C505" s="58">
        <v>206</v>
      </c>
      <c r="D505" s="58">
        <v>1484.8</v>
      </c>
    </row>
    <row r="506" spans="1:4">
      <c r="A506" s="57">
        <v>2641</v>
      </c>
      <c r="B506" s="57">
        <v>72160</v>
      </c>
      <c r="C506" s="58">
        <v>206</v>
      </c>
      <c r="D506" s="58">
        <v>1484.8</v>
      </c>
    </row>
    <row r="507" spans="1:4">
      <c r="A507" s="57">
        <v>2642</v>
      </c>
      <c r="B507" s="57">
        <v>82039</v>
      </c>
      <c r="C507" s="58">
        <v>188.6</v>
      </c>
      <c r="D507" s="58">
        <v>1712</v>
      </c>
    </row>
    <row r="508" spans="1:4">
      <c r="A508" s="57">
        <v>2643</v>
      </c>
      <c r="B508" s="57">
        <v>82039</v>
      </c>
      <c r="C508" s="58">
        <v>188.6</v>
      </c>
      <c r="D508" s="58">
        <v>1712</v>
      </c>
    </row>
    <row r="509" spans="1:4">
      <c r="A509" s="57">
        <v>2644</v>
      </c>
      <c r="B509" s="57">
        <v>72160</v>
      </c>
      <c r="C509" s="58">
        <v>206</v>
      </c>
      <c r="D509" s="58">
        <v>1484.8</v>
      </c>
    </row>
    <row r="510" spans="1:4">
      <c r="A510" s="57">
        <v>2645</v>
      </c>
      <c r="B510" s="57">
        <v>74148</v>
      </c>
      <c r="C510" s="58">
        <v>287.60000000000002</v>
      </c>
      <c r="D510" s="58">
        <v>1285.8</v>
      </c>
    </row>
    <row r="511" spans="1:4">
      <c r="A511" s="57">
        <v>2646</v>
      </c>
      <c r="B511" s="57">
        <v>82039</v>
      </c>
      <c r="C511" s="58">
        <v>188.6</v>
      </c>
      <c r="D511" s="58">
        <v>1712</v>
      </c>
    </row>
    <row r="512" spans="1:4">
      <c r="A512" s="57">
        <v>2647</v>
      </c>
      <c r="B512" s="57">
        <v>81124</v>
      </c>
      <c r="C512" s="58">
        <v>204</v>
      </c>
      <c r="D512" s="58">
        <v>1417.6</v>
      </c>
    </row>
    <row r="513" spans="1:4">
      <c r="A513" s="57">
        <v>2648</v>
      </c>
      <c r="B513" s="57">
        <v>76031</v>
      </c>
      <c r="C513" s="58">
        <v>195.9</v>
      </c>
      <c r="D513" s="58">
        <v>1083.7</v>
      </c>
    </row>
    <row r="514" spans="1:4">
      <c r="A514" s="57">
        <v>2649</v>
      </c>
      <c r="B514" s="57">
        <v>72161</v>
      </c>
      <c r="C514" s="58">
        <v>7.2</v>
      </c>
      <c r="D514" s="58">
        <v>3444.3</v>
      </c>
    </row>
    <row r="515" spans="1:4">
      <c r="A515" s="57">
        <v>2650</v>
      </c>
      <c r="B515" s="57">
        <v>72150</v>
      </c>
      <c r="C515" s="58">
        <v>206.4</v>
      </c>
      <c r="D515" s="58">
        <v>1447.7</v>
      </c>
    </row>
    <row r="516" spans="1:4">
      <c r="A516" s="57">
        <v>2651</v>
      </c>
      <c r="B516" s="57">
        <v>72150</v>
      </c>
      <c r="C516" s="58">
        <v>206.4</v>
      </c>
      <c r="D516" s="58">
        <v>1447.7</v>
      </c>
    </row>
    <row r="517" spans="1:4">
      <c r="A517" s="57">
        <v>2652</v>
      </c>
      <c r="B517" s="57">
        <v>75041</v>
      </c>
      <c r="C517" s="58">
        <v>257.7</v>
      </c>
      <c r="D517" s="58">
        <v>1180.2</v>
      </c>
    </row>
    <row r="518" spans="1:4">
      <c r="A518" s="57">
        <v>2653</v>
      </c>
      <c r="B518" s="57">
        <v>72161</v>
      </c>
      <c r="C518" s="58">
        <v>7.2</v>
      </c>
      <c r="D518" s="58">
        <v>3444.3</v>
      </c>
    </row>
    <row r="519" spans="1:4">
      <c r="A519" s="57">
        <v>2655</v>
      </c>
      <c r="B519" s="57">
        <v>72150</v>
      </c>
      <c r="C519" s="58">
        <v>206.4</v>
      </c>
      <c r="D519" s="58">
        <v>1447.7</v>
      </c>
    </row>
    <row r="520" spans="1:4">
      <c r="A520" s="57">
        <v>2656</v>
      </c>
      <c r="B520" s="57">
        <v>72150</v>
      </c>
      <c r="C520" s="58">
        <v>206.4</v>
      </c>
      <c r="D520" s="58">
        <v>1447.7</v>
      </c>
    </row>
    <row r="521" spans="1:4">
      <c r="A521" s="57">
        <v>2658</v>
      </c>
      <c r="B521" s="57">
        <v>72150</v>
      </c>
      <c r="C521" s="58">
        <v>206.4</v>
      </c>
      <c r="D521" s="58">
        <v>1447.7</v>
      </c>
    </row>
    <row r="522" spans="1:4">
      <c r="A522" s="57">
        <v>2659</v>
      </c>
      <c r="B522" s="57">
        <v>72160</v>
      </c>
      <c r="C522" s="58">
        <v>206</v>
      </c>
      <c r="D522" s="58">
        <v>1484.8</v>
      </c>
    </row>
    <row r="523" spans="1:4">
      <c r="A523" s="57">
        <v>2660</v>
      </c>
      <c r="B523" s="57">
        <v>72160</v>
      </c>
      <c r="C523" s="58">
        <v>206</v>
      </c>
      <c r="D523" s="58">
        <v>1484.8</v>
      </c>
    </row>
    <row r="524" spans="1:4">
      <c r="A524" s="57">
        <v>2661</v>
      </c>
      <c r="B524" s="57">
        <v>72150</v>
      </c>
      <c r="C524" s="58">
        <v>206.4</v>
      </c>
      <c r="D524" s="58">
        <v>1447.7</v>
      </c>
    </row>
    <row r="525" spans="1:4">
      <c r="A525" s="57">
        <v>2663</v>
      </c>
      <c r="B525" s="57">
        <v>72150</v>
      </c>
      <c r="C525" s="58">
        <v>206.4</v>
      </c>
      <c r="D525" s="58">
        <v>1447.7</v>
      </c>
    </row>
    <row r="526" spans="1:4">
      <c r="A526" s="57">
        <v>2665</v>
      </c>
      <c r="B526" s="57">
        <v>74037</v>
      </c>
      <c r="C526" s="58">
        <v>260.3</v>
      </c>
      <c r="D526" s="58">
        <v>1123.9000000000001</v>
      </c>
    </row>
    <row r="527" spans="1:4">
      <c r="A527" s="57">
        <v>2666</v>
      </c>
      <c r="B527" s="57">
        <v>73138</v>
      </c>
      <c r="C527" s="58">
        <v>177.9</v>
      </c>
      <c r="D527" s="58">
        <v>1757.6</v>
      </c>
    </row>
    <row r="528" spans="1:4">
      <c r="A528" s="57">
        <v>2668</v>
      </c>
      <c r="B528" s="57">
        <v>50017</v>
      </c>
      <c r="C528" s="58">
        <v>318.60000000000002</v>
      </c>
      <c r="D528" s="58">
        <v>1299.9000000000001</v>
      </c>
    </row>
    <row r="529" spans="1:4">
      <c r="A529" s="57">
        <v>2669</v>
      </c>
      <c r="B529" s="57">
        <v>75041</v>
      </c>
      <c r="C529" s="58">
        <v>257.7</v>
      </c>
      <c r="D529" s="58">
        <v>1180.2</v>
      </c>
    </row>
    <row r="530" spans="1:4">
      <c r="A530" s="57">
        <v>2671</v>
      </c>
      <c r="B530" s="57">
        <v>50017</v>
      </c>
      <c r="C530" s="58">
        <v>318.60000000000002</v>
      </c>
      <c r="D530" s="58">
        <v>1299.9000000000001</v>
      </c>
    </row>
    <row r="531" spans="1:4">
      <c r="A531" s="57">
        <v>2672</v>
      </c>
      <c r="B531" s="57">
        <v>50137</v>
      </c>
      <c r="C531" s="58">
        <v>338.1</v>
      </c>
      <c r="D531" s="58">
        <v>1198.8</v>
      </c>
    </row>
    <row r="532" spans="1:4">
      <c r="A532" s="57">
        <v>2675</v>
      </c>
      <c r="B532" s="57">
        <v>75041</v>
      </c>
      <c r="C532" s="58">
        <v>257.7</v>
      </c>
      <c r="D532" s="58">
        <v>1180.2</v>
      </c>
    </row>
    <row r="533" spans="1:4">
      <c r="A533" s="57">
        <v>2678</v>
      </c>
      <c r="B533" s="57">
        <v>63291</v>
      </c>
      <c r="C533" s="58">
        <v>121.4</v>
      </c>
      <c r="D533" s="58">
        <v>1911</v>
      </c>
    </row>
    <row r="534" spans="1:4">
      <c r="A534" s="57">
        <v>2680</v>
      </c>
      <c r="B534" s="57">
        <v>75041</v>
      </c>
      <c r="C534" s="58">
        <v>257.7</v>
      </c>
      <c r="D534" s="58">
        <v>1180.2</v>
      </c>
    </row>
    <row r="535" spans="1:4">
      <c r="A535" s="57">
        <v>2681</v>
      </c>
      <c r="B535" s="57">
        <v>75041</v>
      </c>
      <c r="C535" s="58">
        <v>257.7</v>
      </c>
      <c r="D535" s="58">
        <v>1180.2</v>
      </c>
    </row>
    <row r="536" spans="1:4">
      <c r="A536" s="57">
        <v>2700</v>
      </c>
      <c r="B536" s="57">
        <v>74037</v>
      </c>
      <c r="C536" s="58">
        <v>260.3</v>
      </c>
      <c r="D536" s="58">
        <v>1123.9000000000001</v>
      </c>
    </row>
    <row r="537" spans="1:4">
      <c r="A537" s="57">
        <v>2701</v>
      </c>
      <c r="B537" s="57">
        <v>72150</v>
      </c>
      <c r="C537" s="58">
        <v>206.4</v>
      </c>
      <c r="D537" s="58">
        <v>1447.7</v>
      </c>
    </row>
    <row r="538" spans="1:4">
      <c r="A538" s="57">
        <v>2702</v>
      </c>
      <c r="B538" s="57">
        <v>74148</v>
      </c>
      <c r="C538" s="58">
        <v>287.60000000000002</v>
      </c>
      <c r="D538" s="58">
        <v>1285.8</v>
      </c>
    </row>
    <row r="539" spans="1:4">
      <c r="A539" s="57">
        <v>2703</v>
      </c>
      <c r="B539" s="57">
        <v>74037</v>
      </c>
      <c r="C539" s="58">
        <v>260.3</v>
      </c>
      <c r="D539" s="58">
        <v>1123.9000000000001</v>
      </c>
    </row>
    <row r="540" spans="1:4">
      <c r="A540" s="57">
        <v>2705</v>
      </c>
      <c r="B540" s="57">
        <v>74037</v>
      </c>
      <c r="C540" s="58">
        <v>260.3</v>
      </c>
      <c r="D540" s="58">
        <v>1123.9000000000001</v>
      </c>
    </row>
    <row r="541" spans="1:4">
      <c r="A541" s="57">
        <v>2706</v>
      </c>
      <c r="B541" s="57">
        <v>75041</v>
      </c>
      <c r="C541" s="58">
        <v>257.7</v>
      </c>
      <c r="D541" s="58">
        <v>1180.2</v>
      </c>
    </row>
    <row r="542" spans="1:4">
      <c r="A542" s="57">
        <v>2707</v>
      </c>
      <c r="B542" s="57">
        <v>74037</v>
      </c>
      <c r="C542" s="58">
        <v>260.3</v>
      </c>
      <c r="D542" s="58">
        <v>1123.9000000000001</v>
      </c>
    </row>
    <row r="543" spans="1:4">
      <c r="A543" s="57">
        <v>2710</v>
      </c>
      <c r="B543" s="57">
        <v>74258</v>
      </c>
      <c r="C543" s="58">
        <v>219.8</v>
      </c>
      <c r="D543" s="58">
        <v>1322</v>
      </c>
    </row>
    <row r="544" spans="1:4">
      <c r="A544" s="57">
        <v>2711</v>
      </c>
      <c r="B544" s="57">
        <v>75019</v>
      </c>
      <c r="C544" s="58">
        <v>282.2</v>
      </c>
      <c r="D544" s="58">
        <v>1179.9000000000001</v>
      </c>
    </row>
    <row r="545" spans="1:4">
      <c r="A545" s="57">
        <v>2712</v>
      </c>
      <c r="B545" s="57">
        <v>81124</v>
      </c>
      <c r="C545" s="58">
        <v>204</v>
      </c>
      <c r="D545" s="58">
        <v>1417.6</v>
      </c>
    </row>
    <row r="546" spans="1:4">
      <c r="A546" s="57">
        <v>2713</v>
      </c>
      <c r="B546" s="57">
        <v>74258</v>
      </c>
      <c r="C546" s="58">
        <v>219.8</v>
      </c>
      <c r="D546" s="58">
        <v>1322</v>
      </c>
    </row>
    <row r="547" spans="1:4">
      <c r="A547" s="57">
        <v>2714</v>
      </c>
      <c r="B547" s="57">
        <v>74258</v>
      </c>
      <c r="C547" s="58">
        <v>219.8</v>
      </c>
      <c r="D547" s="58">
        <v>1322</v>
      </c>
    </row>
    <row r="548" spans="1:4">
      <c r="A548" s="57">
        <v>2715</v>
      </c>
      <c r="B548" s="57">
        <v>76031</v>
      </c>
      <c r="C548" s="58">
        <v>195.9</v>
      </c>
      <c r="D548" s="58">
        <v>1083.7</v>
      </c>
    </row>
    <row r="549" spans="1:4">
      <c r="A549" s="57">
        <v>2716</v>
      </c>
      <c r="B549" s="57">
        <v>75019</v>
      </c>
      <c r="C549" s="58">
        <v>282.2</v>
      </c>
      <c r="D549" s="58">
        <v>1179.9000000000001</v>
      </c>
    </row>
    <row r="550" spans="1:4">
      <c r="A550" s="57">
        <v>2717</v>
      </c>
      <c r="B550" s="57">
        <v>76031</v>
      </c>
      <c r="C550" s="58">
        <v>195.9</v>
      </c>
      <c r="D550" s="58">
        <v>1083.7</v>
      </c>
    </row>
    <row r="551" spans="1:4">
      <c r="A551" s="57">
        <v>2720</v>
      </c>
      <c r="B551" s="57">
        <v>70339</v>
      </c>
      <c r="C551" s="58">
        <v>111.9</v>
      </c>
      <c r="D551" s="58">
        <v>1878.7</v>
      </c>
    </row>
    <row r="552" spans="1:4">
      <c r="A552" s="57">
        <v>2721</v>
      </c>
      <c r="B552" s="57">
        <v>50017</v>
      </c>
      <c r="C552" s="58">
        <v>318.60000000000002</v>
      </c>
      <c r="D552" s="58">
        <v>1299.9000000000001</v>
      </c>
    </row>
    <row r="553" spans="1:4">
      <c r="A553" s="57">
        <v>2722</v>
      </c>
      <c r="B553" s="57">
        <v>72150</v>
      </c>
      <c r="C553" s="58">
        <v>206.4</v>
      </c>
      <c r="D553" s="58">
        <v>1447.7</v>
      </c>
    </row>
    <row r="554" spans="1:4">
      <c r="A554" s="57">
        <v>2725</v>
      </c>
      <c r="B554" s="57">
        <v>73138</v>
      </c>
      <c r="C554" s="58">
        <v>177.9</v>
      </c>
      <c r="D554" s="58">
        <v>1757.6</v>
      </c>
    </row>
    <row r="555" spans="1:4">
      <c r="A555" s="57">
        <v>2726</v>
      </c>
      <c r="B555" s="57">
        <v>73138</v>
      </c>
      <c r="C555" s="58">
        <v>177.9</v>
      </c>
      <c r="D555" s="58">
        <v>1757.6</v>
      </c>
    </row>
    <row r="556" spans="1:4">
      <c r="A556" s="57">
        <v>2727</v>
      </c>
      <c r="B556" s="57">
        <v>70339</v>
      </c>
      <c r="C556" s="58">
        <v>111.9</v>
      </c>
      <c r="D556" s="58">
        <v>1878.7</v>
      </c>
    </row>
    <row r="557" spans="1:4">
      <c r="A557" s="57">
        <v>2729</v>
      </c>
      <c r="B557" s="57">
        <v>72150</v>
      </c>
      <c r="C557" s="58">
        <v>206.4</v>
      </c>
      <c r="D557" s="58">
        <v>1447.7</v>
      </c>
    </row>
    <row r="558" spans="1:4">
      <c r="A558" s="57">
        <v>2730</v>
      </c>
      <c r="B558" s="57">
        <v>72161</v>
      </c>
      <c r="C558" s="58">
        <v>7.2</v>
      </c>
      <c r="D558" s="58">
        <v>3444.3</v>
      </c>
    </row>
    <row r="559" spans="1:4">
      <c r="A559" s="57">
        <v>2731</v>
      </c>
      <c r="B559" s="57">
        <v>74258</v>
      </c>
      <c r="C559" s="58">
        <v>219.8</v>
      </c>
      <c r="D559" s="58">
        <v>1322</v>
      </c>
    </row>
    <row r="560" spans="1:4">
      <c r="A560" s="57">
        <v>2732</v>
      </c>
      <c r="B560" s="57">
        <v>77094</v>
      </c>
      <c r="C560" s="58">
        <v>151.4</v>
      </c>
      <c r="D560" s="58">
        <v>1292.2</v>
      </c>
    </row>
    <row r="561" spans="1:4">
      <c r="A561" s="57">
        <v>2733</v>
      </c>
      <c r="B561" s="57">
        <v>77094</v>
      </c>
      <c r="C561" s="58">
        <v>151.4</v>
      </c>
      <c r="D561" s="58">
        <v>1292.2</v>
      </c>
    </row>
    <row r="562" spans="1:4">
      <c r="A562" s="57">
        <v>2734</v>
      </c>
      <c r="B562" s="57">
        <v>77094</v>
      </c>
      <c r="C562" s="58">
        <v>151.4</v>
      </c>
      <c r="D562" s="58">
        <v>1292.2</v>
      </c>
    </row>
    <row r="563" spans="1:4">
      <c r="A563" s="57">
        <v>2735</v>
      </c>
      <c r="B563" s="57">
        <v>77094</v>
      </c>
      <c r="C563" s="58">
        <v>151.4</v>
      </c>
      <c r="D563" s="58">
        <v>1292.2</v>
      </c>
    </row>
    <row r="564" spans="1:4">
      <c r="A564" s="57">
        <v>2736</v>
      </c>
      <c r="B564" s="57">
        <v>77094</v>
      </c>
      <c r="C564" s="58">
        <v>151.4</v>
      </c>
      <c r="D564" s="58">
        <v>1292.2</v>
      </c>
    </row>
    <row r="565" spans="1:4">
      <c r="A565" s="57">
        <v>2737</v>
      </c>
      <c r="B565" s="57">
        <v>76031</v>
      </c>
      <c r="C565" s="58">
        <v>195.9</v>
      </c>
      <c r="D565" s="58">
        <v>1083.7</v>
      </c>
    </row>
    <row r="566" spans="1:4">
      <c r="A566" s="57">
        <v>2738</v>
      </c>
      <c r="B566" s="57">
        <v>76031</v>
      </c>
      <c r="C566" s="58">
        <v>195.9</v>
      </c>
      <c r="D566" s="58">
        <v>1083.7</v>
      </c>
    </row>
    <row r="567" spans="1:4">
      <c r="A567" s="57">
        <v>2739</v>
      </c>
      <c r="B567" s="57">
        <v>76031</v>
      </c>
      <c r="C567" s="58">
        <v>195.9</v>
      </c>
      <c r="D567" s="58">
        <v>1083.7</v>
      </c>
    </row>
    <row r="568" spans="1:4">
      <c r="A568" s="57">
        <v>2745</v>
      </c>
      <c r="B568" s="57">
        <v>67113</v>
      </c>
      <c r="C568" s="58">
        <v>610</v>
      </c>
      <c r="D568" s="58">
        <v>741.7</v>
      </c>
    </row>
    <row r="569" spans="1:4">
      <c r="A569" s="57">
        <v>2747</v>
      </c>
      <c r="B569" s="57">
        <v>67113</v>
      </c>
      <c r="C569" s="58">
        <v>610</v>
      </c>
      <c r="D569" s="58">
        <v>741.7</v>
      </c>
    </row>
    <row r="570" spans="1:4">
      <c r="A570" s="57">
        <v>2748</v>
      </c>
      <c r="B570" s="57">
        <v>67113</v>
      </c>
      <c r="C570" s="58">
        <v>610</v>
      </c>
      <c r="D570" s="58">
        <v>741.7</v>
      </c>
    </row>
    <row r="571" spans="1:4">
      <c r="A571" s="57">
        <v>2749</v>
      </c>
      <c r="B571" s="57">
        <v>67113</v>
      </c>
      <c r="C571" s="58">
        <v>610</v>
      </c>
      <c r="D571" s="58">
        <v>741.7</v>
      </c>
    </row>
    <row r="572" spans="1:4">
      <c r="A572" s="57">
        <v>2750</v>
      </c>
      <c r="B572" s="57">
        <v>67113</v>
      </c>
      <c r="C572" s="58">
        <v>610</v>
      </c>
      <c r="D572" s="58">
        <v>741.7</v>
      </c>
    </row>
    <row r="573" spans="1:4">
      <c r="A573" s="57">
        <v>2752</v>
      </c>
      <c r="B573" s="57">
        <v>67108</v>
      </c>
      <c r="C573" s="58">
        <v>453.2</v>
      </c>
      <c r="D573" s="58">
        <v>944.7</v>
      </c>
    </row>
    <row r="574" spans="1:4">
      <c r="A574" s="57">
        <v>2753</v>
      </c>
      <c r="B574" s="57">
        <v>67113</v>
      </c>
      <c r="C574" s="58">
        <v>610</v>
      </c>
      <c r="D574" s="58">
        <v>741.7</v>
      </c>
    </row>
    <row r="575" spans="1:4">
      <c r="A575" s="57">
        <v>2754</v>
      </c>
      <c r="B575" s="57">
        <v>67113</v>
      </c>
      <c r="C575" s="58">
        <v>610</v>
      </c>
      <c r="D575" s="58">
        <v>741.7</v>
      </c>
    </row>
    <row r="576" spans="1:4">
      <c r="A576" s="57">
        <v>2756</v>
      </c>
      <c r="B576" s="57">
        <v>67113</v>
      </c>
      <c r="C576" s="58">
        <v>610</v>
      </c>
      <c r="D576" s="58">
        <v>741.7</v>
      </c>
    </row>
    <row r="577" spans="1:4">
      <c r="A577" s="57">
        <v>2757</v>
      </c>
      <c r="B577" s="57">
        <v>67113</v>
      </c>
      <c r="C577" s="58">
        <v>610</v>
      </c>
      <c r="D577" s="58">
        <v>741.7</v>
      </c>
    </row>
    <row r="578" spans="1:4">
      <c r="A578" s="57">
        <v>2758</v>
      </c>
      <c r="B578" s="57">
        <v>63292</v>
      </c>
      <c r="C578" s="58">
        <v>65.400000000000006</v>
      </c>
      <c r="D578" s="58">
        <v>2200.1</v>
      </c>
    </row>
    <row r="579" spans="1:4">
      <c r="A579" s="57">
        <v>2759</v>
      </c>
      <c r="B579" s="57">
        <v>67119</v>
      </c>
      <c r="C579" s="58">
        <v>440.8</v>
      </c>
      <c r="D579" s="58">
        <v>817.2</v>
      </c>
    </row>
    <row r="580" spans="1:4">
      <c r="A580" s="57">
        <v>2760</v>
      </c>
      <c r="B580" s="57">
        <v>67119</v>
      </c>
      <c r="C580" s="58">
        <v>440.8</v>
      </c>
      <c r="D580" s="58">
        <v>817.2</v>
      </c>
    </row>
    <row r="581" spans="1:4">
      <c r="A581" s="57">
        <v>2761</v>
      </c>
      <c r="B581" s="57">
        <v>67119</v>
      </c>
      <c r="C581" s="58">
        <v>440.8</v>
      </c>
      <c r="D581" s="58">
        <v>817.2</v>
      </c>
    </row>
    <row r="582" spans="1:4">
      <c r="A582" s="57">
        <v>2762</v>
      </c>
      <c r="B582" s="57">
        <v>67119</v>
      </c>
      <c r="C582" s="58">
        <v>440.8</v>
      </c>
      <c r="D582" s="58">
        <v>817.2</v>
      </c>
    </row>
    <row r="583" spans="1:4">
      <c r="A583" s="57">
        <v>2763</v>
      </c>
      <c r="B583" s="57">
        <v>67119</v>
      </c>
      <c r="C583" s="58">
        <v>440.8</v>
      </c>
      <c r="D583" s="58">
        <v>817.2</v>
      </c>
    </row>
    <row r="584" spans="1:4">
      <c r="A584" s="57">
        <v>2765</v>
      </c>
      <c r="B584" s="57">
        <v>67113</v>
      </c>
      <c r="C584" s="58">
        <v>610</v>
      </c>
      <c r="D584" s="58">
        <v>741.7</v>
      </c>
    </row>
    <row r="585" spans="1:4">
      <c r="A585" s="57">
        <v>2766</v>
      </c>
      <c r="B585" s="57">
        <v>67119</v>
      </c>
      <c r="C585" s="58">
        <v>440.8</v>
      </c>
      <c r="D585" s="58">
        <v>817.2</v>
      </c>
    </row>
    <row r="586" spans="1:4">
      <c r="A586" s="57">
        <v>2767</v>
      </c>
      <c r="B586" s="57">
        <v>67119</v>
      </c>
      <c r="C586" s="58">
        <v>440.8</v>
      </c>
      <c r="D586" s="58">
        <v>817.2</v>
      </c>
    </row>
    <row r="587" spans="1:4">
      <c r="A587" s="57">
        <v>2768</v>
      </c>
      <c r="B587" s="57">
        <v>67119</v>
      </c>
      <c r="C587" s="58">
        <v>440.8</v>
      </c>
      <c r="D587" s="58">
        <v>817.2</v>
      </c>
    </row>
    <row r="588" spans="1:4">
      <c r="A588" s="57">
        <v>2769</v>
      </c>
      <c r="B588" s="57">
        <v>67119</v>
      </c>
      <c r="C588" s="58">
        <v>440.8</v>
      </c>
      <c r="D588" s="58">
        <v>817.2</v>
      </c>
    </row>
    <row r="589" spans="1:4">
      <c r="A589" s="57">
        <v>2770</v>
      </c>
      <c r="B589" s="57">
        <v>67113</v>
      </c>
      <c r="C589" s="58">
        <v>610</v>
      </c>
      <c r="D589" s="58">
        <v>741.7</v>
      </c>
    </row>
    <row r="590" spans="1:4">
      <c r="A590" s="57">
        <v>2773</v>
      </c>
      <c r="B590" s="57">
        <v>67113</v>
      </c>
      <c r="C590" s="58">
        <v>610</v>
      </c>
      <c r="D590" s="58">
        <v>741.7</v>
      </c>
    </row>
    <row r="591" spans="1:4">
      <c r="A591" s="57">
        <v>2774</v>
      </c>
      <c r="B591" s="57">
        <v>67113</v>
      </c>
      <c r="C591" s="58">
        <v>610</v>
      </c>
      <c r="D591" s="58">
        <v>741.7</v>
      </c>
    </row>
    <row r="592" spans="1:4">
      <c r="A592" s="57">
        <v>2775</v>
      </c>
      <c r="B592" s="57">
        <v>61375</v>
      </c>
      <c r="C592" s="58">
        <v>411</v>
      </c>
      <c r="D592" s="58">
        <v>1029.4000000000001</v>
      </c>
    </row>
    <row r="593" spans="1:4">
      <c r="A593" s="57">
        <v>2776</v>
      </c>
      <c r="B593" s="57">
        <v>67113</v>
      </c>
      <c r="C593" s="58">
        <v>610</v>
      </c>
      <c r="D593" s="58">
        <v>741.7</v>
      </c>
    </row>
    <row r="594" spans="1:4">
      <c r="A594" s="57">
        <v>2777</v>
      </c>
      <c r="B594" s="57">
        <v>67113</v>
      </c>
      <c r="C594" s="58">
        <v>610</v>
      </c>
      <c r="D594" s="58">
        <v>741.7</v>
      </c>
    </row>
    <row r="595" spans="1:4">
      <c r="A595" s="57">
        <v>2778</v>
      </c>
      <c r="B595" s="57">
        <v>67113</v>
      </c>
      <c r="C595" s="58">
        <v>610</v>
      </c>
      <c r="D595" s="58">
        <v>741.7</v>
      </c>
    </row>
    <row r="596" spans="1:4">
      <c r="A596" s="57">
        <v>2779</v>
      </c>
      <c r="B596" s="57">
        <v>63292</v>
      </c>
      <c r="C596" s="58">
        <v>65.400000000000006</v>
      </c>
      <c r="D596" s="58">
        <v>2200.1</v>
      </c>
    </row>
    <row r="597" spans="1:4">
      <c r="A597" s="57">
        <v>2780</v>
      </c>
      <c r="B597" s="57">
        <v>63292</v>
      </c>
      <c r="C597" s="58">
        <v>65.400000000000006</v>
      </c>
      <c r="D597" s="58">
        <v>2200.1</v>
      </c>
    </row>
    <row r="598" spans="1:4">
      <c r="A598" s="57">
        <v>2782</v>
      </c>
      <c r="B598" s="57">
        <v>63292</v>
      </c>
      <c r="C598" s="58">
        <v>65.400000000000006</v>
      </c>
      <c r="D598" s="58">
        <v>2200.1</v>
      </c>
    </row>
    <row r="599" spans="1:4">
      <c r="A599" s="57">
        <v>2783</v>
      </c>
      <c r="B599" s="57">
        <v>63292</v>
      </c>
      <c r="C599" s="58">
        <v>65.400000000000006</v>
      </c>
      <c r="D599" s="58">
        <v>2200.1</v>
      </c>
    </row>
    <row r="600" spans="1:4">
      <c r="A600" s="57">
        <v>2784</v>
      </c>
      <c r="B600" s="57">
        <v>63292</v>
      </c>
      <c r="C600" s="58">
        <v>65.400000000000006</v>
      </c>
      <c r="D600" s="58">
        <v>2200.1</v>
      </c>
    </row>
    <row r="601" spans="1:4">
      <c r="A601" s="57">
        <v>2785</v>
      </c>
      <c r="B601" s="57">
        <v>63292</v>
      </c>
      <c r="C601" s="58">
        <v>65.400000000000006</v>
      </c>
      <c r="D601" s="58">
        <v>2200.1</v>
      </c>
    </row>
    <row r="602" spans="1:4">
      <c r="A602" s="57">
        <v>2786</v>
      </c>
      <c r="B602" s="57">
        <v>63292</v>
      </c>
      <c r="C602" s="58">
        <v>65.400000000000006</v>
      </c>
      <c r="D602" s="58">
        <v>2200.1</v>
      </c>
    </row>
    <row r="603" spans="1:4">
      <c r="A603" s="57">
        <v>2787</v>
      </c>
      <c r="B603" s="57">
        <v>63291</v>
      </c>
      <c r="C603" s="58">
        <v>121.4</v>
      </c>
      <c r="D603" s="58">
        <v>1911</v>
      </c>
    </row>
    <row r="604" spans="1:4">
      <c r="A604" s="57">
        <v>2790</v>
      </c>
      <c r="B604" s="57">
        <v>63291</v>
      </c>
      <c r="C604" s="58">
        <v>121.4</v>
      </c>
      <c r="D604" s="58">
        <v>1911</v>
      </c>
    </row>
    <row r="605" spans="1:4">
      <c r="A605" s="57">
        <v>2791</v>
      </c>
      <c r="B605" s="57">
        <v>63303</v>
      </c>
      <c r="C605" s="58">
        <v>69.2</v>
      </c>
      <c r="D605" s="58">
        <v>2334.5</v>
      </c>
    </row>
    <row r="606" spans="1:4">
      <c r="A606" s="57">
        <v>2792</v>
      </c>
      <c r="B606" s="57">
        <v>63303</v>
      </c>
      <c r="C606" s="58">
        <v>69.2</v>
      </c>
      <c r="D606" s="58">
        <v>2334.5</v>
      </c>
    </row>
    <row r="607" spans="1:4">
      <c r="A607" s="57">
        <v>2793</v>
      </c>
      <c r="B607" s="57">
        <v>63303</v>
      </c>
      <c r="C607" s="58">
        <v>69.2</v>
      </c>
      <c r="D607" s="58">
        <v>2334.5</v>
      </c>
    </row>
    <row r="608" spans="1:4">
      <c r="A608" s="57">
        <v>2794</v>
      </c>
      <c r="B608" s="57">
        <v>73138</v>
      </c>
      <c r="C608" s="58">
        <v>177.9</v>
      </c>
      <c r="D608" s="58">
        <v>1757.6</v>
      </c>
    </row>
    <row r="609" spans="1:4">
      <c r="A609" s="16">
        <v>2795</v>
      </c>
      <c r="B609" s="16">
        <v>63291</v>
      </c>
      <c r="C609" s="16">
        <v>121.4</v>
      </c>
      <c r="D609" s="16">
        <v>1911</v>
      </c>
    </row>
    <row r="610" spans="1:4">
      <c r="A610" s="57">
        <v>2797</v>
      </c>
      <c r="B610" s="57">
        <v>63303</v>
      </c>
      <c r="C610" s="58">
        <v>69.2</v>
      </c>
      <c r="D610" s="58">
        <v>2334.5</v>
      </c>
    </row>
    <row r="611" spans="1:4">
      <c r="A611" s="57">
        <v>2798</v>
      </c>
      <c r="B611" s="57">
        <v>63303</v>
      </c>
      <c r="C611" s="58">
        <v>69.2</v>
      </c>
      <c r="D611" s="58">
        <v>2334.5</v>
      </c>
    </row>
    <row r="612" spans="1:4">
      <c r="A612" s="57">
        <v>2799</v>
      </c>
      <c r="B612" s="57">
        <v>63303</v>
      </c>
      <c r="C612" s="58">
        <v>69.2</v>
      </c>
      <c r="D612" s="58">
        <v>2334.5</v>
      </c>
    </row>
    <row r="613" spans="1:4">
      <c r="A613" s="57">
        <v>2800</v>
      </c>
      <c r="B613" s="57">
        <v>63303</v>
      </c>
      <c r="C613" s="58">
        <v>69.2</v>
      </c>
      <c r="D613" s="58">
        <v>2334.5</v>
      </c>
    </row>
    <row r="614" spans="1:4">
      <c r="A614" s="57">
        <v>2803</v>
      </c>
      <c r="B614" s="57">
        <v>73138</v>
      </c>
      <c r="C614" s="58">
        <v>177.9</v>
      </c>
      <c r="D614" s="58">
        <v>1757.6</v>
      </c>
    </row>
    <row r="615" spans="1:4">
      <c r="A615" s="57">
        <v>2804</v>
      </c>
      <c r="B615" s="57">
        <v>63303</v>
      </c>
      <c r="C615" s="58">
        <v>69.2</v>
      </c>
      <c r="D615" s="58">
        <v>2334.5</v>
      </c>
    </row>
    <row r="616" spans="1:4">
      <c r="A616" s="57">
        <v>2805</v>
      </c>
      <c r="B616" s="57">
        <v>65103</v>
      </c>
      <c r="C616" s="58">
        <v>319.89999999999998</v>
      </c>
      <c r="D616" s="58">
        <v>1282.8</v>
      </c>
    </row>
    <row r="617" spans="1:4">
      <c r="A617" s="57">
        <v>2806</v>
      </c>
      <c r="B617" s="57">
        <v>65068</v>
      </c>
      <c r="C617" s="58">
        <v>268.7</v>
      </c>
      <c r="D617" s="58">
        <v>1387.5</v>
      </c>
    </row>
    <row r="618" spans="1:4">
      <c r="A618" s="57">
        <v>2807</v>
      </c>
      <c r="B618" s="57">
        <v>73138</v>
      </c>
      <c r="C618" s="58">
        <v>177.9</v>
      </c>
      <c r="D618" s="58">
        <v>1757.6</v>
      </c>
    </row>
    <row r="619" spans="1:4">
      <c r="A619" s="57">
        <v>2808</v>
      </c>
      <c r="B619" s="57">
        <v>63303</v>
      </c>
      <c r="C619" s="58">
        <v>69.2</v>
      </c>
      <c r="D619" s="58">
        <v>2334.5</v>
      </c>
    </row>
    <row r="620" spans="1:4">
      <c r="A620" s="57">
        <v>2809</v>
      </c>
      <c r="B620" s="57">
        <v>73138</v>
      </c>
      <c r="C620" s="58">
        <v>177.9</v>
      </c>
      <c r="D620" s="58">
        <v>1757.6</v>
      </c>
    </row>
    <row r="621" spans="1:4">
      <c r="A621" s="57">
        <v>2810</v>
      </c>
      <c r="B621" s="57">
        <v>73138</v>
      </c>
      <c r="C621" s="58">
        <v>177.9</v>
      </c>
      <c r="D621" s="58">
        <v>1757.6</v>
      </c>
    </row>
    <row r="622" spans="1:4">
      <c r="A622" s="57">
        <v>2818</v>
      </c>
      <c r="B622" s="57">
        <v>65070</v>
      </c>
      <c r="C622" s="58">
        <v>343.3</v>
      </c>
      <c r="D622" s="58">
        <v>1144.8</v>
      </c>
    </row>
    <row r="623" spans="1:4">
      <c r="A623" s="57">
        <v>2820</v>
      </c>
      <c r="B623" s="57">
        <v>65070</v>
      </c>
      <c r="C623" s="58">
        <v>343.3</v>
      </c>
      <c r="D623" s="58">
        <v>1144.8</v>
      </c>
    </row>
    <row r="624" spans="1:4">
      <c r="A624" s="57">
        <v>2821</v>
      </c>
      <c r="B624" s="57">
        <v>65070</v>
      </c>
      <c r="C624" s="58">
        <v>343.3</v>
      </c>
      <c r="D624" s="58">
        <v>1144.8</v>
      </c>
    </row>
    <row r="625" spans="1:4">
      <c r="A625" s="57">
        <v>2823</v>
      </c>
      <c r="B625" s="57">
        <v>51049</v>
      </c>
      <c r="C625" s="58">
        <v>456.1</v>
      </c>
      <c r="D625" s="58">
        <v>1047.3</v>
      </c>
    </row>
    <row r="626" spans="1:4">
      <c r="A626" s="57">
        <v>2824</v>
      </c>
      <c r="B626" s="57">
        <v>51049</v>
      </c>
      <c r="C626" s="58">
        <v>456.1</v>
      </c>
      <c r="D626" s="58">
        <v>1047.3</v>
      </c>
    </row>
    <row r="627" spans="1:4">
      <c r="A627" s="57">
        <v>2825</v>
      </c>
      <c r="B627" s="57">
        <v>48237</v>
      </c>
      <c r="C627" s="58">
        <v>400.6</v>
      </c>
      <c r="D627" s="58">
        <v>1021.8</v>
      </c>
    </row>
    <row r="628" spans="1:4">
      <c r="A628" s="57">
        <v>2826</v>
      </c>
      <c r="B628" s="57">
        <v>65103</v>
      </c>
      <c r="C628" s="58">
        <v>319.89999999999998</v>
      </c>
      <c r="D628" s="58">
        <v>1282.8</v>
      </c>
    </row>
    <row r="629" spans="1:4">
      <c r="A629" s="57">
        <v>2827</v>
      </c>
      <c r="B629" s="57">
        <v>65070</v>
      </c>
      <c r="C629" s="58">
        <v>343.3</v>
      </c>
      <c r="D629" s="58">
        <v>1144.8</v>
      </c>
    </row>
    <row r="630" spans="1:4">
      <c r="A630" s="57">
        <v>2828</v>
      </c>
      <c r="B630" s="57">
        <v>51161</v>
      </c>
      <c r="C630" s="58">
        <v>519.70000000000005</v>
      </c>
      <c r="D630" s="58">
        <v>903.7</v>
      </c>
    </row>
    <row r="631" spans="1:4">
      <c r="A631" s="57">
        <v>2829</v>
      </c>
      <c r="B631" s="57">
        <v>51161</v>
      </c>
      <c r="C631" s="58">
        <v>519.70000000000005</v>
      </c>
      <c r="D631" s="58">
        <v>903.7</v>
      </c>
    </row>
    <row r="632" spans="1:4">
      <c r="A632" s="57">
        <v>2830</v>
      </c>
      <c r="B632" s="57">
        <v>65070</v>
      </c>
      <c r="C632" s="58">
        <v>343.3</v>
      </c>
      <c r="D632" s="58">
        <v>1144.8</v>
      </c>
    </row>
    <row r="633" spans="1:4">
      <c r="A633" s="57">
        <v>2831</v>
      </c>
      <c r="B633" s="57">
        <v>65070</v>
      </c>
      <c r="C633" s="58">
        <v>343.3</v>
      </c>
      <c r="D633" s="58">
        <v>1144.8</v>
      </c>
    </row>
    <row r="634" spans="1:4">
      <c r="A634" s="57">
        <v>2832</v>
      </c>
      <c r="B634" s="57">
        <v>51161</v>
      </c>
      <c r="C634" s="58">
        <v>519.70000000000005</v>
      </c>
      <c r="D634" s="58">
        <v>903.7</v>
      </c>
    </row>
    <row r="635" spans="1:4">
      <c r="A635" s="57">
        <v>2833</v>
      </c>
      <c r="B635" s="57">
        <v>53115</v>
      </c>
      <c r="C635" s="58">
        <v>533.70000000000005</v>
      </c>
      <c r="D635" s="58">
        <v>755</v>
      </c>
    </row>
    <row r="636" spans="1:4">
      <c r="A636" s="57">
        <v>2834</v>
      </c>
      <c r="B636" s="57">
        <v>43109</v>
      </c>
      <c r="C636" s="58">
        <v>676.8</v>
      </c>
      <c r="D636" s="58">
        <v>592</v>
      </c>
    </row>
    <row r="637" spans="1:4">
      <c r="A637" s="57">
        <v>2835</v>
      </c>
      <c r="B637" s="57">
        <v>49000</v>
      </c>
      <c r="C637" s="58">
        <v>305</v>
      </c>
      <c r="D637" s="58">
        <v>900.1</v>
      </c>
    </row>
    <row r="638" spans="1:4">
      <c r="A638" s="57">
        <v>2836</v>
      </c>
      <c r="B638" s="57">
        <v>46129</v>
      </c>
      <c r="C638" s="58">
        <v>432.7</v>
      </c>
      <c r="D638" s="58">
        <v>720.5</v>
      </c>
    </row>
    <row r="639" spans="1:4">
      <c r="A639" s="57">
        <v>2838</v>
      </c>
      <c r="B639" s="57">
        <v>43109</v>
      </c>
      <c r="C639" s="58">
        <v>676.8</v>
      </c>
      <c r="D639" s="58">
        <v>592</v>
      </c>
    </row>
    <row r="640" spans="1:4">
      <c r="A640" s="57">
        <v>2839</v>
      </c>
      <c r="B640" s="57">
        <v>51161</v>
      </c>
      <c r="C640" s="58">
        <v>519.70000000000005</v>
      </c>
      <c r="D640" s="58">
        <v>903.7</v>
      </c>
    </row>
    <row r="641" spans="1:4">
      <c r="A641" s="57">
        <v>2840</v>
      </c>
      <c r="B641" s="57">
        <v>48027</v>
      </c>
      <c r="C641" s="58">
        <v>336.2</v>
      </c>
      <c r="D641" s="58">
        <v>849.3</v>
      </c>
    </row>
    <row r="642" spans="1:4">
      <c r="A642" s="57">
        <v>2842</v>
      </c>
      <c r="B642" s="57">
        <v>65070</v>
      </c>
      <c r="C642" s="58">
        <v>343.3</v>
      </c>
      <c r="D642" s="58">
        <v>1144.8</v>
      </c>
    </row>
    <row r="643" spans="1:4">
      <c r="A643" s="57">
        <v>2843</v>
      </c>
      <c r="B643" s="57">
        <v>61287</v>
      </c>
      <c r="C643" s="58">
        <v>349.6</v>
      </c>
      <c r="D643" s="58">
        <v>1259.3</v>
      </c>
    </row>
    <row r="644" spans="1:4">
      <c r="A644" s="57">
        <v>2844</v>
      </c>
      <c r="B644" s="57">
        <v>62101</v>
      </c>
      <c r="C644" s="58">
        <v>270.8</v>
      </c>
      <c r="D644" s="58">
        <v>1506</v>
      </c>
    </row>
    <row r="645" spans="1:4">
      <c r="A645" s="57">
        <v>2845</v>
      </c>
      <c r="B645" s="57">
        <v>63292</v>
      </c>
      <c r="C645" s="58">
        <v>65.400000000000006</v>
      </c>
      <c r="D645" s="58">
        <v>2200.1</v>
      </c>
    </row>
    <row r="646" spans="1:4">
      <c r="A646" s="57">
        <v>2846</v>
      </c>
      <c r="B646" s="57">
        <v>63291</v>
      </c>
      <c r="C646" s="58">
        <v>121.4</v>
      </c>
      <c r="D646" s="58">
        <v>1911</v>
      </c>
    </row>
    <row r="647" spans="1:4">
      <c r="A647" s="57">
        <v>2847</v>
      </c>
      <c r="B647" s="57">
        <v>63291</v>
      </c>
      <c r="C647" s="58">
        <v>121.4</v>
      </c>
      <c r="D647" s="58">
        <v>1911</v>
      </c>
    </row>
    <row r="648" spans="1:4">
      <c r="A648" s="57">
        <v>2848</v>
      </c>
      <c r="B648" s="57">
        <v>62100</v>
      </c>
      <c r="C648" s="58">
        <v>73.900000000000006</v>
      </c>
      <c r="D648" s="58">
        <v>2266.6</v>
      </c>
    </row>
    <row r="649" spans="1:4">
      <c r="A649" s="57">
        <v>2849</v>
      </c>
      <c r="B649" s="57">
        <v>62100</v>
      </c>
      <c r="C649" s="58">
        <v>73.900000000000006</v>
      </c>
      <c r="D649" s="58">
        <v>2266.6</v>
      </c>
    </row>
    <row r="650" spans="1:4">
      <c r="A650" s="57">
        <v>2850</v>
      </c>
      <c r="B650" s="57">
        <v>62101</v>
      </c>
      <c r="C650" s="58">
        <v>270.8</v>
      </c>
      <c r="D650" s="58">
        <v>1506</v>
      </c>
    </row>
    <row r="651" spans="1:4">
      <c r="A651" s="57">
        <v>2852</v>
      </c>
      <c r="B651" s="57">
        <v>62101</v>
      </c>
      <c r="C651" s="58">
        <v>270.8</v>
      </c>
      <c r="D651" s="58">
        <v>1506</v>
      </c>
    </row>
    <row r="652" spans="1:4">
      <c r="A652" s="57">
        <v>2864</v>
      </c>
      <c r="B652" s="57">
        <v>63303</v>
      </c>
      <c r="C652" s="58">
        <v>69.2</v>
      </c>
      <c r="D652" s="58">
        <v>2334.5</v>
      </c>
    </row>
    <row r="653" spans="1:4">
      <c r="A653" s="57">
        <v>2865</v>
      </c>
      <c r="B653" s="57">
        <v>65068</v>
      </c>
      <c r="C653" s="58">
        <v>268.7</v>
      </c>
      <c r="D653" s="58">
        <v>1387.5</v>
      </c>
    </row>
    <row r="654" spans="1:4">
      <c r="A654" s="57">
        <v>2866</v>
      </c>
      <c r="B654" s="57">
        <v>63303</v>
      </c>
      <c r="C654" s="58">
        <v>69.2</v>
      </c>
      <c r="D654" s="58">
        <v>2334.5</v>
      </c>
    </row>
    <row r="655" spans="1:4">
      <c r="A655" s="57">
        <v>2867</v>
      </c>
      <c r="B655" s="57">
        <v>65068</v>
      </c>
      <c r="C655" s="58">
        <v>268.7</v>
      </c>
      <c r="D655" s="58">
        <v>1387.5</v>
      </c>
    </row>
    <row r="656" spans="1:4">
      <c r="A656" s="57">
        <v>2868</v>
      </c>
      <c r="B656" s="57">
        <v>65070</v>
      </c>
      <c r="C656" s="58">
        <v>343.3</v>
      </c>
      <c r="D656" s="58">
        <v>1144.8</v>
      </c>
    </row>
    <row r="657" spans="1:4">
      <c r="A657" s="57">
        <v>2869</v>
      </c>
      <c r="B657" s="57">
        <v>65068</v>
      </c>
      <c r="C657" s="58">
        <v>268.7</v>
      </c>
      <c r="D657" s="58">
        <v>1387.5</v>
      </c>
    </row>
    <row r="658" spans="1:4">
      <c r="A658" s="57">
        <v>2870</v>
      </c>
      <c r="B658" s="57">
        <v>65068</v>
      </c>
      <c r="C658" s="58">
        <v>268.7</v>
      </c>
      <c r="D658" s="58">
        <v>1387.5</v>
      </c>
    </row>
    <row r="659" spans="1:4">
      <c r="A659" s="57">
        <v>2871</v>
      </c>
      <c r="B659" s="57">
        <v>65103</v>
      </c>
      <c r="C659" s="58">
        <v>319.89999999999998</v>
      </c>
      <c r="D659" s="58">
        <v>1282.8</v>
      </c>
    </row>
    <row r="660" spans="1:4">
      <c r="A660" s="57">
        <v>2873</v>
      </c>
      <c r="B660" s="57">
        <v>51049</v>
      </c>
      <c r="C660" s="58">
        <v>456.1</v>
      </c>
      <c r="D660" s="58">
        <v>1047.3</v>
      </c>
    </row>
    <row r="661" spans="1:4">
      <c r="A661" s="57">
        <v>2874</v>
      </c>
      <c r="B661" s="57">
        <v>50137</v>
      </c>
      <c r="C661" s="58">
        <v>338.1</v>
      </c>
      <c r="D661" s="58">
        <v>1198.8</v>
      </c>
    </row>
    <row r="662" spans="1:4">
      <c r="A662" s="57">
        <v>2875</v>
      </c>
      <c r="B662" s="57">
        <v>65068</v>
      </c>
      <c r="C662" s="58">
        <v>268.7</v>
      </c>
      <c r="D662" s="58">
        <v>1387.5</v>
      </c>
    </row>
    <row r="663" spans="1:4">
      <c r="A663" s="57">
        <v>2876</v>
      </c>
      <c r="B663" s="57">
        <v>65103</v>
      </c>
      <c r="C663" s="58">
        <v>319.89999999999998</v>
      </c>
      <c r="D663" s="58">
        <v>1282.8</v>
      </c>
    </row>
    <row r="664" spans="1:4">
      <c r="A664" s="57">
        <v>2877</v>
      </c>
      <c r="B664" s="57">
        <v>50137</v>
      </c>
      <c r="C664" s="58">
        <v>338.1</v>
      </c>
      <c r="D664" s="58">
        <v>1198.8</v>
      </c>
    </row>
    <row r="665" spans="1:4">
      <c r="A665" s="57">
        <v>2878</v>
      </c>
      <c r="B665" s="57">
        <v>49000</v>
      </c>
      <c r="C665" s="58">
        <v>305</v>
      </c>
      <c r="D665" s="58">
        <v>900.1</v>
      </c>
    </row>
    <row r="666" spans="1:4">
      <c r="A666" s="57">
        <v>2879</v>
      </c>
      <c r="B666" s="57">
        <v>47048</v>
      </c>
      <c r="C666" s="58">
        <v>258.7</v>
      </c>
      <c r="D666" s="58">
        <v>1006.3</v>
      </c>
    </row>
    <row r="667" spans="1:4">
      <c r="A667" s="57">
        <v>2880</v>
      </c>
      <c r="B667" s="57">
        <v>47048</v>
      </c>
      <c r="C667" s="58">
        <v>258.7</v>
      </c>
      <c r="D667" s="58">
        <v>1006.3</v>
      </c>
    </row>
    <row r="668" spans="1:4">
      <c r="A668" s="57">
        <v>2898</v>
      </c>
      <c r="B668" s="57">
        <v>59040</v>
      </c>
      <c r="C668" s="58">
        <v>804.9</v>
      </c>
      <c r="D668" s="58">
        <v>491.6</v>
      </c>
    </row>
    <row r="669" spans="1:4">
      <c r="A669" s="57">
        <v>2899</v>
      </c>
      <c r="B669" s="57">
        <v>72160</v>
      </c>
      <c r="C669" s="58">
        <v>206</v>
      </c>
      <c r="D669" s="58">
        <v>1484.8</v>
      </c>
    </row>
    <row r="670" spans="1:4">
      <c r="A670" s="57">
        <v>2900</v>
      </c>
      <c r="B670" s="57">
        <v>70339</v>
      </c>
      <c r="C670" s="58">
        <v>111.9</v>
      </c>
      <c r="D670" s="58">
        <v>1878.7</v>
      </c>
    </row>
    <row r="671" spans="1:4">
      <c r="A671" s="57">
        <v>2902</v>
      </c>
      <c r="B671" s="57">
        <v>70339</v>
      </c>
      <c r="C671" s="58">
        <v>111.9</v>
      </c>
      <c r="D671" s="58">
        <v>1878.7</v>
      </c>
    </row>
    <row r="672" spans="1:4">
      <c r="A672" s="57">
        <v>2903</v>
      </c>
      <c r="B672" s="57">
        <v>70339</v>
      </c>
      <c r="C672" s="58">
        <v>111.9</v>
      </c>
      <c r="D672" s="58">
        <v>1878.7</v>
      </c>
    </row>
    <row r="673" spans="1:4">
      <c r="A673" s="57">
        <v>2904</v>
      </c>
      <c r="B673" s="57">
        <v>70339</v>
      </c>
      <c r="C673" s="58">
        <v>111.9</v>
      </c>
      <c r="D673" s="58">
        <v>1878.7</v>
      </c>
    </row>
    <row r="674" spans="1:4">
      <c r="A674" s="57">
        <v>2905</v>
      </c>
      <c r="B674" s="57">
        <v>70339</v>
      </c>
      <c r="C674" s="58">
        <v>111.9</v>
      </c>
      <c r="D674" s="58">
        <v>1878.7</v>
      </c>
    </row>
    <row r="675" spans="1:4">
      <c r="A675" s="57">
        <v>2906</v>
      </c>
      <c r="B675" s="57">
        <v>70339</v>
      </c>
      <c r="C675" s="58">
        <v>111.9</v>
      </c>
      <c r="D675" s="58">
        <v>1878.7</v>
      </c>
    </row>
    <row r="676" spans="1:4">
      <c r="A676" s="57">
        <v>2911</v>
      </c>
      <c r="B676" s="57">
        <v>70339</v>
      </c>
      <c r="C676" s="58">
        <v>111.9</v>
      </c>
      <c r="D676" s="58">
        <v>1878.7</v>
      </c>
    </row>
    <row r="677" spans="1:4">
      <c r="A677" s="57">
        <v>2912</v>
      </c>
      <c r="B677" s="57">
        <v>70339</v>
      </c>
      <c r="C677" s="58">
        <v>111.9</v>
      </c>
      <c r="D677" s="58">
        <v>1878.7</v>
      </c>
    </row>
    <row r="678" spans="1:4">
      <c r="A678" s="57">
        <v>2913</v>
      </c>
      <c r="B678" s="57">
        <v>70339</v>
      </c>
      <c r="C678" s="58">
        <v>111.9</v>
      </c>
      <c r="D678" s="58">
        <v>1878.7</v>
      </c>
    </row>
    <row r="679" spans="1:4">
      <c r="A679" s="57">
        <v>2914</v>
      </c>
      <c r="B679" s="57">
        <v>70339</v>
      </c>
      <c r="C679" s="58">
        <v>111.9</v>
      </c>
      <c r="D679" s="58">
        <v>1878.7</v>
      </c>
    </row>
    <row r="680" spans="1:4">
      <c r="A680" s="57">
        <v>3000</v>
      </c>
      <c r="B680" s="57">
        <v>86071</v>
      </c>
      <c r="C680" s="58">
        <v>167</v>
      </c>
      <c r="D680" s="58">
        <v>1055.2</v>
      </c>
    </row>
    <row r="681" spans="1:4">
      <c r="A681" s="57">
        <v>3002</v>
      </c>
      <c r="B681" s="57">
        <v>86071</v>
      </c>
      <c r="C681" s="58">
        <v>167</v>
      </c>
      <c r="D681" s="58">
        <v>1055.2</v>
      </c>
    </row>
    <row r="682" spans="1:4">
      <c r="A682" s="57">
        <v>3003</v>
      </c>
      <c r="B682" s="57">
        <v>86071</v>
      </c>
      <c r="C682" s="58">
        <v>167</v>
      </c>
      <c r="D682" s="58">
        <v>1055.2</v>
      </c>
    </row>
    <row r="683" spans="1:4">
      <c r="A683" s="57">
        <v>3004</v>
      </c>
      <c r="B683" s="57">
        <v>86071</v>
      </c>
      <c r="C683" s="58">
        <v>167</v>
      </c>
      <c r="D683" s="58">
        <v>1055.2</v>
      </c>
    </row>
    <row r="684" spans="1:4">
      <c r="A684" s="57">
        <v>3005</v>
      </c>
      <c r="B684" s="57">
        <v>88162</v>
      </c>
      <c r="C684" s="58">
        <v>62.1</v>
      </c>
      <c r="D684" s="58">
        <v>2242.8000000000002</v>
      </c>
    </row>
    <row r="685" spans="1:4">
      <c r="A685" s="57">
        <v>3006</v>
      </c>
      <c r="B685" s="57">
        <v>86071</v>
      </c>
      <c r="C685" s="58">
        <v>167</v>
      </c>
      <c r="D685" s="58">
        <v>1055.2</v>
      </c>
    </row>
    <row r="686" spans="1:4">
      <c r="A686" s="57">
        <v>3008</v>
      </c>
      <c r="B686" s="57">
        <v>86071</v>
      </c>
      <c r="C686" s="58">
        <v>167</v>
      </c>
      <c r="D686" s="58">
        <v>1055.2</v>
      </c>
    </row>
    <row r="687" spans="1:4">
      <c r="A687" s="57">
        <v>3010</v>
      </c>
      <c r="B687" s="57">
        <v>86071</v>
      </c>
      <c r="C687" s="58">
        <v>167</v>
      </c>
      <c r="D687" s="58">
        <v>1055.2</v>
      </c>
    </row>
    <row r="688" spans="1:4">
      <c r="A688" s="57">
        <v>3011</v>
      </c>
      <c r="B688" s="57">
        <v>86071</v>
      </c>
      <c r="C688" s="58">
        <v>167</v>
      </c>
      <c r="D688" s="58">
        <v>1055.2</v>
      </c>
    </row>
    <row r="689" spans="1:4">
      <c r="A689" s="57">
        <v>3012</v>
      </c>
      <c r="B689" s="57">
        <v>87031</v>
      </c>
      <c r="C689" s="58">
        <v>160.4</v>
      </c>
      <c r="D689" s="58">
        <v>1413.4</v>
      </c>
    </row>
    <row r="690" spans="1:4">
      <c r="A690" s="57">
        <v>3013</v>
      </c>
      <c r="B690" s="57">
        <v>86071</v>
      </c>
      <c r="C690" s="58">
        <v>167</v>
      </c>
      <c r="D690" s="58">
        <v>1055.2</v>
      </c>
    </row>
    <row r="691" spans="1:4">
      <c r="A691" s="57">
        <v>3015</v>
      </c>
      <c r="B691" s="57">
        <v>86071</v>
      </c>
      <c r="C691" s="58">
        <v>167</v>
      </c>
      <c r="D691" s="58">
        <v>1055.2</v>
      </c>
    </row>
    <row r="692" spans="1:4">
      <c r="A692" s="57">
        <v>3016</v>
      </c>
      <c r="B692" s="57">
        <v>86071</v>
      </c>
      <c r="C692" s="58">
        <v>167</v>
      </c>
      <c r="D692" s="58">
        <v>1055.2</v>
      </c>
    </row>
    <row r="693" spans="1:4">
      <c r="A693" s="57">
        <v>3018</v>
      </c>
      <c r="B693" s="57">
        <v>87031</v>
      </c>
      <c r="C693" s="58">
        <v>160.4</v>
      </c>
      <c r="D693" s="58">
        <v>1413.4</v>
      </c>
    </row>
    <row r="694" spans="1:4">
      <c r="A694" s="57">
        <v>3019</v>
      </c>
      <c r="B694" s="57">
        <v>86038</v>
      </c>
      <c r="C694" s="58">
        <v>158.19999999999999</v>
      </c>
      <c r="D694" s="58">
        <v>1373.9</v>
      </c>
    </row>
    <row r="695" spans="1:4">
      <c r="A695" s="57">
        <v>3020</v>
      </c>
      <c r="B695" s="57">
        <v>87031</v>
      </c>
      <c r="C695" s="58">
        <v>160.4</v>
      </c>
      <c r="D695" s="58">
        <v>1413.4</v>
      </c>
    </row>
    <row r="696" spans="1:4">
      <c r="A696" s="57">
        <v>3021</v>
      </c>
      <c r="B696" s="57">
        <v>86282</v>
      </c>
      <c r="C696" s="58">
        <v>105</v>
      </c>
      <c r="D696" s="58">
        <v>1455.7</v>
      </c>
    </row>
    <row r="697" spans="1:4">
      <c r="A697" s="57">
        <v>3022</v>
      </c>
      <c r="B697" s="57">
        <v>87031</v>
      </c>
      <c r="C697" s="58">
        <v>160.4</v>
      </c>
      <c r="D697" s="58">
        <v>1413.4</v>
      </c>
    </row>
    <row r="698" spans="1:4">
      <c r="A698" s="57">
        <v>3023</v>
      </c>
      <c r="B698" s="57">
        <v>87031</v>
      </c>
      <c r="C698" s="58">
        <v>160.4</v>
      </c>
      <c r="D698" s="58">
        <v>1413.4</v>
      </c>
    </row>
    <row r="699" spans="1:4">
      <c r="A699" s="57">
        <v>3024</v>
      </c>
      <c r="B699" s="57">
        <v>87113</v>
      </c>
      <c r="C699" s="58">
        <v>144</v>
      </c>
      <c r="D699" s="58">
        <v>1461.7</v>
      </c>
    </row>
    <row r="700" spans="1:4">
      <c r="A700" s="57">
        <v>3025</v>
      </c>
      <c r="B700" s="57">
        <v>87031</v>
      </c>
      <c r="C700" s="58">
        <v>160.4</v>
      </c>
      <c r="D700" s="58">
        <v>1413.4</v>
      </c>
    </row>
    <row r="701" spans="1:4">
      <c r="A701" s="57">
        <v>3026</v>
      </c>
      <c r="B701" s="57">
        <v>87031</v>
      </c>
      <c r="C701" s="58">
        <v>160.4</v>
      </c>
      <c r="D701" s="58">
        <v>1413.4</v>
      </c>
    </row>
    <row r="702" spans="1:4">
      <c r="A702" s="57">
        <v>3027</v>
      </c>
      <c r="B702" s="57">
        <v>87031</v>
      </c>
      <c r="C702" s="58">
        <v>160.4</v>
      </c>
      <c r="D702" s="58">
        <v>1413.4</v>
      </c>
    </row>
    <row r="703" spans="1:4">
      <c r="A703" s="57">
        <v>3028</v>
      </c>
      <c r="B703" s="57">
        <v>87031</v>
      </c>
      <c r="C703" s="58">
        <v>160.4</v>
      </c>
      <c r="D703" s="58">
        <v>1413.4</v>
      </c>
    </row>
    <row r="704" spans="1:4">
      <c r="A704" s="57">
        <v>3029</v>
      </c>
      <c r="B704" s="57">
        <v>87031</v>
      </c>
      <c r="C704" s="58">
        <v>160.4</v>
      </c>
      <c r="D704" s="58">
        <v>1413.4</v>
      </c>
    </row>
    <row r="705" spans="1:4">
      <c r="A705" s="57">
        <v>3030</v>
      </c>
      <c r="B705" s="57">
        <v>87113</v>
      </c>
      <c r="C705" s="58">
        <v>144</v>
      </c>
      <c r="D705" s="58">
        <v>1461.7</v>
      </c>
    </row>
    <row r="706" spans="1:4">
      <c r="A706" s="57">
        <v>3031</v>
      </c>
      <c r="B706" s="57">
        <v>86071</v>
      </c>
      <c r="C706" s="58">
        <v>167</v>
      </c>
      <c r="D706" s="58">
        <v>1055.2</v>
      </c>
    </row>
    <row r="707" spans="1:4">
      <c r="A707" s="57">
        <v>3032</v>
      </c>
      <c r="B707" s="57">
        <v>86038</v>
      </c>
      <c r="C707" s="58">
        <v>158.19999999999999</v>
      </c>
      <c r="D707" s="58">
        <v>1373.9</v>
      </c>
    </row>
    <row r="708" spans="1:4">
      <c r="A708" s="57">
        <v>3033</v>
      </c>
      <c r="B708" s="57">
        <v>86038</v>
      </c>
      <c r="C708" s="58">
        <v>158.19999999999999</v>
      </c>
      <c r="D708" s="58">
        <v>1373.9</v>
      </c>
    </row>
    <row r="709" spans="1:4">
      <c r="A709" s="57">
        <v>3034</v>
      </c>
      <c r="B709" s="57">
        <v>86038</v>
      </c>
      <c r="C709" s="58">
        <v>158.19999999999999</v>
      </c>
      <c r="D709" s="58">
        <v>1373.9</v>
      </c>
    </row>
    <row r="710" spans="1:4">
      <c r="A710" s="57">
        <v>3036</v>
      </c>
      <c r="B710" s="57">
        <v>86282</v>
      </c>
      <c r="C710" s="58">
        <v>105</v>
      </c>
      <c r="D710" s="58">
        <v>1455.7</v>
      </c>
    </row>
    <row r="711" spans="1:4">
      <c r="A711" s="57">
        <v>3037</v>
      </c>
      <c r="B711" s="57">
        <v>86282</v>
      </c>
      <c r="C711" s="58">
        <v>105</v>
      </c>
      <c r="D711" s="58">
        <v>1455.7</v>
      </c>
    </row>
    <row r="712" spans="1:4">
      <c r="A712" s="57">
        <v>3038</v>
      </c>
      <c r="B712" s="57">
        <v>86282</v>
      </c>
      <c r="C712" s="58">
        <v>105</v>
      </c>
      <c r="D712" s="58">
        <v>1455.7</v>
      </c>
    </row>
    <row r="713" spans="1:4">
      <c r="A713" s="57">
        <v>3039</v>
      </c>
      <c r="B713" s="57">
        <v>86038</v>
      </c>
      <c r="C713" s="58">
        <v>158.19999999999999</v>
      </c>
      <c r="D713" s="58">
        <v>1373.9</v>
      </c>
    </row>
    <row r="714" spans="1:4">
      <c r="A714" s="57">
        <v>3040</v>
      </c>
      <c r="B714" s="57">
        <v>86038</v>
      </c>
      <c r="C714" s="58">
        <v>158.19999999999999</v>
      </c>
      <c r="D714" s="58">
        <v>1373.9</v>
      </c>
    </row>
    <row r="715" spans="1:4">
      <c r="A715" s="57">
        <v>3041</v>
      </c>
      <c r="B715" s="57">
        <v>86038</v>
      </c>
      <c r="C715" s="58">
        <v>158.19999999999999</v>
      </c>
      <c r="D715" s="58">
        <v>1373.9</v>
      </c>
    </row>
    <row r="716" spans="1:4">
      <c r="A716" s="57">
        <v>3042</v>
      </c>
      <c r="B716" s="57">
        <v>86038</v>
      </c>
      <c r="C716" s="58">
        <v>158.19999999999999</v>
      </c>
      <c r="D716" s="58">
        <v>1373.9</v>
      </c>
    </row>
    <row r="717" spans="1:4">
      <c r="A717" s="57">
        <v>3043</v>
      </c>
      <c r="B717" s="57">
        <v>86038</v>
      </c>
      <c r="C717" s="58">
        <v>158.19999999999999</v>
      </c>
      <c r="D717" s="58">
        <v>1373.9</v>
      </c>
    </row>
    <row r="718" spans="1:4">
      <c r="A718" s="57">
        <v>3044</v>
      </c>
      <c r="B718" s="57">
        <v>86038</v>
      </c>
      <c r="C718" s="58">
        <v>158.19999999999999</v>
      </c>
      <c r="D718" s="58">
        <v>1373.9</v>
      </c>
    </row>
    <row r="719" spans="1:4">
      <c r="A719" s="57">
        <v>3045</v>
      </c>
      <c r="B719" s="57">
        <v>86282</v>
      </c>
      <c r="C719" s="58">
        <v>105</v>
      </c>
      <c r="D719" s="58">
        <v>1455.7</v>
      </c>
    </row>
    <row r="720" spans="1:4">
      <c r="A720" s="57">
        <v>3046</v>
      </c>
      <c r="B720" s="57">
        <v>86038</v>
      </c>
      <c r="C720" s="58">
        <v>158.19999999999999</v>
      </c>
      <c r="D720" s="58">
        <v>1373.9</v>
      </c>
    </row>
    <row r="721" spans="1:4">
      <c r="A721" s="57">
        <v>3047</v>
      </c>
      <c r="B721" s="57">
        <v>86038</v>
      </c>
      <c r="C721" s="58">
        <v>158.19999999999999</v>
      </c>
      <c r="D721" s="58">
        <v>1373.9</v>
      </c>
    </row>
    <row r="722" spans="1:4">
      <c r="A722" s="57">
        <v>3048</v>
      </c>
      <c r="B722" s="57">
        <v>86038</v>
      </c>
      <c r="C722" s="58">
        <v>158.19999999999999</v>
      </c>
      <c r="D722" s="58">
        <v>1373.9</v>
      </c>
    </row>
    <row r="723" spans="1:4">
      <c r="A723" s="57">
        <v>3049</v>
      </c>
      <c r="B723" s="57">
        <v>86282</v>
      </c>
      <c r="C723" s="58">
        <v>105</v>
      </c>
      <c r="D723" s="58">
        <v>1455.7</v>
      </c>
    </row>
    <row r="724" spans="1:4">
      <c r="A724" s="57">
        <v>3050</v>
      </c>
      <c r="B724" s="57">
        <v>86071</v>
      </c>
      <c r="C724" s="58">
        <v>167</v>
      </c>
      <c r="D724" s="58">
        <v>1055.2</v>
      </c>
    </row>
    <row r="725" spans="1:4">
      <c r="A725" s="57">
        <v>3051</v>
      </c>
      <c r="B725" s="57">
        <v>86071</v>
      </c>
      <c r="C725" s="58">
        <v>167</v>
      </c>
      <c r="D725" s="58">
        <v>1055.2</v>
      </c>
    </row>
    <row r="726" spans="1:4">
      <c r="A726" s="57">
        <v>3052</v>
      </c>
      <c r="B726" s="57">
        <v>86071</v>
      </c>
      <c r="C726" s="58">
        <v>167</v>
      </c>
      <c r="D726" s="58">
        <v>1055.2</v>
      </c>
    </row>
    <row r="727" spans="1:4">
      <c r="A727" s="57">
        <v>3053</v>
      </c>
      <c r="B727" s="57">
        <v>86071</v>
      </c>
      <c r="C727" s="58">
        <v>167</v>
      </c>
      <c r="D727" s="58">
        <v>1055.2</v>
      </c>
    </row>
    <row r="728" spans="1:4">
      <c r="A728" s="57">
        <v>3054</v>
      </c>
      <c r="B728" s="57">
        <v>86071</v>
      </c>
      <c r="C728" s="58">
        <v>167</v>
      </c>
      <c r="D728" s="58">
        <v>1055.2</v>
      </c>
    </row>
    <row r="729" spans="1:4">
      <c r="A729" s="57">
        <v>3055</v>
      </c>
      <c r="B729" s="57">
        <v>86038</v>
      </c>
      <c r="C729" s="58">
        <v>158.19999999999999</v>
      </c>
      <c r="D729" s="58">
        <v>1373.9</v>
      </c>
    </row>
    <row r="730" spans="1:4">
      <c r="A730" s="57">
        <v>3056</v>
      </c>
      <c r="B730" s="57">
        <v>86071</v>
      </c>
      <c r="C730" s="58">
        <v>167</v>
      </c>
      <c r="D730" s="58">
        <v>1055.2</v>
      </c>
    </row>
    <row r="731" spans="1:4">
      <c r="A731" s="57">
        <v>3057</v>
      </c>
      <c r="B731" s="57">
        <v>86071</v>
      </c>
      <c r="C731" s="58">
        <v>167</v>
      </c>
      <c r="D731" s="58">
        <v>1055.2</v>
      </c>
    </row>
    <row r="732" spans="1:4">
      <c r="A732" s="57">
        <v>3058</v>
      </c>
      <c r="B732" s="57">
        <v>86038</v>
      </c>
      <c r="C732" s="58">
        <v>158.19999999999999</v>
      </c>
      <c r="D732" s="58">
        <v>1373.9</v>
      </c>
    </row>
    <row r="733" spans="1:4">
      <c r="A733" s="57">
        <v>3059</v>
      </c>
      <c r="B733" s="57">
        <v>86282</v>
      </c>
      <c r="C733" s="58">
        <v>105</v>
      </c>
      <c r="D733" s="58">
        <v>1455.7</v>
      </c>
    </row>
    <row r="734" spans="1:4">
      <c r="A734" s="57">
        <v>3060</v>
      </c>
      <c r="B734" s="57">
        <v>86038</v>
      </c>
      <c r="C734" s="58">
        <v>158.19999999999999</v>
      </c>
      <c r="D734" s="58">
        <v>1373.9</v>
      </c>
    </row>
    <row r="735" spans="1:4">
      <c r="A735" s="57">
        <v>3061</v>
      </c>
      <c r="B735" s="57">
        <v>86038</v>
      </c>
      <c r="C735" s="58">
        <v>158.19999999999999</v>
      </c>
      <c r="D735" s="58">
        <v>1373.9</v>
      </c>
    </row>
    <row r="736" spans="1:4">
      <c r="A736" s="57">
        <v>3062</v>
      </c>
      <c r="B736" s="57">
        <v>86282</v>
      </c>
      <c r="C736" s="58">
        <v>105</v>
      </c>
      <c r="D736" s="58">
        <v>1455.7</v>
      </c>
    </row>
    <row r="737" spans="1:4">
      <c r="A737" s="57">
        <v>3063</v>
      </c>
      <c r="B737" s="57">
        <v>86282</v>
      </c>
      <c r="C737" s="58">
        <v>105</v>
      </c>
      <c r="D737" s="58">
        <v>1455.7</v>
      </c>
    </row>
    <row r="738" spans="1:4">
      <c r="A738" s="57">
        <v>3064</v>
      </c>
      <c r="B738" s="57">
        <v>86282</v>
      </c>
      <c r="C738" s="58">
        <v>105</v>
      </c>
      <c r="D738" s="58">
        <v>1455.7</v>
      </c>
    </row>
    <row r="739" spans="1:4">
      <c r="A739" s="57">
        <v>3065</v>
      </c>
      <c r="B739" s="57">
        <v>86071</v>
      </c>
      <c r="C739" s="58">
        <v>167</v>
      </c>
      <c r="D739" s="58">
        <v>1055.2</v>
      </c>
    </row>
    <row r="740" spans="1:4">
      <c r="A740" s="57">
        <v>3066</v>
      </c>
      <c r="B740" s="57">
        <v>86071</v>
      </c>
      <c r="C740" s="58">
        <v>167</v>
      </c>
      <c r="D740" s="58">
        <v>1055.2</v>
      </c>
    </row>
    <row r="741" spans="1:4">
      <c r="A741" s="57">
        <v>3067</v>
      </c>
      <c r="B741" s="57">
        <v>86071</v>
      </c>
      <c r="C741" s="58">
        <v>167</v>
      </c>
      <c r="D741" s="58">
        <v>1055.2</v>
      </c>
    </row>
    <row r="742" spans="1:4">
      <c r="A742" s="57">
        <v>3068</v>
      </c>
      <c r="B742" s="57">
        <v>86071</v>
      </c>
      <c r="C742" s="58">
        <v>167</v>
      </c>
      <c r="D742" s="58">
        <v>1055.2</v>
      </c>
    </row>
    <row r="743" spans="1:4">
      <c r="A743" s="57">
        <v>3070</v>
      </c>
      <c r="B743" s="57">
        <v>86071</v>
      </c>
      <c r="C743" s="58">
        <v>167</v>
      </c>
      <c r="D743" s="58">
        <v>1055.2</v>
      </c>
    </row>
    <row r="744" spans="1:4">
      <c r="A744" s="57">
        <v>3071</v>
      </c>
      <c r="B744" s="57">
        <v>86071</v>
      </c>
      <c r="C744" s="58">
        <v>167</v>
      </c>
      <c r="D744" s="58">
        <v>1055.2</v>
      </c>
    </row>
    <row r="745" spans="1:4">
      <c r="A745" s="57">
        <v>3072</v>
      </c>
      <c r="B745" s="57">
        <v>86038</v>
      </c>
      <c r="C745" s="58">
        <v>158.19999999999999</v>
      </c>
      <c r="D745" s="58">
        <v>1373.9</v>
      </c>
    </row>
    <row r="746" spans="1:4">
      <c r="A746" s="57">
        <v>3073</v>
      </c>
      <c r="B746" s="57">
        <v>86068</v>
      </c>
      <c r="C746" s="58">
        <v>172.5</v>
      </c>
      <c r="D746" s="58">
        <v>1386.6</v>
      </c>
    </row>
    <row r="747" spans="1:4">
      <c r="A747" s="57">
        <v>3074</v>
      </c>
      <c r="B747" s="57">
        <v>86068</v>
      </c>
      <c r="C747" s="58">
        <v>172.5</v>
      </c>
      <c r="D747" s="58">
        <v>1386.6</v>
      </c>
    </row>
    <row r="748" spans="1:4">
      <c r="A748" s="57">
        <v>3075</v>
      </c>
      <c r="B748" s="57">
        <v>86068</v>
      </c>
      <c r="C748" s="58">
        <v>172.5</v>
      </c>
      <c r="D748" s="58">
        <v>1386.6</v>
      </c>
    </row>
    <row r="749" spans="1:4">
      <c r="A749" s="57">
        <v>3076</v>
      </c>
      <c r="B749" s="57">
        <v>86068</v>
      </c>
      <c r="C749" s="58">
        <v>172.5</v>
      </c>
      <c r="D749" s="58">
        <v>1386.6</v>
      </c>
    </row>
    <row r="750" spans="1:4">
      <c r="A750" s="57">
        <v>3078</v>
      </c>
      <c r="B750" s="57">
        <v>86071</v>
      </c>
      <c r="C750" s="58">
        <v>167</v>
      </c>
      <c r="D750" s="58">
        <v>1055.2</v>
      </c>
    </row>
    <row r="751" spans="1:4">
      <c r="A751" s="57">
        <v>3079</v>
      </c>
      <c r="B751" s="57">
        <v>86068</v>
      </c>
      <c r="C751" s="58">
        <v>172.5</v>
      </c>
      <c r="D751" s="58">
        <v>1386.6</v>
      </c>
    </row>
    <row r="752" spans="1:4">
      <c r="A752" s="57">
        <v>3081</v>
      </c>
      <c r="B752" s="57">
        <v>86068</v>
      </c>
      <c r="C752" s="58">
        <v>172.5</v>
      </c>
      <c r="D752" s="58">
        <v>1386.6</v>
      </c>
    </row>
    <row r="753" spans="1:4">
      <c r="A753" s="57">
        <v>3082</v>
      </c>
      <c r="B753" s="57">
        <v>86068</v>
      </c>
      <c r="C753" s="58">
        <v>172.5</v>
      </c>
      <c r="D753" s="58">
        <v>1386.6</v>
      </c>
    </row>
    <row r="754" spans="1:4">
      <c r="A754" s="57">
        <v>3083</v>
      </c>
      <c r="B754" s="57">
        <v>86068</v>
      </c>
      <c r="C754" s="58">
        <v>172.5</v>
      </c>
      <c r="D754" s="58">
        <v>1386.6</v>
      </c>
    </row>
    <row r="755" spans="1:4">
      <c r="A755" s="57">
        <v>3084</v>
      </c>
      <c r="B755" s="57">
        <v>86068</v>
      </c>
      <c r="C755" s="58">
        <v>172.5</v>
      </c>
      <c r="D755" s="58">
        <v>1386.6</v>
      </c>
    </row>
    <row r="756" spans="1:4">
      <c r="A756" s="57">
        <v>3085</v>
      </c>
      <c r="B756" s="57">
        <v>86068</v>
      </c>
      <c r="C756" s="58">
        <v>172.5</v>
      </c>
      <c r="D756" s="58">
        <v>1386.6</v>
      </c>
    </row>
    <row r="757" spans="1:4">
      <c r="A757" s="57">
        <v>3086</v>
      </c>
      <c r="B757" s="57">
        <v>86068</v>
      </c>
      <c r="C757" s="58">
        <v>172.5</v>
      </c>
      <c r="D757" s="58">
        <v>1386.6</v>
      </c>
    </row>
    <row r="758" spans="1:4">
      <c r="A758" s="57">
        <v>3087</v>
      </c>
      <c r="B758" s="57">
        <v>86068</v>
      </c>
      <c r="C758" s="58">
        <v>172.5</v>
      </c>
      <c r="D758" s="58">
        <v>1386.6</v>
      </c>
    </row>
    <row r="759" spans="1:4">
      <c r="A759" s="57">
        <v>3088</v>
      </c>
      <c r="B759" s="57">
        <v>86068</v>
      </c>
      <c r="C759" s="58">
        <v>172.5</v>
      </c>
      <c r="D759" s="58">
        <v>1386.6</v>
      </c>
    </row>
    <row r="760" spans="1:4">
      <c r="A760" s="57">
        <v>3089</v>
      </c>
      <c r="B760" s="57">
        <v>86068</v>
      </c>
      <c r="C760" s="58">
        <v>172.5</v>
      </c>
      <c r="D760" s="58">
        <v>1386.6</v>
      </c>
    </row>
    <row r="761" spans="1:4">
      <c r="A761" s="57">
        <v>3090</v>
      </c>
      <c r="B761" s="57">
        <v>86068</v>
      </c>
      <c r="C761" s="58">
        <v>172.5</v>
      </c>
      <c r="D761" s="58">
        <v>1386.6</v>
      </c>
    </row>
    <row r="762" spans="1:4">
      <c r="A762" s="57">
        <v>3091</v>
      </c>
      <c r="B762" s="57">
        <v>86068</v>
      </c>
      <c r="C762" s="58">
        <v>172.5</v>
      </c>
      <c r="D762" s="58">
        <v>1386.6</v>
      </c>
    </row>
    <row r="763" spans="1:4">
      <c r="A763" s="57">
        <v>3093</v>
      </c>
      <c r="B763" s="57">
        <v>86068</v>
      </c>
      <c r="C763" s="58">
        <v>172.5</v>
      </c>
      <c r="D763" s="58">
        <v>1386.6</v>
      </c>
    </row>
    <row r="764" spans="1:4">
      <c r="A764" s="57">
        <v>3094</v>
      </c>
      <c r="B764" s="57">
        <v>86068</v>
      </c>
      <c r="C764" s="58">
        <v>172.5</v>
      </c>
      <c r="D764" s="58">
        <v>1386.6</v>
      </c>
    </row>
    <row r="765" spans="1:4">
      <c r="A765" s="57">
        <v>3095</v>
      </c>
      <c r="B765" s="57">
        <v>86068</v>
      </c>
      <c r="C765" s="58">
        <v>172.5</v>
      </c>
      <c r="D765" s="58">
        <v>1386.6</v>
      </c>
    </row>
    <row r="766" spans="1:4">
      <c r="A766" s="57">
        <v>3096</v>
      </c>
      <c r="B766" s="57">
        <v>86068</v>
      </c>
      <c r="C766" s="58">
        <v>172.5</v>
      </c>
      <c r="D766" s="58">
        <v>1386.6</v>
      </c>
    </row>
    <row r="767" spans="1:4">
      <c r="A767" s="57">
        <v>3097</v>
      </c>
      <c r="B767" s="57">
        <v>86383</v>
      </c>
      <c r="C767" s="58">
        <v>147.9</v>
      </c>
      <c r="D767" s="58">
        <v>1758</v>
      </c>
    </row>
    <row r="768" spans="1:4">
      <c r="A768" s="57">
        <v>3099</v>
      </c>
      <c r="B768" s="57">
        <v>86068</v>
      </c>
      <c r="C768" s="58">
        <v>172.5</v>
      </c>
      <c r="D768" s="58">
        <v>1386.6</v>
      </c>
    </row>
    <row r="769" spans="1:4">
      <c r="A769" s="57">
        <v>3101</v>
      </c>
      <c r="B769" s="57">
        <v>86071</v>
      </c>
      <c r="C769" s="58">
        <v>167</v>
      </c>
      <c r="D769" s="58">
        <v>1055.2</v>
      </c>
    </row>
    <row r="770" spans="1:4">
      <c r="A770" s="57">
        <v>3102</v>
      </c>
      <c r="B770" s="57">
        <v>86068</v>
      </c>
      <c r="C770" s="58">
        <v>172.5</v>
      </c>
      <c r="D770" s="58">
        <v>1386.6</v>
      </c>
    </row>
    <row r="771" spans="1:4">
      <c r="A771" s="57">
        <v>3103</v>
      </c>
      <c r="B771" s="57">
        <v>86068</v>
      </c>
      <c r="C771" s="58">
        <v>172.5</v>
      </c>
      <c r="D771" s="58">
        <v>1386.6</v>
      </c>
    </row>
    <row r="772" spans="1:4">
      <c r="A772" s="57">
        <v>3104</v>
      </c>
      <c r="B772" s="57">
        <v>86068</v>
      </c>
      <c r="C772" s="58">
        <v>172.5</v>
      </c>
      <c r="D772" s="58">
        <v>1386.6</v>
      </c>
    </row>
    <row r="773" spans="1:4">
      <c r="A773" s="57">
        <v>3105</v>
      </c>
      <c r="B773" s="57">
        <v>86068</v>
      </c>
      <c r="C773" s="58">
        <v>172.5</v>
      </c>
      <c r="D773" s="58">
        <v>1386.6</v>
      </c>
    </row>
    <row r="774" spans="1:4">
      <c r="A774" s="57">
        <v>3106</v>
      </c>
      <c r="B774" s="57">
        <v>86068</v>
      </c>
      <c r="C774" s="58">
        <v>172.5</v>
      </c>
      <c r="D774" s="58">
        <v>1386.6</v>
      </c>
    </row>
    <row r="775" spans="1:4">
      <c r="A775" s="57">
        <v>3107</v>
      </c>
      <c r="B775" s="57">
        <v>86068</v>
      </c>
      <c r="C775" s="58">
        <v>172.5</v>
      </c>
      <c r="D775" s="58">
        <v>1386.6</v>
      </c>
    </row>
    <row r="776" spans="1:4">
      <c r="A776" s="57">
        <v>3108</v>
      </c>
      <c r="B776" s="57">
        <v>86068</v>
      </c>
      <c r="C776" s="58">
        <v>172.5</v>
      </c>
      <c r="D776" s="58">
        <v>1386.6</v>
      </c>
    </row>
    <row r="777" spans="1:4">
      <c r="A777" s="57">
        <v>3109</v>
      </c>
      <c r="B777" s="57">
        <v>86068</v>
      </c>
      <c r="C777" s="58">
        <v>172.5</v>
      </c>
      <c r="D777" s="58">
        <v>1386.6</v>
      </c>
    </row>
    <row r="778" spans="1:4">
      <c r="A778" s="57">
        <v>3111</v>
      </c>
      <c r="B778" s="57">
        <v>86068</v>
      </c>
      <c r="C778" s="58">
        <v>172.5</v>
      </c>
      <c r="D778" s="58">
        <v>1386.6</v>
      </c>
    </row>
    <row r="779" spans="1:4">
      <c r="A779" s="57">
        <v>3113</v>
      </c>
      <c r="B779" s="57">
        <v>86068</v>
      </c>
      <c r="C779" s="58">
        <v>172.5</v>
      </c>
      <c r="D779" s="58">
        <v>1386.6</v>
      </c>
    </row>
    <row r="780" spans="1:4">
      <c r="A780" s="57">
        <v>3114</v>
      </c>
      <c r="B780" s="57">
        <v>86104</v>
      </c>
      <c r="C780" s="58">
        <v>167.2</v>
      </c>
      <c r="D780" s="58">
        <v>1465.5</v>
      </c>
    </row>
    <row r="781" spans="1:4">
      <c r="A781" s="57">
        <v>3115</v>
      </c>
      <c r="B781" s="57">
        <v>86383</v>
      </c>
      <c r="C781" s="58">
        <v>147.9</v>
      </c>
      <c r="D781" s="58">
        <v>1758</v>
      </c>
    </row>
    <row r="782" spans="1:4">
      <c r="A782" s="57">
        <v>3116</v>
      </c>
      <c r="B782" s="57">
        <v>86383</v>
      </c>
      <c r="C782" s="58">
        <v>147.9</v>
      </c>
      <c r="D782" s="58">
        <v>1758</v>
      </c>
    </row>
    <row r="783" spans="1:4">
      <c r="A783" s="57">
        <v>3121</v>
      </c>
      <c r="B783" s="57">
        <v>86071</v>
      </c>
      <c r="C783" s="58">
        <v>167</v>
      </c>
      <c r="D783" s="58">
        <v>1055.2</v>
      </c>
    </row>
    <row r="784" spans="1:4">
      <c r="A784" s="57">
        <v>3122</v>
      </c>
      <c r="B784" s="57">
        <v>86071</v>
      </c>
      <c r="C784" s="58">
        <v>167</v>
      </c>
      <c r="D784" s="58">
        <v>1055.2</v>
      </c>
    </row>
    <row r="785" spans="1:4">
      <c r="A785" s="57">
        <v>3123</v>
      </c>
      <c r="B785" s="57">
        <v>86071</v>
      </c>
      <c r="C785" s="58">
        <v>167</v>
      </c>
      <c r="D785" s="58">
        <v>1055.2</v>
      </c>
    </row>
    <row r="786" spans="1:4">
      <c r="A786" s="57">
        <v>3124</v>
      </c>
      <c r="B786" s="57">
        <v>86071</v>
      </c>
      <c r="C786" s="58">
        <v>167</v>
      </c>
      <c r="D786" s="58">
        <v>1055.2</v>
      </c>
    </row>
    <row r="787" spans="1:4">
      <c r="A787" s="57">
        <v>3125</v>
      </c>
      <c r="B787" s="57">
        <v>86068</v>
      </c>
      <c r="C787" s="58">
        <v>172.5</v>
      </c>
      <c r="D787" s="58">
        <v>1386.6</v>
      </c>
    </row>
    <row r="788" spans="1:4">
      <c r="A788" s="57">
        <v>3126</v>
      </c>
      <c r="B788" s="57">
        <v>86071</v>
      </c>
      <c r="C788" s="58">
        <v>167</v>
      </c>
      <c r="D788" s="58">
        <v>1055.2</v>
      </c>
    </row>
    <row r="789" spans="1:4">
      <c r="A789" s="57">
        <v>3127</v>
      </c>
      <c r="B789" s="57">
        <v>86068</v>
      </c>
      <c r="C789" s="58">
        <v>172.5</v>
      </c>
      <c r="D789" s="58">
        <v>1386.6</v>
      </c>
    </row>
    <row r="790" spans="1:4">
      <c r="A790" s="57">
        <v>3128</v>
      </c>
      <c r="B790" s="57">
        <v>86068</v>
      </c>
      <c r="C790" s="58">
        <v>172.5</v>
      </c>
      <c r="D790" s="58">
        <v>1386.6</v>
      </c>
    </row>
    <row r="791" spans="1:4">
      <c r="A791" s="57">
        <v>3129</v>
      </c>
      <c r="B791" s="57">
        <v>86068</v>
      </c>
      <c r="C791" s="58">
        <v>172.5</v>
      </c>
      <c r="D791" s="58">
        <v>1386.6</v>
      </c>
    </row>
    <row r="792" spans="1:4">
      <c r="A792" s="57">
        <v>3130</v>
      </c>
      <c r="B792" s="57">
        <v>86068</v>
      </c>
      <c r="C792" s="58">
        <v>172.5</v>
      </c>
      <c r="D792" s="58">
        <v>1386.6</v>
      </c>
    </row>
    <row r="793" spans="1:4">
      <c r="A793" s="57">
        <v>3131</v>
      </c>
      <c r="B793" s="57">
        <v>86104</v>
      </c>
      <c r="C793" s="58">
        <v>167.2</v>
      </c>
      <c r="D793" s="58">
        <v>1465.5</v>
      </c>
    </row>
    <row r="794" spans="1:4">
      <c r="A794" s="57">
        <v>3132</v>
      </c>
      <c r="B794" s="57">
        <v>86104</v>
      </c>
      <c r="C794" s="58">
        <v>167.2</v>
      </c>
      <c r="D794" s="58">
        <v>1465.5</v>
      </c>
    </row>
    <row r="795" spans="1:4">
      <c r="A795" s="57">
        <v>3133</v>
      </c>
      <c r="B795" s="57">
        <v>86104</v>
      </c>
      <c r="C795" s="58">
        <v>167.2</v>
      </c>
      <c r="D795" s="58">
        <v>1465.5</v>
      </c>
    </row>
    <row r="796" spans="1:4">
      <c r="A796" s="57">
        <v>3134</v>
      </c>
      <c r="B796" s="57">
        <v>86104</v>
      </c>
      <c r="C796" s="58">
        <v>167.2</v>
      </c>
      <c r="D796" s="58">
        <v>1465.5</v>
      </c>
    </row>
    <row r="797" spans="1:4">
      <c r="A797" s="57">
        <v>3135</v>
      </c>
      <c r="B797" s="57">
        <v>86104</v>
      </c>
      <c r="C797" s="58">
        <v>167.2</v>
      </c>
      <c r="D797" s="58">
        <v>1465.5</v>
      </c>
    </row>
    <row r="798" spans="1:4">
      <c r="A798" s="57">
        <v>3136</v>
      </c>
      <c r="B798" s="57">
        <v>86104</v>
      </c>
      <c r="C798" s="58">
        <v>167.2</v>
      </c>
      <c r="D798" s="58">
        <v>1465.5</v>
      </c>
    </row>
    <row r="799" spans="1:4">
      <c r="A799" s="57">
        <v>3137</v>
      </c>
      <c r="B799" s="57">
        <v>86104</v>
      </c>
      <c r="C799" s="58">
        <v>167.2</v>
      </c>
      <c r="D799" s="58">
        <v>1465.5</v>
      </c>
    </row>
    <row r="800" spans="1:4">
      <c r="A800" s="57">
        <v>3138</v>
      </c>
      <c r="B800" s="57">
        <v>86104</v>
      </c>
      <c r="C800" s="58">
        <v>167.2</v>
      </c>
      <c r="D800" s="58">
        <v>1465.5</v>
      </c>
    </row>
    <row r="801" spans="1:4">
      <c r="A801" s="57">
        <v>3139</v>
      </c>
      <c r="B801" s="57">
        <v>86383</v>
      </c>
      <c r="C801" s="58">
        <v>147.9</v>
      </c>
      <c r="D801" s="58">
        <v>1758</v>
      </c>
    </row>
    <row r="802" spans="1:4">
      <c r="A802" s="57">
        <v>3140</v>
      </c>
      <c r="B802" s="57">
        <v>86383</v>
      </c>
      <c r="C802" s="58">
        <v>147.9</v>
      </c>
      <c r="D802" s="58">
        <v>1758</v>
      </c>
    </row>
    <row r="803" spans="1:4">
      <c r="A803" s="57">
        <v>3141</v>
      </c>
      <c r="B803" s="57">
        <v>86071</v>
      </c>
      <c r="C803" s="58">
        <v>167</v>
      </c>
      <c r="D803" s="58">
        <v>1055.2</v>
      </c>
    </row>
    <row r="804" spans="1:4">
      <c r="A804" s="57">
        <v>3142</v>
      </c>
      <c r="B804" s="57">
        <v>86071</v>
      </c>
      <c r="C804" s="58">
        <v>167</v>
      </c>
      <c r="D804" s="58">
        <v>1055.2</v>
      </c>
    </row>
    <row r="805" spans="1:4">
      <c r="A805" s="57">
        <v>3143</v>
      </c>
      <c r="B805" s="57">
        <v>86071</v>
      </c>
      <c r="C805" s="58">
        <v>167</v>
      </c>
      <c r="D805" s="58">
        <v>1055.2</v>
      </c>
    </row>
    <row r="806" spans="1:4">
      <c r="A806" s="57">
        <v>3144</v>
      </c>
      <c r="B806" s="57">
        <v>86071</v>
      </c>
      <c r="C806" s="58">
        <v>167</v>
      </c>
      <c r="D806" s="58">
        <v>1055.2</v>
      </c>
    </row>
    <row r="807" spans="1:4">
      <c r="A807" s="57">
        <v>3145</v>
      </c>
      <c r="B807" s="57">
        <v>86071</v>
      </c>
      <c r="C807" s="58">
        <v>167</v>
      </c>
      <c r="D807" s="58">
        <v>1055.2</v>
      </c>
    </row>
    <row r="808" spans="1:4">
      <c r="A808" s="57">
        <v>3146</v>
      </c>
      <c r="B808" s="57">
        <v>86071</v>
      </c>
      <c r="C808" s="58">
        <v>167</v>
      </c>
      <c r="D808" s="58">
        <v>1055.2</v>
      </c>
    </row>
    <row r="809" spans="1:4">
      <c r="A809" s="57">
        <v>3147</v>
      </c>
      <c r="B809" s="57">
        <v>86071</v>
      </c>
      <c r="C809" s="58">
        <v>167</v>
      </c>
      <c r="D809" s="58">
        <v>1055.2</v>
      </c>
    </row>
    <row r="810" spans="1:4">
      <c r="A810" s="57">
        <v>3148</v>
      </c>
      <c r="B810" s="57">
        <v>86077</v>
      </c>
      <c r="C810" s="58">
        <v>169.4</v>
      </c>
      <c r="D810" s="58">
        <v>1355.6</v>
      </c>
    </row>
    <row r="811" spans="1:4">
      <c r="A811" s="57">
        <v>3149</v>
      </c>
      <c r="B811" s="57">
        <v>86104</v>
      </c>
      <c r="C811" s="58">
        <v>167.2</v>
      </c>
      <c r="D811" s="58">
        <v>1465.5</v>
      </c>
    </row>
    <row r="812" spans="1:4">
      <c r="A812" s="57">
        <v>3150</v>
      </c>
      <c r="B812" s="57">
        <v>86104</v>
      </c>
      <c r="C812" s="58">
        <v>167.2</v>
      </c>
      <c r="D812" s="58">
        <v>1465.5</v>
      </c>
    </row>
    <row r="813" spans="1:4">
      <c r="A813" s="57">
        <v>3151</v>
      </c>
      <c r="B813" s="57">
        <v>86104</v>
      </c>
      <c r="C813" s="58">
        <v>167.2</v>
      </c>
      <c r="D813" s="58">
        <v>1465.5</v>
      </c>
    </row>
    <row r="814" spans="1:4">
      <c r="A814" s="57">
        <v>3152</v>
      </c>
      <c r="B814" s="57">
        <v>86104</v>
      </c>
      <c r="C814" s="58">
        <v>167.2</v>
      </c>
      <c r="D814" s="58">
        <v>1465.5</v>
      </c>
    </row>
    <row r="815" spans="1:4">
      <c r="A815" s="57">
        <v>3153</v>
      </c>
      <c r="B815" s="57">
        <v>86104</v>
      </c>
      <c r="C815" s="58">
        <v>167.2</v>
      </c>
      <c r="D815" s="58">
        <v>1465.5</v>
      </c>
    </row>
    <row r="816" spans="1:4">
      <c r="A816" s="57">
        <v>3154</v>
      </c>
      <c r="B816" s="57">
        <v>86104</v>
      </c>
      <c r="C816" s="58">
        <v>167.2</v>
      </c>
      <c r="D816" s="58">
        <v>1465.5</v>
      </c>
    </row>
    <row r="817" spans="1:4">
      <c r="A817" s="57">
        <v>3155</v>
      </c>
      <c r="B817" s="57">
        <v>86104</v>
      </c>
      <c r="C817" s="58">
        <v>167.2</v>
      </c>
      <c r="D817" s="58">
        <v>1465.5</v>
      </c>
    </row>
    <row r="818" spans="1:4">
      <c r="A818" s="57">
        <v>3156</v>
      </c>
      <c r="B818" s="57">
        <v>86104</v>
      </c>
      <c r="C818" s="58">
        <v>167.2</v>
      </c>
      <c r="D818" s="58">
        <v>1465.5</v>
      </c>
    </row>
    <row r="819" spans="1:4">
      <c r="A819" s="57">
        <v>3158</v>
      </c>
      <c r="B819" s="57">
        <v>86104</v>
      </c>
      <c r="C819" s="58">
        <v>167.2</v>
      </c>
      <c r="D819" s="58">
        <v>1465.5</v>
      </c>
    </row>
    <row r="820" spans="1:4">
      <c r="A820" s="57">
        <v>3159</v>
      </c>
      <c r="B820" s="57">
        <v>86104</v>
      </c>
      <c r="C820" s="58">
        <v>167.2</v>
      </c>
      <c r="D820" s="58">
        <v>1465.5</v>
      </c>
    </row>
    <row r="821" spans="1:4">
      <c r="A821" s="57">
        <v>3160</v>
      </c>
      <c r="B821" s="57">
        <v>86104</v>
      </c>
      <c r="C821" s="58">
        <v>167.2</v>
      </c>
      <c r="D821" s="58">
        <v>1465.5</v>
      </c>
    </row>
    <row r="822" spans="1:4">
      <c r="A822" s="57">
        <v>3161</v>
      </c>
      <c r="B822" s="57">
        <v>86071</v>
      </c>
      <c r="C822" s="58">
        <v>167</v>
      </c>
      <c r="D822" s="58">
        <v>1055.2</v>
      </c>
    </row>
    <row r="823" spans="1:4">
      <c r="A823" s="57">
        <v>3162</v>
      </c>
      <c r="B823" s="57">
        <v>86071</v>
      </c>
      <c r="C823" s="58">
        <v>167</v>
      </c>
      <c r="D823" s="58">
        <v>1055.2</v>
      </c>
    </row>
    <row r="824" spans="1:4">
      <c r="A824" s="57">
        <v>3163</v>
      </c>
      <c r="B824" s="57">
        <v>86077</v>
      </c>
      <c r="C824" s="58">
        <v>169.4</v>
      </c>
      <c r="D824" s="58">
        <v>1355.6</v>
      </c>
    </row>
    <row r="825" spans="1:4">
      <c r="A825" s="57">
        <v>3165</v>
      </c>
      <c r="B825" s="57">
        <v>86077</v>
      </c>
      <c r="C825" s="58">
        <v>169.4</v>
      </c>
      <c r="D825" s="58">
        <v>1355.6</v>
      </c>
    </row>
    <row r="826" spans="1:4">
      <c r="A826" s="57">
        <v>3166</v>
      </c>
      <c r="B826" s="57">
        <v>86077</v>
      </c>
      <c r="C826" s="58">
        <v>169.4</v>
      </c>
      <c r="D826" s="58">
        <v>1355.6</v>
      </c>
    </row>
    <row r="827" spans="1:4">
      <c r="A827" s="57">
        <v>3167</v>
      </c>
      <c r="B827" s="57">
        <v>86077</v>
      </c>
      <c r="C827" s="58">
        <v>169.4</v>
      </c>
      <c r="D827" s="58">
        <v>1355.6</v>
      </c>
    </row>
    <row r="828" spans="1:4">
      <c r="A828" s="57">
        <v>3168</v>
      </c>
      <c r="B828" s="57">
        <v>86077</v>
      </c>
      <c r="C828" s="58">
        <v>169.4</v>
      </c>
      <c r="D828" s="58">
        <v>1355.6</v>
      </c>
    </row>
    <row r="829" spans="1:4">
      <c r="A829" s="57">
        <v>3169</v>
      </c>
      <c r="B829" s="57">
        <v>86077</v>
      </c>
      <c r="C829" s="58">
        <v>169.4</v>
      </c>
      <c r="D829" s="58">
        <v>1355.6</v>
      </c>
    </row>
    <row r="830" spans="1:4">
      <c r="A830" s="57">
        <v>3170</v>
      </c>
      <c r="B830" s="57">
        <v>86077</v>
      </c>
      <c r="C830" s="58">
        <v>169.4</v>
      </c>
      <c r="D830" s="58">
        <v>1355.6</v>
      </c>
    </row>
    <row r="831" spans="1:4">
      <c r="A831" s="57">
        <v>3171</v>
      </c>
      <c r="B831" s="57">
        <v>86077</v>
      </c>
      <c r="C831" s="58">
        <v>169.4</v>
      </c>
      <c r="D831" s="58">
        <v>1355.6</v>
      </c>
    </row>
    <row r="832" spans="1:4">
      <c r="A832" s="57">
        <v>3172</v>
      </c>
      <c r="B832" s="57">
        <v>86077</v>
      </c>
      <c r="C832" s="58">
        <v>169.4</v>
      </c>
      <c r="D832" s="58">
        <v>1355.6</v>
      </c>
    </row>
    <row r="833" spans="1:4">
      <c r="A833" s="57">
        <v>3173</v>
      </c>
      <c r="B833" s="57">
        <v>86077</v>
      </c>
      <c r="C833" s="58">
        <v>169.4</v>
      </c>
      <c r="D833" s="58">
        <v>1355.6</v>
      </c>
    </row>
    <row r="834" spans="1:4">
      <c r="A834" s="57">
        <v>3174</v>
      </c>
      <c r="B834" s="57">
        <v>86077</v>
      </c>
      <c r="C834" s="58">
        <v>169.4</v>
      </c>
      <c r="D834" s="58">
        <v>1355.6</v>
      </c>
    </row>
    <row r="835" spans="1:4">
      <c r="A835" s="57">
        <v>3175</v>
      </c>
      <c r="B835" s="57">
        <v>86077</v>
      </c>
      <c r="C835" s="58">
        <v>169.4</v>
      </c>
      <c r="D835" s="58">
        <v>1355.6</v>
      </c>
    </row>
    <row r="836" spans="1:4">
      <c r="A836" s="57">
        <v>3177</v>
      </c>
      <c r="B836" s="57">
        <v>86077</v>
      </c>
      <c r="C836" s="58">
        <v>169.4</v>
      </c>
      <c r="D836" s="58">
        <v>1355.6</v>
      </c>
    </row>
    <row r="837" spans="1:4">
      <c r="A837" s="57">
        <v>3178</v>
      </c>
      <c r="B837" s="57">
        <v>86104</v>
      </c>
      <c r="C837" s="58">
        <v>167.2</v>
      </c>
      <c r="D837" s="58">
        <v>1465.5</v>
      </c>
    </row>
    <row r="838" spans="1:4">
      <c r="A838" s="57">
        <v>3179</v>
      </c>
      <c r="B838" s="57">
        <v>86104</v>
      </c>
      <c r="C838" s="58">
        <v>167.2</v>
      </c>
      <c r="D838" s="58">
        <v>1465.5</v>
      </c>
    </row>
    <row r="839" spans="1:4">
      <c r="A839" s="57">
        <v>3180</v>
      </c>
      <c r="B839" s="57">
        <v>86104</v>
      </c>
      <c r="C839" s="58">
        <v>167.2</v>
      </c>
      <c r="D839" s="58">
        <v>1465.5</v>
      </c>
    </row>
    <row r="840" spans="1:4">
      <c r="A840" s="57">
        <v>3181</v>
      </c>
      <c r="B840" s="57">
        <v>86071</v>
      </c>
      <c r="C840" s="58">
        <v>167</v>
      </c>
      <c r="D840" s="58">
        <v>1055.2</v>
      </c>
    </row>
    <row r="841" spans="1:4">
      <c r="A841" s="57">
        <v>3182</v>
      </c>
      <c r="B841" s="57">
        <v>86071</v>
      </c>
      <c r="C841" s="58">
        <v>167</v>
      </c>
      <c r="D841" s="58">
        <v>1055.2</v>
      </c>
    </row>
    <row r="842" spans="1:4">
      <c r="A842" s="57">
        <v>3183</v>
      </c>
      <c r="B842" s="57">
        <v>86071</v>
      </c>
      <c r="C842" s="58">
        <v>167</v>
      </c>
      <c r="D842" s="58">
        <v>1055.2</v>
      </c>
    </row>
    <row r="843" spans="1:4">
      <c r="A843" s="57">
        <v>3184</v>
      </c>
      <c r="B843" s="57">
        <v>86071</v>
      </c>
      <c r="C843" s="58">
        <v>167</v>
      </c>
      <c r="D843" s="58">
        <v>1055.2</v>
      </c>
    </row>
    <row r="844" spans="1:4">
      <c r="A844" s="57">
        <v>3185</v>
      </c>
      <c r="B844" s="57">
        <v>86071</v>
      </c>
      <c r="C844" s="58">
        <v>167</v>
      </c>
      <c r="D844" s="58">
        <v>1055.2</v>
      </c>
    </row>
    <row r="845" spans="1:4">
      <c r="A845" s="57">
        <v>3186</v>
      </c>
      <c r="B845" s="57">
        <v>86071</v>
      </c>
      <c r="C845" s="58">
        <v>167</v>
      </c>
      <c r="D845" s="58">
        <v>1055.2</v>
      </c>
    </row>
    <row r="846" spans="1:4">
      <c r="A846" s="57">
        <v>3187</v>
      </c>
      <c r="B846" s="57">
        <v>86077</v>
      </c>
      <c r="C846" s="58">
        <v>169.4</v>
      </c>
      <c r="D846" s="58">
        <v>1355.6</v>
      </c>
    </row>
    <row r="847" spans="1:4">
      <c r="A847" s="57">
        <v>3188</v>
      </c>
      <c r="B847" s="57">
        <v>86077</v>
      </c>
      <c r="C847" s="58">
        <v>169.4</v>
      </c>
      <c r="D847" s="58">
        <v>1355.6</v>
      </c>
    </row>
    <row r="848" spans="1:4">
      <c r="A848" s="57">
        <v>3189</v>
      </c>
      <c r="B848" s="57">
        <v>86077</v>
      </c>
      <c r="C848" s="58">
        <v>169.4</v>
      </c>
      <c r="D848" s="58">
        <v>1355.6</v>
      </c>
    </row>
    <row r="849" spans="1:4">
      <c r="A849" s="57">
        <v>3190</v>
      </c>
      <c r="B849" s="57">
        <v>86077</v>
      </c>
      <c r="C849" s="58">
        <v>169.4</v>
      </c>
      <c r="D849" s="58">
        <v>1355.6</v>
      </c>
    </row>
    <row r="850" spans="1:4">
      <c r="A850" s="57">
        <v>3191</v>
      </c>
      <c r="B850" s="57">
        <v>86077</v>
      </c>
      <c r="C850" s="58">
        <v>169.4</v>
      </c>
      <c r="D850" s="58">
        <v>1355.6</v>
      </c>
    </row>
    <row r="851" spans="1:4">
      <c r="A851" s="57">
        <v>3192</v>
      </c>
      <c r="B851" s="57">
        <v>86077</v>
      </c>
      <c r="C851" s="58">
        <v>169.4</v>
      </c>
      <c r="D851" s="58">
        <v>1355.6</v>
      </c>
    </row>
    <row r="852" spans="1:4">
      <c r="A852" s="57">
        <v>3193</v>
      </c>
      <c r="B852" s="57">
        <v>86077</v>
      </c>
      <c r="C852" s="58">
        <v>169.4</v>
      </c>
      <c r="D852" s="58">
        <v>1355.6</v>
      </c>
    </row>
    <row r="853" spans="1:4">
      <c r="A853" s="57">
        <v>3194</v>
      </c>
      <c r="B853" s="57">
        <v>86077</v>
      </c>
      <c r="C853" s="58">
        <v>169.4</v>
      </c>
      <c r="D853" s="58">
        <v>1355.6</v>
      </c>
    </row>
    <row r="854" spans="1:4">
      <c r="A854" s="57">
        <v>3195</v>
      </c>
      <c r="B854" s="57">
        <v>86077</v>
      </c>
      <c r="C854" s="58">
        <v>169.4</v>
      </c>
      <c r="D854" s="58">
        <v>1355.6</v>
      </c>
    </row>
    <row r="855" spans="1:4">
      <c r="A855" s="57">
        <v>3196</v>
      </c>
      <c r="B855" s="57">
        <v>86077</v>
      </c>
      <c r="C855" s="58">
        <v>169.4</v>
      </c>
      <c r="D855" s="58">
        <v>1355.6</v>
      </c>
    </row>
    <row r="856" spans="1:4">
      <c r="A856" s="57">
        <v>3197</v>
      </c>
      <c r="B856" s="57">
        <v>86371</v>
      </c>
      <c r="C856" s="58">
        <v>167.7</v>
      </c>
      <c r="D856" s="58">
        <v>1314.6</v>
      </c>
    </row>
    <row r="857" spans="1:4">
      <c r="A857" s="57">
        <v>3198</v>
      </c>
      <c r="B857" s="57">
        <v>86371</v>
      </c>
      <c r="C857" s="58">
        <v>167.7</v>
      </c>
      <c r="D857" s="58">
        <v>1314.6</v>
      </c>
    </row>
    <row r="858" spans="1:4">
      <c r="A858" s="57">
        <v>3199</v>
      </c>
      <c r="B858" s="57">
        <v>86371</v>
      </c>
      <c r="C858" s="58">
        <v>167.7</v>
      </c>
      <c r="D858" s="58">
        <v>1314.6</v>
      </c>
    </row>
    <row r="859" spans="1:4">
      <c r="A859" s="57">
        <v>3200</v>
      </c>
      <c r="B859" s="57">
        <v>86371</v>
      </c>
      <c r="C859" s="58">
        <v>167.7</v>
      </c>
      <c r="D859" s="58">
        <v>1314.6</v>
      </c>
    </row>
    <row r="860" spans="1:4">
      <c r="A860" s="57">
        <v>3201</v>
      </c>
      <c r="B860" s="57">
        <v>86371</v>
      </c>
      <c r="C860" s="58">
        <v>167.7</v>
      </c>
      <c r="D860" s="58">
        <v>1314.6</v>
      </c>
    </row>
    <row r="861" spans="1:4">
      <c r="A861" s="57">
        <v>3202</v>
      </c>
      <c r="B861" s="57">
        <v>86077</v>
      </c>
      <c r="C861" s="58">
        <v>169.4</v>
      </c>
      <c r="D861" s="58">
        <v>1355.6</v>
      </c>
    </row>
    <row r="862" spans="1:4">
      <c r="A862" s="57">
        <v>3204</v>
      </c>
      <c r="B862" s="57">
        <v>86077</v>
      </c>
      <c r="C862" s="58">
        <v>169.4</v>
      </c>
      <c r="D862" s="58">
        <v>1355.6</v>
      </c>
    </row>
    <row r="863" spans="1:4">
      <c r="A863" s="57">
        <v>3205</v>
      </c>
      <c r="B863" s="57">
        <v>86071</v>
      </c>
      <c r="C863" s="58">
        <v>167</v>
      </c>
      <c r="D863" s="58">
        <v>1055.2</v>
      </c>
    </row>
    <row r="864" spans="1:4">
      <c r="A864" s="57">
        <v>3206</v>
      </c>
      <c r="B864" s="57">
        <v>86071</v>
      </c>
      <c r="C864" s="58">
        <v>167</v>
      </c>
      <c r="D864" s="58">
        <v>1055.2</v>
      </c>
    </row>
    <row r="865" spans="1:4">
      <c r="A865" s="57">
        <v>3207</v>
      </c>
      <c r="B865" s="57">
        <v>86071</v>
      </c>
      <c r="C865" s="58">
        <v>167</v>
      </c>
      <c r="D865" s="58">
        <v>1055.2</v>
      </c>
    </row>
    <row r="866" spans="1:4">
      <c r="A866" s="57">
        <v>3211</v>
      </c>
      <c r="B866" s="57">
        <v>87113</v>
      </c>
      <c r="C866" s="58">
        <v>144</v>
      </c>
      <c r="D866" s="58">
        <v>1461.7</v>
      </c>
    </row>
    <row r="867" spans="1:4">
      <c r="A867" s="57">
        <v>3212</v>
      </c>
      <c r="B867" s="57">
        <v>87113</v>
      </c>
      <c r="C867" s="58">
        <v>144</v>
      </c>
      <c r="D867" s="58">
        <v>1461.7</v>
      </c>
    </row>
    <row r="868" spans="1:4">
      <c r="A868" s="57">
        <v>3213</v>
      </c>
      <c r="B868" s="57">
        <v>87168</v>
      </c>
      <c r="C868" s="58">
        <v>90.3</v>
      </c>
      <c r="D868" s="58">
        <v>1797.1</v>
      </c>
    </row>
    <row r="869" spans="1:4">
      <c r="A869" s="57">
        <v>3214</v>
      </c>
      <c r="B869" s="57">
        <v>87113</v>
      </c>
      <c r="C869" s="58">
        <v>144</v>
      </c>
      <c r="D869" s="58">
        <v>1461.7</v>
      </c>
    </row>
    <row r="870" spans="1:4">
      <c r="A870" s="57">
        <v>3215</v>
      </c>
      <c r="B870" s="57">
        <v>87113</v>
      </c>
      <c r="C870" s="58">
        <v>144</v>
      </c>
      <c r="D870" s="58">
        <v>1461.7</v>
      </c>
    </row>
    <row r="871" spans="1:4">
      <c r="A871" s="57">
        <v>3216</v>
      </c>
      <c r="B871" s="57">
        <v>87113</v>
      </c>
      <c r="C871" s="58">
        <v>144</v>
      </c>
      <c r="D871" s="58">
        <v>1461.7</v>
      </c>
    </row>
    <row r="872" spans="1:4">
      <c r="A872" s="57">
        <v>3217</v>
      </c>
      <c r="B872" s="57">
        <v>86383</v>
      </c>
      <c r="C872" s="58">
        <v>147.9</v>
      </c>
      <c r="D872" s="58">
        <v>1758</v>
      </c>
    </row>
    <row r="873" spans="1:4">
      <c r="A873" s="57">
        <v>3218</v>
      </c>
      <c r="B873" s="57">
        <v>87113</v>
      </c>
      <c r="C873" s="58">
        <v>144</v>
      </c>
      <c r="D873" s="58">
        <v>1461.7</v>
      </c>
    </row>
    <row r="874" spans="1:4">
      <c r="A874" s="57">
        <v>3219</v>
      </c>
      <c r="B874" s="57">
        <v>87113</v>
      </c>
      <c r="C874" s="58">
        <v>144</v>
      </c>
      <c r="D874" s="58">
        <v>1461.7</v>
      </c>
    </row>
    <row r="875" spans="1:4">
      <c r="A875" s="57">
        <v>3220</v>
      </c>
      <c r="B875" s="57">
        <v>86371</v>
      </c>
      <c r="C875" s="58">
        <v>167.7</v>
      </c>
      <c r="D875" s="58">
        <v>1314.6</v>
      </c>
    </row>
    <row r="876" spans="1:4">
      <c r="A876" s="57">
        <v>3221</v>
      </c>
      <c r="B876" s="57">
        <v>87113</v>
      </c>
      <c r="C876" s="58">
        <v>144</v>
      </c>
      <c r="D876" s="58">
        <v>1461.7</v>
      </c>
    </row>
    <row r="877" spans="1:4">
      <c r="A877" s="57">
        <v>3222</v>
      </c>
      <c r="B877" s="57">
        <v>87113</v>
      </c>
      <c r="C877" s="58">
        <v>144</v>
      </c>
      <c r="D877" s="58">
        <v>1461.7</v>
      </c>
    </row>
    <row r="878" spans="1:4">
      <c r="A878" s="57">
        <v>3223</v>
      </c>
      <c r="B878" s="57">
        <v>87113</v>
      </c>
      <c r="C878" s="58">
        <v>144</v>
      </c>
      <c r="D878" s="58">
        <v>1461.7</v>
      </c>
    </row>
    <row r="879" spans="1:4">
      <c r="A879" s="57">
        <v>3224</v>
      </c>
      <c r="B879" s="57">
        <v>87113</v>
      </c>
      <c r="C879" s="58">
        <v>144</v>
      </c>
      <c r="D879" s="58">
        <v>1461.7</v>
      </c>
    </row>
    <row r="880" spans="1:4">
      <c r="A880" s="57">
        <v>3225</v>
      </c>
      <c r="B880" s="57">
        <v>87113</v>
      </c>
      <c r="C880" s="58">
        <v>144</v>
      </c>
      <c r="D880" s="58">
        <v>1461.7</v>
      </c>
    </row>
    <row r="881" spans="1:4">
      <c r="A881" s="57">
        <v>3226</v>
      </c>
      <c r="B881" s="57">
        <v>87113</v>
      </c>
      <c r="C881" s="58">
        <v>144</v>
      </c>
      <c r="D881" s="58">
        <v>1461.7</v>
      </c>
    </row>
    <row r="882" spans="1:4">
      <c r="A882" s="57">
        <v>3227</v>
      </c>
      <c r="B882" s="57">
        <v>87113</v>
      </c>
      <c r="C882" s="58">
        <v>144</v>
      </c>
      <c r="D882" s="58">
        <v>1461.7</v>
      </c>
    </row>
    <row r="883" spans="1:4">
      <c r="A883" s="57">
        <v>3228</v>
      </c>
      <c r="B883" s="57">
        <v>90180</v>
      </c>
      <c r="C883" s="58">
        <v>114.4</v>
      </c>
      <c r="D883" s="58">
        <v>1456.3</v>
      </c>
    </row>
    <row r="884" spans="1:4">
      <c r="A884" s="57">
        <v>3230</v>
      </c>
      <c r="B884" s="57">
        <v>90180</v>
      </c>
      <c r="C884" s="58">
        <v>114.4</v>
      </c>
      <c r="D884" s="58">
        <v>1456.3</v>
      </c>
    </row>
    <row r="885" spans="1:4">
      <c r="A885" s="57">
        <v>3231</v>
      </c>
      <c r="B885" s="57">
        <v>90180</v>
      </c>
      <c r="C885" s="58">
        <v>114.4</v>
      </c>
      <c r="D885" s="58">
        <v>1456.3</v>
      </c>
    </row>
    <row r="886" spans="1:4">
      <c r="A886" s="57">
        <v>3232</v>
      </c>
      <c r="B886" s="57">
        <v>90180</v>
      </c>
      <c r="C886" s="58">
        <v>114.4</v>
      </c>
      <c r="D886" s="58">
        <v>1456.3</v>
      </c>
    </row>
    <row r="887" spans="1:4">
      <c r="A887" s="57">
        <v>3233</v>
      </c>
      <c r="B887" s="57">
        <v>90015</v>
      </c>
      <c r="C887" s="58">
        <v>71.2</v>
      </c>
      <c r="D887" s="58">
        <v>1543.2</v>
      </c>
    </row>
    <row r="888" spans="1:4">
      <c r="A888" s="57">
        <v>3234</v>
      </c>
      <c r="B888" s="57">
        <v>90180</v>
      </c>
      <c r="C888" s="58">
        <v>114.4</v>
      </c>
      <c r="D888" s="58">
        <v>1456.3</v>
      </c>
    </row>
    <row r="889" spans="1:4">
      <c r="A889" s="57">
        <v>3235</v>
      </c>
      <c r="B889" s="57">
        <v>90180</v>
      </c>
      <c r="C889" s="58">
        <v>114.4</v>
      </c>
      <c r="D889" s="58">
        <v>1456.3</v>
      </c>
    </row>
    <row r="890" spans="1:4">
      <c r="A890" s="57">
        <v>3236</v>
      </c>
      <c r="B890" s="57">
        <v>90035</v>
      </c>
      <c r="C890" s="58">
        <v>61.1</v>
      </c>
      <c r="D890" s="58">
        <v>1887.5</v>
      </c>
    </row>
    <row r="891" spans="1:4">
      <c r="A891" s="57">
        <v>3237</v>
      </c>
      <c r="B891" s="57">
        <v>90015</v>
      </c>
      <c r="C891" s="58">
        <v>71.2</v>
      </c>
      <c r="D891" s="58">
        <v>1543.2</v>
      </c>
    </row>
    <row r="892" spans="1:4">
      <c r="A892" s="57">
        <v>3238</v>
      </c>
      <c r="B892" s="57">
        <v>90015</v>
      </c>
      <c r="C892" s="58">
        <v>71.2</v>
      </c>
      <c r="D892" s="58">
        <v>1543.2</v>
      </c>
    </row>
    <row r="893" spans="1:4">
      <c r="A893" s="57">
        <v>3239</v>
      </c>
      <c r="B893" s="57">
        <v>90015</v>
      </c>
      <c r="C893" s="58">
        <v>71.2</v>
      </c>
      <c r="D893" s="58">
        <v>1543.2</v>
      </c>
    </row>
    <row r="894" spans="1:4">
      <c r="A894" s="57">
        <v>3240</v>
      </c>
      <c r="B894" s="57">
        <v>90035</v>
      </c>
      <c r="C894" s="58">
        <v>61.1</v>
      </c>
      <c r="D894" s="58">
        <v>1887.5</v>
      </c>
    </row>
    <row r="895" spans="1:4">
      <c r="A895" s="57">
        <v>3241</v>
      </c>
      <c r="B895" s="57">
        <v>90180</v>
      </c>
      <c r="C895" s="58">
        <v>114.4</v>
      </c>
      <c r="D895" s="58">
        <v>1456.3</v>
      </c>
    </row>
    <row r="896" spans="1:4">
      <c r="A896" s="57">
        <v>3242</v>
      </c>
      <c r="B896" s="57">
        <v>90035</v>
      </c>
      <c r="C896" s="58">
        <v>61.1</v>
      </c>
      <c r="D896" s="58">
        <v>1887.5</v>
      </c>
    </row>
    <row r="897" spans="1:4">
      <c r="A897" s="57">
        <v>3243</v>
      </c>
      <c r="B897" s="57">
        <v>90035</v>
      </c>
      <c r="C897" s="58">
        <v>61.1</v>
      </c>
      <c r="D897" s="58">
        <v>1887.5</v>
      </c>
    </row>
    <row r="898" spans="1:4">
      <c r="A898" s="57">
        <v>3249</v>
      </c>
      <c r="B898" s="57">
        <v>90035</v>
      </c>
      <c r="C898" s="58">
        <v>61.1</v>
      </c>
      <c r="D898" s="58">
        <v>1887.5</v>
      </c>
    </row>
    <row r="899" spans="1:4">
      <c r="A899" s="57">
        <v>3250</v>
      </c>
      <c r="B899" s="57">
        <v>90035</v>
      </c>
      <c r="C899" s="58">
        <v>61.1</v>
      </c>
      <c r="D899" s="58">
        <v>1887.5</v>
      </c>
    </row>
    <row r="900" spans="1:4">
      <c r="A900" s="57">
        <v>3251</v>
      </c>
      <c r="B900" s="57">
        <v>90035</v>
      </c>
      <c r="C900" s="58">
        <v>61.1</v>
      </c>
      <c r="D900" s="58">
        <v>1887.5</v>
      </c>
    </row>
    <row r="901" spans="1:4">
      <c r="A901" s="57">
        <v>3254</v>
      </c>
      <c r="B901" s="57">
        <v>90035</v>
      </c>
      <c r="C901" s="58">
        <v>61.1</v>
      </c>
      <c r="D901" s="58">
        <v>1887.5</v>
      </c>
    </row>
    <row r="902" spans="1:4">
      <c r="A902" s="57">
        <v>3260</v>
      </c>
      <c r="B902" s="57">
        <v>90176</v>
      </c>
      <c r="C902" s="58">
        <v>92.6</v>
      </c>
      <c r="D902" s="58">
        <v>1885.4</v>
      </c>
    </row>
    <row r="903" spans="1:4">
      <c r="A903" s="57">
        <v>3264</v>
      </c>
      <c r="B903" s="57">
        <v>90176</v>
      </c>
      <c r="C903" s="58">
        <v>92.6</v>
      </c>
      <c r="D903" s="58">
        <v>1885.4</v>
      </c>
    </row>
    <row r="904" spans="1:4">
      <c r="A904" s="57">
        <v>3265</v>
      </c>
      <c r="B904" s="57">
        <v>90176</v>
      </c>
      <c r="C904" s="58">
        <v>92.6</v>
      </c>
      <c r="D904" s="58">
        <v>1885.4</v>
      </c>
    </row>
    <row r="905" spans="1:4">
      <c r="A905" s="57">
        <v>3266</v>
      </c>
      <c r="B905" s="57">
        <v>90176</v>
      </c>
      <c r="C905" s="58">
        <v>92.6</v>
      </c>
      <c r="D905" s="58">
        <v>1885.4</v>
      </c>
    </row>
    <row r="906" spans="1:4">
      <c r="A906" s="57">
        <v>3267</v>
      </c>
      <c r="B906" s="57">
        <v>90176</v>
      </c>
      <c r="C906" s="58">
        <v>92.6</v>
      </c>
      <c r="D906" s="58">
        <v>1885.4</v>
      </c>
    </row>
    <row r="907" spans="1:4">
      <c r="A907" s="57">
        <v>3268</v>
      </c>
      <c r="B907" s="57">
        <v>90186</v>
      </c>
      <c r="C907" s="58">
        <v>81.099999999999994</v>
      </c>
      <c r="D907" s="58">
        <v>1775.6</v>
      </c>
    </row>
    <row r="908" spans="1:4">
      <c r="A908" s="57">
        <v>3269</v>
      </c>
      <c r="B908" s="57">
        <v>90015</v>
      </c>
      <c r="C908" s="58">
        <v>71.2</v>
      </c>
      <c r="D908" s="58">
        <v>1543.2</v>
      </c>
    </row>
    <row r="909" spans="1:4">
      <c r="A909" s="57">
        <v>3270</v>
      </c>
      <c r="B909" s="57">
        <v>90186</v>
      </c>
      <c r="C909" s="58">
        <v>81.099999999999994</v>
      </c>
      <c r="D909" s="58">
        <v>1775.6</v>
      </c>
    </row>
    <row r="910" spans="1:4">
      <c r="A910" s="57">
        <v>3271</v>
      </c>
      <c r="B910" s="57">
        <v>90176</v>
      </c>
      <c r="C910" s="58">
        <v>92.6</v>
      </c>
      <c r="D910" s="58">
        <v>1885.4</v>
      </c>
    </row>
    <row r="911" spans="1:4">
      <c r="A911" s="57">
        <v>3272</v>
      </c>
      <c r="B911" s="57">
        <v>90176</v>
      </c>
      <c r="C911" s="58">
        <v>92.6</v>
      </c>
      <c r="D911" s="58">
        <v>1885.4</v>
      </c>
    </row>
    <row r="912" spans="1:4">
      <c r="A912" s="57">
        <v>3273</v>
      </c>
      <c r="B912" s="57">
        <v>90176</v>
      </c>
      <c r="C912" s="58">
        <v>92.6</v>
      </c>
      <c r="D912" s="58">
        <v>1885.4</v>
      </c>
    </row>
    <row r="913" spans="1:4">
      <c r="A913" s="57">
        <v>3274</v>
      </c>
      <c r="B913" s="57">
        <v>90176</v>
      </c>
      <c r="C913" s="58">
        <v>92.6</v>
      </c>
      <c r="D913" s="58">
        <v>1885.4</v>
      </c>
    </row>
    <row r="914" spans="1:4">
      <c r="A914" s="57">
        <v>3275</v>
      </c>
      <c r="B914" s="57">
        <v>90186</v>
      </c>
      <c r="C914" s="58">
        <v>81.099999999999994</v>
      </c>
      <c r="D914" s="58">
        <v>1775.6</v>
      </c>
    </row>
    <row r="915" spans="1:4">
      <c r="A915" s="57">
        <v>3276</v>
      </c>
      <c r="B915" s="57">
        <v>90186</v>
      </c>
      <c r="C915" s="58">
        <v>81.099999999999994</v>
      </c>
      <c r="D915" s="58">
        <v>1775.6</v>
      </c>
    </row>
    <row r="916" spans="1:4">
      <c r="A916" s="57">
        <v>3277</v>
      </c>
      <c r="B916" s="57">
        <v>90186</v>
      </c>
      <c r="C916" s="58">
        <v>81.099999999999994</v>
      </c>
      <c r="D916" s="58">
        <v>1775.6</v>
      </c>
    </row>
    <row r="917" spans="1:4">
      <c r="A917" s="57">
        <v>3278</v>
      </c>
      <c r="B917" s="57">
        <v>90186</v>
      </c>
      <c r="C917" s="58">
        <v>81.099999999999994</v>
      </c>
      <c r="D917" s="58">
        <v>1775.6</v>
      </c>
    </row>
    <row r="918" spans="1:4">
      <c r="A918" s="57">
        <v>3279</v>
      </c>
      <c r="B918" s="57">
        <v>90176</v>
      </c>
      <c r="C918" s="58">
        <v>92.6</v>
      </c>
      <c r="D918" s="58">
        <v>1885.4</v>
      </c>
    </row>
    <row r="919" spans="1:4">
      <c r="A919" s="57">
        <v>3280</v>
      </c>
      <c r="B919" s="57">
        <v>90186</v>
      </c>
      <c r="C919" s="58">
        <v>81.099999999999994</v>
      </c>
      <c r="D919" s="58">
        <v>1775.6</v>
      </c>
    </row>
    <row r="920" spans="1:4">
      <c r="A920" s="57">
        <v>3281</v>
      </c>
      <c r="B920" s="57">
        <v>90186</v>
      </c>
      <c r="C920" s="58">
        <v>81.099999999999994</v>
      </c>
      <c r="D920" s="58">
        <v>1775.6</v>
      </c>
    </row>
    <row r="921" spans="1:4">
      <c r="A921" s="57">
        <v>3282</v>
      </c>
      <c r="B921" s="57">
        <v>90186</v>
      </c>
      <c r="C921" s="58">
        <v>81.099999999999994</v>
      </c>
      <c r="D921" s="58">
        <v>1775.6</v>
      </c>
    </row>
    <row r="922" spans="1:4">
      <c r="A922" s="57">
        <v>3283</v>
      </c>
      <c r="B922" s="57">
        <v>90186</v>
      </c>
      <c r="C922" s="58">
        <v>81.099999999999994</v>
      </c>
      <c r="D922" s="58">
        <v>1775.6</v>
      </c>
    </row>
    <row r="923" spans="1:4">
      <c r="A923" s="57">
        <v>3284</v>
      </c>
      <c r="B923" s="57">
        <v>90175</v>
      </c>
      <c r="C923" s="58">
        <v>93.9</v>
      </c>
      <c r="D923" s="58">
        <v>1432.8</v>
      </c>
    </row>
    <row r="924" spans="1:4">
      <c r="A924" s="57">
        <v>3285</v>
      </c>
      <c r="B924" s="57">
        <v>90175</v>
      </c>
      <c r="C924" s="58">
        <v>93.9</v>
      </c>
      <c r="D924" s="58">
        <v>1432.8</v>
      </c>
    </row>
    <row r="925" spans="1:4">
      <c r="A925" s="57">
        <v>3286</v>
      </c>
      <c r="B925" s="57">
        <v>90173</v>
      </c>
      <c r="C925" s="58">
        <v>73.599999999999994</v>
      </c>
      <c r="D925" s="58">
        <v>1897</v>
      </c>
    </row>
    <row r="926" spans="1:4">
      <c r="A926" s="57">
        <v>3287</v>
      </c>
      <c r="B926" s="57">
        <v>90186</v>
      </c>
      <c r="C926" s="58">
        <v>81.099999999999994</v>
      </c>
      <c r="D926" s="58">
        <v>1775.6</v>
      </c>
    </row>
    <row r="927" spans="1:4">
      <c r="A927" s="57">
        <v>3289</v>
      </c>
      <c r="B927" s="57">
        <v>90173</v>
      </c>
      <c r="C927" s="58">
        <v>73.599999999999994</v>
      </c>
      <c r="D927" s="58">
        <v>1897</v>
      </c>
    </row>
    <row r="928" spans="1:4">
      <c r="A928" s="57">
        <v>3292</v>
      </c>
      <c r="B928" s="57">
        <v>26021</v>
      </c>
      <c r="C928" s="58">
        <v>55.4</v>
      </c>
      <c r="D928" s="58">
        <v>1654.6</v>
      </c>
    </row>
    <row r="929" spans="1:4">
      <c r="A929" s="57">
        <v>3293</v>
      </c>
      <c r="B929" s="57">
        <v>89112</v>
      </c>
      <c r="C929" s="58">
        <v>85.1</v>
      </c>
      <c r="D929" s="58">
        <v>1875.8</v>
      </c>
    </row>
    <row r="930" spans="1:4">
      <c r="A930" s="57">
        <v>3294</v>
      </c>
      <c r="B930" s="57">
        <v>90173</v>
      </c>
      <c r="C930" s="58">
        <v>73.599999999999994</v>
      </c>
      <c r="D930" s="58">
        <v>1897</v>
      </c>
    </row>
    <row r="931" spans="1:4">
      <c r="A931" s="57">
        <v>3300</v>
      </c>
      <c r="B931" s="57">
        <v>90173</v>
      </c>
      <c r="C931" s="58">
        <v>73.599999999999994</v>
      </c>
      <c r="D931" s="58">
        <v>1897</v>
      </c>
    </row>
    <row r="932" spans="1:4">
      <c r="A932" s="57">
        <v>3301</v>
      </c>
      <c r="B932" s="57">
        <v>90173</v>
      </c>
      <c r="C932" s="58">
        <v>73.599999999999994</v>
      </c>
      <c r="D932" s="58">
        <v>1897</v>
      </c>
    </row>
    <row r="933" spans="1:4">
      <c r="A933" s="57">
        <v>3302</v>
      </c>
      <c r="B933" s="57">
        <v>90173</v>
      </c>
      <c r="C933" s="58">
        <v>73.599999999999994</v>
      </c>
      <c r="D933" s="58">
        <v>1897</v>
      </c>
    </row>
    <row r="934" spans="1:4">
      <c r="A934" s="57">
        <v>3303</v>
      </c>
      <c r="B934" s="57">
        <v>90171</v>
      </c>
      <c r="C934" s="58">
        <v>54.1</v>
      </c>
      <c r="D934" s="58">
        <v>1776.2</v>
      </c>
    </row>
    <row r="935" spans="1:4">
      <c r="A935" s="57">
        <v>3304</v>
      </c>
      <c r="B935" s="57">
        <v>90175</v>
      </c>
      <c r="C935" s="58">
        <v>93.9</v>
      </c>
      <c r="D935" s="58">
        <v>1432.8</v>
      </c>
    </row>
    <row r="936" spans="1:4">
      <c r="A936" s="57">
        <v>3305</v>
      </c>
      <c r="B936" s="57">
        <v>90171</v>
      </c>
      <c r="C936" s="58">
        <v>54.1</v>
      </c>
      <c r="D936" s="58">
        <v>1776.2</v>
      </c>
    </row>
    <row r="937" spans="1:4">
      <c r="A937" s="57">
        <v>3309</v>
      </c>
      <c r="B937" s="57">
        <v>90182</v>
      </c>
      <c r="C937" s="58">
        <v>77.900000000000006</v>
      </c>
      <c r="D937" s="58">
        <v>1733.2</v>
      </c>
    </row>
    <row r="938" spans="1:4">
      <c r="A938" s="57">
        <v>3310</v>
      </c>
      <c r="B938" s="57">
        <v>90182</v>
      </c>
      <c r="C938" s="58">
        <v>77.900000000000006</v>
      </c>
      <c r="D938" s="58">
        <v>1733.2</v>
      </c>
    </row>
    <row r="939" spans="1:4">
      <c r="A939" s="57">
        <v>3311</v>
      </c>
      <c r="B939" s="57">
        <v>90182</v>
      </c>
      <c r="C939" s="58">
        <v>77.900000000000006</v>
      </c>
      <c r="D939" s="58">
        <v>1733.2</v>
      </c>
    </row>
    <row r="940" spans="1:4">
      <c r="A940" s="57">
        <v>3312</v>
      </c>
      <c r="B940" s="57">
        <v>90182</v>
      </c>
      <c r="C940" s="58">
        <v>77.900000000000006</v>
      </c>
      <c r="D940" s="58">
        <v>1733.2</v>
      </c>
    </row>
    <row r="941" spans="1:4">
      <c r="A941" s="57">
        <v>3314</v>
      </c>
      <c r="B941" s="57">
        <v>90173</v>
      </c>
      <c r="C941" s="58">
        <v>73.599999999999994</v>
      </c>
      <c r="D941" s="58">
        <v>1897</v>
      </c>
    </row>
    <row r="942" spans="1:4">
      <c r="A942" s="57">
        <v>3315</v>
      </c>
      <c r="B942" s="57">
        <v>90173</v>
      </c>
      <c r="C942" s="58">
        <v>73.599999999999994</v>
      </c>
      <c r="D942" s="58">
        <v>1897</v>
      </c>
    </row>
    <row r="943" spans="1:4">
      <c r="A943" s="57">
        <v>3317</v>
      </c>
      <c r="B943" s="57">
        <v>79097</v>
      </c>
      <c r="C943" s="58">
        <v>83.9</v>
      </c>
      <c r="D943" s="58">
        <v>1667.3</v>
      </c>
    </row>
    <row r="944" spans="1:4">
      <c r="A944" s="57">
        <v>3318</v>
      </c>
      <c r="B944" s="57">
        <v>79099</v>
      </c>
      <c r="C944" s="58">
        <v>103.2</v>
      </c>
      <c r="D944" s="58">
        <v>1591.1</v>
      </c>
    </row>
    <row r="945" spans="1:4">
      <c r="A945" s="57">
        <v>3319</v>
      </c>
      <c r="B945" s="57">
        <v>79099</v>
      </c>
      <c r="C945" s="58">
        <v>103.2</v>
      </c>
      <c r="D945" s="58">
        <v>1591.1</v>
      </c>
    </row>
    <row r="946" spans="1:4">
      <c r="A946" s="57">
        <v>3321</v>
      </c>
      <c r="B946" s="57">
        <v>90035</v>
      </c>
      <c r="C946" s="58">
        <v>61.1</v>
      </c>
      <c r="D946" s="58">
        <v>1887.5</v>
      </c>
    </row>
    <row r="947" spans="1:4">
      <c r="A947" s="57">
        <v>3322</v>
      </c>
      <c r="B947" s="57">
        <v>90035</v>
      </c>
      <c r="C947" s="58">
        <v>61.1</v>
      </c>
      <c r="D947" s="58">
        <v>1887.5</v>
      </c>
    </row>
    <row r="948" spans="1:4">
      <c r="A948" s="57">
        <v>3323</v>
      </c>
      <c r="B948" s="57">
        <v>90035</v>
      </c>
      <c r="C948" s="58">
        <v>61.1</v>
      </c>
      <c r="D948" s="58">
        <v>1887.5</v>
      </c>
    </row>
    <row r="949" spans="1:4">
      <c r="A949" s="57">
        <v>3324</v>
      </c>
      <c r="B949" s="57">
        <v>89112</v>
      </c>
      <c r="C949" s="58">
        <v>85.1</v>
      </c>
      <c r="D949" s="58">
        <v>1875.8</v>
      </c>
    </row>
    <row r="950" spans="1:4">
      <c r="A950" s="57">
        <v>3325</v>
      </c>
      <c r="B950" s="57">
        <v>89112</v>
      </c>
      <c r="C950" s="58">
        <v>85.1</v>
      </c>
      <c r="D950" s="58">
        <v>1875.8</v>
      </c>
    </row>
    <row r="951" spans="1:4">
      <c r="A951" s="57">
        <v>3328</v>
      </c>
      <c r="B951" s="57">
        <v>87168</v>
      </c>
      <c r="C951" s="58">
        <v>90.3</v>
      </c>
      <c r="D951" s="58">
        <v>1797.1</v>
      </c>
    </row>
    <row r="952" spans="1:4">
      <c r="A952" s="57">
        <v>3329</v>
      </c>
      <c r="B952" s="57">
        <v>90035</v>
      </c>
      <c r="C952" s="58">
        <v>61.1</v>
      </c>
      <c r="D952" s="58">
        <v>1887.5</v>
      </c>
    </row>
    <row r="953" spans="1:4">
      <c r="A953" s="57">
        <v>3330</v>
      </c>
      <c r="B953" s="57">
        <v>87168</v>
      </c>
      <c r="C953" s="58">
        <v>90.3</v>
      </c>
      <c r="D953" s="58">
        <v>1797.1</v>
      </c>
    </row>
    <row r="954" spans="1:4">
      <c r="A954" s="57">
        <v>3331</v>
      </c>
      <c r="B954" s="57">
        <v>87168</v>
      </c>
      <c r="C954" s="58">
        <v>90.3</v>
      </c>
      <c r="D954" s="58">
        <v>1797.1</v>
      </c>
    </row>
    <row r="955" spans="1:4">
      <c r="A955" s="57">
        <v>3332</v>
      </c>
      <c r="B955" s="57">
        <v>87168</v>
      </c>
      <c r="C955" s="58">
        <v>90.3</v>
      </c>
      <c r="D955" s="58">
        <v>1797.1</v>
      </c>
    </row>
    <row r="956" spans="1:4">
      <c r="A956" s="57">
        <v>3333</v>
      </c>
      <c r="B956" s="57">
        <v>87168</v>
      </c>
      <c r="C956" s="58">
        <v>90.3</v>
      </c>
      <c r="D956" s="58">
        <v>1797.1</v>
      </c>
    </row>
    <row r="957" spans="1:4">
      <c r="A957" s="57">
        <v>3334</v>
      </c>
      <c r="B957" s="57">
        <v>87168</v>
      </c>
      <c r="C957" s="58">
        <v>90.3</v>
      </c>
      <c r="D957" s="58">
        <v>1797.1</v>
      </c>
    </row>
    <row r="958" spans="1:4">
      <c r="A958" s="57">
        <v>3335</v>
      </c>
      <c r="B958" s="57">
        <v>86282</v>
      </c>
      <c r="C958" s="58">
        <v>105</v>
      </c>
      <c r="D958" s="58">
        <v>1455.7</v>
      </c>
    </row>
    <row r="959" spans="1:4">
      <c r="A959" s="57">
        <v>3337</v>
      </c>
      <c r="B959" s="57">
        <v>86282</v>
      </c>
      <c r="C959" s="58">
        <v>105</v>
      </c>
      <c r="D959" s="58">
        <v>1455.7</v>
      </c>
    </row>
    <row r="960" spans="1:4">
      <c r="A960" s="57">
        <v>3338</v>
      </c>
      <c r="B960" s="57">
        <v>86282</v>
      </c>
      <c r="C960" s="58">
        <v>105</v>
      </c>
      <c r="D960" s="58">
        <v>1455.7</v>
      </c>
    </row>
    <row r="961" spans="1:4">
      <c r="A961" s="57">
        <v>3340</v>
      </c>
      <c r="B961" s="57">
        <v>87031</v>
      </c>
      <c r="C961" s="58">
        <v>160.4</v>
      </c>
      <c r="D961" s="58">
        <v>1413.4</v>
      </c>
    </row>
    <row r="962" spans="1:4">
      <c r="A962" s="57">
        <v>3341</v>
      </c>
      <c r="B962" s="57">
        <v>89002</v>
      </c>
      <c r="C962" s="58">
        <v>59.7</v>
      </c>
      <c r="D962" s="58">
        <v>2189.9</v>
      </c>
    </row>
    <row r="963" spans="1:4">
      <c r="A963" s="57">
        <v>3342</v>
      </c>
      <c r="B963" s="57">
        <v>87168</v>
      </c>
      <c r="C963" s="58">
        <v>90.3</v>
      </c>
      <c r="D963" s="58">
        <v>1797.1</v>
      </c>
    </row>
    <row r="964" spans="1:4">
      <c r="A964" s="57">
        <v>3345</v>
      </c>
      <c r="B964" s="57">
        <v>89002</v>
      </c>
      <c r="C964" s="58">
        <v>59.7</v>
      </c>
      <c r="D964" s="58">
        <v>2189.9</v>
      </c>
    </row>
    <row r="965" spans="1:4">
      <c r="A965" s="57">
        <v>3350</v>
      </c>
      <c r="B965" s="57">
        <v>89002</v>
      </c>
      <c r="C965" s="58">
        <v>59.7</v>
      </c>
      <c r="D965" s="58">
        <v>2189.9</v>
      </c>
    </row>
    <row r="966" spans="1:4">
      <c r="A966" s="57">
        <v>3351</v>
      </c>
      <c r="B966" s="57">
        <v>89002</v>
      </c>
      <c r="C966" s="58">
        <v>59.7</v>
      </c>
      <c r="D966" s="58">
        <v>2189.9</v>
      </c>
    </row>
    <row r="967" spans="1:4">
      <c r="A967" s="57">
        <v>3352</v>
      </c>
      <c r="B967" s="57">
        <v>89002</v>
      </c>
      <c r="C967" s="58">
        <v>59.7</v>
      </c>
      <c r="D967" s="58">
        <v>2189.9</v>
      </c>
    </row>
    <row r="968" spans="1:4">
      <c r="A968" s="57">
        <v>3355</v>
      </c>
      <c r="B968" s="57">
        <v>89002</v>
      </c>
      <c r="C968" s="58">
        <v>59.7</v>
      </c>
      <c r="D968" s="58">
        <v>2189.9</v>
      </c>
    </row>
    <row r="969" spans="1:4">
      <c r="A969" s="57">
        <v>3356</v>
      </c>
      <c r="B969" s="57">
        <v>89002</v>
      </c>
      <c r="C969" s="58">
        <v>59.7</v>
      </c>
      <c r="D969" s="58">
        <v>2189.9</v>
      </c>
    </row>
    <row r="970" spans="1:4">
      <c r="A970" s="57">
        <v>3357</v>
      </c>
      <c r="B970" s="57">
        <v>89002</v>
      </c>
      <c r="C970" s="58">
        <v>59.7</v>
      </c>
      <c r="D970" s="58">
        <v>2189.9</v>
      </c>
    </row>
    <row r="971" spans="1:4">
      <c r="A971" s="57">
        <v>3360</v>
      </c>
      <c r="B971" s="57">
        <v>89002</v>
      </c>
      <c r="C971" s="58">
        <v>59.7</v>
      </c>
      <c r="D971" s="58">
        <v>2189.9</v>
      </c>
    </row>
    <row r="972" spans="1:4">
      <c r="A972" s="57">
        <v>3361</v>
      </c>
      <c r="B972" s="57">
        <v>89112</v>
      </c>
      <c r="C972" s="58">
        <v>85.1</v>
      </c>
      <c r="D972" s="58">
        <v>1875.8</v>
      </c>
    </row>
    <row r="973" spans="1:4">
      <c r="A973" s="57">
        <v>3363</v>
      </c>
      <c r="B973" s="57">
        <v>89002</v>
      </c>
      <c r="C973" s="58">
        <v>59.7</v>
      </c>
      <c r="D973" s="58">
        <v>2189.9</v>
      </c>
    </row>
    <row r="974" spans="1:4">
      <c r="A974" s="57">
        <v>3364</v>
      </c>
      <c r="B974" s="57">
        <v>89002</v>
      </c>
      <c r="C974" s="58">
        <v>59.7</v>
      </c>
      <c r="D974" s="58">
        <v>2189.9</v>
      </c>
    </row>
    <row r="975" spans="1:4">
      <c r="A975" s="57">
        <v>3370</v>
      </c>
      <c r="B975" s="57">
        <v>89002</v>
      </c>
      <c r="C975" s="58">
        <v>59.7</v>
      </c>
      <c r="D975" s="58">
        <v>2189.9</v>
      </c>
    </row>
    <row r="976" spans="1:4">
      <c r="A976" s="57">
        <v>3371</v>
      </c>
      <c r="B976" s="57">
        <v>89002</v>
      </c>
      <c r="C976" s="58">
        <v>59.7</v>
      </c>
      <c r="D976" s="58">
        <v>2189.9</v>
      </c>
    </row>
    <row r="977" spans="1:4">
      <c r="A977" s="57">
        <v>3373</v>
      </c>
      <c r="B977" s="57">
        <v>79101</v>
      </c>
      <c r="C977" s="58">
        <v>26.5</v>
      </c>
      <c r="D977" s="58">
        <v>2751.4</v>
      </c>
    </row>
    <row r="978" spans="1:4">
      <c r="A978" s="57">
        <v>3374</v>
      </c>
      <c r="B978" s="57">
        <v>79105</v>
      </c>
      <c r="C978" s="58">
        <v>90</v>
      </c>
      <c r="D978" s="58">
        <v>1661.6</v>
      </c>
    </row>
    <row r="979" spans="1:4">
      <c r="A979" s="57">
        <v>3375</v>
      </c>
      <c r="B979" s="57">
        <v>79101</v>
      </c>
      <c r="C979" s="58">
        <v>26.5</v>
      </c>
      <c r="D979" s="58">
        <v>2751.4</v>
      </c>
    </row>
    <row r="980" spans="1:4">
      <c r="A980" s="57">
        <v>3377</v>
      </c>
      <c r="B980" s="57">
        <v>79101</v>
      </c>
      <c r="C980" s="58">
        <v>26.5</v>
      </c>
      <c r="D980" s="58">
        <v>2751.4</v>
      </c>
    </row>
    <row r="981" spans="1:4">
      <c r="A981" s="57">
        <v>3378</v>
      </c>
      <c r="B981" s="57">
        <v>89112</v>
      </c>
      <c r="C981" s="58">
        <v>85.1</v>
      </c>
      <c r="D981" s="58">
        <v>1875.8</v>
      </c>
    </row>
    <row r="982" spans="1:4">
      <c r="A982" s="57">
        <v>3379</v>
      </c>
      <c r="B982" s="57">
        <v>90173</v>
      </c>
      <c r="C982" s="58">
        <v>73.599999999999994</v>
      </c>
      <c r="D982" s="58">
        <v>1897</v>
      </c>
    </row>
    <row r="983" spans="1:4">
      <c r="A983" s="57">
        <v>3380</v>
      </c>
      <c r="B983" s="57">
        <v>79105</v>
      </c>
      <c r="C983" s="58">
        <v>90</v>
      </c>
      <c r="D983" s="58">
        <v>1661.6</v>
      </c>
    </row>
    <row r="984" spans="1:4">
      <c r="A984" s="57">
        <v>3381</v>
      </c>
      <c r="B984" s="57">
        <v>79105</v>
      </c>
      <c r="C984" s="58">
        <v>90</v>
      </c>
      <c r="D984" s="58">
        <v>1661.6</v>
      </c>
    </row>
    <row r="985" spans="1:4">
      <c r="A985" s="57">
        <v>3384</v>
      </c>
      <c r="B985" s="57">
        <v>79101</v>
      </c>
      <c r="C985" s="58">
        <v>26.5</v>
      </c>
      <c r="D985" s="58">
        <v>2751.4</v>
      </c>
    </row>
    <row r="986" spans="1:4">
      <c r="A986" s="57">
        <v>3385</v>
      </c>
      <c r="B986" s="57">
        <v>79105</v>
      </c>
      <c r="C986" s="58">
        <v>90</v>
      </c>
      <c r="D986" s="58">
        <v>1661.6</v>
      </c>
    </row>
    <row r="987" spans="1:4">
      <c r="A987" s="57">
        <v>3387</v>
      </c>
      <c r="B987" s="57">
        <v>79105</v>
      </c>
      <c r="C987" s="58">
        <v>90</v>
      </c>
      <c r="D987" s="58">
        <v>1661.6</v>
      </c>
    </row>
    <row r="988" spans="1:4">
      <c r="A988" s="57">
        <v>3388</v>
      </c>
      <c r="B988" s="57">
        <v>79028</v>
      </c>
      <c r="C988" s="58">
        <v>115.3</v>
      </c>
      <c r="D988" s="58">
        <v>1633.5</v>
      </c>
    </row>
    <row r="989" spans="1:4">
      <c r="A989" s="57">
        <v>3390</v>
      </c>
      <c r="B989" s="57">
        <v>79028</v>
      </c>
      <c r="C989" s="58">
        <v>115.3</v>
      </c>
      <c r="D989" s="58">
        <v>1633.5</v>
      </c>
    </row>
    <row r="990" spans="1:4">
      <c r="A990" s="57">
        <v>3391</v>
      </c>
      <c r="B990" s="57">
        <v>77010</v>
      </c>
      <c r="C990" s="58">
        <v>170.2</v>
      </c>
      <c r="D990" s="58">
        <v>1361.5</v>
      </c>
    </row>
    <row r="991" spans="1:4">
      <c r="A991" s="57">
        <v>3392</v>
      </c>
      <c r="B991" s="57">
        <v>79028</v>
      </c>
      <c r="C991" s="58">
        <v>115.3</v>
      </c>
      <c r="D991" s="58">
        <v>1633.5</v>
      </c>
    </row>
    <row r="992" spans="1:4">
      <c r="A992" s="57">
        <v>3393</v>
      </c>
      <c r="B992" s="57">
        <v>79100</v>
      </c>
      <c r="C992" s="58">
        <v>88.3</v>
      </c>
      <c r="D992" s="58">
        <v>1667.4</v>
      </c>
    </row>
    <row r="993" spans="1:4">
      <c r="A993" s="57">
        <v>3395</v>
      </c>
      <c r="B993" s="57">
        <v>77010</v>
      </c>
      <c r="C993" s="58">
        <v>170.2</v>
      </c>
      <c r="D993" s="58">
        <v>1361.5</v>
      </c>
    </row>
    <row r="994" spans="1:4">
      <c r="A994" s="57">
        <v>3396</v>
      </c>
      <c r="B994" s="57">
        <v>77010</v>
      </c>
      <c r="C994" s="58">
        <v>170.2</v>
      </c>
      <c r="D994" s="58">
        <v>1361.5</v>
      </c>
    </row>
    <row r="995" spans="1:4">
      <c r="A995" s="57">
        <v>3400</v>
      </c>
      <c r="B995" s="57">
        <v>79100</v>
      </c>
      <c r="C995" s="58">
        <v>88.3</v>
      </c>
      <c r="D995" s="58">
        <v>1667.4</v>
      </c>
    </row>
    <row r="996" spans="1:4">
      <c r="A996" s="57">
        <v>3401</v>
      </c>
      <c r="B996" s="57">
        <v>79028</v>
      </c>
      <c r="C996" s="58">
        <v>115.3</v>
      </c>
      <c r="D996" s="58">
        <v>1633.5</v>
      </c>
    </row>
    <row r="997" spans="1:4">
      <c r="A997" s="57">
        <v>3407</v>
      </c>
      <c r="B997" s="57">
        <v>79097</v>
      </c>
      <c r="C997" s="58">
        <v>83.9</v>
      </c>
      <c r="D997" s="58">
        <v>1667.3</v>
      </c>
    </row>
    <row r="998" spans="1:4">
      <c r="A998" s="57">
        <v>3409</v>
      </c>
      <c r="B998" s="57">
        <v>79100</v>
      </c>
      <c r="C998" s="58">
        <v>88.3</v>
      </c>
      <c r="D998" s="58">
        <v>1667.4</v>
      </c>
    </row>
    <row r="999" spans="1:4">
      <c r="A999" s="57">
        <v>3412</v>
      </c>
      <c r="B999" s="57">
        <v>79099</v>
      </c>
      <c r="C999" s="58">
        <v>103.2</v>
      </c>
      <c r="D999" s="58">
        <v>1591.1</v>
      </c>
    </row>
    <row r="1000" spans="1:4">
      <c r="A1000" s="57">
        <v>3413</v>
      </c>
      <c r="B1000" s="57">
        <v>79099</v>
      </c>
      <c r="C1000" s="58">
        <v>103.2</v>
      </c>
      <c r="D1000" s="58">
        <v>1591.1</v>
      </c>
    </row>
    <row r="1001" spans="1:4">
      <c r="A1001" s="57">
        <v>3414</v>
      </c>
      <c r="B1001" s="57">
        <v>78015</v>
      </c>
      <c r="C1001" s="58">
        <v>105.6</v>
      </c>
      <c r="D1001" s="58">
        <v>1445.3</v>
      </c>
    </row>
    <row r="1002" spans="1:4">
      <c r="A1002" s="57">
        <v>3415</v>
      </c>
      <c r="B1002" s="57">
        <v>78015</v>
      </c>
      <c r="C1002" s="58">
        <v>105.6</v>
      </c>
      <c r="D1002" s="58">
        <v>1445.3</v>
      </c>
    </row>
    <row r="1003" spans="1:4">
      <c r="A1003" s="57">
        <v>3418</v>
      </c>
      <c r="B1003" s="57">
        <v>78015</v>
      </c>
      <c r="C1003" s="58">
        <v>105.6</v>
      </c>
      <c r="D1003" s="58">
        <v>1445.3</v>
      </c>
    </row>
    <row r="1004" spans="1:4">
      <c r="A1004" s="57">
        <v>3419</v>
      </c>
      <c r="B1004" s="57">
        <v>78015</v>
      </c>
      <c r="C1004" s="58">
        <v>105.6</v>
      </c>
      <c r="D1004" s="58">
        <v>1445.3</v>
      </c>
    </row>
    <row r="1005" spans="1:4">
      <c r="A1005" s="57">
        <v>3420</v>
      </c>
      <c r="B1005" s="57">
        <v>78015</v>
      </c>
      <c r="C1005" s="58">
        <v>105.6</v>
      </c>
      <c r="D1005" s="58">
        <v>1445.3</v>
      </c>
    </row>
    <row r="1006" spans="1:4">
      <c r="A1006" s="57">
        <v>3423</v>
      </c>
      <c r="B1006" s="57">
        <v>78015</v>
      </c>
      <c r="C1006" s="58">
        <v>105.6</v>
      </c>
      <c r="D1006" s="58">
        <v>1445.3</v>
      </c>
    </row>
    <row r="1007" spans="1:4">
      <c r="A1007" s="57">
        <v>3424</v>
      </c>
      <c r="B1007" s="57">
        <v>77010</v>
      </c>
      <c r="C1007" s="58">
        <v>170.2</v>
      </c>
      <c r="D1007" s="58">
        <v>1361.5</v>
      </c>
    </row>
    <row r="1008" spans="1:4">
      <c r="A1008" s="57">
        <v>3427</v>
      </c>
      <c r="B1008" s="57">
        <v>86282</v>
      </c>
      <c r="C1008" s="58">
        <v>105</v>
      </c>
      <c r="D1008" s="58">
        <v>1455.7</v>
      </c>
    </row>
    <row r="1009" spans="1:4">
      <c r="A1009" s="57">
        <v>3428</v>
      </c>
      <c r="B1009" s="57">
        <v>86282</v>
      </c>
      <c r="C1009" s="58">
        <v>105</v>
      </c>
      <c r="D1009" s="58">
        <v>1455.7</v>
      </c>
    </row>
    <row r="1010" spans="1:4">
      <c r="A1010" s="57">
        <v>3429</v>
      </c>
      <c r="B1010" s="57">
        <v>86282</v>
      </c>
      <c r="C1010" s="58">
        <v>105</v>
      </c>
      <c r="D1010" s="58">
        <v>1455.7</v>
      </c>
    </row>
    <row r="1011" spans="1:4">
      <c r="A1011" s="57">
        <v>3430</v>
      </c>
      <c r="B1011" s="57">
        <v>86282</v>
      </c>
      <c r="C1011" s="58">
        <v>105</v>
      </c>
      <c r="D1011" s="58">
        <v>1455.7</v>
      </c>
    </row>
    <row r="1012" spans="1:4">
      <c r="A1012" s="57">
        <v>3431</v>
      </c>
      <c r="B1012" s="57">
        <v>88162</v>
      </c>
      <c r="C1012" s="58">
        <v>62.1</v>
      </c>
      <c r="D1012" s="58">
        <v>2242.8000000000002</v>
      </c>
    </row>
    <row r="1013" spans="1:4">
      <c r="A1013" s="57">
        <v>3432</v>
      </c>
      <c r="B1013" s="57">
        <v>88162</v>
      </c>
      <c r="C1013" s="58">
        <v>62.1</v>
      </c>
      <c r="D1013" s="58">
        <v>2242.8000000000002</v>
      </c>
    </row>
    <row r="1014" spans="1:4">
      <c r="A1014" s="57">
        <v>3433</v>
      </c>
      <c r="B1014" s="57">
        <v>88162</v>
      </c>
      <c r="C1014" s="58">
        <v>62.1</v>
      </c>
      <c r="D1014" s="58">
        <v>2242.8000000000002</v>
      </c>
    </row>
    <row r="1015" spans="1:4">
      <c r="A1015" s="57">
        <v>3434</v>
      </c>
      <c r="B1015" s="57">
        <v>88162</v>
      </c>
      <c r="C1015" s="58">
        <v>62.1</v>
      </c>
      <c r="D1015" s="58">
        <v>2242.8000000000002</v>
      </c>
    </row>
    <row r="1016" spans="1:4">
      <c r="A1016" s="57">
        <v>3435</v>
      </c>
      <c r="B1016" s="57">
        <v>88051</v>
      </c>
      <c r="C1016" s="58">
        <v>109</v>
      </c>
      <c r="D1016" s="58">
        <v>1852</v>
      </c>
    </row>
    <row r="1017" spans="1:4">
      <c r="A1017" s="57">
        <v>3437</v>
      </c>
      <c r="B1017" s="57">
        <v>86282</v>
      </c>
      <c r="C1017" s="58">
        <v>105</v>
      </c>
      <c r="D1017" s="58">
        <v>1455.7</v>
      </c>
    </row>
    <row r="1018" spans="1:4">
      <c r="A1018" s="57">
        <v>3438</v>
      </c>
      <c r="B1018" s="57">
        <v>86282</v>
      </c>
      <c r="C1018" s="58">
        <v>105</v>
      </c>
      <c r="D1018" s="58">
        <v>1455.7</v>
      </c>
    </row>
    <row r="1019" spans="1:4">
      <c r="A1019" s="57">
        <v>3440</v>
      </c>
      <c r="B1019" s="57">
        <v>88162</v>
      </c>
      <c r="C1019" s="58">
        <v>62.1</v>
      </c>
      <c r="D1019" s="58">
        <v>2242.8000000000002</v>
      </c>
    </row>
    <row r="1020" spans="1:4">
      <c r="A1020" s="57">
        <v>3441</v>
      </c>
      <c r="B1020" s="57">
        <v>88162</v>
      </c>
      <c r="C1020" s="58">
        <v>62.1</v>
      </c>
      <c r="D1020" s="58">
        <v>2242.8000000000002</v>
      </c>
    </row>
    <row r="1021" spans="1:4">
      <c r="A1021" s="57">
        <v>3442</v>
      </c>
      <c r="B1021" s="57">
        <v>88051</v>
      </c>
      <c r="C1021" s="58">
        <v>109</v>
      </c>
      <c r="D1021" s="58">
        <v>1852</v>
      </c>
    </row>
    <row r="1022" spans="1:4">
      <c r="A1022" s="57">
        <v>3444</v>
      </c>
      <c r="B1022" s="57">
        <v>88051</v>
      </c>
      <c r="C1022" s="58">
        <v>109</v>
      </c>
      <c r="D1022" s="58">
        <v>1852</v>
      </c>
    </row>
    <row r="1023" spans="1:4">
      <c r="A1023" s="57">
        <v>3446</v>
      </c>
      <c r="B1023" s="57">
        <v>88051</v>
      </c>
      <c r="C1023" s="58">
        <v>109</v>
      </c>
      <c r="D1023" s="58">
        <v>1852</v>
      </c>
    </row>
    <row r="1024" spans="1:4">
      <c r="A1024" s="57">
        <v>3447</v>
      </c>
      <c r="B1024" s="57">
        <v>88051</v>
      </c>
      <c r="C1024" s="58">
        <v>109</v>
      </c>
      <c r="D1024" s="58">
        <v>1852</v>
      </c>
    </row>
    <row r="1025" spans="1:4">
      <c r="A1025" s="57">
        <v>3448</v>
      </c>
      <c r="B1025" s="57">
        <v>88051</v>
      </c>
      <c r="C1025" s="58">
        <v>109</v>
      </c>
      <c r="D1025" s="58">
        <v>1852</v>
      </c>
    </row>
    <row r="1026" spans="1:4">
      <c r="A1026" s="57">
        <v>3450</v>
      </c>
      <c r="B1026" s="57">
        <v>88051</v>
      </c>
      <c r="C1026" s="58">
        <v>109</v>
      </c>
      <c r="D1026" s="58">
        <v>1852</v>
      </c>
    </row>
    <row r="1027" spans="1:4">
      <c r="A1027" s="57">
        <v>3451</v>
      </c>
      <c r="B1027" s="57">
        <v>88051</v>
      </c>
      <c r="C1027" s="58">
        <v>109</v>
      </c>
      <c r="D1027" s="58">
        <v>1852</v>
      </c>
    </row>
    <row r="1028" spans="1:4">
      <c r="A1028" s="57">
        <v>3453</v>
      </c>
      <c r="B1028" s="57">
        <v>88051</v>
      </c>
      <c r="C1028" s="58">
        <v>109</v>
      </c>
      <c r="D1028" s="58">
        <v>1852</v>
      </c>
    </row>
    <row r="1029" spans="1:4">
      <c r="A1029" s="57">
        <v>3458</v>
      </c>
      <c r="B1029" s="57">
        <v>89002</v>
      </c>
      <c r="C1029" s="58">
        <v>59.7</v>
      </c>
      <c r="D1029" s="58">
        <v>2189.9</v>
      </c>
    </row>
    <row r="1030" spans="1:4">
      <c r="A1030" s="57">
        <v>3460</v>
      </c>
      <c r="B1030" s="57">
        <v>89002</v>
      </c>
      <c r="C1030" s="58">
        <v>59.7</v>
      </c>
      <c r="D1030" s="58">
        <v>2189.9</v>
      </c>
    </row>
    <row r="1031" spans="1:4">
      <c r="A1031" s="57">
        <v>3461</v>
      </c>
      <c r="B1031" s="57">
        <v>89002</v>
      </c>
      <c r="C1031" s="58">
        <v>59.7</v>
      </c>
      <c r="D1031" s="58">
        <v>2189.9</v>
      </c>
    </row>
    <row r="1032" spans="1:4">
      <c r="A1032" s="57">
        <v>3462</v>
      </c>
      <c r="B1032" s="57">
        <v>88051</v>
      </c>
      <c r="C1032" s="58">
        <v>109</v>
      </c>
      <c r="D1032" s="58">
        <v>1852</v>
      </c>
    </row>
    <row r="1033" spans="1:4">
      <c r="A1033" s="57">
        <v>3463</v>
      </c>
      <c r="B1033" s="57">
        <v>81123</v>
      </c>
      <c r="C1033" s="58">
        <v>110.9</v>
      </c>
      <c r="D1033" s="58">
        <v>1699.8</v>
      </c>
    </row>
    <row r="1034" spans="1:4">
      <c r="A1034" s="57">
        <v>3464</v>
      </c>
      <c r="B1034" s="57">
        <v>89002</v>
      </c>
      <c r="C1034" s="58">
        <v>59.7</v>
      </c>
      <c r="D1034" s="58">
        <v>2189.9</v>
      </c>
    </row>
    <row r="1035" spans="1:4">
      <c r="A1035" s="57">
        <v>3465</v>
      </c>
      <c r="B1035" s="57">
        <v>79101</v>
      </c>
      <c r="C1035" s="58">
        <v>26.5</v>
      </c>
      <c r="D1035" s="58">
        <v>2751.4</v>
      </c>
    </row>
    <row r="1036" spans="1:4">
      <c r="A1036" s="57">
        <v>3467</v>
      </c>
      <c r="B1036" s="57">
        <v>79101</v>
      </c>
      <c r="C1036" s="58">
        <v>26.5</v>
      </c>
      <c r="D1036" s="58">
        <v>2751.4</v>
      </c>
    </row>
    <row r="1037" spans="1:4">
      <c r="A1037" s="57">
        <v>3468</v>
      </c>
      <c r="B1037" s="57">
        <v>79101</v>
      </c>
      <c r="C1037" s="58">
        <v>26.5</v>
      </c>
      <c r="D1037" s="58">
        <v>2751.4</v>
      </c>
    </row>
    <row r="1038" spans="1:4">
      <c r="A1038" s="57">
        <v>3469</v>
      </c>
      <c r="B1038" s="57">
        <v>79101</v>
      </c>
      <c r="C1038" s="58">
        <v>26.5</v>
      </c>
      <c r="D1038" s="58">
        <v>2751.4</v>
      </c>
    </row>
    <row r="1039" spans="1:4">
      <c r="A1039" s="57">
        <v>3472</v>
      </c>
      <c r="B1039" s="57">
        <v>81123</v>
      </c>
      <c r="C1039" s="58">
        <v>110.9</v>
      </c>
      <c r="D1039" s="58">
        <v>1699.8</v>
      </c>
    </row>
    <row r="1040" spans="1:4">
      <c r="A1040" s="57">
        <v>3475</v>
      </c>
      <c r="B1040" s="57">
        <v>79101</v>
      </c>
      <c r="C1040" s="58">
        <v>26.5</v>
      </c>
      <c r="D1040" s="58">
        <v>2751.4</v>
      </c>
    </row>
    <row r="1041" spans="1:4">
      <c r="A1041" s="57">
        <v>3477</v>
      </c>
      <c r="B1041" s="57">
        <v>80128</v>
      </c>
      <c r="C1041" s="58">
        <v>155.5</v>
      </c>
      <c r="D1041" s="58">
        <v>1415.3</v>
      </c>
    </row>
    <row r="1042" spans="1:4">
      <c r="A1042" s="57">
        <v>3478</v>
      </c>
      <c r="B1042" s="57">
        <v>80128</v>
      </c>
      <c r="C1042" s="58">
        <v>155.5</v>
      </c>
      <c r="D1042" s="58">
        <v>1415.3</v>
      </c>
    </row>
    <row r="1043" spans="1:4">
      <c r="A1043" s="57">
        <v>3480</v>
      </c>
      <c r="B1043" s="57">
        <v>79028</v>
      </c>
      <c r="C1043" s="58">
        <v>115.3</v>
      </c>
      <c r="D1043" s="58">
        <v>1633.5</v>
      </c>
    </row>
    <row r="1044" spans="1:4">
      <c r="A1044" s="57">
        <v>3482</v>
      </c>
      <c r="B1044" s="57">
        <v>80128</v>
      </c>
      <c r="C1044" s="58">
        <v>155.5</v>
      </c>
      <c r="D1044" s="58">
        <v>1415.3</v>
      </c>
    </row>
    <row r="1045" spans="1:4">
      <c r="A1045" s="57">
        <v>3483</v>
      </c>
      <c r="B1045" s="57">
        <v>77010</v>
      </c>
      <c r="C1045" s="58">
        <v>170.2</v>
      </c>
      <c r="D1045" s="58">
        <v>1361.5</v>
      </c>
    </row>
    <row r="1046" spans="1:4">
      <c r="A1046" s="57">
        <v>3485</v>
      </c>
      <c r="B1046" s="57">
        <v>77010</v>
      </c>
      <c r="C1046" s="58">
        <v>170.2</v>
      </c>
      <c r="D1046" s="58">
        <v>1361.5</v>
      </c>
    </row>
    <row r="1047" spans="1:4">
      <c r="A1047" s="57">
        <v>3487</v>
      </c>
      <c r="B1047" s="57">
        <v>77010</v>
      </c>
      <c r="C1047" s="58">
        <v>170.2</v>
      </c>
      <c r="D1047" s="58">
        <v>1361.5</v>
      </c>
    </row>
    <row r="1048" spans="1:4">
      <c r="A1048" s="57">
        <v>3488</v>
      </c>
      <c r="B1048" s="57">
        <v>77010</v>
      </c>
      <c r="C1048" s="58">
        <v>170.2</v>
      </c>
      <c r="D1048" s="58">
        <v>1361.5</v>
      </c>
    </row>
    <row r="1049" spans="1:4">
      <c r="A1049" s="57">
        <v>3489</v>
      </c>
      <c r="B1049" s="57">
        <v>77010</v>
      </c>
      <c r="C1049" s="58">
        <v>170.2</v>
      </c>
      <c r="D1049" s="58">
        <v>1361.5</v>
      </c>
    </row>
    <row r="1050" spans="1:4">
      <c r="A1050" s="57">
        <v>3490</v>
      </c>
      <c r="B1050" s="57">
        <v>76064</v>
      </c>
      <c r="C1050" s="58">
        <v>170.3</v>
      </c>
      <c r="D1050" s="58">
        <v>1174.5</v>
      </c>
    </row>
    <row r="1051" spans="1:4">
      <c r="A1051" s="57">
        <v>3491</v>
      </c>
      <c r="B1051" s="57">
        <v>77010</v>
      </c>
      <c r="C1051" s="58">
        <v>170.2</v>
      </c>
      <c r="D1051" s="58">
        <v>1361.5</v>
      </c>
    </row>
    <row r="1052" spans="1:4">
      <c r="A1052" s="57">
        <v>3494</v>
      </c>
      <c r="B1052" s="57">
        <v>76031</v>
      </c>
      <c r="C1052" s="58">
        <v>195.9</v>
      </c>
      <c r="D1052" s="58">
        <v>1083.7</v>
      </c>
    </row>
    <row r="1053" spans="1:4">
      <c r="A1053" s="57">
        <v>3496</v>
      </c>
      <c r="B1053" s="57">
        <v>76031</v>
      </c>
      <c r="C1053" s="58">
        <v>195.9</v>
      </c>
      <c r="D1053" s="58">
        <v>1083.7</v>
      </c>
    </row>
    <row r="1054" spans="1:4">
      <c r="A1054" s="57">
        <v>3498</v>
      </c>
      <c r="B1054" s="57">
        <v>76031</v>
      </c>
      <c r="C1054" s="58">
        <v>195.9</v>
      </c>
      <c r="D1054" s="58">
        <v>1083.7</v>
      </c>
    </row>
    <row r="1055" spans="1:4">
      <c r="A1055" s="57">
        <v>3500</v>
      </c>
      <c r="B1055" s="57">
        <v>76031</v>
      </c>
      <c r="C1055" s="58">
        <v>195.9</v>
      </c>
      <c r="D1055" s="58">
        <v>1083.7</v>
      </c>
    </row>
    <row r="1056" spans="1:4">
      <c r="A1056" s="57">
        <v>3501</v>
      </c>
      <c r="B1056" s="57">
        <v>76064</v>
      </c>
      <c r="C1056" s="58">
        <v>170.3</v>
      </c>
      <c r="D1056" s="58">
        <v>1174.5</v>
      </c>
    </row>
    <row r="1057" spans="1:4">
      <c r="A1057" s="57">
        <v>3505</v>
      </c>
      <c r="B1057" s="57">
        <v>76031</v>
      </c>
      <c r="C1057" s="58">
        <v>195.9</v>
      </c>
      <c r="D1057" s="58">
        <v>1083.7</v>
      </c>
    </row>
    <row r="1058" spans="1:4">
      <c r="A1058" s="57">
        <v>3506</v>
      </c>
      <c r="B1058" s="57">
        <v>76064</v>
      </c>
      <c r="C1058" s="58">
        <v>170.3</v>
      </c>
      <c r="D1058" s="58">
        <v>1174.5</v>
      </c>
    </row>
    <row r="1059" spans="1:4">
      <c r="A1059" s="57">
        <v>3507</v>
      </c>
      <c r="B1059" s="57">
        <v>76064</v>
      </c>
      <c r="C1059" s="58">
        <v>170.3</v>
      </c>
      <c r="D1059" s="58">
        <v>1174.5</v>
      </c>
    </row>
    <row r="1060" spans="1:4">
      <c r="A1060" s="57">
        <v>3509</v>
      </c>
      <c r="B1060" s="57">
        <v>76064</v>
      </c>
      <c r="C1060" s="58">
        <v>170.3</v>
      </c>
      <c r="D1060" s="58">
        <v>1174.5</v>
      </c>
    </row>
    <row r="1061" spans="1:4">
      <c r="A1061" s="57">
        <v>3512</v>
      </c>
      <c r="B1061" s="57">
        <v>25562</v>
      </c>
      <c r="C1061" s="58">
        <v>123.6</v>
      </c>
      <c r="D1061" s="58">
        <v>1339.7</v>
      </c>
    </row>
    <row r="1062" spans="1:4">
      <c r="A1062" s="57">
        <v>3515</v>
      </c>
      <c r="B1062" s="57">
        <v>81123</v>
      </c>
      <c r="C1062" s="58">
        <v>110.9</v>
      </c>
      <c r="D1062" s="58">
        <v>1699.8</v>
      </c>
    </row>
    <row r="1063" spans="1:4">
      <c r="A1063" s="57">
        <v>3516</v>
      </c>
      <c r="B1063" s="57">
        <v>81123</v>
      </c>
      <c r="C1063" s="58">
        <v>110.9</v>
      </c>
      <c r="D1063" s="58">
        <v>1699.8</v>
      </c>
    </row>
    <row r="1064" spans="1:4">
      <c r="A1064" s="57">
        <v>3517</v>
      </c>
      <c r="B1064" s="57">
        <v>81123</v>
      </c>
      <c r="C1064" s="58">
        <v>110.9</v>
      </c>
      <c r="D1064" s="58">
        <v>1699.8</v>
      </c>
    </row>
    <row r="1065" spans="1:4">
      <c r="A1065" s="57">
        <v>3518</v>
      </c>
      <c r="B1065" s="57">
        <v>80128</v>
      </c>
      <c r="C1065" s="58">
        <v>155.5</v>
      </c>
      <c r="D1065" s="58">
        <v>1415.3</v>
      </c>
    </row>
    <row r="1066" spans="1:4">
      <c r="A1066" s="57">
        <v>3520</v>
      </c>
      <c r="B1066" s="57">
        <v>80128</v>
      </c>
      <c r="C1066" s="58">
        <v>155.5</v>
      </c>
      <c r="D1066" s="58">
        <v>1415.3</v>
      </c>
    </row>
    <row r="1067" spans="1:4">
      <c r="A1067" s="57">
        <v>3521</v>
      </c>
      <c r="B1067" s="57">
        <v>88162</v>
      </c>
      <c r="C1067" s="58">
        <v>62.1</v>
      </c>
      <c r="D1067" s="58">
        <v>2242.8000000000002</v>
      </c>
    </row>
    <row r="1068" spans="1:4">
      <c r="A1068" s="57">
        <v>3522</v>
      </c>
      <c r="B1068" s="57">
        <v>88051</v>
      </c>
      <c r="C1068" s="58">
        <v>109</v>
      </c>
      <c r="D1068" s="58">
        <v>1852</v>
      </c>
    </row>
    <row r="1069" spans="1:4">
      <c r="A1069" s="57">
        <v>3523</v>
      </c>
      <c r="B1069" s="57">
        <v>88051</v>
      </c>
      <c r="C1069" s="58">
        <v>109</v>
      </c>
      <c r="D1069" s="58">
        <v>1852</v>
      </c>
    </row>
    <row r="1070" spans="1:4">
      <c r="A1070" s="57">
        <v>3525</v>
      </c>
      <c r="B1070" s="57">
        <v>80128</v>
      </c>
      <c r="C1070" s="58">
        <v>155.5</v>
      </c>
      <c r="D1070" s="58">
        <v>1415.3</v>
      </c>
    </row>
    <row r="1071" spans="1:4">
      <c r="A1071" s="57">
        <v>3527</v>
      </c>
      <c r="B1071" s="57">
        <v>80128</v>
      </c>
      <c r="C1071" s="58">
        <v>155.5</v>
      </c>
      <c r="D1071" s="58">
        <v>1415.3</v>
      </c>
    </row>
    <row r="1072" spans="1:4">
      <c r="A1072" s="57">
        <v>3529</v>
      </c>
      <c r="B1072" s="57">
        <v>77094</v>
      </c>
      <c r="C1072" s="58">
        <v>151.4</v>
      </c>
      <c r="D1072" s="58">
        <v>1292.2</v>
      </c>
    </row>
    <row r="1073" spans="1:4">
      <c r="A1073" s="57">
        <v>3530</v>
      </c>
      <c r="B1073" s="57">
        <v>77094</v>
      </c>
      <c r="C1073" s="58">
        <v>151.4</v>
      </c>
      <c r="D1073" s="58">
        <v>1292.2</v>
      </c>
    </row>
    <row r="1074" spans="1:4">
      <c r="A1074" s="57">
        <v>3531</v>
      </c>
      <c r="B1074" s="57">
        <v>77094</v>
      </c>
      <c r="C1074" s="58">
        <v>151.4</v>
      </c>
      <c r="D1074" s="58">
        <v>1292.2</v>
      </c>
    </row>
    <row r="1075" spans="1:4">
      <c r="A1075" s="57">
        <v>3533</v>
      </c>
      <c r="B1075" s="57">
        <v>77010</v>
      </c>
      <c r="C1075" s="58">
        <v>170.2</v>
      </c>
      <c r="D1075" s="58">
        <v>1361.5</v>
      </c>
    </row>
    <row r="1076" spans="1:4">
      <c r="A1076" s="57">
        <v>3537</v>
      </c>
      <c r="B1076" s="57">
        <v>80128</v>
      </c>
      <c r="C1076" s="58">
        <v>155.5</v>
      </c>
      <c r="D1076" s="58">
        <v>1415.3</v>
      </c>
    </row>
    <row r="1077" spans="1:4">
      <c r="A1077" s="57">
        <v>3540</v>
      </c>
      <c r="B1077" s="57">
        <v>77094</v>
      </c>
      <c r="C1077" s="58">
        <v>151.4</v>
      </c>
      <c r="D1077" s="58">
        <v>1292.2</v>
      </c>
    </row>
    <row r="1078" spans="1:4">
      <c r="A1078" s="57">
        <v>3542</v>
      </c>
      <c r="B1078" s="57">
        <v>77094</v>
      </c>
      <c r="C1078" s="58">
        <v>151.4</v>
      </c>
      <c r="D1078" s="58">
        <v>1292.2</v>
      </c>
    </row>
    <row r="1079" spans="1:4">
      <c r="A1079" s="57">
        <v>3544</v>
      </c>
      <c r="B1079" s="57">
        <v>77094</v>
      </c>
      <c r="C1079" s="58">
        <v>151.4</v>
      </c>
      <c r="D1079" s="58">
        <v>1292.2</v>
      </c>
    </row>
    <row r="1080" spans="1:4">
      <c r="A1080" s="57">
        <v>3546</v>
      </c>
      <c r="B1080" s="57">
        <v>77094</v>
      </c>
      <c r="C1080" s="58">
        <v>151.4</v>
      </c>
      <c r="D1080" s="58">
        <v>1292.2</v>
      </c>
    </row>
    <row r="1081" spans="1:4">
      <c r="A1081" s="57">
        <v>3549</v>
      </c>
      <c r="B1081" s="57">
        <v>76064</v>
      </c>
      <c r="C1081" s="58">
        <v>170.3</v>
      </c>
      <c r="D1081" s="58">
        <v>1174.5</v>
      </c>
    </row>
    <row r="1082" spans="1:4">
      <c r="A1082" s="57">
        <v>3550</v>
      </c>
      <c r="B1082" s="57">
        <v>81123</v>
      </c>
      <c r="C1082" s="58">
        <v>110.9</v>
      </c>
      <c r="D1082" s="58">
        <v>1699.8</v>
      </c>
    </row>
    <row r="1083" spans="1:4">
      <c r="A1083" s="57">
        <v>3551</v>
      </c>
      <c r="B1083" s="57">
        <v>81123</v>
      </c>
      <c r="C1083" s="58">
        <v>110.9</v>
      </c>
      <c r="D1083" s="58">
        <v>1699.8</v>
      </c>
    </row>
    <row r="1084" spans="1:4">
      <c r="A1084" s="57">
        <v>3555</v>
      </c>
      <c r="B1084" s="57">
        <v>81123</v>
      </c>
      <c r="C1084" s="58">
        <v>110.9</v>
      </c>
      <c r="D1084" s="58">
        <v>1699.8</v>
      </c>
    </row>
    <row r="1085" spans="1:4">
      <c r="A1085" s="57">
        <v>3556</v>
      </c>
      <c r="B1085" s="57">
        <v>81123</v>
      </c>
      <c r="C1085" s="58">
        <v>110.9</v>
      </c>
      <c r="D1085" s="58">
        <v>1699.8</v>
      </c>
    </row>
    <row r="1086" spans="1:4">
      <c r="A1086" s="57">
        <v>3557</v>
      </c>
      <c r="B1086" s="57">
        <v>81123</v>
      </c>
      <c r="C1086" s="58">
        <v>110.9</v>
      </c>
      <c r="D1086" s="58">
        <v>1699.8</v>
      </c>
    </row>
    <row r="1087" spans="1:4">
      <c r="A1087" s="57">
        <v>3558</v>
      </c>
      <c r="B1087" s="57">
        <v>81123</v>
      </c>
      <c r="C1087" s="58">
        <v>110.9</v>
      </c>
      <c r="D1087" s="58">
        <v>1699.8</v>
      </c>
    </row>
    <row r="1088" spans="1:4">
      <c r="A1088" s="57">
        <v>3559</v>
      </c>
      <c r="B1088" s="57">
        <v>81123</v>
      </c>
      <c r="C1088" s="58">
        <v>110.9</v>
      </c>
      <c r="D1088" s="58">
        <v>1699.8</v>
      </c>
    </row>
    <row r="1089" spans="1:4">
      <c r="A1089" s="57">
        <v>3561</v>
      </c>
      <c r="B1089" s="57">
        <v>80091</v>
      </c>
      <c r="C1089" s="58">
        <v>184.7</v>
      </c>
      <c r="D1089" s="58">
        <v>1469.2</v>
      </c>
    </row>
    <row r="1090" spans="1:4">
      <c r="A1090" s="57">
        <v>3562</v>
      </c>
      <c r="B1090" s="57">
        <v>80091</v>
      </c>
      <c r="C1090" s="58">
        <v>184.7</v>
      </c>
      <c r="D1090" s="58">
        <v>1469.2</v>
      </c>
    </row>
    <row r="1091" spans="1:4">
      <c r="A1091" s="57">
        <v>3563</v>
      </c>
      <c r="B1091" s="57">
        <v>80091</v>
      </c>
      <c r="C1091" s="58">
        <v>184.7</v>
      </c>
      <c r="D1091" s="58">
        <v>1469.2</v>
      </c>
    </row>
    <row r="1092" spans="1:4">
      <c r="A1092" s="57">
        <v>3564</v>
      </c>
      <c r="B1092" s="57">
        <v>80091</v>
      </c>
      <c r="C1092" s="58">
        <v>184.7</v>
      </c>
      <c r="D1092" s="58">
        <v>1469.2</v>
      </c>
    </row>
    <row r="1093" spans="1:4">
      <c r="A1093" s="57">
        <v>3565</v>
      </c>
      <c r="B1093" s="57">
        <v>80091</v>
      </c>
      <c r="C1093" s="58">
        <v>184.7</v>
      </c>
      <c r="D1093" s="58">
        <v>1469.2</v>
      </c>
    </row>
    <row r="1094" spans="1:4">
      <c r="A1094" s="57">
        <v>3566</v>
      </c>
      <c r="B1094" s="57">
        <v>74258</v>
      </c>
      <c r="C1094" s="58">
        <v>219.8</v>
      </c>
      <c r="D1094" s="58">
        <v>1322</v>
      </c>
    </row>
    <row r="1095" spans="1:4">
      <c r="A1095" s="57">
        <v>3567</v>
      </c>
      <c r="B1095" s="57">
        <v>74258</v>
      </c>
      <c r="C1095" s="58">
        <v>219.8</v>
      </c>
      <c r="D1095" s="58">
        <v>1322</v>
      </c>
    </row>
    <row r="1096" spans="1:4">
      <c r="A1096" s="57">
        <v>3568</v>
      </c>
      <c r="B1096" s="57">
        <v>74258</v>
      </c>
      <c r="C1096" s="58">
        <v>219.8</v>
      </c>
      <c r="D1096" s="58">
        <v>1322</v>
      </c>
    </row>
    <row r="1097" spans="1:4">
      <c r="A1097" s="57">
        <v>3570</v>
      </c>
      <c r="B1097" s="57">
        <v>81123</v>
      </c>
      <c r="C1097" s="58">
        <v>110.9</v>
      </c>
      <c r="D1097" s="58">
        <v>1699.8</v>
      </c>
    </row>
    <row r="1098" spans="1:4">
      <c r="A1098" s="57">
        <v>3571</v>
      </c>
      <c r="B1098" s="57">
        <v>81123</v>
      </c>
      <c r="C1098" s="58">
        <v>110.9</v>
      </c>
      <c r="D1098" s="58">
        <v>1699.8</v>
      </c>
    </row>
    <row r="1099" spans="1:4">
      <c r="A1099" s="57">
        <v>3572</v>
      </c>
      <c r="B1099" s="57">
        <v>81123</v>
      </c>
      <c r="C1099" s="58">
        <v>110.9</v>
      </c>
      <c r="D1099" s="58">
        <v>1699.8</v>
      </c>
    </row>
    <row r="1100" spans="1:4">
      <c r="A1100" s="57">
        <v>3573</v>
      </c>
      <c r="B1100" s="57">
        <v>81123</v>
      </c>
      <c r="C1100" s="58">
        <v>110.9</v>
      </c>
      <c r="D1100" s="58">
        <v>1699.8</v>
      </c>
    </row>
    <row r="1101" spans="1:4">
      <c r="A1101" s="57">
        <v>3575</v>
      </c>
      <c r="B1101" s="57">
        <v>80128</v>
      </c>
      <c r="C1101" s="58">
        <v>155.5</v>
      </c>
      <c r="D1101" s="58">
        <v>1415.3</v>
      </c>
    </row>
    <row r="1102" spans="1:4">
      <c r="A1102" s="57">
        <v>3576</v>
      </c>
      <c r="B1102" s="57">
        <v>80128</v>
      </c>
      <c r="C1102" s="58">
        <v>155.5</v>
      </c>
      <c r="D1102" s="58">
        <v>1415.3</v>
      </c>
    </row>
    <row r="1103" spans="1:4">
      <c r="A1103" s="57">
        <v>3579</v>
      </c>
      <c r="B1103" s="57">
        <v>77094</v>
      </c>
      <c r="C1103" s="58">
        <v>151.4</v>
      </c>
      <c r="D1103" s="58">
        <v>1292.2</v>
      </c>
    </row>
    <row r="1104" spans="1:4">
      <c r="A1104" s="57">
        <v>3580</v>
      </c>
      <c r="B1104" s="57">
        <v>77094</v>
      </c>
      <c r="C1104" s="58">
        <v>151.4</v>
      </c>
      <c r="D1104" s="58">
        <v>1292.2</v>
      </c>
    </row>
    <row r="1105" spans="1:4">
      <c r="A1105" s="57">
        <v>3581</v>
      </c>
      <c r="B1105" s="57">
        <v>77094</v>
      </c>
      <c r="C1105" s="58">
        <v>151.4</v>
      </c>
      <c r="D1105" s="58">
        <v>1292.2</v>
      </c>
    </row>
    <row r="1106" spans="1:4">
      <c r="A1106" s="57">
        <v>3583</v>
      </c>
      <c r="B1106" s="57">
        <v>77094</v>
      </c>
      <c r="C1106" s="58">
        <v>151.4</v>
      </c>
      <c r="D1106" s="58">
        <v>1292.2</v>
      </c>
    </row>
    <row r="1107" spans="1:4">
      <c r="A1107" s="57">
        <v>3584</v>
      </c>
      <c r="B1107" s="57">
        <v>77094</v>
      </c>
      <c r="C1107" s="58">
        <v>151.4</v>
      </c>
      <c r="D1107" s="58">
        <v>1292.2</v>
      </c>
    </row>
    <row r="1108" spans="1:4">
      <c r="A1108" s="57">
        <v>3585</v>
      </c>
      <c r="B1108" s="57">
        <v>77094</v>
      </c>
      <c r="C1108" s="58">
        <v>151.4</v>
      </c>
      <c r="D1108" s="58">
        <v>1292.2</v>
      </c>
    </row>
    <row r="1109" spans="1:4">
      <c r="A1109" s="57">
        <v>3586</v>
      </c>
      <c r="B1109" s="57">
        <v>77094</v>
      </c>
      <c r="C1109" s="58">
        <v>151.4</v>
      </c>
      <c r="D1109" s="58">
        <v>1292.2</v>
      </c>
    </row>
    <row r="1110" spans="1:4">
      <c r="A1110" s="57">
        <v>3588</v>
      </c>
      <c r="B1110" s="57">
        <v>77094</v>
      </c>
      <c r="C1110" s="58">
        <v>151.4</v>
      </c>
      <c r="D1110" s="58">
        <v>1292.2</v>
      </c>
    </row>
    <row r="1111" spans="1:4">
      <c r="A1111" s="57">
        <v>3589</v>
      </c>
      <c r="B1111" s="57">
        <v>77094</v>
      </c>
      <c r="C1111" s="58">
        <v>151.4</v>
      </c>
      <c r="D1111" s="58">
        <v>1292.2</v>
      </c>
    </row>
    <row r="1112" spans="1:4">
      <c r="A1112" s="57">
        <v>3590</v>
      </c>
      <c r="B1112" s="57">
        <v>77094</v>
      </c>
      <c r="C1112" s="58">
        <v>151.4</v>
      </c>
      <c r="D1112" s="58">
        <v>1292.2</v>
      </c>
    </row>
    <row r="1113" spans="1:4">
      <c r="A1113" s="57">
        <v>3591</v>
      </c>
      <c r="B1113" s="57">
        <v>77094</v>
      </c>
      <c r="C1113" s="58">
        <v>151.4</v>
      </c>
      <c r="D1113" s="58">
        <v>1292.2</v>
      </c>
    </row>
    <row r="1114" spans="1:4">
      <c r="A1114" s="57">
        <v>3594</v>
      </c>
      <c r="B1114" s="57">
        <v>77094</v>
      </c>
      <c r="C1114" s="58">
        <v>151.4</v>
      </c>
      <c r="D1114" s="58">
        <v>1292.2</v>
      </c>
    </row>
    <row r="1115" spans="1:4">
      <c r="A1115" s="57">
        <v>3595</v>
      </c>
      <c r="B1115" s="57">
        <v>77094</v>
      </c>
      <c r="C1115" s="58">
        <v>151.4</v>
      </c>
      <c r="D1115" s="58">
        <v>1292.2</v>
      </c>
    </row>
    <row r="1116" spans="1:4">
      <c r="A1116" s="57">
        <v>3596</v>
      </c>
      <c r="B1116" s="57">
        <v>77094</v>
      </c>
      <c r="C1116" s="58">
        <v>151.4</v>
      </c>
      <c r="D1116" s="58">
        <v>1292.2</v>
      </c>
    </row>
    <row r="1117" spans="1:4">
      <c r="A1117" s="57">
        <v>3597</v>
      </c>
      <c r="B1117" s="57">
        <v>77094</v>
      </c>
      <c r="C1117" s="58">
        <v>151.4</v>
      </c>
      <c r="D1117" s="58">
        <v>1292.2</v>
      </c>
    </row>
    <row r="1118" spans="1:4">
      <c r="A1118" s="57">
        <v>3599</v>
      </c>
      <c r="B1118" s="57">
        <v>77094</v>
      </c>
      <c r="C1118" s="58">
        <v>151.4</v>
      </c>
      <c r="D1118" s="58">
        <v>1292.2</v>
      </c>
    </row>
    <row r="1119" spans="1:4">
      <c r="A1119" s="57">
        <v>3607</v>
      </c>
      <c r="B1119" s="57">
        <v>88109</v>
      </c>
      <c r="C1119" s="58">
        <v>136.5</v>
      </c>
      <c r="D1119" s="58">
        <v>1609.4</v>
      </c>
    </row>
    <row r="1120" spans="1:4">
      <c r="A1120" s="57">
        <v>3608</v>
      </c>
      <c r="B1120" s="57">
        <v>88109</v>
      </c>
      <c r="C1120" s="58">
        <v>136.5</v>
      </c>
      <c r="D1120" s="58">
        <v>1609.4</v>
      </c>
    </row>
    <row r="1121" spans="1:4">
      <c r="A1121" s="57">
        <v>3610</v>
      </c>
      <c r="B1121" s="57">
        <v>81049</v>
      </c>
      <c r="C1121" s="58">
        <v>161.30000000000001</v>
      </c>
      <c r="D1121" s="58">
        <v>1561.4</v>
      </c>
    </row>
    <row r="1122" spans="1:4">
      <c r="A1122" s="57">
        <v>3612</v>
      </c>
      <c r="B1122" s="57">
        <v>80091</v>
      </c>
      <c r="C1122" s="58">
        <v>184.7</v>
      </c>
      <c r="D1122" s="58">
        <v>1469.2</v>
      </c>
    </row>
    <row r="1123" spans="1:4">
      <c r="A1123" s="57">
        <v>3614</v>
      </c>
      <c r="B1123" s="57">
        <v>81125</v>
      </c>
      <c r="C1123" s="58">
        <v>165</v>
      </c>
      <c r="D1123" s="58">
        <v>1517.2</v>
      </c>
    </row>
    <row r="1124" spans="1:4">
      <c r="A1124" s="57">
        <v>3616</v>
      </c>
      <c r="B1124" s="57">
        <v>80091</v>
      </c>
      <c r="C1124" s="58">
        <v>184.7</v>
      </c>
      <c r="D1124" s="58">
        <v>1469.2</v>
      </c>
    </row>
    <row r="1125" spans="1:4">
      <c r="A1125" s="57">
        <v>3617</v>
      </c>
      <c r="B1125" s="57">
        <v>81049</v>
      </c>
      <c r="C1125" s="58">
        <v>161.30000000000001</v>
      </c>
      <c r="D1125" s="58">
        <v>1561.4</v>
      </c>
    </row>
    <row r="1126" spans="1:4">
      <c r="A1126" s="57">
        <v>3618</v>
      </c>
      <c r="B1126" s="57">
        <v>80091</v>
      </c>
      <c r="C1126" s="58">
        <v>184.7</v>
      </c>
      <c r="D1126" s="58">
        <v>1469.2</v>
      </c>
    </row>
    <row r="1127" spans="1:4">
      <c r="A1127" s="57">
        <v>3620</v>
      </c>
      <c r="B1127" s="57">
        <v>80091</v>
      </c>
      <c r="C1127" s="58">
        <v>184.7</v>
      </c>
      <c r="D1127" s="58">
        <v>1469.2</v>
      </c>
    </row>
    <row r="1128" spans="1:4">
      <c r="A1128" s="57">
        <v>3621</v>
      </c>
      <c r="B1128" s="57">
        <v>80091</v>
      </c>
      <c r="C1128" s="58">
        <v>184.7</v>
      </c>
      <c r="D1128" s="58">
        <v>1469.2</v>
      </c>
    </row>
    <row r="1129" spans="1:4">
      <c r="A1129" s="57">
        <v>3622</v>
      </c>
      <c r="B1129" s="57">
        <v>80091</v>
      </c>
      <c r="C1129" s="58">
        <v>184.7</v>
      </c>
      <c r="D1129" s="58">
        <v>1469.2</v>
      </c>
    </row>
    <row r="1130" spans="1:4">
      <c r="A1130" s="57">
        <v>3623</v>
      </c>
      <c r="B1130" s="57">
        <v>80091</v>
      </c>
      <c r="C1130" s="58">
        <v>184.7</v>
      </c>
      <c r="D1130" s="58">
        <v>1469.2</v>
      </c>
    </row>
    <row r="1131" spans="1:4">
      <c r="A1131" s="57">
        <v>3624</v>
      </c>
      <c r="B1131" s="57">
        <v>80091</v>
      </c>
      <c r="C1131" s="58">
        <v>184.7</v>
      </c>
      <c r="D1131" s="58">
        <v>1469.2</v>
      </c>
    </row>
    <row r="1132" spans="1:4">
      <c r="A1132" s="57">
        <v>3629</v>
      </c>
      <c r="B1132" s="57">
        <v>81049</v>
      </c>
      <c r="C1132" s="58">
        <v>161.30000000000001</v>
      </c>
      <c r="D1132" s="58">
        <v>1561.4</v>
      </c>
    </row>
    <row r="1133" spans="1:4">
      <c r="A1133" s="57">
        <v>3630</v>
      </c>
      <c r="B1133" s="57">
        <v>81125</v>
      </c>
      <c r="C1133" s="58">
        <v>165</v>
      </c>
      <c r="D1133" s="58">
        <v>1517.2</v>
      </c>
    </row>
    <row r="1134" spans="1:4">
      <c r="A1134" s="57">
        <v>3631</v>
      </c>
      <c r="B1134" s="57">
        <v>81049</v>
      </c>
      <c r="C1134" s="58">
        <v>161.30000000000001</v>
      </c>
      <c r="D1134" s="58">
        <v>1561.4</v>
      </c>
    </row>
    <row r="1135" spans="1:4">
      <c r="A1135" s="57">
        <v>3633</v>
      </c>
      <c r="B1135" s="57">
        <v>81125</v>
      </c>
      <c r="C1135" s="58">
        <v>165</v>
      </c>
      <c r="D1135" s="58">
        <v>1517.2</v>
      </c>
    </row>
    <row r="1136" spans="1:4">
      <c r="A1136" s="57">
        <v>3634</v>
      </c>
      <c r="B1136" s="57">
        <v>81125</v>
      </c>
      <c r="C1136" s="58">
        <v>165</v>
      </c>
      <c r="D1136" s="58">
        <v>1517.2</v>
      </c>
    </row>
    <row r="1137" spans="1:4">
      <c r="A1137" s="57">
        <v>3635</v>
      </c>
      <c r="B1137" s="57">
        <v>80091</v>
      </c>
      <c r="C1137" s="58">
        <v>184.7</v>
      </c>
      <c r="D1137" s="58">
        <v>1469.2</v>
      </c>
    </row>
    <row r="1138" spans="1:4">
      <c r="A1138" s="57">
        <v>3636</v>
      </c>
      <c r="B1138" s="57">
        <v>81125</v>
      </c>
      <c r="C1138" s="58">
        <v>165</v>
      </c>
      <c r="D1138" s="58">
        <v>1517.2</v>
      </c>
    </row>
    <row r="1139" spans="1:4">
      <c r="A1139" s="57">
        <v>3637</v>
      </c>
      <c r="B1139" s="57">
        <v>80091</v>
      </c>
      <c r="C1139" s="58">
        <v>184.7</v>
      </c>
      <c r="D1139" s="58">
        <v>1469.2</v>
      </c>
    </row>
    <row r="1140" spans="1:4">
      <c r="A1140" s="57">
        <v>3638</v>
      </c>
      <c r="B1140" s="57">
        <v>80091</v>
      </c>
      <c r="C1140" s="58">
        <v>184.7</v>
      </c>
      <c r="D1140" s="58">
        <v>1469.2</v>
      </c>
    </row>
    <row r="1141" spans="1:4">
      <c r="A1141" s="57">
        <v>3639</v>
      </c>
      <c r="B1141" s="57">
        <v>80091</v>
      </c>
      <c r="C1141" s="58">
        <v>184.7</v>
      </c>
      <c r="D1141" s="58">
        <v>1469.2</v>
      </c>
    </row>
    <row r="1142" spans="1:4">
      <c r="A1142" s="57">
        <v>3640</v>
      </c>
      <c r="B1142" s="57">
        <v>81125</v>
      </c>
      <c r="C1142" s="58">
        <v>165</v>
      </c>
      <c r="D1142" s="58">
        <v>1517.2</v>
      </c>
    </row>
    <row r="1143" spans="1:4">
      <c r="A1143" s="57">
        <v>3641</v>
      </c>
      <c r="B1143" s="57">
        <v>74258</v>
      </c>
      <c r="C1143" s="58">
        <v>219.8</v>
      </c>
      <c r="D1143" s="58">
        <v>1322</v>
      </c>
    </row>
    <row r="1144" spans="1:4">
      <c r="A1144" s="57">
        <v>3644</v>
      </c>
      <c r="B1144" s="57">
        <v>81124</v>
      </c>
      <c r="C1144" s="58">
        <v>204</v>
      </c>
      <c r="D1144" s="58">
        <v>1417.6</v>
      </c>
    </row>
    <row r="1145" spans="1:4">
      <c r="A1145" s="57">
        <v>3646</v>
      </c>
      <c r="B1145" s="57">
        <v>81125</v>
      </c>
      <c r="C1145" s="58">
        <v>165</v>
      </c>
      <c r="D1145" s="58">
        <v>1517.2</v>
      </c>
    </row>
    <row r="1146" spans="1:4">
      <c r="A1146" s="57">
        <v>3649</v>
      </c>
      <c r="B1146" s="57">
        <v>81124</v>
      </c>
      <c r="C1146" s="58">
        <v>204</v>
      </c>
      <c r="D1146" s="58">
        <v>1417.6</v>
      </c>
    </row>
    <row r="1147" spans="1:4">
      <c r="A1147" s="57">
        <v>3658</v>
      </c>
      <c r="B1147" s="57">
        <v>88162</v>
      </c>
      <c r="C1147" s="58">
        <v>62.1</v>
      </c>
      <c r="D1147" s="58">
        <v>2242.8000000000002</v>
      </c>
    </row>
    <row r="1148" spans="1:4">
      <c r="A1148" s="57">
        <v>3659</v>
      </c>
      <c r="B1148" s="57">
        <v>88109</v>
      </c>
      <c r="C1148" s="58">
        <v>136.5</v>
      </c>
      <c r="D1148" s="58">
        <v>1609.4</v>
      </c>
    </row>
    <row r="1149" spans="1:4">
      <c r="A1149" s="57">
        <v>3660</v>
      </c>
      <c r="B1149" s="57">
        <v>88164</v>
      </c>
      <c r="C1149" s="58">
        <v>66.900000000000006</v>
      </c>
      <c r="D1149" s="58">
        <v>2101.3000000000002</v>
      </c>
    </row>
    <row r="1150" spans="1:4">
      <c r="A1150" s="57">
        <v>3662</v>
      </c>
      <c r="B1150" s="57">
        <v>88109</v>
      </c>
      <c r="C1150" s="58">
        <v>136.5</v>
      </c>
      <c r="D1150" s="58">
        <v>1609.4</v>
      </c>
    </row>
    <row r="1151" spans="1:4">
      <c r="A1151" s="57">
        <v>3663</v>
      </c>
      <c r="B1151" s="57">
        <v>88109</v>
      </c>
      <c r="C1151" s="58">
        <v>136.5</v>
      </c>
      <c r="D1151" s="58">
        <v>1609.4</v>
      </c>
    </row>
    <row r="1152" spans="1:4">
      <c r="A1152" s="57">
        <v>3664</v>
      </c>
      <c r="B1152" s="57">
        <v>88109</v>
      </c>
      <c r="C1152" s="58">
        <v>136.5</v>
      </c>
      <c r="D1152" s="58">
        <v>1609.4</v>
      </c>
    </row>
    <row r="1153" spans="1:4">
      <c r="A1153" s="57">
        <v>3665</v>
      </c>
      <c r="B1153" s="57">
        <v>88109</v>
      </c>
      <c r="C1153" s="58">
        <v>136.5</v>
      </c>
      <c r="D1153" s="58">
        <v>1609.4</v>
      </c>
    </row>
    <row r="1154" spans="1:4">
      <c r="A1154" s="57">
        <v>3666</v>
      </c>
      <c r="B1154" s="57">
        <v>81125</v>
      </c>
      <c r="C1154" s="58">
        <v>165</v>
      </c>
      <c r="D1154" s="58">
        <v>1517.2</v>
      </c>
    </row>
    <row r="1155" spans="1:4">
      <c r="A1155" s="57">
        <v>3669</v>
      </c>
      <c r="B1155" s="57">
        <v>81125</v>
      </c>
      <c r="C1155" s="58">
        <v>165</v>
      </c>
      <c r="D1155" s="58">
        <v>1517.2</v>
      </c>
    </row>
    <row r="1156" spans="1:4">
      <c r="A1156" s="57">
        <v>3670</v>
      </c>
      <c r="B1156" s="57">
        <v>82138</v>
      </c>
      <c r="C1156" s="58">
        <v>153.80000000000001</v>
      </c>
      <c r="D1156" s="58">
        <v>1668.1</v>
      </c>
    </row>
    <row r="1157" spans="1:4">
      <c r="A1157" s="57">
        <v>3672</v>
      </c>
      <c r="B1157" s="57">
        <v>82138</v>
      </c>
      <c r="C1157" s="58">
        <v>153.80000000000001</v>
      </c>
      <c r="D1157" s="58">
        <v>1668.1</v>
      </c>
    </row>
    <row r="1158" spans="1:4">
      <c r="A1158" s="57">
        <v>3673</v>
      </c>
      <c r="B1158" s="57">
        <v>82138</v>
      </c>
      <c r="C1158" s="58">
        <v>153.80000000000001</v>
      </c>
      <c r="D1158" s="58">
        <v>1668.1</v>
      </c>
    </row>
    <row r="1159" spans="1:4">
      <c r="A1159" s="57">
        <v>3675</v>
      </c>
      <c r="B1159" s="57">
        <v>82138</v>
      </c>
      <c r="C1159" s="58">
        <v>153.80000000000001</v>
      </c>
      <c r="D1159" s="58">
        <v>1668.1</v>
      </c>
    </row>
    <row r="1160" spans="1:4">
      <c r="A1160" s="57">
        <v>3677</v>
      </c>
      <c r="B1160" s="57">
        <v>82138</v>
      </c>
      <c r="C1160" s="58">
        <v>153.80000000000001</v>
      </c>
      <c r="D1160" s="58">
        <v>1668.1</v>
      </c>
    </row>
    <row r="1161" spans="1:4">
      <c r="A1161" s="57">
        <v>3678</v>
      </c>
      <c r="B1161" s="57">
        <v>82138</v>
      </c>
      <c r="C1161" s="58">
        <v>153.80000000000001</v>
      </c>
      <c r="D1161" s="58">
        <v>1668.1</v>
      </c>
    </row>
    <row r="1162" spans="1:4">
      <c r="A1162" s="57">
        <v>3682</v>
      </c>
      <c r="B1162" s="57">
        <v>82039</v>
      </c>
      <c r="C1162" s="58">
        <v>188.6</v>
      </c>
      <c r="D1162" s="58">
        <v>1712</v>
      </c>
    </row>
    <row r="1163" spans="1:4">
      <c r="A1163" s="57">
        <v>3683</v>
      </c>
      <c r="B1163" s="57">
        <v>82039</v>
      </c>
      <c r="C1163" s="58">
        <v>188.6</v>
      </c>
      <c r="D1163" s="58">
        <v>1712</v>
      </c>
    </row>
    <row r="1164" spans="1:4">
      <c r="A1164" s="57">
        <v>3685</v>
      </c>
      <c r="B1164" s="57">
        <v>81124</v>
      </c>
      <c r="C1164" s="58">
        <v>204</v>
      </c>
      <c r="D1164" s="58">
        <v>1417.6</v>
      </c>
    </row>
    <row r="1165" spans="1:4">
      <c r="A1165" s="57">
        <v>3687</v>
      </c>
      <c r="B1165" s="57">
        <v>82039</v>
      </c>
      <c r="C1165" s="58">
        <v>188.6</v>
      </c>
      <c r="D1165" s="58">
        <v>1712</v>
      </c>
    </row>
    <row r="1166" spans="1:4">
      <c r="A1166" s="57">
        <v>3688</v>
      </c>
      <c r="B1166" s="57">
        <v>82039</v>
      </c>
      <c r="C1166" s="58">
        <v>188.6</v>
      </c>
      <c r="D1166" s="58">
        <v>1712</v>
      </c>
    </row>
    <row r="1167" spans="1:4">
      <c r="A1167" s="57">
        <v>3690</v>
      </c>
      <c r="B1167" s="57">
        <v>72160</v>
      </c>
      <c r="C1167" s="58">
        <v>206</v>
      </c>
      <c r="D1167" s="58">
        <v>1484.8</v>
      </c>
    </row>
    <row r="1168" spans="1:4">
      <c r="A1168" s="57">
        <v>3691</v>
      </c>
      <c r="B1168" s="57">
        <v>72160</v>
      </c>
      <c r="C1168" s="58">
        <v>206</v>
      </c>
      <c r="D1168" s="58">
        <v>1484.8</v>
      </c>
    </row>
    <row r="1169" spans="1:4">
      <c r="A1169" s="57">
        <v>3694</v>
      </c>
      <c r="B1169" s="57">
        <v>72160</v>
      </c>
      <c r="C1169" s="58">
        <v>206</v>
      </c>
      <c r="D1169" s="58">
        <v>1484.8</v>
      </c>
    </row>
    <row r="1170" spans="1:4">
      <c r="A1170" s="57">
        <v>3695</v>
      </c>
      <c r="B1170" s="57">
        <v>72160</v>
      </c>
      <c r="C1170" s="58">
        <v>206</v>
      </c>
      <c r="D1170" s="58">
        <v>1484.8</v>
      </c>
    </row>
    <row r="1171" spans="1:4">
      <c r="A1171" s="57">
        <v>3697</v>
      </c>
      <c r="B1171" s="57">
        <v>83084</v>
      </c>
      <c r="C1171" s="58">
        <v>0.8</v>
      </c>
      <c r="D1171" s="58">
        <v>4370.2</v>
      </c>
    </row>
    <row r="1172" spans="1:4">
      <c r="A1172" s="57">
        <v>3698</v>
      </c>
      <c r="B1172" s="57">
        <v>83084</v>
      </c>
      <c r="C1172" s="58">
        <v>0.8</v>
      </c>
      <c r="D1172" s="58">
        <v>4370.2</v>
      </c>
    </row>
    <row r="1173" spans="1:4">
      <c r="A1173" s="57">
        <v>3699</v>
      </c>
      <c r="B1173" s="57">
        <v>83084</v>
      </c>
      <c r="C1173" s="58">
        <v>0.8</v>
      </c>
      <c r="D1173" s="58">
        <v>4370.2</v>
      </c>
    </row>
    <row r="1174" spans="1:4">
      <c r="A1174" s="57">
        <v>3700</v>
      </c>
      <c r="B1174" s="57">
        <v>82139</v>
      </c>
      <c r="C1174" s="58">
        <v>55.1</v>
      </c>
      <c r="D1174" s="58">
        <v>2347.1999999999998</v>
      </c>
    </row>
    <row r="1175" spans="1:4">
      <c r="A1175" s="57">
        <v>3701</v>
      </c>
      <c r="B1175" s="57">
        <v>82139</v>
      </c>
      <c r="C1175" s="58">
        <v>55.1</v>
      </c>
      <c r="D1175" s="58">
        <v>2347.1999999999998</v>
      </c>
    </row>
    <row r="1176" spans="1:4">
      <c r="A1176" s="57">
        <v>3704</v>
      </c>
      <c r="B1176" s="57">
        <v>82139</v>
      </c>
      <c r="C1176" s="58">
        <v>55.1</v>
      </c>
      <c r="D1176" s="58">
        <v>2347.1999999999998</v>
      </c>
    </row>
    <row r="1177" spans="1:4">
      <c r="A1177" s="57">
        <v>3705</v>
      </c>
      <c r="B1177" s="57">
        <v>82139</v>
      </c>
      <c r="C1177" s="58">
        <v>55.1</v>
      </c>
      <c r="D1177" s="58">
        <v>2347.1999999999998</v>
      </c>
    </row>
    <row r="1178" spans="1:4">
      <c r="A1178" s="57">
        <v>3707</v>
      </c>
      <c r="B1178" s="57">
        <v>72162</v>
      </c>
      <c r="C1178" s="58">
        <v>186.7</v>
      </c>
      <c r="D1178" s="58">
        <v>1826.8</v>
      </c>
    </row>
    <row r="1179" spans="1:4">
      <c r="A1179" s="57">
        <v>3708</v>
      </c>
      <c r="B1179" s="57">
        <v>72162</v>
      </c>
      <c r="C1179" s="58">
        <v>186.7</v>
      </c>
      <c r="D1179" s="58">
        <v>1826.8</v>
      </c>
    </row>
    <row r="1180" spans="1:4">
      <c r="A1180" s="57">
        <v>3709</v>
      </c>
      <c r="B1180" s="57">
        <v>82139</v>
      </c>
      <c r="C1180" s="58">
        <v>55.1</v>
      </c>
      <c r="D1180" s="58">
        <v>2347.1999999999998</v>
      </c>
    </row>
    <row r="1181" spans="1:4">
      <c r="A1181" s="57">
        <v>3711</v>
      </c>
      <c r="B1181" s="57">
        <v>88164</v>
      </c>
      <c r="C1181" s="58">
        <v>66.900000000000006</v>
      </c>
      <c r="D1181" s="58">
        <v>2101.3000000000002</v>
      </c>
    </row>
    <row r="1182" spans="1:4">
      <c r="A1182" s="57">
        <v>3712</v>
      </c>
      <c r="B1182" s="57">
        <v>88164</v>
      </c>
      <c r="C1182" s="58">
        <v>66.900000000000006</v>
      </c>
      <c r="D1182" s="58">
        <v>2101.3000000000002</v>
      </c>
    </row>
    <row r="1183" spans="1:4">
      <c r="A1183" s="57">
        <v>3713</v>
      </c>
      <c r="B1183" s="57">
        <v>88164</v>
      </c>
      <c r="C1183" s="58">
        <v>66.900000000000006</v>
      </c>
      <c r="D1183" s="58">
        <v>2101.3000000000002</v>
      </c>
    </row>
    <row r="1184" spans="1:4">
      <c r="A1184" s="57">
        <v>3714</v>
      </c>
      <c r="B1184" s="57">
        <v>88164</v>
      </c>
      <c r="C1184" s="58">
        <v>66.900000000000006</v>
      </c>
      <c r="D1184" s="58">
        <v>2101.3000000000002</v>
      </c>
    </row>
    <row r="1185" spans="1:4">
      <c r="A1185" s="57">
        <v>3715</v>
      </c>
      <c r="B1185" s="57">
        <v>88164</v>
      </c>
      <c r="C1185" s="58">
        <v>66.900000000000006</v>
      </c>
      <c r="D1185" s="58">
        <v>2101.3000000000002</v>
      </c>
    </row>
    <row r="1186" spans="1:4">
      <c r="A1186" s="57">
        <v>3717</v>
      </c>
      <c r="B1186" s="57">
        <v>88162</v>
      </c>
      <c r="C1186" s="58">
        <v>62.1</v>
      </c>
      <c r="D1186" s="58">
        <v>2242.8000000000002</v>
      </c>
    </row>
    <row r="1187" spans="1:4">
      <c r="A1187" s="57">
        <v>3718</v>
      </c>
      <c r="B1187" s="57">
        <v>88164</v>
      </c>
      <c r="C1187" s="58">
        <v>66.900000000000006</v>
      </c>
      <c r="D1187" s="58">
        <v>2101.3000000000002</v>
      </c>
    </row>
    <row r="1188" spans="1:4">
      <c r="A1188" s="57">
        <v>3719</v>
      </c>
      <c r="B1188" s="57">
        <v>88164</v>
      </c>
      <c r="C1188" s="58">
        <v>66.900000000000006</v>
      </c>
      <c r="D1188" s="58">
        <v>2101.3000000000002</v>
      </c>
    </row>
    <row r="1189" spans="1:4">
      <c r="A1189" s="57">
        <v>3720</v>
      </c>
      <c r="B1189" s="57">
        <v>88164</v>
      </c>
      <c r="C1189" s="58">
        <v>66.900000000000006</v>
      </c>
      <c r="D1189" s="58">
        <v>2101.3000000000002</v>
      </c>
    </row>
    <row r="1190" spans="1:4">
      <c r="A1190" s="57">
        <v>3722</v>
      </c>
      <c r="B1190" s="57">
        <v>83024</v>
      </c>
      <c r="C1190" s="58">
        <v>0.5</v>
      </c>
      <c r="D1190" s="58">
        <v>4297</v>
      </c>
    </row>
    <row r="1191" spans="1:4">
      <c r="A1191" s="57">
        <v>3723</v>
      </c>
      <c r="B1191" s="57">
        <v>83024</v>
      </c>
      <c r="C1191" s="58">
        <v>0.5</v>
      </c>
      <c r="D1191" s="58">
        <v>4297</v>
      </c>
    </row>
    <row r="1192" spans="1:4">
      <c r="A1192" s="57">
        <v>3725</v>
      </c>
      <c r="B1192" s="57">
        <v>81125</v>
      </c>
      <c r="C1192" s="58">
        <v>165</v>
      </c>
      <c r="D1192" s="58">
        <v>1517.2</v>
      </c>
    </row>
    <row r="1193" spans="1:4">
      <c r="A1193" s="57">
        <v>3726</v>
      </c>
      <c r="B1193" s="57">
        <v>82138</v>
      </c>
      <c r="C1193" s="58">
        <v>153.80000000000001</v>
      </c>
      <c r="D1193" s="58">
        <v>1668.1</v>
      </c>
    </row>
    <row r="1194" spans="1:4">
      <c r="A1194" s="57">
        <v>3727</v>
      </c>
      <c r="B1194" s="57">
        <v>81124</v>
      </c>
      <c r="C1194" s="58">
        <v>204</v>
      </c>
      <c r="D1194" s="58">
        <v>1417.6</v>
      </c>
    </row>
    <row r="1195" spans="1:4">
      <c r="A1195" s="57">
        <v>3728</v>
      </c>
      <c r="B1195" s="57">
        <v>81124</v>
      </c>
      <c r="C1195" s="58">
        <v>204</v>
      </c>
      <c r="D1195" s="58">
        <v>1417.6</v>
      </c>
    </row>
    <row r="1196" spans="1:4">
      <c r="A1196" s="57">
        <v>3730</v>
      </c>
      <c r="B1196" s="57">
        <v>81124</v>
      </c>
      <c r="C1196" s="58">
        <v>204</v>
      </c>
      <c r="D1196" s="58">
        <v>1417.6</v>
      </c>
    </row>
    <row r="1197" spans="1:4">
      <c r="A1197" s="57">
        <v>3732</v>
      </c>
      <c r="B1197" s="57">
        <v>82138</v>
      </c>
      <c r="C1197" s="58">
        <v>153.80000000000001</v>
      </c>
      <c r="D1197" s="58">
        <v>1668.1</v>
      </c>
    </row>
    <row r="1198" spans="1:4">
      <c r="A1198" s="57">
        <v>3733</v>
      </c>
      <c r="B1198" s="57">
        <v>82138</v>
      </c>
      <c r="C1198" s="58">
        <v>153.80000000000001</v>
      </c>
      <c r="D1198" s="58">
        <v>1668.1</v>
      </c>
    </row>
    <row r="1199" spans="1:4">
      <c r="A1199" s="57">
        <v>3735</v>
      </c>
      <c r="B1199" s="57">
        <v>82138</v>
      </c>
      <c r="C1199" s="58">
        <v>153.80000000000001</v>
      </c>
      <c r="D1199" s="58">
        <v>1668.1</v>
      </c>
    </row>
    <row r="1200" spans="1:4">
      <c r="A1200" s="57">
        <v>3737</v>
      </c>
      <c r="B1200" s="57">
        <v>83024</v>
      </c>
      <c r="C1200" s="58">
        <v>0.5</v>
      </c>
      <c r="D1200" s="58">
        <v>4297</v>
      </c>
    </row>
    <row r="1201" spans="1:4">
      <c r="A1201" s="57">
        <v>3738</v>
      </c>
      <c r="B1201" s="57">
        <v>82138</v>
      </c>
      <c r="C1201" s="58">
        <v>153.80000000000001</v>
      </c>
      <c r="D1201" s="58">
        <v>1668.1</v>
      </c>
    </row>
    <row r="1202" spans="1:4">
      <c r="A1202" s="57">
        <v>3739</v>
      </c>
      <c r="B1202" s="57">
        <v>83085</v>
      </c>
      <c r="C1202" s="58">
        <v>0.1</v>
      </c>
      <c r="D1202" s="58">
        <v>4801.5</v>
      </c>
    </row>
    <row r="1203" spans="1:4">
      <c r="A1203" s="57">
        <v>3740</v>
      </c>
      <c r="B1203" s="57">
        <v>83085</v>
      </c>
      <c r="C1203" s="58">
        <v>0.1</v>
      </c>
      <c r="D1203" s="58">
        <v>4801.5</v>
      </c>
    </row>
    <row r="1204" spans="1:4">
      <c r="A1204" s="57">
        <v>3741</v>
      </c>
      <c r="B1204" s="57">
        <v>83085</v>
      </c>
      <c r="C1204" s="58">
        <v>0.1</v>
      </c>
      <c r="D1204" s="58">
        <v>4801.5</v>
      </c>
    </row>
    <row r="1205" spans="1:4">
      <c r="A1205" s="57">
        <v>3744</v>
      </c>
      <c r="B1205" s="57">
        <v>83085</v>
      </c>
      <c r="C1205" s="58">
        <v>0.1</v>
      </c>
      <c r="D1205" s="58">
        <v>4801.5</v>
      </c>
    </row>
    <row r="1206" spans="1:4">
      <c r="A1206" s="57">
        <v>3746</v>
      </c>
      <c r="B1206" s="57">
        <v>82039</v>
      </c>
      <c r="C1206" s="58">
        <v>188.6</v>
      </c>
      <c r="D1206" s="58">
        <v>1712</v>
      </c>
    </row>
    <row r="1207" spans="1:4">
      <c r="A1207" s="57">
        <v>3747</v>
      </c>
      <c r="B1207" s="57">
        <v>82039</v>
      </c>
      <c r="C1207" s="58">
        <v>188.6</v>
      </c>
      <c r="D1207" s="58">
        <v>1712</v>
      </c>
    </row>
    <row r="1208" spans="1:4">
      <c r="A1208" s="57">
        <v>3749</v>
      </c>
      <c r="B1208" s="57">
        <v>72160</v>
      </c>
      <c r="C1208" s="58">
        <v>206</v>
      </c>
      <c r="D1208" s="58">
        <v>1484.8</v>
      </c>
    </row>
    <row r="1209" spans="1:4">
      <c r="A1209" s="57">
        <v>3750</v>
      </c>
      <c r="B1209" s="57">
        <v>86068</v>
      </c>
      <c r="C1209" s="58">
        <v>172.5</v>
      </c>
      <c r="D1209" s="58">
        <v>1386.6</v>
      </c>
    </row>
    <row r="1210" spans="1:4">
      <c r="A1210" s="57">
        <v>3751</v>
      </c>
      <c r="B1210" s="57">
        <v>88162</v>
      </c>
      <c r="C1210" s="58">
        <v>62.1</v>
      </c>
      <c r="D1210" s="58">
        <v>2242.8000000000002</v>
      </c>
    </row>
    <row r="1211" spans="1:4">
      <c r="A1211" s="57">
        <v>3752</v>
      </c>
      <c r="B1211" s="57">
        <v>86068</v>
      </c>
      <c r="C1211" s="58">
        <v>172.5</v>
      </c>
      <c r="D1211" s="58">
        <v>1386.6</v>
      </c>
    </row>
    <row r="1212" spans="1:4">
      <c r="A1212" s="16">
        <v>3753</v>
      </c>
      <c r="B1212" s="16">
        <v>88162</v>
      </c>
      <c r="C1212" s="16">
        <v>62.1</v>
      </c>
      <c r="D1212" s="16">
        <v>2242.8000000000002</v>
      </c>
    </row>
    <row r="1213" spans="1:4">
      <c r="A1213" s="57">
        <v>3754</v>
      </c>
      <c r="B1213" s="57">
        <v>86068</v>
      </c>
      <c r="C1213" s="58">
        <v>172.5</v>
      </c>
      <c r="D1213" s="58">
        <v>1386.6</v>
      </c>
    </row>
    <row r="1214" spans="1:4">
      <c r="A1214" s="57">
        <v>3755</v>
      </c>
      <c r="B1214" s="57">
        <v>86068</v>
      </c>
      <c r="C1214" s="58">
        <v>172.5</v>
      </c>
      <c r="D1214" s="58">
        <v>1386.6</v>
      </c>
    </row>
    <row r="1215" spans="1:4">
      <c r="A1215" s="57">
        <v>3756</v>
      </c>
      <c r="B1215" s="57">
        <v>88162</v>
      </c>
      <c r="C1215" s="58">
        <v>62.1</v>
      </c>
      <c r="D1215" s="58">
        <v>2242.8000000000002</v>
      </c>
    </row>
    <row r="1216" spans="1:4">
      <c r="A1216" s="57">
        <v>3757</v>
      </c>
      <c r="B1216" s="57">
        <v>88162</v>
      </c>
      <c r="C1216" s="58">
        <v>62.1</v>
      </c>
      <c r="D1216" s="58">
        <v>2242.8000000000002</v>
      </c>
    </row>
    <row r="1217" spans="1:4">
      <c r="A1217" s="57">
        <v>3758</v>
      </c>
      <c r="B1217" s="57">
        <v>88162</v>
      </c>
      <c r="C1217" s="58">
        <v>62.1</v>
      </c>
      <c r="D1217" s="58">
        <v>2242.8000000000002</v>
      </c>
    </row>
    <row r="1218" spans="1:4">
      <c r="A1218" s="57">
        <v>3759</v>
      </c>
      <c r="B1218" s="57">
        <v>86068</v>
      </c>
      <c r="C1218" s="58">
        <v>172.5</v>
      </c>
      <c r="D1218" s="58">
        <v>1386.6</v>
      </c>
    </row>
    <row r="1219" spans="1:4">
      <c r="A1219" s="57">
        <v>3760</v>
      </c>
      <c r="B1219" s="57">
        <v>86383</v>
      </c>
      <c r="C1219" s="58">
        <v>147.9</v>
      </c>
      <c r="D1219" s="58">
        <v>1758</v>
      </c>
    </row>
    <row r="1220" spans="1:4">
      <c r="A1220" s="57">
        <v>3761</v>
      </c>
      <c r="B1220" s="57">
        <v>86383</v>
      </c>
      <c r="C1220" s="58">
        <v>147.9</v>
      </c>
      <c r="D1220" s="58">
        <v>1758</v>
      </c>
    </row>
    <row r="1221" spans="1:4">
      <c r="A1221" s="57">
        <v>3762</v>
      </c>
      <c r="B1221" s="57">
        <v>88162</v>
      </c>
      <c r="C1221" s="58">
        <v>62.1</v>
      </c>
      <c r="D1221" s="58">
        <v>2242.8000000000002</v>
      </c>
    </row>
    <row r="1222" spans="1:4">
      <c r="A1222" s="57">
        <v>3763</v>
      </c>
      <c r="B1222" s="57">
        <v>86383</v>
      </c>
      <c r="C1222" s="58">
        <v>147.9</v>
      </c>
      <c r="D1222" s="58">
        <v>1758</v>
      </c>
    </row>
    <row r="1223" spans="1:4">
      <c r="A1223" s="57">
        <v>3764</v>
      </c>
      <c r="B1223" s="57">
        <v>88162</v>
      </c>
      <c r="C1223" s="58">
        <v>62.1</v>
      </c>
      <c r="D1223" s="58">
        <v>2242.8000000000002</v>
      </c>
    </row>
    <row r="1224" spans="1:4">
      <c r="A1224" s="57">
        <v>3765</v>
      </c>
      <c r="B1224" s="57">
        <v>86104</v>
      </c>
      <c r="C1224" s="58">
        <v>167.2</v>
      </c>
      <c r="D1224" s="58">
        <v>1465.5</v>
      </c>
    </row>
    <row r="1225" spans="1:4">
      <c r="A1225" s="57">
        <v>3766</v>
      </c>
      <c r="B1225" s="57">
        <v>86383</v>
      </c>
      <c r="C1225" s="58">
        <v>147.9</v>
      </c>
      <c r="D1225" s="58">
        <v>1758</v>
      </c>
    </row>
    <row r="1226" spans="1:4">
      <c r="A1226" s="57">
        <v>3767</v>
      </c>
      <c r="B1226" s="57">
        <v>86104</v>
      </c>
      <c r="C1226" s="58">
        <v>167.2</v>
      </c>
      <c r="D1226" s="58">
        <v>1465.5</v>
      </c>
    </row>
    <row r="1227" spans="1:4">
      <c r="A1227" s="57">
        <v>3770</v>
      </c>
      <c r="B1227" s="57">
        <v>86383</v>
      </c>
      <c r="C1227" s="58">
        <v>147.9</v>
      </c>
      <c r="D1227" s="58">
        <v>1758</v>
      </c>
    </row>
    <row r="1228" spans="1:4">
      <c r="A1228" s="57">
        <v>3775</v>
      </c>
      <c r="B1228" s="57">
        <v>86383</v>
      </c>
      <c r="C1228" s="58">
        <v>147.9</v>
      </c>
      <c r="D1228" s="58">
        <v>1758</v>
      </c>
    </row>
    <row r="1229" spans="1:4">
      <c r="A1229" s="57">
        <v>3777</v>
      </c>
      <c r="B1229" s="57">
        <v>86383</v>
      </c>
      <c r="C1229" s="58">
        <v>147.9</v>
      </c>
      <c r="D1229" s="58">
        <v>1758</v>
      </c>
    </row>
    <row r="1230" spans="1:4">
      <c r="A1230" s="57">
        <v>3778</v>
      </c>
      <c r="B1230" s="57">
        <v>86383</v>
      </c>
      <c r="C1230" s="58">
        <v>147.9</v>
      </c>
      <c r="D1230" s="58">
        <v>1758</v>
      </c>
    </row>
    <row r="1231" spans="1:4">
      <c r="A1231" s="57">
        <v>3779</v>
      </c>
      <c r="B1231" s="57">
        <v>88164</v>
      </c>
      <c r="C1231" s="58">
        <v>66.900000000000006</v>
      </c>
      <c r="D1231" s="58">
        <v>2101.3000000000002</v>
      </c>
    </row>
    <row r="1232" spans="1:4">
      <c r="A1232" s="57">
        <v>3781</v>
      </c>
      <c r="B1232" s="57">
        <v>86104</v>
      </c>
      <c r="C1232" s="58">
        <v>167.2</v>
      </c>
      <c r="D1232" s="58">
        <v>1465.5</v>
      </c>
    </row>
    <row r="1233" spans="1:4">
      <c r="A1233" s="57">
        <v>3782</v>
      </c>
      <c r="B1233" s="57">
        <v>86104</v>
      </c>
      <c r="C1233" s="58">
        <v>167.2</v>
      </c>
      <c r="D1233" s="58">
        <v>1465.5</v>
      </c>
    </row>
    <row r="1234" spans="1:4">
      <c r="A1234" s="57">
        <v>3783</v>
      </c>
      <c r="B1234" s="57">
        <v>86104</v>
      </c>
      <c r="C1234" s="58">
        <v>167.2</v>
      </c>
      <c r="D1234" s="58">
        <v>1465.5</v>
      </c>
    </row>
    <row r="1235" spans="1:4">
      <c r="A1235" s="57">
        <v>3785</v>
      </c>
      <c r="B1235" s="57">
        <v>86104</v>
      </c>
      <c r="C1235" s="58">
        <v>167.2</v>
      </c>
      <c r="D1235" s="58">
        <v>1465.5</v>
      </c>
    </row>
    <row r="1236" spans="1:4">
      <c r="A1236" s="57">
        <v>3786</v>
      </c>
      <c r="B1236" s="57">
        <v>86104</v>
      </c>
      <c r="C1236" s="58">
        <v>167.2</v>
      </c>
      <c r="D1236" s="58">
        <v>1465.5</v>
      </c>
    </row>
    <row r="1237" spans="1:4">
      <c r="A1237" s="57">
        <v>3787</v>
      </c>
      <c r="B1237" s="57">
        <v>86104</v>
      </c>
      <c r="C1237" s="58">
        <v>167.2</v>
      </c>
      <c r="D1237" s="58">
        <v>1465.5</v>
      </c>
    </row>
    <row r="1238" spans="1:4">
      <c r="A1238" s="57">
        <v>3788</v>
      </c>
      <c r="B1238" s="57">
        <v>86104</v>
      </c>
      <c r="C1238" s="58">
        <v>167.2</v>
      </c>
      <c r="D1238" s="58">
        <v>1465.5</v>
      </c>
    </row>
    <row r="1239" spans="1:4">
      <c r="A1239" s="57">
        <v>3789</v>
      </c>
      <c r="B1239" s="57">
        <v>86104</v>
      </c>
      <c r="C1239" s="58">
        <v>167.2</v>
      </c>
      <c r="D1239" s="58">
        <v>1465.5</v>
      </c>
    </row>
    <row r="1240" spans="1:4">
      <c r="A1240" s="57">
        <v>3791</v>
      </c>
      <c r="B1240" s="57">
        <v>86104</v>
      </c>
      <c r="C1240" s="58">
        <v>167.2</v>
      </c>
      <c r="D1240" s="58">
        <v>1465.5</v>
      </c>
    </row>
    <row r="1241" spans="1:4">
      <c r="A1241" s="57">
        <v>3792</v>
      </c>
      <c r="B1241" s="57">
        <v>86104</v>
      </c>
      <c r="C1241" s="58">
        <v>167.2</v>
      </c>
      <c r="D1241" s="58">
        <v>1465.5</v>
      </c>
    </row>
    <row r="1242" spans="1:4">
      <c r="A1242" s="57">
        <v>3793</v>
      </c>
      <c r="B1242" s="57">
        <v>86104</v>
      </c>
      <c r="C1242" s="58">
        <v>167.2</v>
      </c>
      <c r="D1242" s="58">
        <v>1465.5</v>
      </c>
    </row>
    <row r="1243" spans="1:4">
      <c r="A1243" s="57">
        <v>3795</v>
      </c>
      <c r="B1243" s="57">
        <v>86383</v>
      </c>
      <c r="C1243" s="58">
        <v>147.9</v>
      </c>
      <c r="D1243" s="58">
        <v>1758</v>
      </c>
    </row>
    <row r="1244" spans="1:4">
      <c r="A1244" s="57">
        <v>3796</v>
      </c>
      <c r="B1244" s="57">
        <v>86383</v>
      </c>
      <c r="C1244" s="58">
        <v>147.9</v>
      </c>
      <c r="D1244" s="58">
        <v>1758</v>
      </c>
    </row>
    <row r="1245" spans="1:4">
      <c r="A1245" s="57">
        <v>3797</v>
      </c>
      <c r="B1245" s="57">
        <v>86383</v>
      </c>
      <c r="C1245" s="58">
        <v>147.9</v>
      </c>
      <c r="D1245" s="58">
        <v>1758</v>
      </c>
    </row>
    <row r="1246" spans="1:4">
      <c r="A1246" s="57">
        <v>3799</v>
      </c>
      <c r="B1246" s="57">
        <v>86383</v>
      </c>
      <c r="C1246" s="58">
        <v>147.9</v>
      </c>
      <c r="D1246" s="58">
        <v>1758</v>
      </c>
    </row>
    <row r="1247" spans="1:4">
      <c r="A1247" s="57">
        <v>3800</v>
      </c>
      <c r="B1247" s="57">
        <v>86077</v>
      </c>
      <c r="C1247" s="58">
        <v>169.4</v>
      </c>
      <c r="D1247" s="58">
        <v>1355.6</v>
      </c>
    </row>
    <row r="1248" spans="1:4">
      <c r="A1248" s="57">
        <v>3802</v>
      </c>
      <c r="B1248" s="57">
        <v>86104</v>
      </c>
      <c r="C1248" s="58">
        <v>167.2</v>
      </c>
      <c r="D1248" s="58">
        <v>1465.5</v>
      </c>
    </row>
    <row r="1249" spans="1:4">
      <c r="A1249" s="57">
        <v>3803</v>
      </c>
      <c r="B1249" s="57">
        <v>86077</v>
      </c>
      <c r="C1249" s="58">
        <v>169.4</v>
      </c>
      <c r="D1249" s="58">
        <v>1355.6</v>
      </c>
    </row>
    <row r="1250" spans="1:4">
      <c r="A1250" s="57">
        <v>3804</v>
      </c>
      <c r="B1250" s="57">
        <v>86104</v>
      </c>
      <c r="C1250" s="58">
        <v>167.2</v>
      </c>
      <c r="D1250" s="58">
        <v>1465.5</v>
      </c>
    </row>
    <row r="1251" spans="1:4">
      <c r="A1251" s="57">
        <v>3805</v>
      </c>
      <c r="B1251" s="57">
        <v>86104</v>
      </c>
      <c r="C1251" s="58">
        <v>167.2</v>
      </c>
      <c r="D1251" s="58">
        <v>1465.5</v>
      </c>
    </row>
    <row r="1252" spans="1:4">
      <c r="A1252" s="57">
        <v>3806</v>
      </c>
      <c r="B1252" s="57">
        <v>86104</v>
      </c>
      <c r="C1252" s="58">
        <v>167.2</v>
      </c>
      <c r="D1252" s="58">
        <v>1465.5</v>
      </c>
    </row>
    <row r="1253" spans="1:4">
      <c r="A1253" s="57">
        <v>3807</v>
      </c>
      <c r="B1253" s="57">
        <v>86104</v>
      </c>
      <c r="C1253" s="58">
        <v>167.2</v>
      </c>
      <c r="D1253" s="58">
        <v>1465.5</v>
      </c>
    </row>
    <row r="1254" spans="1:4">
      <c r="A1254" s="57">
        <v>3808</v>
      </c>
      <c r="B1254" s="57">
        <v>86104</v>
      </c>
      <c r="C1254" s="58">
        <v>167.2</v>
      </c>
      <c r="D1254" s="58">
        <v>1465.5</v>
      </c>
    </row>
    <row r="1255" spans="1:4">
      <c r="A1255" s="57">
        <v>3809</v>
      </c>
      <c r="B1255" s="57">
        <v>86104</v>
      </c>
      <c r="C1255" s="58">
        <v>167.2</v>
      </c>
      <c r="D1255" s="58">
        <v>1465.5</v>
      </c>
    </row>
    <row r="1256" spans="1:4">
      <c r="A1256" s="57">
        <v>3810</v>
      </c>
      <c r="B1256" s="57">
        <v>86104</v>
      </c>
      <c r="C1256" s="58">
        <v>167.2</v>
      </c>
      <c r="D1256" s="58">
        <v>1465.5</v>
      </c>
    </row>
    <row r="1257" spans="1:4">
      <c r="A1257" s="57">
        <v>3812</v>
      </c>
      <c r="B1257" s="57">
        <v>86104</v>
      </c>
      <c r="C1257" s="58">
        <v>167.2</v>
      </c>
      <c r="D1257" s="58">
        <v>1465.5</v>
      </c>
    </row>
    <row r="1258" spans="1:4">
      <c r="A1258" s="57">
        <v>3813</v>
      </c>
      <c r="B1258" s="57">
        <v>86104</v>
      </c>
      <c r="C1258" s="58">
        <v>167.2</v>
      </c>
      <c r="D1258" s="58">
        <v>1465.5</v>
      </c>
    </row>
    <row r="1259" spans="1:4">
      <c r="A1259" s="57">
        <v>3814</v>
      </c>
      <c r="B1259" s="57">
        <v>86371</v>
      </c>
      <c r="C1259" s="58">
        <v>167.7</v>
      </c>
      <c r="D1259" s="58">
        <v>1314.6</v>
      </c>
    </row>
    <row r="1260" spans="1:4">
      <c r="A1260" s="57">
        <v>3815</v>
      </c>
      <c r="B1260" s="57">
        <v>86104</v>
      </c>
      <c r="C1260" s="58">
        <v>167.2</v>
      </c>
      <c r="D1260" s="58">
        <v>1465.5</v>
      </c>
    </row>
    <row r="1261" spans="1:4">
      <c r="A1261" s="57">
        <v>3816</v>
      </c>
      <c r="B1261" s="57">
        <v>85291</v>
      </c>
      <c r="C1261" s="58">
        <v>1.8</v>
      </c>
      <c r="D1261" s="58">
        <v>4391.8</v>
      </c>
    </row>
    <row r="1262" spans="1:4">
      <c r="A1262" s="57">
        <v>3818</v>
      </c>
      <c r="B1262" s="57">
        <v>86373</v>
      </c>
      <c r="C1262" s="58">
        <v>216.6</v>
      </c>
      <c r="D1262" s="58">
        <v>1239.3</v>
      </c>
    </row>
    <row r="1263" spans="1:4">
      <c r="A1263" s="57">
        <v>3820</v>
      </c>
      <c r="B1263" s="57">
        <v>85280</v>
      </c>
      <c r="C1263" s="58">
        <v>131.80000000000001</v>
      </c>
      <c r="D1263" s="58">
        <v>1628.3</v>
      </c>
    </row>
    <row r="1264" spans="1:4">
      <c r="A1264" s="57">
        <v>3821</v>
      </c>
      <c r="B1264" s="57">
        <v>85291</v>
      </c>
      <c r="C1264" s="58">
        <v>1.8</v>
      </c>
      <c r="D1264" s="58">
        <v>4391.8</v>
      </c>
    </row>
    <row r="1265" spans="1:4">
      <c r="A1265" s="57">
        <v>3822</v>
      </c>
      <c r="B1265" s="57">
        <v>85280</v>
      </c>
      <c r="C1265" s="58">
        <v>131.80000000000001</v>
      </c>
      <c r="D1265" s="58">
        <v>1628.3</v>
      </c>
    </row>
    <row r="1266" spans="1:4">
      <c r="A1266" s="57">
        <v>3823</v>
      </c>
      <c r="B1266" s="57">
        <v>85280</v>
      </c>
      <c r="C1266" s="58">
        <v>131.80000000000001</v>
      </c>
      <c r="D1266" s="58">
        <v>1628.3</v>
      </c>
    </row>
    <row r="1267" spans="1:4">
      <c r="A1267" s="57">
        <v>3824</v>
      </c>
      <c r="B1267" s="57">
        <v>85280</v>
      </c>
      <c r="C1267" s="58">
        <v>131.80000000000001</v>
      </c>
      <c r="D1267" s="58">
        <v>1628.3</v>
      </c>
    </row>
    <row r="1268" spans="1:4">
      <c r="A1268" s="57">
        <v>3825</v>
      </c>
      <c r="B1268" s="57">
        <v>85291</v>
      </c>
      <c r="C1268" s="58">
        <v>1.8</v>
      </c>
      <c r="D1268" s="58">
        <v>4391.8</v>
      </c>
    </row>
    <row r="1269" spans="1:4">
      <c r="A1269" s="57">
        <v>3831</v>
      </c>
      <c r="B1269" s="57">
        <v>85291</v>
      </c>
      <c r="C1269" s="58">
        <v>1.8</v>
      </c>
      <c r="D1269" s="58">
        <v>4391.8</v>
      </c>
    </row>
    <row r="1270" spans="1:4">
      <c r="A1270" s="57">
        <v>3832</v>
      </c>
      <c r="B1270" s="57">
        <v>85291</v>
      </c>
      <c r="C1270" s="58">
        <v>1.8</v>
      </c>
      <c r="D1270" s="58">
        <v>4391.8</v>
      </c>
    </row>
    <row r="1271" spans="1:4">
      <c r="A1271" s="57">
        <v>3833</v>
      </c>
      <c r="B1271" s="57">
        <v>85291</v>
      </c>
      <c r="C1271" s="58">
        <v>1.8</v>
      </c>
      <c r="D1271" s="58">
        <v>4391.8</v>
      </c>
    </row>
    <row r="1272" spans="1:4">
      <c r="A1272" s="57">
        <v>3835</v>
      </c>
      <c r="B1272" s="57">
        <v>85280</v>
      </c>
      <c r="C1272" s="58">
        <v>131.80000000000001</v>
      </c>
      <c r="D1272" s="58">
        <v>1628.3</v>
      </c>
    </row>
    <row r="1273" spans="1:4">
      <c r="A1273" s="57">
        <v>3840</v>
      </c>
      <c r="B1273" s="57">
        <v>85280</v>
      </c>
      <c r="C1273" s="58">
        <v>131.80000000000001</v>
      </c>
      <c r="D1273" s="58">
        <v>1628.3</v>
      </c>
    </row>
    <row r="1274" spans="1:4">
      <c r="A1274" s="57">
        <v>3842</v>
      </c>
      <c r="B1274" s="57">
        <v>85280</v>
      </c>
      <c r="C1274" s="58">
        <v>131.80000000000001</v>
      </c>
      <c r="D1274" s="58">
        <v>1628.3</v>
      </c>
    </row>
    <row r="1275" spans="1:4">
      <c r="A1275" s="57">
        <v>3844</v>
      </c>
      <c r="B1275" s="57">
        <v>85151</v>
      </c>
      <c r="C1275" s="58">
        <v>143</v>
      </c>
      <c r="D1275" s="58">
        <v>1666.3</v>
      </c>
    </row>
    <row r="1276" spans="1:4">
      <c r="A1276" s="57">
        <v>3847</v>
      </c>
      <c r="B1276" s="57">
        <v>85280</v>
      </c>
      <c r="C1276" s="58">
        <v>131.80000000000001</v>
      </c>
      <c r="D1276" s="58">
        <v>1628.3</v>
      </c>
    </row>
    <row r="1277" spans="1:4">
      <c r="A1277" s="57">
        <v>3850</v>
      </c>
      <c r="B1277" s="57">
        <v>85072</v>
      </c>
      <c r="C1277" s="58">
        <v>131.19999999999999</v>
      </c>
      <c r="D1277" s="58">
        <v>1632.3</v>
      </c>
    </row>
    <row r="1278" spans="1:4">
      <c r="A1278" s="57">
        <v>3851</v>
      </c>
      <c r="B1278" s="57">
        <v>85072</v>
      </c>
      <c r="C1278" s="58">
        <v>131.19999999999999</v>
      </c>
      <c r="D1278" s="58">
        <v>1632.3</v>
      </c>
    </row>
    <row r="1279" spans="1:4">
      <c r="A1279" s="57">
        <v>3852</v>
      </c>
      <c r="B1279" s="57">
        <v>85072</v>
      </c>
      <c r="C1279" s="58">
        <v>131.19999999999999</v>
      </c>
      <c r="D1279" s="58">
        <v>1632.3</v>
      </c>
    </row>
    <row r="1280" spans="1:4">
      <c r="A1280" s="57">
        <v>3854</v>
      </c>
      <c r="B1280" s="57">
        <v>85280</v>
      </c>
      <c r="C1280" s="58">
        <v>131.80000000000001</v>
      </c>
      <c r="D1280" s="58">
        <v>1628.3</v>
      </c>
    </row>
    <row r="1281" spans="1:4">
      <c r="A1281" s="57">
        <v>3856</v>
      </c>
      <c r="B1281" s="57">
        <v>85280</v>
      </c>
      <c r="C1281" s="58">
        <v>131.80000000000001</v>
      </c>
      <c r="D1281" s="58">
        <v>1628.3</v>
      </c>
    </row>
    <row r="1282" spans="1:4">
      <c r="A1282" s="57">
        <v>3857</v>
      </c>
      <c r="B1282" s="57">
        <v>85280</v>
      </c>
      <c r="C1282" s="58">
        <v>131.80000000000001</v>
      </c>
      <c r="D1282" s="58">
        <v>1628.3</v>
      </c>
    </row>
    <row r="1283" spans="1:4">
      <c r="A1283" s="57">
        <v>3858</v>
      </c>
      <c r="B1283" s="57">
        <v>83024</v>
      </c>
      <c r="C1283" s="58">
        <v>0.5</v>
      </c>
      <c r="D1283" s="58">
        <v>4297</v>
      </c>
    </row>
    <row r="1284" spans="1:4">
      <c r="A1284" s="57">
        <v>3859</v>
      </c>
      <c r="B1284" s="57">
        <v>85296</v>
      </c>
      <c r="C1284" s="58">
        <v>102</v>
      </c>
      <c r="D1284" s="58">
        <v>1753.4</v>
      </c>
    </row>
    <row r="1285" spans="1:4">
      <c r="A1285" s="57">
        <v>3860</v>
      </c>
      <c r="B1285" s="57">
        <v>85296</v>
      </c>
      <c r="C1285" s="58">
        <v>102</v>
      </c>
      <c r="D1285" s="58">
        <v>1753.4</v>
      </c>
    </row>
    <row r="1286" spans="1:4">
      <c r="A1286" s="57">
        <v>3862</v>
      </c>
      <c r="B1286" s="57">
        <v>85296</v>
      </c>
      <c r="C1286" s="58">
        <v>102</v>
      </c>
      <c r="D1286" s="58">
        <v>1753.4</v>
      </c>
    </row>
    <row r="1287" spans="1:4">
      <c r="A1287" s="57">
        <v>3864</v>
      </c>
      <c r="B1287" s="57">
        <v>85296</v>
      </c>
      <c r="C1287" s="58">
        <v>102</v>
      </c>
      <c r="D1287" s="58">
        <v>1753.4</v>
      </c>
    </row>
    <row r="1288" spans="1:4">
      <c r="A1288" s="57">
        <v>3865</v>
      </c>
      <c r="B1288" s="57">
        <v>85279</v>
      </c>
      <c r="C1288" s="58">
        <v>161.1</v>
      </c>
      <c r="D1288" s="58">
        <v>1551.5</v>
      </c>
    </row>
    <row r="1289" spans="1:4">
      <c r="A1289" s="57">
        <v>3869</v>
      </c>
      <c r="B1289" s="57">
        <v>85280</v>
      </c>
      <c r="C1289" s="58">
        <v>131.80000000000001</v>
      </c>
      <c r="D1289" s="58">
        <v>1628.3</v>
      </c>
    </row>
    <row r="1290" spans="1:4">
      <c r="A1290" s="57">
        <v>3870</v>
      </c>
      <c r="B1290" s="57">
        <v>85280</v>
      </c>
      <c r="C1290" s="58">
        <v>131.80000000000001</v>
      </c>
      <c r="D1290" s="58">
        <v>1628.3</v>
      </c>
    </row>
    <row r="1291" spans="1:4">
      <c r="A1291" s="57">
        <v>3871</v>
      </c>
      <c r="B1291" s="57">
        <v>85280</v>
      </c>
      <c r="C1291" s="58">
        <v>131.80000000000001</v>
      </c>
      <c r="D1291" s="58">
        <v>1628.3</v>
      </c>
    </row>
    <row r="1292" spans="1:4">
      <c r="A1292" s="57">
        <v>3873</v>
      </c>
      <c r="B1292" s="57">
        <v>85280</v>
      </c>
      <c r="C1292" s="58">
        <v>131.80000000000001</v>
      </c>
      <c r="D1292" s="58">
        <v>1628.3</v>
      </c>
    </row>
    <row r="1293" spans="1:4">
      <c r="A1293" s="57">
        <v>3874</v>
      </c>
      <c r="B1293" s="57">
        <v>85151</v>
      </c>
      <c r="C1293" s="58">
        <v>143</v>
      </c>
      <c r="D1293" s="58">
        <v>1666.3</v>
      </c>
    </row>
    <row r="1294" spans="1:4">
      <c r="A1294" s="57">
        <v>3875</v>
      </c>
      <c r="B1294" s="57">
        <v>85279</v>
      </c>
      <c r="C1294" s="58">
        <v>161.1</v>
      </c>
      <c r="D1294" s="58">
        <v>1551.5</v>
      </c>
    </row>
    <row r="1295" spans="1:4">
      <c r="A1295" s="57">
        <v>3878</v>
      </c>
      <c r="B1295" s="57">
        <v>85279</v>
      </c>
      <c r="C1295" s="58">
        <v>161.1</v>
      </c>
      <c r="D1295" s="58">
        <v>1551.5</v>
      </c>
    </row>
    <row r="1296" spans="1:4">
      <c r="A1296" s="57">
        <v>3880</v>
      </c>
      <c r="B1296" s="57">
        <v>85279</v>
      </c>
      <c r="C1296" s="58">
        <v>161.1</v>
      </c>
      <c r="D1296" s="58">
        <v>1551.5</v>
      </c>
    </row>
    <row r="1297" spans="1:4">
      <c r="A1297" s="57">
        <v>3882</v>
      </c>
      <c r="B1297" s="57">
        <v>85279</v>
      </c>
      <c r="C1297" s="58">
        <v>161.1</v>
      </c>
      <c r="D1297" s="58">
        <v>1551.5</v>
      </c>
    </row>
    <row r="1298" spans="1:4">
      <c r="A1298" s="57">
        <v>3885</v>
      </c>
      <c r="B1298" s="57">
        <v>84142</v>
      </c>
      <c r="C1298" s="58">
        <v>49.9</v>
      </c>
      <c r="D1298" s="58">
        <v>2437.6</v>
      </c>
    </row>
    <row r="1299" spans="1:4">
      <c r="A1299" s="57">
        <v>3886</v>
      </c>
      <c r="B1299" s="57">
        <v>84145</v>
      </c>
      <c r="C1299" s="58">
        <v>214.4</v>
      </c>
      <c r="D1299" s="58">
        <v>1367</v>
      </c>
    </row>
    <row r="1300" spans="1:4">
      <c r="A1300" s="57">
        <v>3887</v>
      </c>
      <c r="B1300" s="57">
        <v>84144</v>
      </c>
      <c r="C1300" s="58">
        <v>115.2</v>
      </c>
      <c r="D1300" s="58">
        <v>1561.7</v>
      </c>
    </row>
    <row r="1301" spans="1:4">
      <c r="A1301" s="57">
        <v>3888</v>
      </c>
      <c r="B1301" s="57">
        <v>84143</v>
      </c>
      <c r="C1301" s="58">
        <v>95.6</v>
      </c>
      <c r="D1301" s="58">
        <v>1880.8</v>
      </c>
    </row>
    <row r="1302" spans="1:4">
      <c r="A1302" s="57">
        <v>3889</v>
      </c>
      <c r="B1302" s="57">
        <v>84145</v>
      </c>
      <c r="C1302" s="58">
        <v>214.4</v>
      </c>
      <c r="D1302" s="58">
        <v>1367</v>
      </c>
    </row>
    <row r="1303" spans="1:4">
      <c r="A1303" s="57">
        <v>3890</v>
      </c>
      <c r="B1303" s="57">
        <v>84143</v>
      </c>
      <c r="C1303" s="58">
        <v>95.6</v>
      </c>
      <c r="D1303" s="58">
        <v>1880.8</v>
      </c>
    </row>
    <row r="1304" spans="1:4">
      <c r="A1304" s="57">
        <v>3891</v>
      </c>
      <c r="B1304" s="57">
        <v>84084</v>
      </c>
      <c r="C1304" s="58">
        <v>238.4</v>
      </c>
      <c r="D1304" s="58">
        <v>1290.2</v>
      </c>
    </row>
    <row r="1305" spans="1:4">
      <c r="A1305" s="57">
        <v>3892</v>
      </c>
      <c r="B1305" s="57">
        <v>84084</v>
      </c>
      <c r="C1305" s="58">
        <v>238.4</v>
      </c>
      <c r="D1305" s="58">
        <v>1290.2</v>
      </c>
    </row>
    <row r="1306" spans="1:4">
      <c r="A1306" s="57">
        <v>3893</v>
      </c>
      <c r="B1306" s="57">
        <v>84144</v>
      </c>
      <c r="C1306" s="58">
        <v>115.2</v>
      </c>
      <c r="D1306" s="58">
        <v>1561.7</v>
      </c>
    </row>
    <row r="1307" spans="1:4">
      <c r="A1307" s="57">
        <v>3895</v>
      </c>
      <c r="B1307" s="57">
        <v>83090</v>
      </c>
      <c r="C1307" s="58">
        <v>49.5</v>
      </c>
      <c r="D1307" s="58">
        <v>2356.9</v>
      </c>
    </row>
    <row r="1308" spans="1:4">
      <c r="A1308" s="57">
        <v>3896</v>
      </c>
      <c r="B1308" s="57">
        <v>83090</v>
      </c>
      <c r="C1308" s="58">
        <v>49.5</v>
      </c>
      <c r="D1308" s="58">
        <v>2356.9</v>
      </c>
    </row>
    <row r="1309" spans="1:4">
      <c r="A1309" s="57">
        <v>3898</v>
      </c>
      <c r="B1309" s="57">
        <v>83055</v>
      </c>
      <c r="C1309" s="58">
        <v>4.8</v>
      </c>
      <c r="D1309" s="58">
        <v>3427.4</v>
      </c>
    </row>
    <row r="1310" spans="1:4">
      <c r="A1310" s="57">
        <v>3900</v>
      </c>
      <c r="B1310" s="57">
        <v>83090</v>
      </c>
      <c r="C1310" s="58">
        <v>49.5</v>
      </c>
      <c r="D1310" s="58">
        <v>2356.9</v>
      </c>
    </row>
    <row r="1311" spans="1:4">
      <c r="A1311" s="57">
        <v>3902</v>
      </c>
      <c r="B1311" s="57">
        <v>85279</v>
      </c>
      <c r="C1311" s="58">
        <v>161.1</v>
      </c>
      <c r="D1311" s="58">
        <v>1551.5</v>
      </c>
    </row>
    <row r="1312" spans="1:4">
      <c r="A1312" s="57">
        <v>3903</v>
      </c>
      <c r="B1312" s="57">
        <v>84144</v>
      </c>
      <c r="C1312" s="58">
        <v>115.2</v>
      </c>
      <c r="D1312" s="58">
        <v>1561.7</v>
      </c>
    </row>
    <row r="1313" spans="1:4">
      <c r="A1313" s="57">
        <v>3904</v>
      </c>
      <c r="B1313" s="57">
        <v>85279</v>
      </c>
      <c r="C1313" s="58">
        <v>161.1</v>
      </c>
      <c r="D1313" s="58">
        <v>1551.5</v>
      </c>
    </row>
    <row r="1314" spans="1:4">
      <c r="A1314" s="57">
        <v>3909</v>
      </c>
      <c r="B1314" s="57">
        <v>84144</v>
      </c>
      <c r="C1314" s="58">
        <v>115.2</v>
      </c>
      <c r="D1314" s="58">
        <v>1561.7</v>
      </c>
    </row>
    <row r="1315" spans="1:4">
      <c r="A1315" s="57">
        <v>3910</v>
      </c>
      <c r="B1315" s="57">
        <v>86371</v>
      </c>
      <c r="C1315" s="58">
        <v>167.7</v>
      </c>
      <c r="D1315" s="58">
        <v>1314.6</v>
      </c>
    </row>
    <row r="1316" spans="1:4">
      <c r="A1316" s="57">
        <v>3911</v>
      </c>
      <c r="B1316" s="57">
        <v>86371</v>
      </c>
      <c r="C1316" s="58">
        <v>167.7</v>
      </c>
      <c r="D1316" s="58">
        <v>1314.6</v>
      </c>
    </row>
    <row r="1317" spans="1:4">
      <c r="A1317" s="57">
        <v>3912</v>
      </c>
      <c r="B1317" s="57">
        <v>86371</v>
      </c>
      <c r="C1317" s="58">
        <v>167.7</v>
      </c>
      <c r="D1317" s="58">
        <v>1314.6</v>
      </c>
    </row>
    <row r="1318" spans="1:4">
      <c r="A1318" s="57">
        <v>3913</v>
      </c>
      <c r="B1318" s="57">
        <v>86361</v>
      </c>
      <c r="C1318" s="58">
        <v>126.9</v>
      </c>
      <c r="D1318" s="58">
        <v>1517.7</v>
      </c>
    </row>
    <row r="1319" spans="1:4">
      <c r="A1319" s="57">
        <v>3915</v>
      </c>
      <c r="B1319" s="57">
        <v>86361</v>
      </c>
      <c r="C1319" s="58">
        <v>126.9</v>
      </c>
      <c r="D1319" s="58">
        <v>1517.7</v>
      </c>
    </row>
    <row r="1320" spans="1:4">
      <c r="A1320" s="57">
        <v>3916</v>
      </c>
      <c r="B1320" s="57">
        <v>86361</v>
      </c>
      <c r="C1320" s="58">
        <v>126.9</v>
      </c>
      <c r="D1320" s="58">
        <v>1517.7</v>
      </c>
    </row>
    <row r="1321" spans="1:4">
      <c r="A1321" s="57">
        <v>3918</v>
      </c>
      <c r="B1321" s="57">
        <v>86361</v>
      </c>
      <c r="C1321" s="58">
        <v>126.9</v>
      </c>
      <c r="D1321" s="58">
        <v>1517.7</v>
      </c>
    </row>
    <row r="1322" spans="1:4">
      <c r="A1322" s="57">
        <v>3919</v>
      </c>
      <c r="B1322" s="57">
        <v>86361</v>
      </c>
      <c r="C1322" s="58">
        <v>126.9</v>
      </c>
      <c r="D1322" s="58">
        <v>1517.7</v>
      </c>
    </row>
    <row r="1323" spans="1:4">
      <c r="A1323" s="57">
        <v>3920</v>
      </c>
      <c r="B1323" s="57">
        <v>86361</v>
      </c>
      <c r="C1323" s="58">
        <v>126.9</v>
      </c>
      <c r="D1323" s="58">
        <v>1517.7</v>
      </c>
    </row>
    <row r="1324" spans="1:4">
      <c r="A1324" s="57">
        <v>3921</v>
      </c>
      <c r="B1324" s="57">
        <v>77094</v>
      </c>
      <c r="C1324" s="58">
        <v>151.4</v>
      </c>
      <c r="D1324" s="58">
        <v>1292.2</v>
      </c>
    </row>
    <row r="1325" spans="1:4">
      <c r="A1325" s="57">
        <v>3922</v>
      </c>
      <c r="B1325" s="57">
        <v>86373</v>
      </c>
      <c r="C1325" s="58">
        <v>216.6</v>
      </c>
      <c r="D1325" s="58">
        <v>1239.3</v>
      </c>
    </row>
    <row r="1326" spans="1:4">
      <c r="A1326" s="57">
        <v>3923</v>
      </c>
      <c r="B1326" s="57">
        <v>86373</v>
      </c>
      <c r="C1326" s="58">
        <v>216.6</v>
      </c>
      <c r="D1326" s="58">
        <v>1239.3</v>
      </c>
    </row>
    <row r="1327" spans="1:4">
      <c r="A1327" s="57">
        <v>3925</v>
      </c>
      <c r="B1327" s="57">
        <v>86373</v>
      </c>
      <c r="C1327" s="58">
        <v>216.6</v>
      </c>
      <c r="D1327" s="58">
        <v>1239.3</v>
      </c>
    </row>
    <row r="1328" spans="1:4">
      <c r="A1328" s="57">
        <v>3926</v>
      </c>
      <c r="B1328" s="57">
        <v>86361</v>
      </c>
      <c r="C1328" s="58">
        <v>126.9</v>
      </c>
      <c r="D1328" s="58">
        <v>1517.7</v>
      </c>
    </row>
    <row r="1329" spans="1:4">
      <c r="A1329" s="57">
        <v>3927</v>
      </c>
      <c r="B1329" s="57">
        <v>86361</v>
      </c>
      <c r="C1329" s="58">
        <v>126.9</v>
      </c>
      <c r="D1329" s="58">
        <v>1517.7</v>
      </c>
    </row>
    <row r="1330" spans="1:4">
      <c r="A1330" s="57">
        <v>3928</v>
      </c>
      <c r="B1330" s="57">
        <v>86361</v>
      </c>
      <c r="C1330" s="58">
        <v>126.9</v>
      </c>
      <c r="D1330" s="58">
        <v>1517.7</v>
      </c>
    </row>
    <row r="1331" spans="1:4">
      <c r="A1331" s="57">
        <v>3929</v>
      </c>
      <c r="B1331" s="57">
        <v>86361</v>
      </c>
      <c r="C1331" s="58">
        <v>126.9</v>
      </c>
      <c r="D1331" s="58">
        <v>1517.7</v>
      </c>
    </row>
    <row r="1332" spans="1:4">
      <c r="A1332" s="57">
        <v>3930</v>
      </c>
      <c r="B1332" s="57">
        <v>86371</v>
      </c>
      <c r="C1332" s="58">
        <v>167.7</v>
      </c>
      <c r="D1332" s="58">
        <v>1314.6</v>
      </c>
    </row>
    <row r="1333" spans="1:4">
      <c r="A1333" s="57">
        <v>3931</v>
      </c>
      <c r="B1333" s="57">
        <v>86371</v>
      </c>
      <c r="C1333" s="58">
        <v>167.7</v>
      </c>
      <c r="D1333" s="58">
        <v>1314.6</v>
      </c>
    </row>
    <row r="1334" spans="1:4">
      <c r="A1334" s="57">
        <v>3933</v>
      </c>
      <c r="B1334" s="57">
        <v>86371</v>
      </c>
      <c r="C1334" s="58">
        <v>167.7</v>
      </c>
      <c r="D1334" s="58">
        <v>1314.6</v>
      </c>
    </row>
    <row r="1335" spans="1:4">
      <c r="A1335" s="57">
        <v>3934</v>
      </c>
      <c r="B1335" s="57">
        <v>86371</v>
      </c>
      <c r="C1335" s="58">
        <v>167.7</v>
      </c>
      <c r="D1335" s="58">
        <v>1314.6</v>
      </c>
    </row>
    <row r="1336" spans="1:4">
      <c r="A1336" s="57">
        <v>3936</v>
      </c>
      <c r="B1336" s="57">
        <v>86361</v>
      </c>
      <c r="C1336" s="58">
        <v>126.9</v>
      </c>
      <c r="D1336" s="58">
        <v>1517.7</v>
      </c>
    </row>
    <row r="1337" spans="1:4">
      <c r="A1337" s="57">
        <v>3937</v>
      </c>
      <c r="B1337" s="57">
        <v>86361</v>
      </c>
      <c r="C1337" s="58">
        <v>126.9</v>
      </c>
      <c r="D1337" s="58">
        <v>1517.7</v>
      </c>
    </row>
    <row r="1338" spans="1:4">
      <c r="A1338" s="57">
        <v>3938</v>
      </c>
      <c r="B1338" s="57">
        <v>86361</v>
      </c>
      <c r="C1338" s="58">
        <v>126.9</v>
      </c>
      <c r="D1338" s="58">
        <v>1517.7</v>
      </c>
    </row>
    <row r="1339" spans="1:4">
      <c r="A1339" s="57">
        <v>3939</v>
      </c>
      <c r="B1339" s="57">
        <v>86361</v>
      </c>
      <c r="C1339" s="58">
        <v>126.9</v>
      </c>
      <c r="D1339" s="58">
        <v>1517.7</v>
      </c>
    </row>
    <row r="1340" spans="1:4">
      <c r="A1340" s="57">
        <v>3940</v>
      </c>
      <c r="B1340" s="57">
        <v>86361</v>
      </c>
      <c r="C1340" s="58">
        <v>126.9</v>
      </c>
      <c r="D1340" s="58">
        <v>1517.7</v>
      </c>
    </row>
    <row r="1341" spans="1:4">
      <c r="A1341" s="57">
        <v>3941</v>
      </c>
      <c r="B1341" s="57">
        <v>86361</v>
      </c>
      <c r="C1341" s="58">
        <v>126.9</v>
      </c>
      <c r="D1341" s="58">
        <v>1517.7</v>
      </c>
    </row>
    <row r="1342" spans="1:4">
      <c r="A1342" s="57">
        <v>3942</v>
      </c>
      <c r="B1342" s="57">
        <v>86361</v>
      </c>
      <c r="C1342" s="58">
        <v>126.9</v>
      </c>
      <c r="D1342" s="58">
        <v>1517.7</v>
      </c>
    </row>
    <row r="1343" spans="1:4">
      <c r="A1343" s="57">
        <v>3943</v>
      </c>
      <c r="B1343" s="57">
        <v>86361</v>
      </c>
      <c r="C1343" s="58">
        <v>126.9</v>
      </c>
      <c r="D1343" s="58">
        <v>1517.7</v>
      </c>
    </row>
    <row r="1344" spans="1:4">
      <c r="A1344" s="57">
        <v>3944</v>
      </c>
      <c r="B1344" s="57">
        <v>87113</v>
      </c>
      <c r="C1344" s="58">
        <v>144</v>
      </c>
      <c r="D1344" s="58">
        <v>1461.7</v>
      </c>
    </row>
    <row r="1345" spans="1:4">
      <c r="A1345" s="57">
        <v>3945</v>
      </c>
      <c r="B1345" s="57">
        <v>86373</v>
      </c>
      <c r="C1345" s="58">
        <v>216.6</v>
      </c>
      <c r="D1345" s="58">
        <v>1239.3</v>
      </c>
    </row>
    <row r="1346" spans="1:4">
      <c r="A1346" s="57">
        <v>3946</v>
      </c>
      <c r="B1346" s="57">
        <v>86373</v>
      </c>
      <c r="C1346" s="58">
        <v>216.6</v>
      </c>
      <c r="D1346" s="58">
        <v>1239.3</v>
      </c>
    </row>
    <row r="1347" spans="1:4">
      <c r="A1347" s="57">
        <v>3950</v>
      </c>
      <c r="B1347" s="57">
        <v>86373</v>
      </c>
      <c r="C1347" s="58">
        <v>216.6</v>
      </c>
      <c r="D1347" s="58">
        <v>1239.3</v>
      </c>
    </row>
    <row r="1348" spans="1:4">
      <c r="A1348" s="57">
        <v>3951</v>
      </c>
      <c r="B1348" s="57">
        <v>86373</v>
      </c>
      <c r="C1348" s="58">
        <v>216.6</v>
      </c>
      <c r="D1348" s="58">
        <v>1239.3</v>
      </c>
    </row>
    <row r="1349" spans="1:4">
      <c r="A1349" s="57">
        <v>3953</v>
      </c>
      <c r="B1349" s="57">
        <v>85280</v>
      </c>
      <c r="C1349" s="58">
        <v>131.80000000000001</v>
      </c>
      <c r="D1349" s="58">
        <v>1628.3</v>
      </c>
    </row>
    <row r="1350" spans="1:4">
      <c r="A1350" s="57">
        <v>3954</v>
      </c>
      <c r="B1350" s="57">
        <v>86373</v>
      </c>
      <c r="C1350" s="58">
        <v>216.6</v>
      </c>
      <c r="D1350" s="58">
        <v>1239.3</v>
      </c>
    </row>
    <row r="1351" spans="1:4">
      <c r="A1351" s="57">
        <v>3956</v>
      </c>
      <c r="B1351" s="57">
        <v>85280</v>
      </c>
      <c r="C1351" s="58">
        <v>131.80000000000001</v>
      </c>
      <c r="D1351" s="58">
        <v>1628.3</v>
      </c>
    </row>
    <row r="1352" spans="1:4">
      <c r="A1352" s="57">
        <v>3957</v>
      </c>
      <c r="B1352" s="57">
        <v>85280</v>
      </c>
      <c r="C1352" s="58">
        <v>131.80000000000001</v>
      </c>
      <c r="D1352" s="58">
        <v>1628.3</v>
      </c>
    </row>
    <row r="1353" spans="1:4">
      <c r="A1353" s="57">
        <v>3958</v>
      </c>
      <c r="B1353" s="57">
        <v>85280</v>
      </c>
      <c r="C1353" s="58">
        <v>131.80000000000001</v>
      </c>
      <c r="D1353" s="58">
        <v>1628.3</v>
      </c>
    </row>
    <row r="1354" spans="1:4">
      <c r="A1354" s="57">
        <v>3959</v>
      </c>
      <c r="B1354" s="57">
        <v>85151</v>
      </c>
      <c r="C1354" s="58">
        <v>143</v>
      </c>
      <c r="D1354" s="58">
        <v>1666.3</v>
      </c>
    </row>
    <row r="1355" spans="1:4">
      <c r="A1355" s="57">
        <v>3960</v>
      </c>
      <c r="B1355" s="57">
        <v>85151</v>
      </c>
      <c r="C1355" s="58">
        <v>143</v>
      </c>
      <c r="D1355" s="58">
        <v>1666.3</v>
      </c>
    </row>
    <row r="1356" spans="1:4">
      <c r="A1356" s="57">
        <v>3962</v>
      </c>
      <c r="B1356" s="57">
        <v>85151</v>
      </c>
      <c r="C1356" s="58">
        <v>143</v>
      </c>
      <c r="D1356" s="58">
        <v>1666.3</v>
      </c>
    </row>
    <row r="1357" spans="1:4">
      <c r="A1357" s="57">
        <v>3964</v>
      </c>
      <c r="B1357" s="57">
        <v>85151</v>
      </c>
      <c r="C1357" s="58">
        <v>143</v>
      </c>
      <c r="D1357" s="58">
        <v>1666.3</v>
      </c>
    </row>
    <row r="1358" spans="1:4">
      <c r="A1358" s="57">
        <v>3965</v>
      </c>
      <c r="B1358" s="57">
        <v>85151</v>
      </c>
      <c r="C1358" s="58">
        <v>143</v>
      </c>
      <c r="D1358" s="58">
        <v>1666.3</v>
      </c>
    </row>
    <row r="1359" spans="1:4">
      <c r="A1359" s="57">
        <v>3966</v>
      </c>
      <c r="B1359" s="57">
        <v>85151</v>
      </c>
      <c r="C1359" s="58">
        <v>143</v>
      </c>
      <c r="D1359" s="58">
        <v>1666.3</v>
      </c>
    </row>
    <row r="1360" spans="1:4">
      <c r="A1360" s="57">
        <v>3967</v>
      </c>
      <c r="B1360" s="57">
        <v>85151</v>
      </c>
      <c r="C1360" s="58">
        <v>143</v>
      </c>
      <c r="D1360" s="58">
        <v>1666.3</v>
      </c>
    </row>
    <row r="1361" spans="1:4">
      <c r="A1361" s="57">
        <v>3971</v>
      </c>
      <c r="B1361" s="57">
        <v>85151</v>
      </c>
      <c r="C1361" s="58">
        <v>143</v>
      </c>
      <c r="D1361" s="58">
        <v>1666.3</v>
      </c>
    </row>
    <row r="1362" spans="1:4">
      <c r="A1362" s="57">
        <v>3975</v>
      </c>
      <c r="B1362" s="57">
        <v>86077</v>
      </c>
      <c r="C1362" s="58">
        <v>169.4</v>
      </c>
      <c r="D1362" s="58">
        <v>1355.6</v>
      </c>
    </row>
    <row r="1363" spans="1:4">
      <c r="A1363" s="57">
        <v>3976</v>
      </c>
      <c r="B1363" s="57">
        <v>86077</v>
      </c>
      <c r="C1363" s="58">
        <v>169.4</v>
      </c>
      <c r="D1363" s="58">
        <v>1355.6</v>
      </c>
    </row>
    <row r="1364" spans="1:4">
      <c r="A1364" s="57">
        <v>3977</v>
      </c>
      <c r="B1364" s="57">
        <v>86371</v>
      </c>
      <c r="C1364" s="58">
        <v>167.7</v>
      </c>
      <c r="D1364" s="58">
        <v>1314.6</v>
      </c>
    </row>
    <row r="1365" spans="1:4">
      <c r="A1365" s="57">
        <v>3978</v>
      </c>
      <c r="B1365" s="57">
        <v>86371</v>
      </c>
      <c r="C1365" s="58">
        <v>167.7</v>
      </c>
      <c r="D1365" s="58">
        <v>1314.6</v>
      </c>
    </row>
    <row r="1366" spans="1:4">
      <c r="A1366" s="57">
        <v>3979</v>
      </c>
      <c r="B1366" s="57">
        <v>86373</v>
      </c>
      <c r="C1366" s="58">
        <v>216.6</v>
      </c>
      <c r="D1366" s="58">
        <v>1239.3</v>
      </c>
    </row>
    <row r="1367" spans="1:4">
      <c r="A1367" s="57">
        <v>3980</v>
      </c>
      <c r="B1367" s="57">
        <v>86371</v>
      </c>
      <c r="C1367" s="58">
        <v>167.7</v>
      </c>
      <c r="D1367" s="58">
        <v>1314.6</v>
      </c>
    </row>
    <row r="1368" spans="1:4">
      <c r="A1368" s="57">
        <v>3981</v>
      </c>
      <c r="B1368" s="57">
        <v>86373</v>
      </c>
      <c r="C1368" s="58">
        <v>216.6</v>
      </c>
      <c r="D1368" s="58">
        <v>1239.3</v>
      </c>
    </row>
    <row r="1369" spans="1:4">
      <c r="A1369" s="57">
        <v>3984</v>
      </c>
      <c r="B1369" s="57">
        <v>86373</v>
      </c>
      <c r="C1369" s="58">
        <v>216.6</v>
      </c>
      <c r="D1369" s="58">
        <v>1239.3</v>
      </c>
    </row>
    <row r="1370" spans="1:4">
      <c r="A1370" s="57">
        <v>3987</v>
      </c>
      <c r="B1370" s="57">
        <v>86373</v>
      </c>
      <c r="C1370" s="58">
        <v>216.6</v>
      </c>
      <c r="D1370" s="58">
        <v>1239.3</v>
      </c>
    </row>
    <row r="1371" spans="1:4">
      <c r="A1371" s="57">
        <v>3988</v>
      </c>
      <c r="B1371" s="57">
        <v>86373</v>
      </c>
      <c r="C1371" s="58">
        <v>216.6</v>
      </c>
      <c r="D1371" s="58">
        <v>1239.3</v>
      </c>
    </row>
    <row r="1372" spans="1:4">
      <c r="A1372" s="57">
        <v>3990</v>
      </c>
      <c r="B1372" s="57">
        <v>86373</v>
      </c>
      <c r="C1372" s="58">
        <v>216.6</v>
      </c>
      <c r="D1372" s="58">
        <v>1239.3</v>
      </c>
    </row>
    <row r="1373" spans="1:4">
      <c r="A1373" s="57">
        <v>3991</v>
      </c>
      <c r="B1373" s="57">
        <v>86373</v>
      </c>
      <c r="C1373" s="58">
        <v>216.6</v>
      </c>
      <c r="D1373" s="58">
        <v>1239.3</v>
      </c>
    </row>
    <row r="1374" spans="1:4">
      <c r="A1374" s="57">
        <v>3992</v>
      </c>
      <c r="B1374" s="57">
        <v>86373</v>
      </c>
      <c r="C1374" s="58">
        <v>216.6</v>
      </c>
      <c r="D1374" s="58">
        <v>1239.3</v>
      </c>
    </row>
    <row r="1375" spans="1:4">
      <c r="A1375" s="57">
        <v>3995</v>
      </c>
      <c r="B1375" s="57">
        <v>86373</v>
      </c>
      <c r="C1375" s="58">
        <v>216.6</v>
      </c>
      <c r="D1375" s="58">
        <v>1239.3</v>
      </c>
    </row>
    <row r="1376" spans="1:4">
      <c r="A1376" s="57">
        <v>3996</v>
      </c>
      <c r="B1376" s="57">
        <v>86373</v>
      </c>
      <c r="C1376" s="58">
        <v>216.6</v>
      </c>
      <c r="D1376" s="58">
        <v>1239.3</v>
      </c>
    </row>
    <row r="1377" spans="1:4">
      <c r="A1377" s="57">
        <v>4000</v>
      </c>
      <c r="B1377" s="57">
        <v>40913</v>
      </c>
      <c r="C1377" s="58">
        <v>1054.5</v>
      </c>
      <c r="D1377" s="58">
        <v>176.8</v>
      </c>
    </row>
    <row r="1378" spans="1:4">
      <c r="A1378" s="57">
        <v>4005</v>
      </c>
      <c r="B1378" s="57">
        <v>40913</v>
      </c>
      <c r="C1378" s="58">
        <v>1054.5</v>
      </c>
      <c r="D1378" s="58">
        <v>176.8</v>
      </c>
    </row>
    <row r="1379" spans="1:4">
      <c r="A1379" s="57">
        <v>4006</v>
      </c>
      <c r="B1379" s="57">
        <v>40913</v>
      </c>
      <c r="C1379" s="58">
        <v>1054.5</v>
      </c>
      <c r="D1379" s="58">
        <v>176.8</v>
      </c>
    </row>
    <row r="1380" spans="1:4">
      <c r="A1380" s="57">
        <v>4007</v>
      </c>
      <c r="B1380" s="57">
        <v>40913</v>
      </c>
      <c r="C1380" s="58">
        <v>1054.5</v>
      </c>
      <c r="D1380" s="58">
        <v>176.8</v>
      </c>
    </row>
    <row r="1381" spans="1:4">
      <c r="A1381" s="57">
        <v>4008</v>
      </c>
      <c r="B1381" s="57">
        <v>40842</v>
      </c>
      <c r="C1381" s="58">
        <v>1073.5999999999999</v>
      </c>
      <c r="D1381" s="58">
        <v>277.89999999999998</v>
      </c>
    </row>
    <row r="1382" spans="1:4">
      <c r="A1382" s="57">
        <v>4009</v>
      </c>
      <c r="B1382" s="57">
        <v>40842</v>
      </c>
      <c r="C1382" s="58">
        <v>1073.5999999999999</v>
      </c>
      <c r="D1382" s="58">
        <v>277.89999999999998</v>
      </c>
    </row>
    <row r="1383" spans="1:4">
      <c r="A1383" s="57">
        <v>4010</v>
      </c>
      <c r="B1383" s="57">
        <v>40913</v>
      </c>
      <c r="C1383" s="58">
        <v>1054.5</v>
      </c>
      <c r="D1383" s="58">
        <v>176.8</v>
      </c>
    </row>
    <row r="1384" spans="1:4">
      <c r="A1384" s="57">
        <v>4011</v>
      </c>
      <c r="B1384" s="57">
        <v>40913</v>
      </c>
      <c r="C1384" s="58">
        <v>1054.5</v>
      </c>
      <c r="D1384" s="58">
        <v>176.8</v>
      </c>
    </row>
    <row r="1385" spans="1:4">
      <c r="A1385" s="57">
        <v>4012</v>
      </c>
      <c r="B1385" s="57">
        <v>40842</v>
      </c>
      <c r="C1385" s="58">
        <v>1073.5999999999999</v>
      </c>
      <c r="D1385" s="58">
        <v>277.89999999999998</v>
      </c>
    </row>
    <row r="1386" spans="1:4">
      <c r="A1386" s="57">
        <v>4013</v>
      </c>
      <c r="B1386" s="57">
        <v>40842</v>
      </c>
      <c r="C1386" s="58">
        <v>1073.5999999999999</v>
      </c>
      <c r="D1386" s="58">
        <v>277.89999999999998</v>
      </c>
    </row>
    <row r="1387" spans="1:4">
      <c r="A1387" s="57">
        <v>4014</v>
      </c>
      <c r="B1387" s="57">
        <v>40842</v>
      </c>
      <c r="C1387" s="58">
        <v>1073.5999999999999</v>
      </c>
      <c r="D1387" s="58">
        <v>277.89999999999998</v>
      </c>
    </row>
    <row r="1388" spans="1:4">
      <c r="A1388" s="57">
        <v>4017</v>
      </c>
      <c r="B1388" s="57">
        <v>40842</v>
      </c>
      <c r="C1388" s="58">
        <v>1073.5999999999999</v>
      </c>
      <c r="D1388" s="58">
        <v>277.89999999999998</v>
      </c>
    </row>
    <row r="1389" spans="1:4">
      <c r="A1389" s="57">
        <v>4018</v>
      </c>
      <c r="B1389" s="57">
        <v>40842</v>
      </c>
      <c r="C1389" s="58">
        <v>1073.5999999999999</v>
      </c>
      <c r="D1389" s="58">
        <v>277.89999999999998</v>
      </c>
    </row>
    <row r="1390" spans="1:4">
      <c r="A1390" s="57">
        <v>4019</v>
      </c>
      <c r="B1390" s="57">
        <v>40958</v>
      </c>
      <c r="C1390" s="58">
        <v>1035.5999999999999</v>
      </c>
      <c r="D1390" s="58">
        <v>207.3</v>
      </c>
    </row>
    <row r="1391" spans="1:4">
      <c r="A1391" s="57">
        <v>4020</v>
      </c>
      <c r="B1391" s="57">
        <v>40958</v>
      </c>
      <c r="C1391" s="58">
        <v>1035.5999999999999</v>
      </c>
      <c r="D1391" s="58">
        <v>207.3</v>
      </c>
    </row>
    <row r="1392" spans="1:4">
      <c r="A1392" s="57">
        <v>4021</v>
      </c>
      <c r="B1392" s="57">
        <v>40958</v>
      </c>
      <c r="C1392" s="58">
        <v>1035.5999999999999</v>
      </c>
      <c r="D1392" s="58">
        <v>207.3</v>
      </c>
    </row>
    <row r="1393" spans="1:4">
      <c r="A1393" s="57">
        <v>4022</v>
      </c>
      <c r="B1393" s="57">
        <v>40958</v>
      </c>
      <c r="C1393" s="58">
        <v>1035.5999999999999</v>
      </c>
      <c r="D1393" s="58">
        <v>207.3</v>
      </c>
    </row>
    <row r="1394" spans="1:4">
      <c r="A1394" s="57">
        <v>4025</v>
      </c>
      <c r="B1394" s="57">
        <v>40043</v>
      </c>
      <c r="C1394" s="58">
        <v>1245.2</v>
      </c>
      <c r="D1394" s="58">
        <v>116</v>
      </c>
    </row>
    <row r="1395" spans="1:4">
      <c r="A1395" s="57">
        <v>4029</v>
      </c>
      <c r="B1395" s="57">
        <v>40913</v>
      </c>
      <c r="C1395" s="58">
        <v>1054.5</v>
      </c>
      <c r="D1395" s="58">
        <v>176.8</v>
      </c>
    </row>
    <row r="1396" spans="1:4">
      <c r="A1396" s="57">
        <v>4030</v>
      </c>
      <c r="B1396" s="57">
        <v>40913</v>
      </c>
      <c r="C1396" s="58">
        <v>1054.5</v>
      </c>
      <c r="D1396" s="58">
        <v>176.8</v>
      </c>
    </row>
    <row r="1397" spans="1:4">
      <c r="A1397" s="57">
        <v>4031</v>
      </c>
      <c r="B1397" s="57">
        <v>40913</v>
      </c>
      <c r="C1397" s="58">
        <v>1054.5</v>
      </c>
      <c r="D1397" s="58">
        <v>176.8</v>
      </c>
    </row>
    <row r="1398" spans="1:4">
      <c r="A1398" s="57">
        <v>4032</v>
      </c>
      <c r="B1398" s="57">
        <v>40842</v>
      </c>
      <c r="C1398" s="58">
        <v>1073.5999999999999</v>
      </c>
      <c r="D1398" s="58">
        <v>277.89999999999998</v>
      </c>
    </row>
    <row r="1399" spans="1:4">
      <c r="A1399" s="57">
        <v>4034</v>
      </c>
      <c r="B1399" s="57">
        <v>40842</v>
      </c>
      <c r="C1399" s="58">
        <v>1073.5999999999999</v>
      </c>
      <c r="D1399" s="58">
        <v>277.89999999999998</v>
      </c>
    </row>
    <row r="1400" spans="1:4">
      <c r="A1400" s="57">
        <v>4035</v>
      </c>
      <c r="B1400" s="57">
        <v>40913</v>
      </c>
      <c r="C1400" s="58">
        <v>1054.5</v>
      </c>
      <c r="D1400" s="58">
        <v>176.8</v>
      </c>
    </row>
    <row r="1401" spans="1:4">
      <c r="A1401" s="57">
        <v>4036</v>
      </c>
      <c r="B1401" s="57">
        <v>40958</v>
      </c>
      <c r="C1401" s="58">
        <v>1035.5999999999999</v>
      </c>
      <c r="D1401" s="58">
        <v>207.3</v>
      </c>
    </row>
    <row r="1402" spans="1:4">
      <c r="A1402" s="57">
        <v>4037</v>
      </c>
      <c r="B1402" s="57">
        <v>40913</v>
      </c>
      <c r="C1402" s="58">
        <v>1054.5</v>
      </c>
      <c r="D1402" s="58">
        <v>176.8</v>
      </c>
    </row>
    <row r="1403" spans="1:4">
      <c r="A1403" s="57">
        <v>4051</v>
      </c>
      <c r="B1403" s="57">
        <v>40913</v>
      </c>
      <c r="C1403" s="58">
        <v>1054.5</v>
      </c>
      <c r="D1403" s="58">
        <v>176.8</v>
      </c>
    </row>
    <row r="1404" spans="1:4">
      <c r="A1404" s="57">
        <v>4053</v>
      </c>
      <c r="B1404" s="57">
        <v>40913</v>
      </c>
      <c r="C1404" s="58">
        <v>1054.5</v>
      </c>
      <c r="D1404" s="58">
        <v>176.8</v>
      </c>
    </row>
    <row r="1405" spans="1:4">
      <c r="A1405" s="57">
        <v>4054</v>
      </c>
      <c r="B1405" s="57">
        <v>40913</v>
      </c>
      <c r="C1405" s="58">
        <v>1054.5</v>
      </c>
      <c r="D1405" s="58">
        <v>176.8</v>
      </c>
    </row>
    <row r="1406" spans="1:4">
      <c r="A1406" s="57">
        <v>4055</v>
      </c>
      <c r="B1406" s="57">
        <v>40913</v>
      </c>
      <c r="C1406" s="58">
        <v>1054.5</v>
      </c>
      <c r="D1406" s="58">
        <v>176.8</v>
      </c>
    </row>
    <row r="1407" spans="1:4">
      <c r="A1407" s="57">
        <v>4059</v>
      </c>
      <c r="B1407" s="57">
        <v>40913</v>
      </c>
      <c r="C1407" s="58">
        <v>1054.5</v>
      </c>
      <c r="D1407" s="58">
        <v>176.8</v>
      </c>
    </row>
    <row r="1408" spans="1:4">
      <c r="A1408" s="57">
        <v>4060</v>
      </c>
      <c r="B1408" s="57">
        <v>40913</v>
      </c>
      <c r="C1408" s="58">
        <v>1054.5</v>
      </c>
      <c r="D1408" s="58">
        <v>176.8</v>
      </c>
    </row>
    <row r="1409" spans="1:4">
      <c r="A1409" s="57">
        <v>4061</v>
      </c>
      <c r="B1409" s="57">
        <v>40913</v>
      </c>
      <c r="C1409" s="58">
        <v>1054.5</v>
      </c>
      <c r="D1409" s="58">
        <v>176.8</v>
      </c>
    </row>
    <row r="1410" spans="1:4">
      <c r="A1410" s="57">
        <v>4064</v>
      </c>
      <c r="B1410" s="57">
        <v>40913</v>
      </c>
      <c r="C1410" s="58">
        <v>1054.5</v>
      </c>
      <c r="D1410" s="58">
        <v>176.8</v>
      </c>
    </row>
    <row r="1411" spans="1:4">
      <c r="A1411" s="57">
        <v>4065</v>
      </c>
      <c r="B1411" s="57">
        <v>40913</v>
      </c>
      <c r="C1411" s="58">
        <v>1054.5</v>
      </c>
      <c r="D1411" s="58">
        <v>176.8</v>
      </c>
    </row>
    <row r="1412" spans="1:4">
      <c r="A1412" s="57">
        <v>4066</v>
      </c>
      <c r="B1412" s="57">
        <v>40913</v>
      </c>
      <c r="C1412" s="58">
        <v>1054.5</v>
      </c>
      <c r="D1412" s="58">
        <v>176.8</v>
      </c>
    </row>
    <row r="1413" spans="1:4">
      <c r="A1413" s="57">
        <v>4067</v>
      </c>
      <c r="B1413" s="57">
        <v>40913</v>
      </c>
      <c r="C1413" s="58">
        <v>1054.5</v>
      </c>
      <c r="D1413" s="58">
        <v>176.8</v>
      </c>
    </row>
    <row r="1414" spans="1:4">
      <c r="A1414" s="57">
        <v>4068</v>
      </c>
      <c r="B1414" s="57">
        <v>40913</v>
      </c>
      <c r="C1414" s="58">
        <v>1054.5</v>
      </c>
      <c r="D1414" s="58">
        <v>176.8</v>
      </c>
    </row>
    <row r="1415" spans="1:4">
      <c r="A1415" s="57">
        <v>4069</v>
      </c>
      <c r="B1415" s="57">
        <v>40913</v>
      </c>
      <c r="C1415" s="58">
        <v>1054.5</v>
      </c>
      <c r="D1415" s="58">
        <v>176.8</v>
      </c>
    </row>
    <row r="1416" spans="1:4">
      <c r="A1416" s="57">
        <v>4070</v>
      </c>
      <c r="B1416" s="57">
        <v>40211</v>
      </c>
      <c r="C1416" s="58">
        <v>967</v>
      </c>
      <c r="D1416" s="58">
        <v>306.5</v>
      </c>
    </row>
    <row r="1417" spans="1:4">
      <c r="A1417" s="57">
        <v>4072</v>
      </c>
      <c r="B1417" s="57">
        <v>40913</v>
      </c>
      <c r="C1417" s="58">
        <v>1054.5</v>
      </c>
      <c r="D1417" s="58">
        <v>176.8</v>
      </c>
    </row>
    <row r="1418" spans="1:4">
      <c r="A1418" s="57">
        <v>4073</v>
      </c>
      <c r="B1418" s="57">
        <v>40211</v>
      </c>
      <c r="C1418" s="58">
        <v>967</v>
      </c>
      <c r="D1418" s="58">
        <v>306.5</v>
      </c>
    </row>
    <row r="1419" spans="1:4">
      <c r="A1419" s="57">
        <v>4074</v>
      </c>
      <c r="B1419" s="57">
        <v>40211</v>
      </c>
      <c r="C1419" s="58">
        <v>967</v>
      </c>
      <c r="D1419" s="58">
        <v>306.5</v>
      </c>
    </row>
    <row r="1420" spans="1:4">
      <c r="A1420" s="57">
        <v>4075</v>
      </c>
      <c r="B1420" s="57">
        <v>40211</v>
      </c>
      <c r="C1420" s="58">
        <v>967</v>
      </c>
      <c r="D1420" s="58">
        <v>306.5</v>
      </c>
    </row>
    <row r="1421" spans="1:4">
      <c r="A1421" s="57">
        <v>4076</v>
      </c>
      <c r="B1421" s="57">
        <v>40211</v>
      </c>
      <c r="C1421" s="58">
        <v>967</v>
      </c>
      <c r="D1421" s="58">
        <v>306.5</v>
      </c>
    </row>
    <row r="1422" spans="1:4">
      <c r="A1422" s="57">
        <v>4077</v>
      </c>
      <c r="B1422" s="57">
        <v>40211</v>
      </c>
      <c r="C1422" s="58">
        <v>967</v>
      </c>
      <c r="D1422" s="58">
        <v>306.5</v>
      </c>
    </row>
    <row r="1423" spans="1:4">
      <c r="A1423" s="57">
        <v>4078</v>
      </c>
      <c r="B1423" s="57">
        <v>40211</v>
      </c>
      <c r="C1423" s="58">
        <v>967</v>
      </c>
      <c r="D1423" s="58">
        <v>306.5</v>
      </c>
    </row>
    <row r="1424" spans="1:4">
      <c r="A1424" s="57">
        <v>4101</v>
      </c>
      <c r="B1424" s="57">
        <v>40913</v>
      </c>
      <c r="C1424" s="58">
        <v>1054.5</v>
      </c>
      <c r="D1424" s="58">
        <v>176.8</v>
      </c>
    </row>
    <row r="1425" spans="1:4">
      <c r="A1425" s="57">
        <v>4102</v>
      </c>
      <c r="B1425" s="57">
        <v>40913</v>
      </c>
      <c r="C1425" s="58">
        <v>1054.5</v>
      </c>
      <c r="D1425" s="58">
        <v>176.8</v>
      </c>
    </row>
    <row r="1426" spans="1:4">
      <c r="A1426" s="57">
        <v>4103</v>
      </c>
      <c r="B1426" s="57">
        <v>40913</v>
      </c>
      <c r="C1426" s="58">
        <v>1054.5</v>
      </c>
      <c r="D1426" s="58">
        <v>176.8</v>
      </c>
    </row>
    <row r="1427" spans="1:4">
      <c r="A1427" s="57">
        <v>4104</v>
      </c>
      <c r="B1427" s="57">
        <v>40913</v>
      </c>
      <c r="C1427" s="58">
        <v>1054.5</v>
      </c>
      <c r="D1427" s="58">
        <v>176.8</v>
      </c>
    </row>
    <row r="1428" spans="1:4">
      <c r="A1428" s="57">
        <v>4105</v>
      </c>
      <c r="B1428" s="57">
        <v>40211</v>
      </c>
      <c r="C1428" s="58">
        <v>967</v>
      </c>
      <c r="D1428" s="58">
        <v>306.5</v>
      </c>
    </row>
    <row r="1429" spans="1:4">
      <c r="A1429" s="57">
        <v>4106</v>
      </c>
      <c r="B1429" s="57">
        <v>40211</v>
      </c>
      <c r="C1429" s="58">
        <v>967</v>
      </c>
      <c r="D1429" s="58">
        <v>306.5</v>
      </c>
    </row>
    <row r="1430" spans="1:4">
      <c r="A1430" s="57">
        <v>4107</v>
      </c>
      <c r="B1430" s="57">
        <v>40211</v>
      </c>
      <c r="C1430" s="58">
        <v>967</v>
      </c>
      <c r="D1430" s="58">
        <v>306.5</v>
      </c>
    </row>
    <row r="1431" spans="1:4">
      <c r="A1431" s="57">
        <v>4108</v>
      </c>
      <c r="B1431" s="57">
        <v>40211</v>
      </c>
      <c r="C1431" s="58">
        <v>967</v>
      </c>
      <c r="D1431" s="58">
        <v>306.5</v>
      </c>
    </row>
    <row r="1432" spans="1:4">
      <c r="A1432" s="57">
        <v>4109</v>
      </c>
      <c r="B1432" s="57">
        <v>40211</v>
      </c>
      <c r="C1432" s="58">
        <v>967</v>
      </c>
      <c r="D1432" s="58">
        <v>306.5</v>
      </c>
    </row>
    <row r="1433" spans="1:4">
      <c r="A1433" s="57">
        <v>4110</v>
      </c>
      <c r="B1433" s="57">
        <v>40211</v>
      </c>
      <c r="C1433" s="58">
        <v>967</v>
      </c>
      <c r="D1433" s="58">
        <v>306.5</v>
      </c>
    </row>
    <row r="1434" spans="1:4">
      <c r="A1434" s="57">
        <v>4111</v>
      </c>
      <c r="B1434" s="57">
        <v>40211</v>
      </c>
      <c r="C1434" s="58">
        <v>967</v>
      </c>
      <c r="D1434" s="58">
        <v>306.5</v>
      </c>
    </row>
    <row r="1435" spans="1:4">
      <c r="A1435" s="57">
        <v>4112</v>
      </c>
      <c r="B1435" s="57">
        <v>40211</v>
      </c>
      <c r="C1435" s="58">
        <v>967</v>
      </c>
      <c r="D1435" s="58">
        <v>306.5</v>
      </c>
    </row>
    <row r="1436" spans="1:4">
      <c r="A1436" s="57">
        <v>4113</v>
      </c>
      <c r="B1436" s="57">
        <v>40211</v>
      </c>
      <c r="C1436" s="58">
        <v>967</v>
      </c>
      <c r="D1436" s="58">
        <v>306.5</v>
      </c>
    </row>
    <row r="1437" spans="1:4">
      <c r="A1437" s="57">
        <v>4114</v>
      </c>
      <c r="B1437" s="57">
        <v>40211</v>
      </c>
      <c r="C1437" s="58">
        <v>967</v>
      </c>
      <c r="D1437" s="58">
        <v>306.5</v>
      </c>
    </row>
    <row r="1438" spans="1:4">
      <c r="A1438" s="57">
        <v>4115</v>
      </c>
      <c r="B1438" s="57">
        <v>40211</v>
      </c>
      <c r="C1438" s="58">
        <v>967</v>
      </c>
      <c r="D1438" s="58">
        <v>306.5</v>
      </c>
    </row>
    <row r="1439" spans="1:4">
      <c r="A1439" s="57">
        <v>4116</v>
      </c>
      <c r="B1439" s="57">
        <v>40211</v>
      </c>
      <c r="C1439" s="58">
        <v>967</v>
      </c>
      <c r="D1439" s="58">
        <v>306.5</v>
      </c>
    </row>
    <row r="1440" spans="1:4">
      <c r="A1440" s="57">
        <v>4117</v>
      </c>
      <c r="B1440" s="57">
        <v>40211</v>
      </c>
      <c r="C1440" s="58">
        <v>967</v>
      </c>
      <c r="D1440" s="58">
        <v>306.5</v>
      </c>
    </row>
    <row r="1441" spans="1:4">
      <c r="A1441" s="57">
        <v>4118</v>
      </c>
      <c r="B1441" s="57">
        <v>40211</v>
      </c>
      <c r="C1441" s="58">
        <v>967</v>
      </c>
      <c r="D1441" s="58">
        <v>306.5</v>
      </c>
    </row>
    <row r="1442" spans="1:4">
      <c r="A1442" s="57">
        <v>4119</v>
      </c>
      <c r="B1442" s="57">
        <v>40211</v>
      </c>
      <c r="C1442" s="58">
        <v>967</v>
      </c>
      <c r="D1442" s="58">
        <v>306.5</v>
      </c>
    </row>
    <row r="1443" spans="1:4">
      <c r="A1443" s="57">
        <v>4120</v>
      </c>
      <c r="B1443" s="57">
        <v>40913</v>
      </c>
      <c r="C1443" s="58">
        <v>1054.5</v>
      </c>
      <c r="D1443" s="58">
        <v>176.8</v>
      </c>
    </row>
    <row r="1444" spans="1:4">
      <c r="A1444" s="57">
        <v>4121</v>
      </c>
      <c r="B1444" s="57">
        <v>40913</v>
      </c>
      <c r="C1444" s="58">
        <v>1054.5</v>
      </c>
      <c r="D1444" s="58">
        <v>176.8</v>
      </c>
    </row>
    <row r="1445" spans="1:4">
      <c r="A1445" s="57">
        <v>4122</v>
      </c>
      <c r="B1445" s="57">
        <v>40913</v>
      </c>
      <c r="C1445" s="58">
        <v>1054.5</v>
      </c>
      <c r="D1445" s="58">
        <v>176.8</v>
      </c>
    </row>
    <row r="1446" spans="1:4">
      <c r="A1446" s="57">
        <v>4123</v>
      </c>
      <c r="B1446" s="57">
        <v>40211</v>
      </c>
      <c r="C1446" s="58">
        <v>967</v>
      </c>
      <c r="D1446" s="58">
        <v>306.5</v>
      </c>
    </row>
    <row r="1447" spans="1:4">
      <c r="A1447" s="57">
        <v>4124</v>
      </c>
      <c r="B1447" s="57">
        <v>40211</v>
      </c>
      <c r="C1447" s="58">
        <v>967</v>
      </c>
      <c r="D1447" s="58">
        <v>306.5</v>
      </c>
    </row>
    <row r="1448" spans="1:4">
      <c r="A1448" s="57">
        <v>4125</v>
      </c>
      <c r="B1448" s="57">
        <v>40211</v>
      </c>
      <c r="C1448" s="58">
        <v>967</v>
      </c>
      <c r="D1448" s="58">
        <v>306.5</v>
      </c>
    </row>
    <row r="1449" spans="1:4">
      <c r="A1449" s="57">
        <v>4127</v>
      </c>
      <c r="B1449" s="57">
        <v>40211</v>
      </c>
      <c r="C1449" s="58">
        <v>967</v>
      </c>
      <c r="D1449" s="58">
        <v>306.5</v>
      </c>
    </row>
    <row r="1450" spans="1:4">
      <c r="A1450" s="57">
        <v>4128</v>
      </c>
      <c r="B1450" s="57">
        <v>40211</v>
      </c>
      <c r="C1450" s="58">
        <v>967</v>
      </c>
      <c r="D1450" s="58">
        <v>306.5</v>
      </c>
    </row>
    <row r="1451" spans="1:4">
      <c r="A1451" s="57">
        <v>4129</v>
      </c>
      <c r="B1451" s="57">
        <v>40211</v>
      </c>
      <c r="C1451" s="58">
        <v>967</v>
      </c>
      <c r="D1451" s="58">
        <v>306.5</v>
      </c>
    </row>
    <row r="1452" spans="1:4">
      <c r="A1452" s="57">
        <v>4130</v>
      </c>
      <c r="B1452" s="57">
        <v>40211</v>
      </c>
      <c r="C1452" s="58">
        <v>967</v>
      </c>
      <c r="D1452" s="58">
        <v>306.5</v>
      </c>
    </row>
    <row r="1453" spans="1:4">
      <c r="A1453" s="57">
        <v>4131</v>
      </c>
      <c r="B1453" s="57">
        <v>40211</v>
      </c>
      <c r="C1453" s="58">
        <v>967</v>
      </c>
      <c r="D1453" s="58">
        <v>306.5</v>
      </c>
    </row>
    <row r="1454" spans="1:4">
      <c r="A1454" s="57">
        <v>4132</v>
      </c>
      <c r="B1454" s="57">
        <v>40211</v>
      </c>
      <c r="C1454" s="58">
        <v>967</v>
      </c>
      <c r="D1454" s="58">
        <v>306.5</v>
      </c>
    </row>
    <row r="1455" spans="1:4">
      <c r="A1455" s="57">
        <v>4133</v>
      </c>
      <c r="B1455" s="57">
        <v>40211</v>
      </c>
      <c r="C1455" s="58">
        <v>967</v>
      </c>
      <c r="D1455" s="58">
        <v>306.5</v>
      </c>
    </row>
    <row r="1456" spans="1:4">
      <c r="A1456" s="57">
        <v>4151</v>
      </c>
      <c r="B1456" s="57">
        <v>40913</v>
      </c>
      <c r="C1456" s="58">
        <v>1054.5</v>
      </c>
      <c r="D1456" s="58">
        <v>176.8</v>
      </c>
    </row>
    <row r="1457" spans="1:4">
      <c r="A1457" s="57">
        <v>4152</v>
      </c>
      <c r="B1457" s="57">
        <v>40913</v>
      </c>
      <c r="C1457" s="58">
        <v>1054.5</v>
      </c>
      <c r="D1457" s="58">
        <v>176.8</v>
      </c>
    </row>
    <row r="1458" spans="1:4">
      <c r="A1458" s="57">
        <v>4153</v>
      </c>
      <c r="B1458" s="57">
        <v>40913</v>
      </c>
      <c r="C1458" s="58">
        <v>1054.5</v>
      </c>
      <c r="D1458" s="58">
        <v>176.8</v>
      </c>
    </row>
    <row r="1459" spans="1:4">
      <c r="A1459" s="57">
        <v>4154</v>
      </c>
      <c r="B1459" s="57">
        <v>40842</v>
      </c>
      <c r="C1459" s="58">
        <v>1073.5999999999999</v>
      </c>
      <c r="D1459" s="58">
        <v>277.89999999999998</v>
      </c>
    </row>
    <row r="1460" spans="1:4">
      <c r="A1460" s="57">
        <v>4155</v>
      </c>
      <c r="B1460" s="57">
        <v>40913</v>
      </c>
      <c r="C1460" s="58">
        <v>1054.5</v>
      </c>
      <c r="D1460" s="58">
        <v>176.8</v>
      </c>
    </row>
    <row r="1461" spans="1:4">
      <c r="A1461" s="57">
        <v>4156</v>
      </c>
      <c r="B1461" s="57">
        <v>40913</v>
      </c>
      <c r="C1461" s="58">
        <v>1054.5</v>
      </c>
      <c r="D1461" s="58">
        <v>176.8</v>
      </c>
    </row>
    <row r="1462" spans="1:4">
      <c r="A1462" s="57">
        <v>4157</v>
      </c>
      <c r="B1462" s="57">
        <v>40913</v>
      </c>
      <c r="C1462" s="58">
        <v>1054.5</v>
      </c>
      <c r="D1462" s="58">
        <v>176.8</v>
      </c>
    </row>
    <row r="1463" spans="1:4">
      <c r="A1463" s="57">
        <v>4158</v>
      </c>
      <c r="B1463" s="57">
        <v>40842</v>
      </c>
      <c r="C1463" s="58">
        <v>1073.5999999999999</v>
      </c>
      <c r="D1463" s="58">
        <v>277.89999999999998</v>
      </c>
    </row>
    <row r="1464" spans="1:4">
      <c r="A1464" s="57">
        <v>4159</v>
      </c>
      <c r="B1464" s="57">
        <v>40842</v>
      </c>
      <c r="C1464" s="58">
        <v>1073.5999999999999</v>
      </c>
      <c r="D1464" s="58">
        <v>277.89999999999998</v>
      </c>
    </row>
    <row r="1465" spans="1:4">
      <c r="A1465" s="57">
        <v>4160</v>
      </c>
      <c r="B1465" s="57">
        <v>40842</v>
      </c>
      <c r="C1465" s="58">
        <v>1073.5999999999999</v>
      </c>
      <c r="D1465" s="58">
        <v>277.89999999999998</v>
      </c>
    </row>
    <row r="1466" spans="1:4">
      <c r="A1466" s="57">
        <v>4161</v>
      </c>
      <c r="B1466" s="57">
        <v>40842</v>
      </c>
      <c r="C1466" s="58">
        <v>1073.5999999999999</v>
      </c>
      <c r="D1466" s="58">
        <v>277.89999999999998</v>
      </c>
    </row>
    <row r="1467" spans="1:4">
      <c r="A1467" s="57">
        <v>4163</v>
      </c>
      <c r="B1467" s="57">
        <v>40842</v>
      </c>
      <c r="C1467" s="58">
        <v>1073.5999999999999</v>
      </c>
      <c r="D1467" s="58">
        <v>277.89999999999998</v>
      </c>
    </row>
    <row r="1468" spans="1:4">
      <c r="A1468" s="57">
        <v>4164</v>
      </c>
      <c r="B1468" s="57">
        <v>40842</v>
      </c>
      <c r="C1468" s="58">
        <v>1073.5999999999999</v>
      </c>
      <c r="D1468" s="58">
        <v>277.89999999999998</v>
      </c>
    </row>
    <row r="1469" spans="1:4">
      <c r="A1469" s="57">
        <v>4165</v>
      </c>
      <c r="B1469" s="57">
        <v>40211</v>
      </c>
      <c r="C1469" s="58">
        <v>967</v>
      </c>
      <c r="D1469" s="58">
        <v>306.5</v>
      </c>
    </row>
    <row r="1470" spans="1:4">
      <c r="A1470" s="57">
        <v>4169</v>
      </c>
      <c r="B1470" s="57">
        <v>40913</v>
      </c>
      <c r="C1470" s="58">
        <v>1054.5</v>
      </c>
      <c r="D1470" s="58">
        <v>176.8</v>
      </c>
    </row>
    <row r="1471" spans="1:4">
      <c r="A1471" s="57">
        <v>4170</v>
      </c>
      <c r="B1471" s="57">
        <v>40913</v>
      </c>
      <c r="C1471" s="58">
        <v>1054.5</v>
      </c>
      <c r="D1471" s="58">
        <v>176.8</v>
      </c>
    </row>
    <row r="1472" spans="1:4">
      <c r="A1472" s="57">
        <v>4171</v>
      </c>
      <c r="B1472" s="57">
        <v>40913</v>
      </c>
      <c r="C1472" s="58">
        <v>1054.5</v>
      </c>
      <c r="D1472" s="58">
        <v>176.8</v>
      </c>
    </row>
    <row r="1473" spans="1:4">
      <c r="A1473" s="57">
        <v>4172</v>
      </c>
      <c r="B1473" s="57">
        <v>40913</v>
      </c>
      <c r="C1473" s="58">
        <v>1054.5</v>
      </c>
      <c r="D1473" s="58">
        <v>176.8</v>
      </c>
    </row>
    <row r="1474" spans="1:4">
      <c r="A1474" s="57">
        <v>4173</v>
      </c>
      <c r="B1474" s="57">
        <v>40842</v>
      </c>
      <c r="C1474" s="58">
        <v>1073.5999999999999</v>
      </c>
      <c r="D1474" s="58">
        <v>277.89999999999998</v>
      </c>
    </row>
    <row r="1475" spans="1:4">
      <c r="A1475" s="57">
        <v>4174</v>
      </c>
      <c r="B1475" s="57">
        <v>40842</v>
      </c>
      <c r="C1475" s="58">
        <v>1073.5999999999999</v>
      </c>
      <c r="D1475" s="58">
        <v>277.89999999999998</v>
      </c>
    </row>
    <row r="1476" spans="1:4">
      <c r="A1476" s="57">
        <v>4178</v>
      </c>
      <c r="B1476" s="57">
        <v>40842</v>
      </c>
      <c r="C1476" s="58">
        <v>1073.5999999999999</v>
      </c>
      <c r="D1476" s="58">
        <v>277.89999999999998</v>
      </c>
    </row>
    <row r="1477" spans="1:4">
      <c r="A1477" s="57">
        <v>4179</v>
      </c>
      <c r="B1477" s="57">
        <v>40842</v>
      </c>
      <c r="C1477" s="58">
        <v>1073.5999999999999</v>
      </c>
      <c r="D1477" s="58">
        <v>277.89999999999998</v>
      </c>
    </row>
    <row r="1478" spans="1:4">
      <c r="A1478" s="57">
        <v>4183</v>
      </c>
      <c r="B1478" s="57">
        <v>40842</v>
      </c>
      <c r="C1478" s="58">
        <v>1073.5999999999999</v>
      </c>
      <c r="D1478" s="58">
        <v>277.89999999999998</v>
      </c>
    </row>
    <row r="1479" spans="1:4">
      <c r="A1479" s="57">
        <v>4184</v>
      </c>
      <c r="B1479" s="57">
        <v>40764</v>
      </c>
      <c r="C1479" s="58">
        <v>1163.3</v>
      </c>
      <c r="D1479" s="58">
        <v>135.9</v>
      </c>
    </row>
    <row r="1480" spans="1:4">
      <c r="A1480" s="57">
        <v>4205</v>
      </c>
      <c r="B1480" s="57">
        <v>40211</v>
      </c>
      <c r="C1480" s="58">
        <v>967</v>
      </c>
      <c r="D1480" s="58">
        <v>306.5</v>
      </c>
    </row>
    <row r="1481" spans="1:4">
      <c r="A1481" s="57">
        <v>4207</v>
      </c>
      <c r="B1481" s="57">
        <v>40211</v>
      </c>
      <c r="C1481" s="58">
        <v>967</v>
      </c>
      <c r="D1481" s="58">
        <v>306.5</v>
      </c>
    </row>
    <row r="1482" spans="1:4">
      <c r="A1482" s="57">
        <v>4208</v>
      </c>
      <c r="B1482" s="57">
        <v>40764</v>
      </c>
      <c r="C1482" s="58">
        <v>1163.3</v>
      </c>
      <c r="D1482" s="58">
        <v>135.9</v>
      </c>
    </row>
    <row r="1483" spans="1:4">
      <c r="A1483" s="57">
        <v>4209</v>
      </c>
      <c r="B1483" s="57">
        <v>40764</v>
      </c>
      <c r="C1483" s="58">
        <v>1163.3</v>
      </c>
      <c r="D1483" s="58">
        <v>135.9</v>
      </c>
    </row>
    <row r="1484" spans="1:4">
      <c r="A1484" s="57">
        <v>4210</v>
      </c>
      <c r="B1484" s="57">
        <v>40764</v>
      </c>
      <c r="C1484" s="58">
        <v>1163.3</v>
      </c>
      <c r="D1484" s="58">
        <v>135.9</v>
      </c>
    </row>
    <row r="1485" spans="1:4">
      <c r="A1485" s="57">
        <v>4211</v>
      </c>
      <c r="B1485" s="57">
        <v>40983</v>
      </c>
      <c r="C1485" s="58">
        <v>886.9</v>
      </c>
      <c r="D1485" s="58">
        <v>492.9</v>
      </c>
    </row>
    <row r="1486" spans="1:4">
      <c r="A1486" s="57">
        <v>4212</v>
      </c>
      <c r="B1486" s="57">
        <v>40764</v>
      </c>
      <c r="C1486" s="58">
        <v>1163.3</v>
      </c>
      <c r="D1486" s="58">
        <v>135.9</v>
      </c>
    </row>
    <row r="1487" spans="1:4">
      <c r="A1487" s="57">
        <v>4213</v>
      </c>
      <c r="B1487" s="57">
        <v>40717</v>
      </c>
      <c r="C1487" s="58">
        <v>1023.9</v>
      </c>
      <c r="D1487" s="58">
        <v>260.2</v>
      </c>
    </row>
    <row r="1488" spans="1:4">
      <c r="A1488" s="57">
        <v>4214</v>
      </c>
      <c r="B1488" s="57">
        <v>40764</v>
      </c>
      <c r="C1488" s="58">
        <v>1163.3</v>
      </c>
      <c r="D1488" s="58">
        <v>135.9</v>
      </c>
    </row>
    <row r="1489" spans="1:4">
      <c r="A1489" s="57">
        <v>4215</v>
      </c>
      <c r="B1489" s="57">
        <v>40764</v>
      </c>
      <c r="C1489" s="58">
        <v>1163.3</v>
      </c>
      <c r="D1489" s="58">
        <v>135.9</v>
      </c>
    </row>
    <row r="1490" spans="1:4">
      <c r="A1490" s="57">
        <v>4216</v>
      </c>
      <c r="B1490" s="57">
        <v>40764</v>
      </c>
      <c r="C1490" s="58">
        <v>1163.3</v>
      </c>
      <c r="D1490" s="58">
        <v>135.9</v>
      </c>
    </row>
    <row r="1491" spans="1:4">
      <c r="A1491" s="57">
        <v>4217</v>
      </c>
      <c r="B1491" s="57">
        <v>40764</v>
      </c>
      <c r="C1491" s="58">
        <v>1163.3</v>
      </c>
      <c r="D1491" s="58">
        <v>135.9</v>
      </c>
    </row>
    <row r="1492" spans="1:4">
      <c r="A1492" s="57">
        <v>4218</v>
      </c>
      <c r="B1492" s="57">
        <v>40764</v>
      </c>
      <c r="C1492" s="58">
        <v>1163.3</v>
      </c>
      <c r="D1492" s="58">
        <v>135.9</v>
      </c>
    </row>
    <row r="1493" spans="1:4">
      <c r="A1493" s="57">
        <v>4219</v>
      </c>
      <c r="B1493" s="57">
        <v>40717</v>
      </c>
      <c r="C1493" s="58">
        <v>1023.9</v>
      </c>
      <c r="D1493" s="58">
        <v>260.2</v>
      </c>
    </row>
    <row r="1494" spans="1:4">
      <c r="A1494" s="57">
        <v>4220</v>
      </c>
      <c r="B1494" s="57">
        <v>40717</v>
      </c>
      <c r="C1494" s="58">
        <v>1023.9</v>
      </c>
      <c r="D1494" s="58">
        <v>260.2</v>
      </c>
    </row>
    <row r="1495" spans="1:4">
      <c r="A1495" s="57">
        <v>4221</v>
      </c>
      <c r="B1495" s="57">
        <v>40717</v>
      </c>
      <c r="C1495" s="58">
        <v>1023.9</v>
      </c>
      <c r="D1495" s="58">
        <v>260.2</v>
      </c>
    </row>
    <row r="1496" spans="1:4">
      <c r="A1496" s="57">
        <v>4222</v>
      </c>
      <c r="B1496" s="57">
        <v>40211</v>
      </c>
      <c r="C1496" s="58">
        <v>967</v>
      </c>
      <c r="D1496" s="58">
        <v>306.5</v>
      </c>
    </row>
    <row r="1497" spans="1:4">
      <c r="A1497" s="57">
        <v>4223</v>
      </c>
      <c r="B1497" s="57">
        <v>40717</v>
      </c>
      <c r="C1497" s="58">
        <v>1023.9</v>
      </c>
      <c r="D1497" s="58">
        <v>260.2</v>
      </c>
    </row>
    <row r="1498" spans="1:4">
      <c r="A1498" s="57">
        <v>4224</v>
      </c>
      <c r="B1498" s="57">
        <v>40717</v>
      </c>
      <c r="C1498" s="58">
        <v>1023.9</v>
      </c>
      <c r="D1498" s="58">
        <v>260.2</v>
      </c>
    </row>
    <row r="1499" spans="1:4">
      <c r="A1499" s="57">
        <v>4225</v>
      </c>
      <c r="B1499" s="57">
        <v>40717</v>
      </c>
      <c r="C1499" s="58">
        <v>1023.9</v>
      </c>
      <c r="D1499" s="58">
        <v>260.2</v>
      </c>
    </row>
    <row r="1500" spans="1:4">
      <c r="A1500" s="57">
        <v>4226</v>
      </c>
      <c r="B1500" s="57">
        <v>40764</v>
      </c>
      <c r="C1500" s="58">
        <v>1163.3</v>
      </c>
      <c r="D1500" s="58">
        <v>135.9</v>
      </c>
    </row>
    <row r="1501" spans="1:4">
      <c r="A1501" s="57">
        <v>4227</v>
      </c>
      <c r="B1501" s="57">
        <v>40717</v>
      </c>
      <c r="C1501" s="58">
        <v>1023.9</v>
      </c>
      <c r="D1501" s="58">
        <v>260.2</v>
      </c>
    </row>
    <row r="1502" spans="1:4">
      <c r="A1502" s="57">
        <v>4228</v>
      </c>
      <c r="B1502" s="57">
        <v>40717</v>
      </c>
      <c r="C1502" s="58">
        <v>1023.9</v>
      </c>
      <c r="D1502" s="58">
        <v>260.2</v>
      </c>
    </row>
    <row r="1503" spans="1:4">
      <c r="A1503" s="57">
        <v>4229</v>
      </c>
      <c r="B1503" s="57">
        <v>40717</v>
      </c>
      <c r="C1503" s="58">
        <v>1023.9</v>
      </c>
      <c r="D1503" s="58">
        <v>260.2</v>
      </c>
    </row>
    <row r="1504" spans="1:4">
      <c r="A1504" s="57">
        <v>4230</v>
      </c>
      <c r="B1504" s="57">
        <v>40764</v>
      </c>
      <c r="C1504" s="58">
        <v>1163.3</v>
      </c>
      <c r="D1504" s="58">
        <v>135.9</v>
      </c>
    </row>
    <row r="1505" spans="1:4">
      <c r="A1505" s="57">
        <v>4270</v>
      </c>
      <c r="B1505" s="57">
        <v>40983</v>
      </c>
      <c r="C1505" s="58">
        <v>886.9</v>
      </c>
      <c r="D1505" s="58">
        <v>492.9</v>
      </c>
    </row>
    <row r="1506" spans="1:4">
      <c r="A1506" s="57">
        <v>4271</v>
      </c>
      <c r="B1506" s="57">
        <v>40983</v>
      </c>
      <c r="C1506" s="58">
        <v>886.9</v>
      </c>
      <c r="D1506" s="58">
        <v>492.9</v>
      </c>
    </row>
    <row r="1507" spans="1:4">
      <c r="A1507" s="57">
        <v>4272</v>
      </c>
      <c r="B1507" s="57">
        <v>40983</v>
      </c>
      <c r="C1507" s="58">
        <v>886.9</v>
      </c>
      <c r="D1507" s="58">
        <v>492.9</v>
      </c>
    </row>
    <row r="1508" spans="1:4">
      <c r="A1508" s="57">
        <v>4275</v>
      </c>
      <c r="B1508" s="57">
        <v>40983</v>
      </c>
      <c r="C1508" s="58">
        <v>886.9</v>
      </c>
      <c r="D1508" s="58">
        <v>492.9</v>
      </c>
    </row>
    <row r="1509" spans="1:4">
      <c r="A1509" s="57">
        <v>4280</v>
      </c>
      <c r="B1509" s="57">
        <v>40211</v>
      </c>
      <c r="C1509" s="58">
        <v>967</v>
      </c>
      <c r="D1509" s="58">
        <v>306.5</v>
      </c>
    </row>
    <row r="1510" spans="1:4">
      <c r="A1510" s="57">
        <v>4285</v>
      </c>
      <c r="B1510" s="57">
        <v>40983</v>
      </c>
      <c r="C1510" s="58">
        <v>886.9</v>
      </c>
      <c r="D1510" s="58">
        <v>492.9</v>
      </c>
    </row>
    <row r="1511" spans="1:4">
      <c r="A1511" s="57">
        <v>4287</v>
      </c>
      <c r="B1511" s="57">
        <v>40983</v>
      </c>
      <c r="C1511" s="58">
        <v>886.9</v>
      </c>
      <c r="D1511" s="58">
        <v>492.9</v>
      </c>
    </row>
    <row r="1512" spans="1:4">
      <c r="A1512" s="57">
        <v>4300</v>
      </c>
      <c r="B1512" s="57">
        <v>40211</v>
      </c>
      <c r="C1512" s="58">
        <v>967</v>
      </c>
      <c r="D1512" s="58">
        <v>306.5</v>
      </c>
    </row>
    <row r="1513" spans="1:4">
      <c r="A1513" s="57">
        <v>4301</v>
      </c>
      <c r="B1513" s="57">
        <v>40211</v>
      </c>
      <c r="C1513" s="58">
        <v>967</v>
      </c>
      <c r="D1513" s="58">
        <v>306.5</v>
      </c>
    </row>
    <row r="1514" spans="1:4">
      <c r="A1514" s="57">
        <v>4303</v>
      </c>
      <c r="B1514" s="57">
        <v>40004</v>
      </c>
      <c r="C1514" s="58">
        <v>877.6</v>
      </c>
      <c r="D1514" s="58">
        <v>479.9</v>
      </c>
    </row>
    <row r="1515" spans="1:4">
      <c r="A1515" s="57">
        <v>4304</v>
      </c>
      <c r="B1515" s="57">
        <v>40004</v>
      </c>
      <c r="C1515" s="58">
        <v>877.6</v>
      </c>
      <c r="D1515" s="58">
        <v>479.9</v>
      </c>
    </row>
    <row r="1516" spans="1:4">
      <c r="A1516" s="57">
        <v>4305</v>
      </c>
      <c r="B1516" s="57">
        <v>40004</v>
      </c>
      <c r="C1516" s="58">
        <v>877.6</v>
      </c>
      <c r="D1516" s="58">
        <v>479.9</v>
      </c>
    </row>
    <row r="1517" spans="1:4">
      <c r="A1517" s="57">
        <v>4306</v>
      </c>
      <c r="B1517" s="57">
        <v>40651</v>
      </c>
      <c r="C1517" s="58">
        <v>522.29999999999995</v>
      </c>
      <c r="D1517" s="58">
        <v>770.6</v>
      </c>
    </row>
    <row r="1518" spans="1:4">
      <c r="A1518" s="57">
        <v>4307</v>
      </c>
      <c r="B1518" s="57">
        <v>40004</v>
      </c>
      <c r="C1518" s="58">
        <v>877.6</v>
      </c>
      <c r="D1518" s="58">
        <v>479.9</v>
      </c>
    </row>
    <row r="1519" spans="1:4">
      <c r="A1519" s="57">
        <v>4309</v>
      </c>
      <c r="B1519" s="57">
        <v>40983</v>
      </c>
      <c r="C1519" s="58">
        <v>886.9</v>
      </c>
      <c r="D1519" s="58">
        <v>492.9</v>
      </c>
    </row>
    <row r="1520" spans="1:4">
      <c r="A1520" s="57">
        <v>4310</v>
      </c>
      <c r="B1520" s="57">
        <v>40004</v>
      </c>
      <c r="C1520" s="58">
        <v>877.6</v>
      </c>
      <c r="D1520" s="58">
        <v>479.9</v>
      </c>
    </row>
    <row r="1521" spans="1:4">
      <c r="A1521" s="57">
        <v>4311</v>
      </c>
      <c r="B1521" s="57">
        <v>40082</v>
      </c>
      <c r="C1521" s="58">
        <v>775.1</v>
      </c>
      <c r="D1521" s="58">
        <v>410.4</v>
      </c>
    </row>
    <row r="1522" spans="1:4">
      <c r="A1522" s="57">
        <v>4312</v>
      </c>
      <c r="B1522" s="57">
        <v>40082</v>
      </c>
      <c r="C1522" s="58">
        <v>775.1</v>
      </c>
      <c r="D1522" s="58">
        <v>410.4</v>
      </c>
    </row>
    <row r="1523" spans="1:4">
      <c r="A1523" s="57">
        <v>4313</v>
      </c>
      <c r="B1523" s="57">
        <v>40651</v>
      </c>
      <c r="C1523" s="58">
        <v>522.29999999999995</v>
      </c>
      <c r="D1523" s="58">
        <v>770.6</v>
      </c>
    </row>
    <row r="1524" spans="1:4">
      <c r="A1524" s="57">
        <v>4340</v>
      </c>
      <c r="B1524" s="57">
        <v>40004</v>
      </c>
      <c r="C1524" s="58">
        <v>877.6</v>
      </c>
      <c r="D1524" s="58">
        <v>479.9</v>
      </c>
    </row>
    <row r="1525" spans="1:4">
      <c r="A1525" s="57">
        <v>4341</v>
      </c>
      <c r="B1525" s="57">
        <v>40082</v>
      </c>
      <c r="C1525" s="58">
        <v>775.1</v>
      </c>
      <c r="D1525" s="58">
        <v>410.4</v>
      </c>
    </row>
    <row r="1526" spans="1:4">
      <c r="A1526" s="57">
        <v>4342</v>
      </c>
      <c r="B1526" s="57">
        <v>40082</v>
      </c>
      <c r="C1526" s="58">
        <v>775.1</v>
      </c>
      <c r="D1526" s="58">
        <v>410.4</v>
      </c>
    </row>
    <row r="1527" spans="1:4">
      <c r="A1527" s="57">
        <v>4343</v>
      </c>
      <c r="B1527" s="57">
        <v>40082</v>
      </c>
      <c r="C1527" s="58">
        <v>775.1</v>
      </c>
      <c r="D1527" s="58">
        <v>410.4</v>
      </c>
    </row>
    <row r="1528" spans="1:4">
      <c r="A1528" s="57">
        <v>4344</v>
      </c>
      <c r="B1528" s="57">
        <v>41529</v>
      </c>
      <c r="C1528" s="58">
        <v>388.1</v>
      </c>
      <c r="D1528" s="58">
        <v>762.6</v>
      </c>
    </row>
    <row r="1529" spans="1:4">
      <c r="A1529" s="57">
        <v>4345</v>
      </c>
      <c r="B1529" s="57">
        <v>40082</v>
      </c>
      <c r="C1529" s="58">
        <v>775.1</v>
      </c>
      <c r="D1529" s="58">
        <v>410.4</v>
      </c>
    </row>
    <row r="1530" spans="1:4">
      <c r="A1530" s="57">
        <v>4346</v>
      </c>
      <c r="B1530" s="57">
        <v>40004</v>
      </c>
      <c r="C1530" s="58">
        <v>877.6</v>
      </c>
      <c r="D1530" s="58">
        <v>479.9</v>
      </c>
    </row>
    <row r="1531" spans="1:4">
      <c r="A1531" s="57">
        <v>4347</v>
      </c>
      <c r="B1531" s="57">
        <v>40082</v>
      </c>
      <c r="C1531" s="58">
        <v>775.1</v>
      </c>
      <c r="D1531" s="58">
        <v>410.4</v>
      </c>
    </row>
    <row r="1532" spans="1:4">
      <c r="A1532" s="57">
        <v>4350</v>
      </c>
      <c r="B1532" s="57">
        <v>41529</v>
      </c>
      <c r="C1532" s="58">
        <v>388.1</v>
      </c>
      <c r="D1532" s="58">
        <v>762.6</v>
      </c>
    </row>
    <row r="1533" spans="1:4">
      <c r="A1533" s="57">
        <v>4352</v>
      </c>
      <c r="B1533" s="57">
        <v>41175</v>
      </c>
      <c r="C1533" s="58">
        <v>210.4</v>
      </c>
      <c r="D1533" s="58">
        <v>1395.1</v>
      </c>
    </row>
    <row r="1534" spans="1:4">
      <c r="A1534" s="57">
        <v>4353</v>
      </c>
      <c r="B1534" s="57">
        <v>41359</v>
      </c>
      <c r="C1534" s="58">
        <v>521.9</v>
      </c>
      <c r="D1534" s="58">
        <v>803.5</v>
      </c>
    </row>
    <row r="1535" spans="1:4">
      <c r="A1535" s="57">
        <v>4354</v>
      </c>
      <c r="B1535" s="57">
        <v>41359</v>
      </c>
      <c r="C1535" s="58">
        <v>521.9</v>
      </c>
      <c r="D1535" s="58">
        <v>803.5</v>
      </c>
    </row>
    <row r="1536" spans="1:4">
      <c r="A1536" s="57">
        <v>4355</v>
      </c>
      <c r="B1536" s="57">
        <v>40082</v>
      </c>
      <c r="C1536" s="58">
        <v>775.1</v>
      </c>
      <c r="D1536" s="58">
        <v>410.4</v>
      </c>
    </row>
    <row r="1537" spans="1:4">
      <c r="A1537" s="57">
        <v>4356</v>
      </c>
      <c r="B1537" s="57">
        <v>41529</v>
      </c>
      <c r="C1537" s="58">
        <v>388.1</v>
      </c>
      <c r="D1537" s="58">
        <v>762.6</v>
      </c>
    </row>
    <row r="1538" spans="1:4">
      <c r="A1538" s="57">
        <v>4357</v>
      </c>
      <c r="B1538" s="57">
        <v>41521</v>
      </c>
      <c r="C1538" s="58">
        <v>746.4</v>
      </c>
      <c r="D1538" s="58">
        <v>632.1</v>
      </c>
    </row>
    <row r="1539" spans="1:4">
      <c r="A1539" s="57">
        <v>4358</v>
      </c>
      <c r="B1539" s="57">
        <v>41529</v>
      </c>
      <c r="C1539" s="58">
        <v>388.1</v>
      </c>
      <c r="D1539" s="58">
        <v>762.6</v>
      </c>
    </row>
    <row r="1540" spans="1:4">
      <c r="A1540" s="57">
        <v>4359</v>
      </c>
      <c r="B1540" s="57">
        <v>41529</v>
      </c>
      <c r="C1540" s="58">
        <v>388.1</v>
      </c>
      <c r="D1540" s="58">
        <v>762.6</v>
      </c>
    </row>
    <row r="1541" spans="1:4">
      <c r="A1541" s="57">
        <v>4360</v>
      </c>
      <c r="B1541" s="57">
        <v>41529</v>
      </c>
      <c r="C1541" s="58">
        <v>388.1</v>
      </c>
      <c r="D1541" s="58">
        <v>762.6</v>
      </c>
    </row>
    <row r="1542" spans="1:4">
      <c r="A1542" s="57">
        <v>4361</v>
      </c>
      <c r="B1542" s="57">
        <v>41525</v>
      </c>
      <c r="C1542" s="58">
        <v>456.8</v>
      </c>
      <c r="D1542" s="58">
        <v>920.4</v>
      </c>
    </row>
    <row r="1543" spans="1:4">
      <c r="A1543" s="57">
        <v>4362</v>
      </c>
      <c r="B1543" s="57">
        <v>41525</v>
      </c>
      <c r="C1543" s="58">
        <v>456.8</v>
      </c>
      <c r="D1543" s="58">
        <v>920.4</v>
      </c>
    </row>
    <row r="1544" spans="1:4">
      <c r="A1544" s="57">
        <v>4363</v>
      </c>
      <c r="B1544" s="57">
        <v>41529</v>
      </c>
      <c r="C1544" s="58">
        <v>388.1</v>
      </c>
      <c r="D1544" s="58">
        <v>762.6</v>
      </c>
    </row>
    <row r="1545" spans="1:4">
      <c r="A1545" s="57">
        <v>4364</v>
      </c>
      <c r="B1545" s="57">
        <v>41359</v>
      </c>
      <c r="C1545" s="58">
        <v>521.9</v>
      </c>
      <c r="D1545" s="58">
        <v>803.5</v>
      </c>
    </row>
    <row r="1546" spans="1:4">
      <c r="A1546" s="57">
        <v>4365</v>
      </c>
      <c r="B1546" s="57">
        <v>41525</v>
      </c>
      <c r="C1546" s="58">
        <v>456.8</v>
      </c>
      <c r="D1546" s="58">
        <v>920.4</v>
      </c>
    </row>
    <row r="1547" spans="1:4">
      <c r="A1547" s="57">
        <v>4370</v>
      </c>
      <c r="B1547" s="57">
        <v>41525</v>
      </c>
      <c r="C1547" s="58">
        <v>456.8</v>
      </c>
      <c r="D1547" s="58">
        <v>920.4</v>
      </c>
    </row>
    <row r="1548" spans="1:4">
      <c r="A1548" s="57">
        <v>4371</v>
      </c>
      <c r="B1548" s="57">
        <v>41525</v>
      </c>
      <c r="C1548" s="58">
        <v>456.8</v>
      </c>
      <c r="D1548" s="58">
        <v>920.4</v>
      </c>
    </row>
    <row r="1549" spans="1:4">
      <c r="A1549" s="57">
        <v>4372</v>
      </c>
      <c r="B1549" s="57">
        <v>41525</v>
      </c>
      <c r="C1549" s="58">
        <v>456.8</v>
      </c>
      <c r="D1549" s="58">
        <v>920.4</v>
      </c>
    </row>
    <row r="1550" spans="1:4">
      <c r="A1550" s="57">
        <v>4373</v>
      </c>
      <c r="B1550" s="57">
        <v>41525</v>
      </c>
      <c r="C1550" s="58">
        <v>456.8</v>
      </c>
      <c r="D1550" s="58">
        <v>920.4</v>
      </c>
    </row>
    <row r="1551" spans="1:4">
      <c r="A1551" s="57">
        <v>4374</v>
      </c>
      <c r="B1551" s="57">
        <v>41175</v>
      </c>
      <c r="C1551" s="58">
        <v>210.4</v>
      </c>
      <c r="D1551" s="58">
        <v>1395.1</v>
      </c>
    </row>
    <row r="1552" spans="1:4">
      <c r="A1552" s="57">
        <v>4375</v>
      </c>
      <c r="B1552" s="57">
        <v>41175</v>
      </c>
      <c r="C1552" s="58">
        <v>210.4</v>
      </c>
      <c r="D1552" s="58">
        <v>1395.1</v>
      </c>
    </row>
    <row r="1553" spans="1:4">
      <c r="A1553" s="57">
        <v>4376</v>
      </c>
      <c r="B1553" s="57">
        <v>41175</v>
      </c>
      <c r="C1553" s="58">
        <v>210.4</v>
      </c>
      <c r="D1553" s="58">
        <v>1395.1</v>
      </c>
    </row>
    <row r="1554" spans="1:4">
      <c r="A1554" s="57">
        <v>4377</v>
      </c>
      <c r="B1554" s="57">
        <v>41175</v>
      </c>
      <c r="C1554" s="58">
        <v>210.4</v>
      </c>
      <c r="D1554" s="58">
        <v>1395.1</v>
      </c>
    </row>
    <row r="1555" spans="1:4">
      <c r="A1555" s="57">
        <v>4378</v>
      </c>
      <c r="B1555" s="57">
        <v>41175</v>
      </c>
      <c r="C1555" s="58">
        <v>210.4</v>
      </c>
      <c r="D1555" s="58">
        <v>1395.1</v>
      </c>
    </row>
    <row r="1556" spans="1:4">
      <c r="A1556" s="57">
        <v>4380</v>
      </c>
      <c r="B1556" s="57">
        <v>41175</v>
      </c>
      <c r="C1556" s="58">
        <v>210.4</v>
      </c>
      <c r="D1556" s="58">
        <v>1395.1</v>
      </c>
    </row>
    <row r="1557" spans="1:4">
      <c r="A1557" s="57">
        <v>4381</v>
      </c>
      <c r="B1557" s="57">
        <v>41175</v>
      </c>
      <c r="C1557" s="58">
        <v>210.4</v>
      </c>
      <c r="D1557" s="58">
        <v>1395.1</v>
      </c>
    </row>
    <row r="1558" spans="1:4">
      <c r="A1558" s="57">
        <v>4382</v>
      </c>
      <c r="B1558" s="57">
        <v>41175</v>
      </c>
      <c r="C1558" s="58">
        <v>210.4</v>
      </c>
      <c r="D1558" s="58">
        <v>1395.1</v>
      </c>
    </row>
    <row r="1559" spans="1:4">
      <c r="A1559" s="57">
        <v>4383</v>
      </c>
      <c r="B1559" s="57">
        <v>41175</v>
      </c>
      <c r="C1559" s="58">
        <v>210.4</v>
      </c>
      <c r="D1559" s="58">
        <v>1395.1</v>
      </c>
    </row>
    <row r="1560" spans="1:4">
      <c r="A1560" s="57">
        <v>4384</v>
      </c>
      <c r="B1560" s="57">
        <v>41175</v>
      </c>
      <c r="C1560" s="58">
        <v>210.4</v>
      </c>
      <c r="D1560" s="58">
        <v>1395.1</v>
      </c>
    </row>
    <row r="1561" spans="1:4">
      <c r="A1561" s="57">
        <v>4385</v>
      </c>
      <c r="B1561" s="57">
        <v>41175</v>
      </c>
      <c r="C1561" s="58">
        <v>210.4</v>
      </c>
      <c r="D1561" s="58">
        <v>1395.1</v>
      </c>
    </row>
    <row r="1562" spans="1:4">
      <c r="A1562" s="57">
        <v>4387</v>
      </c>
      <c r="B1562" s="57">
        <v>41521</v>
      </c>
      <c r="C1562" s="58">
        <v>746.4</v>
      </c>
      <c r="D1562" s="58">
        <v>632.1</v>
      </c>
    </row>
    <row r="1563" spans="1:4">
      <c r="A1563" s="57">
        <v>4388</v>
      </c>
      <c r="B1563" s="57">
        <v>41521</v>
      </c>
      <c r="C1563" s="58">
        <v>746.4</v>
      </c>
      <c r="D1563" s="58">
        <v>632.1</v>
      </c>
    </row>
    <row r="1564" spans="1:4">
      <c r="A1564" s="57">
        <v>4390</v>
      </c>
      <c r="B1564" s="57">
        <v>41521</v>
      </c>
      <c r="C1564" s="58">
        <v>746.4</v>
      </c>
      <c r="D1564" s="58">
        <v>632.1</v>
      </c>
    </row>
    <row r="1565" spans="1:4">
      <c r="A1565" s="57">
        <v>4400</v>
      </c>
      <c r="B1565" s="57">
        <v>41359</v>
      </c>
      <c r="C1565" s="58">
        <v>521.9</v>
      </c>
      <c r="D1565" s="58">
        <v>803.5</v>
      </c>
    </row>
    <row r="1566" spans="1:4">
      <c r="A1566" s="57">
        <v>4401</v>
      </c>
      <c r="B1566" s="57">
        <v>41359</v>
      </c>
      <c r="C1566" s="58">
        <v>521.9</v>
      </c>
      <c r="D1566" s="58">
        <v>803.5</v>
      </c>
    </row>
    <row r="1567" spans="1:4">
      <c r="A1567" s="57">
        <v>4402</v>
      </c>
      <c r="B1567" s="57">
        <v>41359</v>
      </c>
      <c r="C1567" s="58">
        <v>521.9</v>
      </c>
      <c r="D1567" s="58">
        <v>803.5</v>
      </c>
    </row>
    <row r="1568" spans="1:4">
      <c r="A1568" s="57">
        <v>4403</v>
      </c>
      <c r="B1568" s="57">
        <v>41359</v>
      </c>
      <c r="C1568" s="58">
        <v>521.9</v>
      </c>
      <c r="D1568" s="58">
        <v>803.5</v>
      </c>
    </row>
    <row r="1569" spans="1:4">
      <c r="A1569" s="57">
        <v>4404</v>
      </c>
      <c r="B1569" s="57">
        <v>41522</v>
      </c>
      <c r="C1569" s="58">
        <v>649.9</v>
      </c>
      <c r="D1569" s="58">
        <v>667.2</v>
      </c>
    </row>
    <row r="1570" spans="1:4">
      <c r="A1570" s="57">
        <v>4405</v>
      </c>
      <c r="B1570" s="57">
        <v>41522</v>
      </c>
      <c r="C1570" s="58">
        <v>649.9</v>
      </c>
      <c r="D1570" s="58">
        <v>667.2</v>
      </c>
    </row>
    <row r="1571" spans="1:4">
      <c r="A1571" s="57">
        <v>4406</v>
      </c>
      <c r="B1571" s="57">
        <v>42112</v>
      </c>
      <c r="C1571" s="58">
        <v>694</v>
      </c>
      <c r="D1571" s="58">
        <v>610.9</v>
      </c>
    </row>
    <row r="1572" spans="1:4">
      <c r="A1572" s="57">
        <v>4407</v>
      </c>
      <c r="B1572" s="57">
        <v>41522</v>
      </c>
      <c r="C1572" s="58">
        <v>649.9</v>
      </c>
      <c r="D1572" s="58">
        <v>667.2</v>
      </c>
    </row>
    <row r="1573" spans="1:4">
      <c r="A1573" s="57">
        <v>4408</v>
      </c>
      <c r="B1573" s="57">
        <v>41522</v>
      </c>
      <c r="C1573" s="58">
        <v>649.9</v>
      </c>
      <c r="D1573" s="58">
        <v>667.2</v>
      </c>
    </row>
    <row r="1574" spans="1:4">
      <c r="A1574" s="57">
        <v>4410</v>
      </c>
      <c r="B1574" s="57">
        <v>41522</v>
      </c>
      <c r="C1574" s="58">
        <v>649.9</v>
      </c>
      <c r="D1574" s="58">
        <v>667.2</v>
      </c>
    </row>
    <row r="1575" spans="1:4">
      <c r="A1575" s="57">
        <v>4411</v>
      </c>
      <c r="B1575" s="57">
        <v>41522</v>
      </c>
      <c r="C1575" s="58">
        <v>649.9</v>
      </c>
      <c r="D1575" s="58">
        <v>667.2</v>
      </c>
    </row>
    <row r="1576" spans="1:4">
      <c r="A1576" s="57">
        <v>4412</v>
      </c>
      <c r="B1576" s="57">
        <v>41522</v>
      </c>
      <c r="C1576" s="58">
        <v>649.9</v>
      </c>
      <c r="D1576" s="58">
        <v>667.2</v>
      </c>
    </row>
    <row r="1577" spans="1:4">
      <c r="A1577" s="57">
        <v>4413</v>
      </c>
      <c r="B1577" s="57">
        <v>42112</v>
      </c>
      <c r="C1577" s="58">
        <v>694</v>
      </c>
      <c r="D1577" s="58">
        <v>610.9</v>
      </c>
    </row>
    <row r="1578" spans="1:4">
      <c r="A1578" s="57">
        <v>4415</v>
      </c>
      <c r="B1578" s="57">
        <v>42112</v>
      </c>
      <c r="C1578" s="58">
        <v>694</v>
      </c>
      <c r="D1578" s="58">
        <v>610.9</v>
      </c>
    </row>
    <row r="1579" spans="1:4">
      <c r="A1579" s="57">
        <v>4416</v>
      </c>
      <c r="B1579" s="57">
        <v>42112</v>
      </c>
      <c r="C1579" s="58">
        <v>694</v>
      </c>
      <c r="D1579" s="58">
        <v>610.9</v>
      </c>
    </row>
    <row r="1580" spans="1:4">
      <c r="A1580" s="57">
        <v>4417</v>
      </c>
      <c r="B1580" s="57">
        <v>43091</v>
      </c>
      <c r="C1580" s="58">
        <v>659.9</v>
      </c>
      <c r="D1580" s="58">
        <v>654.9</v>
      </c>
    </row>
    <row r="1581" spans="1:4">
      <c r="A1581" s="57">
        <v>4418</v>
      </c>
      <c r="B1581" s="57">
        <v>42112</v>
      </c>
      <c r="C1581" s="58">
        <v>694</v>
      </c>
      <c r="D1581" s="58">
        <v>610.9</v>
      </c>
    </row>
    <row r="1582" spans="1:4">
      <c r="A1582" s="57">
        <v>4419</v>
      </c>
      <c r="B1582" s="57">
        <v>42112</v>
      </c>
      <c r="C1582" s="58">
        <v>694</v>
      </c>
      <c r="D1582" s="58">
        <v>610.9</v>
      </c>
    </row>
    <row r="1583" spans="1:4">
      <c r="A1583" s="57">
        <v>4420</v>
      </c>
      <c r="B1583" s="57">
        <v>39089</v>
      </c>
      <c r="C1583" s="58">
        <v>977.8</v>
      </c>
      <c r="D1583" s="58">
        <v>344.4</v>
      </c>
    </row>
    <row r="1584" spans="1:4">
      <c r="A1584" s="57">
        <v>4421</v>
      </c>
      <c r="B1584" s="57">
        <v>42112</v>
      </c>
      <c r="C1584" s="58">
        <v>694</v>
      </c>
      <c r="D1584" s="58">
        <v>610.9</v>
      </c>
    </row>
    <row r="1585" spans="1:4">
      <c r="A1585" s="57">
        <v>4422</v>
      </c>
      <c r="B1585" s="57">
        <v>43109</v>
      </c>
      <c r="C1585" s="58">
        <v>676.8</v>
      </c>
      <c r="D1585" s="58">
        <v>592</v>
      </c>
    </row>
    <row r="1586" spans="1:4">
      <c r="A1586" s="57">
        <v>4423</v>
      </c>
      <c r="B1586" s="57">
        <v>43109</v>
      </c>
      <c r="C1586" s="58">
        <v>676.8</v>
      </c>
      <c r="D1586" s="58">
        <v>592</v>
      </c>
    </row>
    <row r="1587" spans="1:4">
      <c r="A1587" s="57">
        <v>4424</v>
      </c>
      <c r="B1587" s="57">
        <v>42112</v>
      </c>
      <c r="C1587" s="58">
        <v>694</v>
      </c>
      <c r="D1587" s="58">
        <v>610.9</v>
      </c>
    </row>
    <row r="1588" spans="1:4">
      <c r="A1588" s="57">
        <v>4425</v>
      </c>
      <c r="B1588" s="57">
        <v>42112</v>
      </c>
      <c r="C1588" s="58">
        <v>694</v>
      </c>
      <c r="D1588" s="58">
        <v>610.9</v>
      </c>
    </row>
    <row r="1589" spans="1:4">
      <c r="A1589" s="57">
        <v>4426</v>
      </c>
      <c r="B1589" s="57">
        <v>42112</v>
      </c>
      <c r="C1589" s="58">
        <v>694</v>
      </c>
      <c r="D1589" s="58">
        <v>610.9</v>
      </c>
    </row>
    <row r="1590" spans="1:4">
      <c r="A1590" s="57">
        <v>4427</v>
      </c>
      <c r="B1590" s="57">
        <v>43091</v>
      </c>
      <c r="C1590" s="58">
        <v>659.9</v>
      </c>
      <c r="D1590" s="58">
        <v>654.9</v>
      </c>
    </row>
    <row r="1591" spans="1:4">
      <c r="A1591" s="57">
        <v>4428</v>
      </c>
      <c r="B1591" s="57">
        <v>43091</v>
      </c>
      <c r="C1591" s="58">
        <v>659.9</v>
      </c>
      <c r="D1591" s="58">
        <v>654.9</v>
      </c>
    </row>
    <row r="1592" spans="1:4">
      <c r="A1592" s="57">
        <v>4454</v>
      </c>
      <c r="B1592" s="57">
        <v>43015</v>
      </c>
      <c r="C1592" s="58">
        <v>696.8</v>
      </c>
      <c r="D1592" s="58">
        <v>648.5</v>
      </c>
    </row>
    <row r="1593" spans="1:4">
      <c r="A1593" s="57">
        <v>4455</v>
      </c>
      <c r="B1593" s="57">
        <v>43091</v>
      </c>
      <c r="C1593" s="58">
        <v>659.9</v>
      </c>
      <c r="D1593" s="58">
        <v>654.9</v>
      </c>
    </row>
    <row r="1594" spans="1:4">
      <c r="A1594" s="57">
        <v>4461</v>
      </c>
      <c r="B1594" s="57">
        <v>43091</v>
      </c>
      <c r="C1594" s="58">
        <v>659.9</v>
      </c>
      <c r="D1594" s="58">
        <v>654.9</v>
      </c>
    </row>
    <row r="1595" spans="1:4">
      <c r="A1595" s="57">
        <v>4462</v>
      </c>
      <c r="B1595" s="57">
        <v>43091</v>
      </c>
      <c r="C1595" s="58">
        <v>659.9</v>
      </c>
      <c r="D1595" s="58">
        <v>654.9</v>
      </c>
    </row>
    <row r="1596" spans="1:4">
      <c r="A1596" s="57">
        <v>4465</v>
      </c>
      <c r="B1596" s="57">
        <v>43015</v>
      </c>
      <c r="C1596" s="58">
        <v>696.8</v>
      </c>
      <c r="D1596" s="58">
        <v>648.5</v>
      </c>
    </row>
    <row r="1597" spans="1:4">
      <c r="A1597" s="57">
        <v>4467</v>
      </c>
      <c r="B1597" s="57">
        <v>43015</v>
      </c>
      <c r="C1597" s="58">
        <v>696.8</v>
      </c>
      <c r="D1597" s="58">
        <v>648.5</v>
      </c>
    </row>
    <row r="1598" spans="1:4">
      <c r="A1598" s="57">
        <v>4468</v>
      </c>
      <c r="B1598" s="57">
        <v>44021</v>
      </c>
      <c r="C1598" s="58">
        <v>665.9</v>
      </c>
      <c r="D1598" s="58">
        <v>577.70000000000005</v>
      </c>
    </row>
    <row r="1599" spans="1:4">
      <c r="A1599" s="57">
        <v>4470</v>
      </c>
      <c r="B1599" s="57">
        <v>44021</v>
      </c>
      <c r="C1599" s="58">
        <v>665.9</v>
      </c>
      <c r="D1599" s="58">
        <v>577.70000000000005</v>
      </c>
    </row>
    <row r="1600" spans="1:4">
      <c r="A1600" s="57">
        <v>4471</v>
      </c>
      <c r="B1600" s="57">
        <v>44021</v>
      </c>
      <c r="C1600" s="58">
        <v>665.9</v>
      </c>
      <c r="D1600" s="58">
        <v>577.70000000000005</v>
      </c>
    </row>
    <row r="1601" spans="1:4">
      <c r="A1601" s="57">
        <v>4472</v>
      </c>
      <c r="B1601" s="57">
        <v>36034</v>
      </c>
      <c r="C1601" s="58">
        <v>846</v>
      </c>
      <c r="D1601" s="58">
        <v>345.8</v>
      </c>
    </row>
    <row r="1602" spans="1:4">
      <c r="A1602" s="57">
        <v>4474</v>
      </c>
      <c r="B1602" s="57">
        <v>44021</v>
      </c>
      <c r="C1602" s="58">
        <v>665.9</v>
      </c>
      <c r="D1602" s="58">
        <v>577.70000000000005</v>
      </c>
    </row>
    <row r="1603" spans="1:4">
      <c r="A1603" s="57">
        <v>4475</v>
      </c>
      <c r="B1603" s="57">
        <v>44021</v>
      </c>
      <c r="C1603" s="58">
        <v>665.9</v>
      </c>
      <c r="D1603" s="58">
        <v>577.70000000000005</v>
      </c>
    </row>
    <row r="1604" spans="1:4">
      <c r="A1604" s="57">
        <v>4477</v>
      </c>
      <c r="B1604" s="57">
        <v>44021</v>
      </c>
      <c r="C1604" s="58">
        <v>665.9</v>
      </c>
      <c r="D1604" s="58">
        <v>577.70000000000005</v>
      </c>
    </row>
    <row r="1605" spans="1:4">
      <c r="A1605" s="57">
        <v>4478</v>
      </c>
      <c r="B1605" s="57">
        <v>36034</v>
      </c>
      <c r="C1605" s="58">
        <v>846</v>
      </c>
      <c r="D1605" s="58">
        <v>345.8</v>
      </c>
    </row>
    <row r="1606" spans="1:4">
      <c r="A1606" s="57">
        <v>4479</v>
      </c>
      <c r="B1606" s="57">
        <v>44021</v>
      </c>
      <c r="C1606" s="58">
        <v>665.9</v>
      </c>
      <c r="D1606" s="58">
        <v>577.70000000000005</v>
      </c>
    </row>
    <row r="1607" spans="1:4">
      <c r="A1607" s="57">
        <v>4480</v>
      </c>
      <c r="B1607" s="57">
        <v>45025</v>
      </c>
      <c r="C1607" s="58">
        <v>576.1</v>
      </c>
      <c r="D1607" s="58">
        <v>469.4</v>
      </c>
    </row>
    <row r="1608" spans="1:4">
      <c r="A1608" s="57">
        <v>4481</v>
      </c>
      <c r="B1608" s="57">
        <v>45009</v>
      </c>
      <c r="C1608" s="58">
        <v>704.2</v>
      </c>
      <c r="D1608" s="58">
        <v>399.1</v>
      </c>
    </row>
    <row r="1609" spans="1:4">
      <c r="A1609" s="57">
        <v>4482</v>
      </c>
      <c r="B1609" s="57">
        <v>38026</v>
      </c>
      <c r="C1609" s="58">
        <v>644.20000000000005</v>
      </c>
      <c r="D1609" s="58">
        <v>363.3</v>
      </c>
    </row>
    <row r="1610" spans="1:4">
      <c r="A1610" s="57">
        <v>4486</v>
      </c>
      <c r="B1610" s="57">
        <v>43109</v>
      </c>
      <c r="C1610" s="58">
        <v>676.8</v>
      </c>
      <c r="D1610" s="58">
        <v>592</v>
      </c>
    </row>
    <row r="1611" spans="1:4">
      <c r="A1611" s="57">
        <v>4487</v>
      </c>
      <c r="B1611" s="57">
        <v>43109</v>
      </c>
      <c r="C1611" s="58">
        <v>676.8</v>
      </c>
      <c r="D1611" s="58">
        <v>592</v>
      </c>
    </row>
    <row r="1612" spans="1:4">
      <c r="A1612" s="57">
        <v>4488</v>
      </c>
      <c r="B1612" s="57">
        <v>43109</v>
      </c>
      <c r="C1612" s="58">
        <v>676.8</v>
      </c>
      <c r="D1612" s="58">
        <v>592</v>
      </c>
    </row>
    <row r="1613" spans="1:4">
      <c r="A1613" s="57">
        <v>4489</v>
      </c>
      <c r="B1613" s="57">
        <v>44021</v>
      </c>
      <c r="C1613" s="58">
        <v>665.9</v>
      </c>
      <c r="D1613" s="58">
        <v>577.70000000000005</v>
      </c>
    </row>
    <row r="1614" spans="1:4">
      <c r="A1614" s="57">
        <v>4490</v>
      </c>
      <c r="B1614" s="57">
        <v>44021</v>
      </c>
      <c r="C1614" s="58">
        <v>665.9</v>
      </c>
      <c r="D1614" s="58">
        <v>577.70000000000005</v>
      </c>
    </row>
    <row r="1615" spans="1:4">
      <c r="A1615" s="57">
        <v>4491</v>
      </c>
      <c r="B1615" s="57">
        <v>45025</v>
      </c>
      <c r="C1615" s="58">
        <v>576.1</v>
      </c>
      <c r="D1615" s="58">
        <v>469.4</v>
      </c>
    </row>
    <row r="1616" spans="1:4">
      <c r="A1616" s="57">
        <v>4492</v>
      </c>
      <c r="B1616" s="57">
        <v>45025</v>
      </c>
      <c r="C1616" s="58">
        <v>576.1</v>
      </c>
      <c r="D1616" s="58">
        <v>469.4</v>
      </c>
    </row>
    <row r="1617" spans="1:4">
      <c r="A1617" s="57">
        <v>4493</v>
      </c>
      <c r="B1617" s="57">
        <v>45025</v>
      </c>
      <c r="C1617" s="58">
        <v>576.1</v>
      </c>
      <c r="D1617" s="58">
        <v>469.4</v>
      </c>
    </row>
    <row r="1618" spans="1:4">
      <c r="A1618" s="57">
        <v>4494</v>
      </c>
      <c r="B1618" s="57">
        <v>43109</v>
      </c>
      <c r="C1618" s="58">
        <v>676.8</v>
      </c>
      <c r="D1618" s="58">
        <v>592</v>
      </c>
    </row>
    <row r="1619" spans="1:4">
      <c r="A1619" s="57">
        <v>4496</v>
      </c>
      <c r="B1619" s="57">
        <v>43109</v>
      </c>
      <c r="C1619" s="58">
        <v>676.8</v>
      </c>
      <c r="D1619" s="58">
        <v>592</v>
      </c>
    </row>
    <row r="1620" spans="1:4">
      <c r="A1620" s="57">
        <v>4497</v>
      </c>
      <c r="B1620" s="57">
        <v>43109</v>
      </c>
      <c r="C1620" s="58">
        <v>676.8</v>
      </c>
      <c r="D1620" s="58">
        <v>592</v>
      </c>
    </row>
    <row r="1621" spans="1:4">
      <c r="A1621" s="57">
        <v>4498</v>
      </c>
      <c r="B1621" s="57">
        <v>41521</v>
      </c>
      <c r="C1621" s="58">
        <v>746.4</v>
      </c>
      <c r="D1621" s="58">
        <v>632.1</v>
      </c>
    </row>
    <row r="1622" spans="1:4">
      <c r="A1622" s="57">
        <v>4500</v>
      </c>
      <c r="B1622" s="57">
        <v>40958</v>
      </c>
      <c r="C1622" s="58">
        <v>1035.5999999999999</v>
      </c>
      <c r="D1622" s="58">
        <v>207.3</v>
      </c>
    </row>
    <row r="1623" spans="1:4">
      <c r="A1623" s="57">
        <v>4501</v>
      </c>
      <c r="B1623" s="57">
        <v>40958</v>
      </c>
      <c r="C1623" s="58">
        <v>1035.5999999999999</v>
      </c>
      <c r="D1623" s="58">
        <v>207.3</v>
      </c>
    </row>
    <row r="1624" spans="1:4">
      <c r="A1624" s="57">
        <v>4502</v>
      </c>
      <c r="B1624" s="57">
        <v>40958</v>
      </c>
      <c r="C1624" s="58">
        <v>1035.5999999999999</v>
      </c>
      <c r="D1624" s="58">
        <v>207.3</v>
      </c>
    </row>
    <row r="1625" spans="1:4">
      <c r="A1625" s="57">
        <v>4503</v>
      </c>
      <c r="B1625" s="57">
        <v>40958</v>
      </c>
      <c r="C1625" s="58">
        <v>1035.5999999999999</v>
      </c>
      <c r="D1625" s="58">
        <v>207.3</v>
      </c>
    </row>
    <row r="1626" spans="1:4">
      <c r="A1626" s="57">
        <v>4504</v>
      </c>
      <c r="B1626" s="57">
        <v>40958</v>
      </c>
      <c r="C1626" s="58">
        <v>1035.5999999999999</v>
      </c>
      <c r="D1626" s="58">
        <v>207.3</v>
      </c>
    </row>
    <row r="1627" spans="1:4">
      <c r="A1627" s="57">
        <v>4505</v>
      </c>
      <c r="B1627" s="57">
        <v>40958</v>
      </c>
      <c r="C1627" s="58">
        <v>1035.5999999999999</v>
      </c>
      <c r="D1627" s="58">
        <v>207.3</v>
      </c>
    </row>
    <row r="1628" spans="1:4">
      <c r="A1628" s="57">
        <v>4506</v>
      </c>
      <c r="B1628" s="57">
        <v>40284</v>
      </c>
      <c r="C1628" s="58">
        <v>922.2</v>
      </c>
      <c r="D1628" s="58">
        <v>249.7</v>
      </c>
    </row>
    <row r="1629" spans="1:4">
      <c r="A1629" s="57">
        <v>4507</v>
      </c>
      <c r="B1629" s="57">
        <v>40958</v>
      </c>
      <c r="C1629" s="58">
        <v>1035.5999999999999</v>
      </c>
      <c r="D1629" s="58">
        <v>207.3</v>
      </c>
    </row>
    <row r="1630" spans="1:4">
      <c r="A1630" s="57">
        <v>4508</v>
      </c>
      <c r="B1630" s="57">
        <v>40958</v>
      </c>
      <c r="C1630" s="58">
        <v>1035.5999999999999</v>
      </c>
      <c r="D1630" s="58">
        <v>207.3</v>
      </c>
    </row>
    <row r="1631" spans="1:4">
      <c r="A1631" s="57">
        <v>4509</v>
      </c>
      <c r="B1631" s="57">
        <v>40958</v>
      </c>
      <c r="C1631" s="58">
        <v>1035.5999999999999</v>
      </c>
      <c r="D1631" s="58">
        <v>207.3</v>
      </c>
    </row>
    <row r="1632" spans="1:4">
      <c r="A1632" s="57">
        <v>4510</v>
      </c>
      <c r="B1632" s="57">
        <v>40284</v>
      </c>
      <c r="C1632" s="58">
        <v>922.2</v>
      </c>
      <c r="D1632" s="58">
        <v>249.7</v>
      </c>
    </row>
    <row r="1633" spans="1:4">
      <c r="A1633" s="57">
        <v>4511</v>
      </c>
      <c r="B1633" s="57">
        <v>40958</v>
      </c>
      <c r="C1633" s="58">
        <v>1035.5999999999999</v>
      </c>
      <c r="D1633" s="58">
        <v>207.3</v>
      </c>
    </row>
    <row r="1634" spans="1:4">
      <c r="A1634" s="57">
        <v>4512</v>
      </c>
      <c r="B1634" s="57">
        <v>40284</v>
      </c>
      <c r="C1634" s="58">
        <v>922.2</v>
      </c>
      <c r="D1634" s="58">
        <v>249.7</v>
      </c>
    </row>
    <row r="1635" spans="1:4">
      <c r="A1635" s="57">
        <v>4514</v>
      </c>
      <c r="B1635" s="57">
        <v>40284</v>
      </c>
      <c r="C1635" s="58">
        <v>922.2</v>
      </c>
      <c r="D1635" s="58">
        <v>249.7</v>
      </c>
    </row>
    <row r="1636" spans="1:4">
      <c r="A1636" s="57">
        <v>4515</v>
      </c>
      <c r="B1636" s="57">
        <v>40651</v>
      </c>
      <c r="C1636" s="58">
        <v>522.29999999999995</v>
      </c>
      <c r="D1636" s="58">
        <v>770.6</v>
      </c>
    </row>
    <row r="1637" spans="1:4">
      <c r="A1637" s="57">
        <v>4516</v>
      </c>
      <c r="B1637" s="57">
        <v>40284</v>
      </c>
      <c r="C1637" s="58">
        <v>922.2</v>
      </c>
      <c r="D1637" s="58">
        <v>249.7</v>
      </c>
    </row>
    <row r="1638" spans="1:4">
      <c r="A1638" s="57">
        <v>4517</v>
      </c>
      <c r="B1638" s="57">
        <v>40284</v>
      </c>
      <c r="C1638" s="58">
        <v>922.2</v>
      </c>
      <c r="D1638" s="58">
        <v>249.7</v>
      </c>
    </row>
    <row r="1639" spans="1:4">
      <c r="A1639" s="57">
        <v>4518</v>
      </c>
      <c r="B1639" s="57">
        <v>40284</v>
      </c>
      <c r="C1639" s="58">
        <v>922.2</v>
      </c>
      <c r="D1639" s="58">
        <v>249.7</v>
      </c>
    </row>
    <row r="1640" spans="1:4">
      <c r="A1640" s="57">
        <v>4519</v>
      </c>
      <c r="B1640" s="57">
        <v>40284</v>
      </c>
      <c r="C1640" s="58">
        <v>922.2</v>
      </c>
      <c r="D1640" s="58">
        <v>249.7</v>
      </c>
    </row>
    <row r="1641" spans="1:4">
      <c r="A1641" s="57">
        <v>4520</v>
      </c>
      <c r="B1641" s="57">
        <v>40913</v>
      </c>
      <c r="C1641" s="58">
        <v>1054.5</v>
      </c>
      <c r="D1641" s="58">
        <v>176.8</v>
      </c>
    </row>
    <row r="1642" spans="1:4">
      <c r="A1642" s="57">
        <v>4521</v>
      </c>
      <c r="B1642" s="57">
        <v>40958</v>
      </c>
      <c r="C1642" s="58">
        <v>1035.5999999999999</v>
      </c>
      <c r="D1642" s="58">
        <v>207.3</v>
      </c>
    </row>
    <row r="1643" spans="1:4">
      <c r="A1643" s="57">
        <v>4550</v>
      </c>
      <c r="B1643" s="57">
        <v>40988</v>
      </c>
      <c r="C1643" s="58">
        <v>1013.4</v>
      </c>
      <c r="D1643" s="58">
        <v>224.9</v>
      </c>
    </row>
    <row r="1644" spans="1:4">
      <c r="A1644" s="57">
        <v>4551</v>
      </c>
      <c r="B1644" s="57">
        <v>40861</v>
      </c>
      <c r="C1644" s="58">
        <v>1205.7</v>
      </c>
      <c r="D1644" s="58">
        <v>269.7</v>
      </c>
    </row>
    <row r="1645" spans="1:4">
      <c r="A1645" s="57">
        <v>4552</v>
      </c>
      <c r="B1645" s="57">
        <v>40988</v>
      </c>
      <c r="C1645" s="58">
        <v>1013.4</v>
      </c>
      <c r="D1645" s="58">
        <v>224.9</v>
      </c>
    </row>
    <row r="1646" spans="1:4">
      <c r="A1646" s="57">
        <v>4553</v>
      </c>
      <c r="B1646" s="57">
        <v>40988</v>
      </c>
      <c r="C1646" s="58">
        <v>1013.4</v>
      </c>
      <c r="D1646" s="58">
        <v>224.9</v>
      </c>
    </row>
    <row r="1647" spans="1:4">
      <c r="A1647" s="57">
        <v>4554</v>
      </c>
      <c r="B1647" s="57">
        <v>40988</v>
      </c>
      <c r="C1647" s="58">
        <v>1013.4</v>
      </c>
      <c r="D1647" s="58">
        <v>224.9</v>
      </c>
    </row>
    <row r="1648" spans="1:4">
      <c r="A1648" s="57">
        <v>4555</v>
      </c>
      <c r="B1648" s="57">
        <v>40988</v>
      </c>
      <c r="C1648" s="58">
        <v>1013.4</v>
      </c>
      <c r="D1648" s="58">
        <v>224.9</v>
      </c>
    </row>
    <row r="1649" spans="1:4">
      <c r="A1649" s="57">
        <v>4556</v>
      </c>
      <c r="B1649" s="57">
        <v>40988</v>
      </c>
      <c r="C1649" s="58">
        <v>1013.4</v>
      </c>
      <c r="D1649" s="58">
        <v>224.9</v>
      </c>
    </row>
    <row r="1650" spans="1:4">
      <c r="A1650" s="57">
        <v>4557</v>
      </c>
      <c r="B1650" s="57">
        <v>40861</v>
      </c>
      <c r="C1650" s="58">
        <v>1205.7</v>
      </c>
      <c r="D1650" s="58">
        <v>269.7</v>
      </c>
    </row>
    <row r="1651" spans="1:4">
      <c r="A1651" s="57">
        <v>4558</v>
      </c>
      <c r="B1651" s="57">
        <v>40861</v>
      </c>
      <c r="C1651" s="58">
        <v>1205.7</v>
      </c>
      <c r="D1651" s="58">
        <v>269.7</v>
      </c>
    </row>
    <row r="1652" spans="1:4">
      <c r="A1652" s="57">
        <v>4559</v>
      </c>
      <c r="B1652" s="57">
        <v>40988</v>
      </c>
      <c r="C1652" s="58">
        <v>1013.4</v>
      </c>
      <c r="D1652" s="58">
        <v>224.9</v>
      </c>
    </row>
    <row r="1653" spans="1:4">
      <c r="A1653" s="57">
        <v>4560</v>
      </c>
      <c r="B1653" s="57">
        <v>40988</v>
      </c>
      <c r="C1653" s="58">
        <v>1013.4</v>
      </c>
      <c r="D1653" s="58">
        <v>224.9</v>
      </c>
    </row>
    <row r="1654" spans="1:4">
      <c r="A1654" s="57">
        <v>4561</v>
      </c>
      <c r="B1654" s="57">
        <v>40861</v>
      </c>
      <c r="C1654" s="58">
        <v>1205.7</v>
      </c>
      <c r="D1654" s="58">
        <v>269.7</v>
      </c>
    </row>
    <row r="1655" spans="1:4">
      <c r="A1655" s="57">
        <v>4562</v>
      </c>
      <c r="B1655" s="57">
        <v>40908</v>
      </c>
      <c r="C1655" s="58">
        <v>1217.3</v>
      </c>
      <c r="D1655" s="58">
        <v>182.6</v>
      </c>
    </row>
    <row r="1656" spans="1:4">
      <c r="A1656" s="57">
        <v>4563</v>
      </c>
      <c r="B1656" s="57">
        <v>40988</v>
      </c>
      <c r="C1656" s="58">
        <v>1013.4</v>
      </c>
      <c r="D1656" s="58">
        <v>224.9</v>
      </c>
    </row>
    <row r="1657" spans="1:4">
      <c r="A1657" s="57">
        <v>4564</v>
      </c>
      <c r="B1657" s="57">
        <v>40861</v>
      </c>
      <c r="C1657" s="58">
        <v>1205.7</v>
      </c>
      <c r="D1657" s="58">
        <v>269.7</v>
      </c>
    </row>
    <row r="1658" spans="1:4">
      <c r="A1658" s="57">
        <v>4565</v>
      </c>
      <c r="B1658" s="57">
        <v>40908</v>
      </c>
      <c r="C1658" s="58">
        <v>1217.3</v>
      </c>
      <c r="D1658" s="58">
        <v>182.6</v>
      </c>
    </row>
    <row r="1659" spans="1:4">
      <c r="A1659" s="57">
        <v>4566</v>
      </c>
      <c r="B1659" s="57">
        <v>40908</v>
      </c>
      <c r="C1659" s="58">
        <v>1217.3</v>
      </c>
      <c r="D1659" s="58">
        <v>182.6</v>
      </c>
    </row>
    <row r="1660" spans="1:4">
      <c r="A1660" s="57">
        <v>4567</v>
      </c>
      <c r="B1660" s="57">
        <v>40908</v>
      </c>
      <c r="C1660" s="58">
        <v>1217.3</v>
      </c>
      <c r="D1660" s="58">
        <v>182.6</v>
      </c>
    </row>
    <row r="1661" spans="1:4">
      <c r="A1661" s="57">
        <v>4568</v>
      </c>
      <c r="B1661" s="57">
        <v>40908</v>
      </c>
      <c r="C1661" s="58">
        <v>1217.3</v>
      </c>
      <c r="D1661" s="58">
        <v>182.6</v>
      </c>
    </row>
    <row r="1662" spans="1:4">
      <c r="A1662" s="57">
        <v>4569</v>
      </c>
      <c r="B1662" s="57">
        <v>40908</v>
      </c>
      <c r="C1662" s="58">
        <v>1217.3</v>
      </c>
      <c r="D1662" s="58">
        <v>182.6</v>
      </c>
    </row>
    <row r="1663" spans="1:4">
      <c r="A1663" s="57">
        <v>4570</v>
      </c>
      <c r="B1663" s="57">
        <v>40093</v>
      </c>
      <c r="C1663" s="58">
        <v>905.4</v>
      </c>
      <c r="D1663" s="58">
        <v>388.4</v>
      </c>
    </row>
    <row r="1664" spans="1:4">
      <c r="A1664" s="57">
        <v>4571</v>
      </c>
      <c r="B1664" s="57">
        <v>40908</v>
      </c>
      <c r="C1664" s="58">
        <v>1217.3</v>
      </c>
      <c r="D1664" s="58">
        <v>182.6</v>
      </c>
    </row>
    <row r="1665" spans="1:4">
      <c r="A1665" s="57">
        <v>4572</v>
      </c>
      <c r="B1665" s="57">
        <v>40861</v>
      </c>
      <c r="C1665" s="58">
        <v>1205.7</v>
      </c>
      <c r="D1665" s="58">
        <v>269.7</v>
      </c>
    </row>
    <row r="1666" spans="1:4">
      <c r="A1666" s="57">
        <v>4573</v>
      </c>
      <c r="B1666" s="57">
        <v>40861</v>
      </c>
      <c r="C1666" s="58">
        <v>1205.7</v>
      </c>
      <c r="D1666" s="58">
        <v>269.7</v>
      </c>
    </row>
    <row r="1667" spans="1:4">
      <c r="A1667" s="57">
        <v>4574</v>
      </c>
      <c r="B1667" s="57">
        <v>40988</v>
      </c>
      <c r="C1667" s="58">
        <v>1013.4</v>
      </c>
      <c r="D1667" s="58">
        <v>224.9</v>
      </c>
    </row>
    <row r="1668" spans="1:4">
      <c r="A1668" s="57">
        <v>4575</v>
      </c>
      <c r="B1668" s="57">
        <v>40861</v>
      </c>
      <c r="C1668" s="58">
        <v>1205.7</v>
      </c>
      <c r="D1668" s="58">
        <v>269.7</v>
      </c>
    </row>
    <row r="1669" spans="1:4">
      <c r="A1669" s="57">
        <v>4580</v>
      </c>
      <c r="B1669" s="57">
        <v>40555</v>
      </c>
      <c r="C1669" s="58">
        <v>1113</v>
      </c>
      <c r="D1669" s="58">
        <v>151</v>
      </c>
    </row>
    <row r="1670" spans="1:4">
      <c r="A1670" s="57">
        <v>4581</v>
      </c>
      <c r="B1670" s="57">
        <v>40405</v>
      </c>
      <c r="C1670" s="58">
        <v>1356.9</v>
      </c>
      <c r="D1670" s="58">
        <v>198.4</v>
      </c>
    </row>
    <row r="1671" spans="1:4">
      <c r="A1671" s="57">
        <v>4600</v>
      </c>
      <c r="B1671" s="57">
        <v>40093</v>
      </c>
      <c r="C1671" s="58">
        <v>905.4</v>
      </c>
      <c r="D1671" s="58">
        <v>388.4</v>
      </c>
    </row>
    <row r="1672" spans="1:4">
      <c r="A1672" s="57">
        <v>4601</v>
      </c>
      <c r="B1672" s="57">
        <v>39066</v>
      </c>
      <c r="C1672" s="58">
        <v>871.4</v>
      </c>
      <c r="D1672" s="58">
        <v>315.7</v>
      </c>
    </row>
    <row r="1673" spans="1:4">
      <c r="A1673" s="57">
        <v>4605</v>
      </c>
      <c r="B1673" s="57">
        <v>39066</v>
      </c>
      <c r="C1673" s="58">
        <v>871.4</v>
      </c>
      <c r="D1673" s="58">
        <v>315.7</v>
      </c>
    </row>
    <row r="1674" spans="1:4">
      <c r="A1674" s="57">
        <v>4606</v>
      </c>
      <c r="B1674" s="57">
        <v>39066</v>
      </c>
      <c r="C1674" s="58">
        <v>871.4</v>
      </c>
      <c r="D1674" s="58">
        <v>315.7</v>
      </c>
    </row>
    <row r="1675" spans="1:4">
      <c r="A1675" s="57">
        <v>4608</v>
      </c>
      <c r="B1675" s="57">
        <v>40651</v>
      </c>
      <c r="C1675" s="58">
        <v>522.29999999999995</v>
      </c>
      <c r="D1675" s="58">
        <v>770.6</v>
      </c>
    </row>
    <row r="1676" spans="1:4">
      <c r="A1676" s="57">
        <v>4610</v>
      </c>
      <c r="B1676" s="57">
        <v>39066</v>
      </c>
      <c r="C1676" s="58">
        <v>871.4</v>
      </c>
      <c r="D1676" s="58">
        <v>315.7</v>
      </c>
    </row>
    <row r="1677" spans="1:4">
      <c r="A1677" s="57">
        <v>4611</v>
      </c>
      <c r="B1677" s="57">
        <v>39066</v>
      </c>
      <c r="C1677" s="58">
        <v>871.4</v>
      </c>
      <c r="D1677" s="58">
        <v>315.7</v>
      </c>
    </row>
    <row r="1678" spans="1:4">
      <c r="A1678" s="57">
        <v>4612</v>
      </c>
      <c r="B1678" s="57">
        <v>39066</v>
      </c>
      <c r="C1678" s="58">
        <v>871.4</v>
      </c>
      <c r="D1678" s="58">
        <v>315.7</v>
      </c>
    </row>
    <row r="1679" spans="1:4">
      <c r="A1679" s="57">
        <v>4613</v>
      </c>
      <c r="B1679" s="57">
        <v>39066</v>
      </c>
      <c r="C1679" s="58">
        <v>871.4</v>
      </c>
      <c r="D1679" s="58">
        <v>315.7</v>
      </c>
    </row>
    <row r="1680" spans="1:4">
      <c r="A1680" s="57">
        <v>4614</v>
      </c>
      <c r="B1680" s="57">
        <v>41359</v>
      </c>
      <c r="C1680" s="58">
        <v>521.9</v>
      </c>
      <c r="D1680" s="58">
        <v>803.5</v>
      </c>
    </row>
    <row r="1681" spans="1:4">
      <c r="A1681" s="57">
        <v>4615</v>
      </c>
      <c r="B1681" s="57">
        <v>40651</v>
      </c>
      <c r="C1681" s="58">
        <v>522.29999999999995</v>
      </c>
      <c r="D1681" s="58">
        <v>770.6</v>
      </c>
    </row>
    <row r="1682" spans="1:4">
      <c r="A1682" s="57">
        <v>4620</v>
      </c>
      <c r="B1682" s="57">
        <v>40126</v>
      </c>
      <c r="C1682" s="58">
        <v>1221.8</v>
      </c>
      <c r="D1682" s="58">
        <v>209.6</v>
      </c>
    </row>
    <row r="1683" spans="1:4">
      <c r="A1683" s="57">
        <v>4621</v>
      </c>
      <c r="B1683" s="57">
        <v>39066</v>
      </c>
      <c r="C1683" s="58">
        <v>871.4</v>
      </c>
      <c r="D1683" s="58">
        <v>315.7</v>
      </c>
    </row>
    <row r="1684" spans="1:4">
      <c r="A1684" s="57">
        <v>4625</v>
      </c>
      <c r="B1684" s="57">
        <v>39066</v>
      </c>
      <c r="C1684" s="58">
        <v>871.4</v>
      </c>
      <c r="D1684" s="58">
        <v>315.7</v>
      </c>
    </row>
    <row r="1685" spans="1:4">
      <c r="A1685" s="57">
        <v>4626</v>
      </c>
      <c r="B1685" s="57">
        <v>39066</v>
      </c>
      <c r="C1685" s="58">
        <v>871.4</v>
      </c>
      <c r="D1685" s="58">
        <v>315.7</v>
      </c>
    </row>
    <row r="1686" spans="1:4">
      <c r="A1686" s="57">
        <v>4627</v>
      </c>
      <c r="B1686" s="57">
        <v>39066</v>
      </c>
      <c r="C1686" s="58">
        <v>871.4</v>
      </c>
      <c r="D1686" s="58">
        <v>315.7</v>
      </c>
    </row>
    <row r="1687" spans="1:4">
      <c r="A1687" s="57">
        <v>4630</v>
      </c>
      <c r="B1687" s="57">
        <v>39089</v>
      </c>
      <c r="C1687" s="58">
        <v>977.8</v>
      </c>
      <c r="D1687" s="58">
        <v>344.4</v>
      </c>
    </row>
    <row r="1688" spans="1:4">
      <c r="A1688" s="57">
        <v>4650</v>
      </c>
      <c r="B1688" s="57">
        <v>40126</v>
      </c>
      <c r="C1688" s="58">
        <v>1221.8</v>
      </c>
      <c r="D1688" s="58">
        <v>209.6</v>
      </c>
    </row>
    <row r="1689" spans="1:4">
      <c r="A1689" s="57">
        <v>4655</v>
      </c>
      <c r="B1689" s="57">
        <v>40405</v>
      </c>
      <c r="C1689" s="58">
        <v>1356.9</v>
      </c>
      <c r="D1689" s="58">
        <v>198.4</v>
      </c>
    </row>
    <row r="1690" spans="1:4">
      <c r="A1690" s="57">
        <v>4659</v>
      </c>
      <c r="B1690" s="57">
        <v>40126</v>
      </c>
      <c r="C1690" s="58">
        <v>1221.8</v>
      </c>
      <c r="D1690" s="58">
        <v>209.6</v>
      </c>
    </row>
    <row r="1691" spans="1:4">
      <c r="A1691" s="57">
        <v>4660</v>
      </c>
      <c r="B1691" s="57">
        <v>39128</v>
      </c>
      <c r="C1691" s="58">
        <v>1293.7</v>
      </c>
      <c r="D1691" s="58">
        <v>136.80000000000001</v>
      </c>
    </row>
    <row r="1692" spans="1:4">
      <c r="A1692" s="57">
        <v>4662</v>
      </c>
      <c r="B1692" s="57">
        <v>40126</v>
      </c>
      <c r="C1692" s="58">
        <v>1221.8</v>
      </c>
      <c r="D1692" s="58">
        <v>209.6</v>
      </c>
    </row>
    <row r="1693" spans="1:4">
      <c r="A1693" s="57">
        <v>4670</v>
      </c>
      <c r="B1693" s="57">
        <v>39128</v>
      </c>
      <c r="C1693" s="58">
        <v>1293.7</v>
      </c>
      <c r="D1693" s="58">
        <v>136.80000000000001</v>
      </c>
    </row>
    <row r="1694" spans="1:4">
      <c r="A1694" s="57">
        <v>4671</v>
      </c>
      <c r="B1694" s="57">
        <v>39128</v>
      </c>
      <c r="C1694" s="58">
        <v>1293.7</v>
      </c>
      <c r="D1694" s="58">
        <v>136.80000000000001</v>
      </c>
    </row>
    <row r="1695" spans="1:4">
      <c r="A1695" s="57">
        <v>4673</v>
      </c>
      <c r="B1695" s="57">
        <v>39128</v>
      </c>
      <c r="C1695" s="58">
        <v>1293.7</v>
      </c>
      <c r="D1695" s="58">
        <v>136.80000000000001</v>
      </c>
    </row>
    <row r="1696" spans="1:4">
      <c r="A1696" s="57">
        <v>4674</v>
      </c>
      <c r="B1696" s="57">
        <v>39314</v>
      </c>
      <c r="C1696" s="58">
        <v>1706.7</v>
      </c>
      <c r="D1696" s="58">
        <v>63.5</v>
      </c>
    </row>
    <row r="1697" spans="1:4">
      <c r="A1697" s="57">
        <v>4676</v>
      </c>
      <c r="B1697" s="57">
        <v>39314</v>
      </c>
      <c r="C1697" s="58">
        <v>1706.7</v>
      </c>
      <c r="D1697" s="58">
        <v>63.5</v>
      </c>
    </row>
    <row r="1698" spans="1:4">
      <c r="A1698" s="57">
        <v>4677</v>
      </c>
      <c r="B1698" s="57">
        <v>39314</v>
      </c>
      <c r="C1698" s="58">
        <v>1706.7</v>
      </c>
      <c r="D1698" s="58">
        <v>63.5</v>
      </c>
    </row>
    <row r="1699" spans="1:4">
      <c r="A1699" s="57">
        <v>4678</v>
      </c>
      <c r="B1699" s="57">
        <v>39314</v>
      </c>
      <c r="C1699" s="58">
        <v>1706.7</v>
      </c>
      <c r="D1699" s="58">
        <v>63.5</v>
      </c>
    </row>
    <row r="1700" spans="1:4">
      <c r="A1700" s="57">
        <v>4680</v>
      </c>
      <c r="B1700" s="57">
        <v>39326</v>
      </c>
      <c r="C1700" s="58">
        <v>1457.8</v>
      </c>
      <c r="D1700" s="58">
        <v>91.2</v>
      </c>
    </row>
    <row r="1701" spans="1:4">
      <c r="A1701" s="57">
        <v>4694</v>
      </c>
      <c r="B1701" s="57">
        <v>39326</v>
      </c>
      <c r="C1701" s="58">
        <v>1457.8</v>
      </c>
      <c r="D1701" s="58">
        <v>91.2</v>
      </c>
    </row>
    <row r="1702" spans="1:4">
      <c r="A1702" s="57">
        <v>4695</v>
      </c>
      <c r="B1702" s="57">
        <v>39326</v>
      </c>
      <c r="C1702" s="58">
        <v>1457.8</v>
      </c>
      <c r="D1702" s="58">
        <v>91.2</v>
      </c>
    </row>
    <row r="1703" spans="1:4">
      <c r="A1703" s="57">
        <v>4697</v>
      </c>
      <c r="B1703" s="57">
        <v>39326</v>
      </c>
      <c r="C1703" s="58">
        <v>1457.8</v>
      </c>
      <c r="D1703" s="58">
        <v>91.2</v>
      </c>
    </row>
    <row r="1704" spans="1:4">
      <c r="A1704" s="57">
        <v>4699</v>
      </c>
      <c r="B1704" s="57">
        <v>39083</v>
      </c>
      <c r="C1704" s="58">
        <v>1408.6</v>
      </c>
      <c r="D1704" s="58">
        <v>121.2</v>
      </c>
    </row>
    <row r="1705" spans="1:4">
      <c r="A1705" s="57">
        <v>4700</v>
      </c>
      <c r="B1705" s="57">
        <v>39083</v>
      </c>
      <c r="C1705" s="58">
        <v>1408.6</v>
      </c>
      <c r="D1705" s="58">
        <v>121.2</v>
      </c>
    </row>
    <row r="1706" spans="1:4">
      <c r="A1706" s="57">
        <v>4701</v>
      </c>
      <c r="B1706" s="57">
        <v>39083</v>
      </c>
      <c r="C1706" s="58">
        <v>1408.6</v>
      </c>
      <c r="D1706" s="58">
        <v>121.2</v>
      </c>
    </row>
    <row r="1707" spans="1:4">
      <c r="A1707" s="57">
        <v>4702</v>
      </c>
      <c r="B1707" s="57">
        <v>33210</v>
      </c>
      <c r="C1707" s="58">
        <v>1616</v>
      </c>
      <c r="D1707" s="58">
        <v>119.1</v>
      </c>
    </row>
    <row r="1708" spans="1:4">
      <c r="A1708" s="57">
        <v>4703</v>
      </c>
      <c r="B1708" s="57">
        <v>33294</v>
      </c>
      <c r="C1708" s="58">
        <v>1762</v>
      </c>
      <c r="D1708" s="58">
        <v>150.30000000000001</v>
      </c>
    </row>
    <row r="1709" spans="1:4">
      <c r="A1709" s="57">
        <v>4704</v>
      </c>
      <c r="B1709" s="57">
        <v>39083</v>
      </c>
      <c r="C1709" s="58">
        <v>1408.6</v>
      </c>
      <c r="D1709" s="58">
        <v>121.2</v>
      </c>
    </row>
    <row r="1710" spans="1:4">
      <c r="A1710" s="57">
        <v>4705</v>
      </c>
      <c r="B1710" s="57">
        <v>33210</v>
      </c>
      <c r="C1710" s="58">
        <v>1616</v>
      </c>
      <c r="D1710" s="58">
        <v>119.1</v>
      </c>
    </row>
    <row r="1711" spans="1:4">
      <c r="A1711" s="57">
        <v>4706</v>
      </c>
      <c r="B1711" s="57">
        <v>33065</v>
      </c>
      <c r="C1711" s="58">
        <v>1626.4</v>
      </c>
      <c r="D1711" s="58">
        <v>68</v>
      </c>
    </row>
    <row r="1712" spans="1:4">
      <c r="A1712" s="57">
        <v>4707</v>
      </c>
      <c r="B1712" s="57">
        <v>33210</v>
      </c>
      <c r="C1712" s="58">
        <v>1616</v>
      </c>
      <c r="D1712" s="58">
        <v>119.1</v>
      </c>
    </row>
    <row r="1713" spans="1:4">
      <c r="A1713" s="57">
        <v>4709</v>
      </c>
      <c r="B1713" s="57">
        <v>35264</v>
      </c>
      <c r="C1713" s="58">
        <v>1141.4000000000001</v>
      </c>
      <c r="D1713" s="58">
        <v>196.4</v>
      </c>
    </row>
    <row r="1714" spans="1:4">
      <c r="A1714" s="57">
        <v>4710</v>
      </c>
      <c r="B1714" s="57">
        <v>33294</v>
      </c>
      <c r="C1714" s="58">
        <v>1762</v>
      </c>
      <c r="D1714" s="58">
        <v>150.30000000000001</v>
      </c>
    </row>
    <row r="1715" spans="1:4">
      <c r="A1715" s="57">
        <v>4711</v>
      </c>
      <c r="B1715" s="57">
        <v>39083</v>
      </c>
      <c r="C1715" s="58">
        <v>1408.6</v>
      </c>
      <c r="D1715" s="58">
        <v>121.2</v>
      </c>
    </row>
    <row r="1716" spans="1:4">
      <c r="A1716" s="57">
        <v>4712</v>
      </c>
      <c r="B1716" s="57">
        <v>39083</v>
      </c>
      <c r="C1716" s="58">
        <v>1408.6</v>
      </c>
      <c r="D1716" s="58">
        <v>121.2</v>
      </c>
    </row>
    <row r="1717" spans="1:4">
      <c r="A1717" s="57">
        <v>4713</v>
      </c>
      <c r="B1717" s="57">
        <v>39089</v>
      </c>
      <c r="C1717" s="58">
        <v>977.8</v>
      </c>
      <c r="D1717" s="58">
        <v>344.4</v>
      </c>
    </row>
    <row r="1718" spans="1:4">
      <c r="A1718" s="57">
        <v>4714</v>
      </c>
      <c r="B1718" s="57">
        <v>39083</v>
      </c>
      <c r="C1718" s="58">
        <v>1408.6</v>
      </c>
      <c r="D1718" s="58">
        <v>121.2</v>
      </c>
    </row>
    <row r="1719" spans="1:4">
      <c r="A1719" s="57">
        <v>4715</v>
      </c>
      <c r="B1719" s="57">
        <v>39089</v>
      </c>
      <c r="C1719" s="58">
        <v>977.8</v>
      </c>
      <c r="D1719" s="58">
        <v>344.4</v>
      </c>
    </row>
    <row r="1720" spans="1:4">
      <c r="A1720" s="57">
        <v>4716</v>
      </c>
      <c r="B1720" s="57">
        <v>39089</v>
      </c>
      <c r="C1720" s="58">
        <v>977.8</v>
      </c>
      <c r="D1720" s="58">
        <v>344.4</v>
      </c>
    </row>
    <row r="1721" spans="1:4">
      <c r="A1721" s="57">
        <v>4717</v>
      </c>
      <c r="B1721" s="57">
        <v>35264</v>
      </c>
      <c r="C1721" s="58">
        <v>1141.4000000000001</v>
      </c>
      <c r="D1721" s="58">
        <v>196.4</v>
      </c>
    </row>
    <row r="1722" spans="1:4">
      <c r="A1722" s="57">
        <v>4718</v>
      </c>
      <c r="B1722" s="57">
        <v>43015</v>
      </c>
      <c r="C1722" s="58">
        <v>696.8</v>
      </c>
      <c r="D1722" s="58">
        <v>648.5</v>
      </c>
    </row>
    <row r="1723" spans="1:4">
      <c r="A1723" s="57">
        <v>4719</v>
      </c>
      <c r="B1723" s="57">
        <v>39089</v>
      </c>
      <c r="C1723" s="58">
        <v>977.8</v>
      </c>
      <c r="D1723" s="58">
        <v>344.4</v>
      </c>
    </row>
    <row r="1724" spans="1:4">
      <c r="A1724" s="57">
        <v>4720</v>
      </c>
      <c r="B1724" s="57">
        <v>35264</v>
      </c>
      <c r="C1724" s="58">
        <v>1141.4000000000001</v>
      </c>
      <c r="D1724" s="58">
        <v>196.4</v>
      </c>
    </row>
    <row r="1725" spans="1:4">
      <c r="A1725" s="57">
        <v>4721</v>
      </c>
      <c r="B1725" s="57">
        <v>35264</v>
      </c>
      <c r="C1725" s="58">
        <v>1141.4000000000001</v>
      </c>
      <c r="D1725" s="58">
        <v>196.4</v>
      </c>
    </row>
    <row r="1726" spans="1:4">
      <c r="A1726" s="57">
        <v>4722</v>
      </c>
      <c r="B1726" s="57">
        <v>35264</v>
      </c>
      <c r="C1726" s="58">
        <v>1141.4000000000001</v>
      </c>
      <c r="D1726" s="58">
        <v>196.4</v>
      </c>
    </row>
    <row r="1727" spans="1:4">
      <c r="A1727" s="57">
        <v>4723</v>
      </c>
      <c r="B1727" s="57">
        <v>35264</v>
      </c>
      <c r="C1727" s="58">
        <v>1141.4000000000001</v>
      </c>
      <c r="D1727" s="58">
        <v>196.4</v>
      </c>
    </row>
    <row r="1728" spans="1:4">
      <c r="A1728" s="57">
        <v>4724</v>
      </c>
      <c r="B1728" s="57">
        <v>35264</v>
      </c>
      <c r="C1728" s="58">
        <v>1141.4000000000001</v>
      </c>
      <c r="D1728" s="58">
        <v>196.4</v>
      </c>
    </row>
    <row r="1729" spans="1:4">
      <c r="A1729" s="57">
        <v>4725</v>
      </c>
      <c r="B1729" s="57">
        <v>36031</v>
      </c>
      <c r="C1729" s="58">
        <v>911</v>
      </c>
      <c r="D1729" s="58">
        <v>240.4</v>
      </c>
    </row>
    <row r="1730" spans="1:4">
      <c r="A1730" s="57">
        <v>4726</v>
      </c>
      <c r="B1730" s="57">
        <v>36031</v>
      </c>
      <c r="C1730" s="58">
        <v>911</v>
      </c>
      <c r="D1730" s="58">
        <v>240.4</v>
      </c>
    </row>
    <row r="1731" spans="1:4">
      <c r="A1731" s="57">
        <v>4727</v>
      </c>
      <c r="B1731" s="57">
        <v>36031</v>
      </c>
      <c r="C1731" s="58">
        <v>911</v>
      </c>
      <c r="D1731" s="58">
        <v>240.4</v>
      </c>
    </row>
    <row r="1732" spans="1:4">
      <c r="A1732" s="57">
        <v>4728</v>
      </c>
      <c r="B1732" s="57">
        <v>36034</v>
      </c>
      <c r="C1732" s="58">
        <v>846</v>
      </c>
      <c r="D1732" s="58">
        <v>345.8</v>
      </c>
    </row>
    <row r="1733" spans="1:4">
      <c r="A1733" s="57">
        <v>4730</v>
      </c>
      <c r="B1733" s="57">
        <v>37039</v>
      </c>
      <c r="C1733" s="58">
        <v>1068.7</v>
      </c>
      <c r="D1733" s="58">
        <v>178.6</v>
      </c>
    </row>
    <row r="1734" spans="1:4">
      <c r="A1734" s="57">
        <v>4731</v>
      </c>
      <c r="B1734" s="57">
        <v>36031</v>
      </c>
      <c r="C1734" s="58">
        <v>911</v>
      </c>
      <c r="D1734" s="58">
        <v>240.4</v>
      </c>
    </row>
    <row r="1735" spans="1:4">
      <c r="A1735" s="57">
        <v>4732</v>
      </c>
      <c r="B1735" s="57">
        <v>36031</v>
      </c>
      <c r="C1735" s="58">
        <v>911</v>
      </c>
      <c r="D1735" s="58">
        <v>240.4</v>
      </c>
    </row>
    <row r="1736" spans="1:4">
      <c r="A1736" s="57">
        <v>4733</v>
      </c>
      <c r="B1736" s="57">
        <v>37039</v>
      </c>
      <c r="C1736" s="58">
        <v>1068.7</v>
      </c>
      <c r="D1736" s="58">
        <v>178.6</v>
      </c>
    </row>
    <row r="1737" spans="1:4">
      <c r="A1737" s="57">
        <v>4735</v>
      </c>
      <c r="B1737" s="57">
        <v>37036</v>
      </c>
      <c r="C1737" s="58">
        <v>901</v>
      </c>
      <c r="D1737" s="58">
        <v>226.6</v>
      </c>
    </row>
    <row r="1738" spans="1:4">
      <c r="A1738" s="57">
        <v>4736</v>
      </c>
      <c r="B1738" s="57">
        <v>38024</v>
      </c>
      <c r="C1738" s="58">
        <v>982.7</v>
      </c>
      <c r="D1738" s="58">
        <v>330.9</v>
      </c>
    </row>
    <row r="1739" spans="1:4">
      <c r="A1739" s="57">
        <v>4737</v>
      </c>
      <c r="B1739" s="57">
        <v>33045</v>
      </c>
      <c r="C1739" s="58">
        <v>1751.9</v>
      </c>
      <c r="D1739" s="58">
        <v>118.2</v>
      </c>
    </row>
    <row r="1740" spans="1:4">
      <c r="A1740" s="57">
        <v>4738</v>
      </c>
      <c r="B1740" s="57">
        <v>33045</v>
      </c>
      <c r="C1740" s="58">
        <v>1751.9</v>
      </c>
      <c r="D1740" s="58">
        <v>118.2</v>
      </c>
    </row>
    <row r="1741" spans="1:4">
      <c r="A1741" s="57">
        <v>4739</v>
      </c>
      <c r="B1741" s="57">
        <v>33210</v>
      </c>
      <c r="C1741" s="58">
        <v>1616</v>
      </c>
      <c r="D1741" s="58">
        <v>119.1</v>
      </c>
    </row>
    <row r="1742" spans="1:4">
      <c r="A1742" s="57">
        <v>4740</v>
      </c>
      <c r="B1742" s="57">
        <v>33045</v>
      </c>
      <c r="C1742" s="58">
        <v>1751.9</v>
      </c>
      <c r="D1742" s="58">
        <v>118.2</v>
      </c>
    </row>
    <row r="1743" spans="1:4">
      <c r="A1743" s="57">
        <v>4741</v>
      </c>
      <c r="B1743" s="57">
        <v>33045</v>
      </c>
      <c r="C1743" s="58">
        <v>1751.9</v>
      </c>
      <c r="D1743" s="58">
        <v>118.2</v>
      </c>
    </row>
    <row r="1744" spans="1:4">
      <c r="A1744" s="57">
        <v>4742</v>
      </c>
      <c r="B1744" s="57">
        <v>33247</v>
      </c>
      <c r="C1744" s="58">
        <v>1662.6</v>
      </c>
      <c r="D1744" s="58">
        <v>109</v>
      </c>
    </row>
    <row r="1745" spans="1:4">
      <c r="A1745" s="57">
        <v>4743</v>
      </c>
      <c r="B1745" s="57">
        <v>33247</v>
      </c>
      <c r="C1745" s="58">
        <v>1662.6</v>
      </c>
      <c r="D1745" s="58">
        <v>109</v>
      </c>
    </row>
    <row r="1746" spans="1:4">
      <c r="A1746" s="57">
        <v>4744</v>
      </c>
      <c r="B1746" s="57">
        <v>33045</v>
      </c>
      <c r="C1746" s="58">
        <v>1751.9</v>
      </c>
      <c r="D1746" s="58">
        <v>118.2</v>
      </c>
    </row>
    <row r="1747" spans="1:4">
      <c r="A1747" s="57">
        <v>4745</v>
      </c>
      <c r="B1747" s="57">
        <v>35264</v>
      </c>
      <c r="C1747" s="58">
        <v>1141.4000000000001</v>
      </c>
      <c r="D1747" s="58">
        <v>196.4</v>
      </c>
    </row>
    <row r="1748" spans="1:4">
      <c r="A1748" s="57">
        <v>4746</v>
      </c>
      <c r="B1748" s="57">
        <v>33210</v>
      </c>
      <c r="C1748" s="58">
        <v>1616</v>
      </c>
      <c r="D1748" s="58">
        <v>119.1</v>
      </c>
    </row>
    <row r="1749" spans="1:4">
      <c r="A1749" s="57">
        <v>4750</v>
      </c>
      <c r="B1749" s="57">
        <v>33119</v>
      </c>
      <c r="C1749" s="58">
        <v>1948.1</v>
      </c>
      <c r="D1749" s="58">
        <v>85.3</v>
      </c>
    </row>
    <row r="1750" spans="1:4">
      <c r="A1750" s="57">
        <v>4751</v>
      </c>
      <c r="B1750" s="57">
        <v>33045</v>
      </c>
      <c r="C1750" s="58">
        <v>1751.9</v>
      </c>
      <c r="D1750" s="58">
        <v>118.2</v>
      </c>
    </row>
    <row r="1751" spans="1:4">
      <c r="A1751" s="57">
        <v>4753</v>
      </c>
      <c r="B1751" s="57">
        <v>33045</v>
      </c>
      <c r="C1751" s="58">
        <v>1751.9</v>
      </c>
      <c r="D1751" s="58">
        <v>118.2</v>
      </c>
    </row>
    <row r="1752" spans="1:4">
      <c r="A1752" s="57">
        <v>4754</v>
      </c>
      <c r="B1752" s="57">
        <v>33045</v>
      </c>
      <c r="C1752" s="58">
        <v>1751.9</v>
      </c>
      <c r="D1752" s="58">
        <v>118.2</v>
      </c>
    </row>
    <row r="1753" spans="1:4">
      <c r="A1753" s="57">
        <v>4756</v>
      </c>
      <c r="B1753" s="57">
        <v>33045</v>
      </c>
      <c r="C1753" s="58">
        <v>1751.9</v>
      </c>
      <c r="D1753" s="58">
        <v>118.2</v>
      </c>
    </row>
    <row r="1754" spans="1:4">
      <c r="A1754" s="57">
        <v>4757</v>
      </c>
      <c r="B1754" s="57">
        <v>33045</v>
      </c>
      <c r="C1754" s="58">
        <v>1751.9</v>
      </c>
      <c r="D1754" s="58">
        <v>118.2</v>
      </c>
    </row>
    <row r="1755" spans="1:4">
      <c r="A1755" s="57">
        <v>4798</v>
      </c>
      <c r="B1755" s="57">
        <v>33247</v>
      </c>
      <c r="C1755" s="58">
        <v>1662.6</v>
      </c>
      <c r="D1755" s="58">
        <v>109</v>
      </c>
    </row>
    <row r="1756" spans="1:4">
      <c r="A1756" s="57">
        <v>4799</v>
      </c>
      <c r="B1756" s="57">
        <v>33247</v>
      </c>
      <c r="C1756" s="58">
        <v>1662.6</v>
      </c>
      <c r="D1756" s="58">
        <v>109</v>
      </c>
    </row>
    <row r="1757" spans="1:4">
      <c r="A1757" s="57">
        <v>4800</v>
      </c>
      <c r="B1757" s="57">
        <v>33247</v>
      </c>
      <c r="C1757" s="58">
        <v>1662.6</v>
      </c>
      <c r="D1757" s="58">
        <v>109</v>
      </c>
    </row>
    <row r="1758" spans="1:4">
      <c r="A1758" s="57">
        <v>4801</v>
      </c>
      <c r="B1758" s="57">
        <v>33106</v>
      </c>
      <c r="C1758" s="58">
        <v>1976.9</v>
      </c>
      <c r="D1758" s="58">
        <v>5.7</v>
      </c>
    </row>
    <row r="1759" spans="1:4">
      <c r="A1759" s="57">
        <v>4802</v>
      </c>
      <c r="B1759" s="57">
        <v>33247</v>
      </c>
      <c r="C1759" s="58">
        <v>1662.6</v>
      </c>
      <c r="D1759" s="58">
        <v>109</v>
      </c>
    </row>
    <row r="1760" spans="1:4">
      <c r="A1760" s="57">
        <v>4803</v>
      </c>
      <c r="B1760" s="57">
        <v>33106</v>
      </c>
      <c r="C1760" s="58">
        <v>1976.9</v>
      </c>
      <c r="D1760" s="58">
        <v>5.7</v>
      </c>
    </row>
    <row r="1761" spans="1:4">
      <c r="A1761" s="57">
        <v>4804</v>
      </c>
      <c r="B1761" s="57">
        <v>33247</v>
      </c>
      <c r="C1761" s="58">
        <v>1662.6</v>
      </c>
      <c r="D1761" s="58">
        <v>109</v>
      </c>
    </row>
    <row r="1762" spans="1:4">
      <c r="A1762" s="57">
        <v>4805</v>
      </c>
      <c r="B1762" s="57">
        <v>33247</v>
      </c>
      <c r="C1762" s="58">
        <v>1662.6</v>
      </c>
      <c r="D1762" s="58">
        <v>109</v>
      </c>
    </row>
    <row r="1763" spans="1:4">
      <c r="A1763" s="57">
        <v>4806</v>
      </c>
      <c r="B1763" s="57">
        <v>33002</v>
      </c>
      <c r="C1763" s="58">
        <v>1937.5</v>
      </c>
      <c r="D1763" s="58">
        <v>48.2</v>
      </c>
    </row>
    <row r="1764" spans="1:4">
      <c r="A1764" s="57">
        <v>4807</v>
      </c>
      <c r="B1764" s="57">
        <v>33002</v>
      </c>
      <c r="C1764" s="58">
        <v>1937.5</v>
      </c>
      <c r="D1764" s="58">
        <v>48.2</v>
      </c>
    </row>
    <row r="1765" spans="1:4">
      <c r="A1765" s="57">
        <v>4808</v>
      </c>
      <c r="B1765" s="57">
        <v>33002</v>
      </c>
      <c r="C1765" s="58">
        <v>1937.5</v>
      </c>
      <c r="D1765" s="58">
        <v>48.2</v>
      </c>
    </row>
    <row r="1766" spans="1:4">
      <c r="A1766" s="57">
        <v>4809</v>
      </c>
      <c r="B1766" s="57">
        <v>32040</v>
      </c>
      <c r="C1766" s="58">
        <v>2100.4</v>
      </c>
      <c r="D1766" s="58">
        <v>23.4</v>
      </c>
    </row>
    <row r="1767" spans="1:4">
      <c r="A1767" s="57">
        <v>4810</v>
      </c>
      <c r="B1767" s="57">
        <v>32040</v>
      </c>
      <c r="C1767" s="58">
        <v>2100.4</v>
      </c>
      <c r="D1767" s="58">
        <v>23.4</v>
      </c>
    </row>
    <row r="1768" spans="1:4">
      <c r="A1768" s="57">
        <v>4811</v>
      </c>
      <c r="B1768" s="57">
        <v>32040</v>
      </c>
      <c r="C1768" s="58">
        <v>2100.4</v>
      </c>
      <c r="D1768" s="58">
        <v>23.4</v>
      </c>
    </row>
    <row r="1769" spans="1:4">
      <c r="A1769" s="57">
        <v>4812</v>
      </c>
      <c r="B1769" s="57">
        <v>32040</v>
      </c>
      <c r="C1769" s="58">
        <v>2100.4</v>
      </c>
      <c r="D1769" s="58">
        <v>23.4</v>
      </c>
    </row>
    <row r="1770" spans="1:4">
      <c r="A1770" s="57">
        <v>4813</v>
      </c>
      <c r="B1770" s="57">
        <v>32040</v>
      </c>
      <c r="C1770" s="58">
        <v>2100.4</v>
      </c>
      <c r="D1770" s="58">
        <v>23.4</v>
      </c>
    </row>
    <row r="1771" spans="1:4">
      <c r="A1771" s="57">
        <v>4814</v>
      </c>
      <c r="B1771" s="57">
        <v>32040</v>
      </c>
      <c r="C1771" s="58">
        <v>2100.4</v>
      </c>
      <c r="D1771" s="58">
        <v>23.4</v>
      </c>
    </row>
    <row r="1772" spans="1:4">
      <c r="A1772" s="57">
        <v>4815</v>
      </c>
      <c r="B1772" s="57">
        <v>33307</v>
      </c>
      <c r="C1772" s="58">
        <v>1239.2</v>
      </c>
      <c r="D1772" s="58">
        <v>206.4</v>
      </c>
    </row>
    <row r="1773" spans="1:4">
      <c r="A1773" s="57">
        <v>4816</v>
      </c>
      <c r="B1773" s="57">
        <v>32040</v>
      </c>
      <c r="C1773" s="58">
        <v>2100.4</v>
      </c>
      <c r="D1773" s="58">
        <v>23.4</v>
      </c>
    </row>
    <row r="1774" spans="1:4">
      <c r="A1774" s="57">
        <v>4817</v>
      </c>
      <c r="B1774" s="57">
        <v>32040</v>
      </c>
      <c r="C1774" s="58">
        <v>2100.4</v>
      </c>
      <c r="D1774" s="58">
        <v>23.4</v>
      </c>
    </row>
    <row r="1775" spans="1:4">
      <c r="A1775" s="57">
        <v>4818</v>
      </c>
      <c r="B1775" s="57">
        <v>32040</v>
      </c>
      <c r="C1775" s="58">
        <v>2100.4</v>
      </c>
      <c r="D1775" s="58">
        <v>23.4</v>
      </c>
    </row>
    <row r="1776" spans="1:4">
      <c r="A1776" s="57">
        <v>4819</v>
      </c>
      <c r="B1776" s="57">
        <v>32040</v>
      </c>
      <c r="C1776" s="58">
        <v>2100.4</v>
      </c>
      <c r="D1776" s="58">
        <v>23.4</v>
      </c>
    </row>
    <row r="1777" spans="1:4">
      <c r="A1777" s="57">
        <v>4820</v>
      </c>
      <c r="B1777" s="57">
        <v>33307</v>
      </c>
      <c r="C1777" s="58">
        <v>1239.2</v>
      </c>
      <c r="D1777" s="58">
        <v>206.4</v>
      </c>
    </row>
    <row r="1778" spans="1:4">
      <c r="A1778" s="57">
        <v>4821</v>
      </c>
      <c r="B1778" s="57">
        <v>30022</v>
      </c>
      <c r="C1778" s="58">
        <v>1044.2</v>
      </c>
      <c r="D1778" s="58">
        <v>142.1</v>
      </c>
    </row>
    <row r="1779" spans="1:4">
      <c r="A1779" s="57">
        <v>4822</v>
      </c>
      <c r="B1779" s="57">
        <v>30124</v>
      </c>
      <c r="C1779" s="58">
        <v>1535.3</v>
      </c>
      <c r="D1779" s="58">
        <v>21.4</v>
      </c>
    </row>
    <row r="1780" spans="1:4">
      <c r="A1780" s="57">
        <v>4823</v>
      </c>
      <c r="B1780" s="57">
        <v>29058</v>
      </c>
      <c r="C1780" s="58">
        <v>1153.3</v>
      </c>
      <c r="D1780" s="58">
        <v>123.9</v>
      </c>
    </row>
    <row r="1781" spans="1:4">
      <c r="A1781" s="57">
        <v>4824</v>
      </c>
      <c r="B1781" s="57">
        <v>29141</v>
      </c>
      <c r="C1781" s="58">
        <v>1118.4000000000001</v>
      </c>
      <c r="D1781" s="58">
        <v>83.8</v>
      </c>
    </row>
    <row r="1782" spans="1:4">
      <c r="A1782" s="57">
        <v>4825</v>
      </c>
      <c r="B1782" s="57">
        <v>29127</v>
      </c>
      <c r="C1782" s="58">
        <v>1000.3</v>
      </c>
      <c r="D1782" s="58">
        <v>160.30000000000001</v>
      </c>
    </row>
    <row r="1783" spans="1:4">
      <c r="A1783" s="57">
        <v>4828</v>
      </c>
      <c r="B1783" s="57">
        <v>37010</v>
      </c>
      <c r="C1783" s="58">
        <v>1097.5</v>
      </c>
      <c r="D1783" s="58">
        <v>134</v>
      </c>
    </row>
    <row r="1784" spans="1:4">
      <c r="A1784" s="57">
        <v>4829</v>
      </c>
      <c r="B1784" s="57">
        <v>38026</v>
      </c>
      <c r="C1784" s="58">
        <v>644.20000000000005</v>
      </c>
      <c r="D1784" s="58">
        <v>363.3</v>
      </c>
    </row>
    <row r="1785" spans="1:4">
      <c r="A1785" s="57">
        <v>4830</v>
      </c>
      <c r="B1785" s="57">
        <v>29077</v>
      </c>
      <c r="C1785" s="58">
        <v>2102.1999999999998</v>
      </c>
      <c r="D1785" s="58">
        <v>7</v>
      </c>
    </row>
    <row r="1786" spans="1:4">
      <c r="A1786" s="57">
        <v>4849</v>
      </c>
      <c r="B1786" s="57">
        <v>32037</v>
      </c>
      <c r="C1786" s="58">
        <v>2260.9</v>
      </c>
      <c r="D1786" s="58">
        <v>16</v>
      </c>
    </row>
    <row r="1787" spans="1:4">
      <c r="A1787" s="57">
        <v>4850</v>
      </c>
      <c r="B1787" s="57">
        <v>32040</v>
      </c>
      <c r="C1787" s="58">
        <v>2100.4</v>
      </c>
      <c r="D1787" s="58">
        <v>23.4</v>
      </c>
    </row>
    <row r="1788" spans="1:4">
      <c r="A1788" s="57">
        <v>4852</v>
      </c>
      <c r="B1788" s="57">
        <v>32037</v>
      </c>
      <c r="C1788" s="58">
        <v>2260.9</v>
      </c>
      <c r="D1788" s="58">
        <v>16</v>
      </c>
    </row>
    <row r="1789" spans="1:4">
      <c r="A1789" s="57">
        <v>4854</v>
      </c>
      <c r="B1789" s="57">
        <v>32037</v>
      </c>
      <c r="C1789" s="58">
        <v>2260.9</v>
      </c>
      <c r="D1789" s="58">
        <v>16</v>
      </c>
    </row>
    <row r="1790" spans="1:4">
      <c r="A1790" s="57">
        <v>4855</v>
      </c>
      <c r="B1790" s="57">
        <v>32037</v>
      </c>
      <c r="C1790" s="58">
        <v>2260.9</v>
      </c>
      <c r="D1790" s="58">
        <v>16</v>
      </c>
    </row>
    <row r="1791" spans="1:4">
      <c r="A1791" s="57">
        <v>4856</v>
      </c>
      <c r="B1791" s="57">
        <v>32037</v>
      </c>
      <c r="C1791" s="58">
        <v>2260.9</v>
      </c>
      <c r="D1791" s="58">
        <v>16</v>
      </c>
    </row>
    <row r="1792" spans="1:4">
      <c r="A1792" s="57">
        <v>4857</v>
      </c>
      <c r="B1792" s="57">
        <v>40764</v>
      </c>
      <c r="C1792" s="58">
        <v>1163.3</v>
      </c>
      <c r="D1792" s="58">
        <v>135.9</v>
      </c>
    </row>
    <row r="1793" spans="1:4">
      <c r="A1793" s="57">
        <v>4858</v>
      </c>
      <c r="B1793" s="57">
        <v>32037</v>
      </c>
      <c r="C1793" s="58">
        <v>2260.9</v>
      </c>
      <c r="D1793" s="58">
        <v>16</v>
      </c>
    </row>
    <row r="1794" spans="1:4">
      <c r="A1794" s="57">
        <v>4859</v>
      </c>
      <c r="B1794" s="57">
        <v>32037</v>
      </c>
      <c r="C1794" s="58">
        <v>2260.9</v>
      </c>
      <c r="D1794" s="58">
        <v>16</v>
      </c>
    </row>
    <row r="1795" spans="1:4">
      <c r="A1795" s="57">
        <v>4860</v>
      </c>
      <c r="B1795" s="57">
        <v>32037</v>
      </c>
      <c r="C1795" s="58">
        <v>2260.9</v>
      </c>
      <c r="D1795" s="58">
        <v>16</v>
      </c>
    </row>
    <row r="1796" spans="1:4">
      <c r="A1796" s="57">
        <v>4861</v>
      </c>
      <c r="B1796" s="57">
        <v>32037</v>
      </c>
      <c r="C1796" s="58">
        <v>2260.9</v>
      </c>
      <c r="D1796" s="58">
        <v>16</v>
      </c>
    </row>
    <row r="1797" spans="1:4">
      <c r="A1797" s="57">
        <v>4865</v>
      </c>
      <c r="B1797" s="57">
        <v>31011</v>
      </c>
      <c r="C1797" s="58">
        <v>2320.5</v>
      </c>
      <c r="D1797" s="58">
        <v>2.2999999999999998</v>
      </c>
    </row>
    <row r="1798" spans="1:4">
      <c r="A1798" s="57">
        <v>4868</v>
      </c>
      <c r="B1798" s="57">
        <v>31011</v>
      </c>
      <c r="C1798" s="58">
        <v>2320.5</v>
      </c>
      <c r="D1798" s="58">
        <v>2.2999999999999998</v>
      </c>
    </row>
    <row r="1799" spans="1:4">
      <c r="A1799" s="57">
        <v>4869</v>
      </c>
      <c r="B1799" s="57">
        <v>31011</v>
      </c>
      <c r="C1799" s="58">
        <v>2320.5</v>
      </c>
      <c r="D1799" s="58">
        <v>2.2999999999999998</v>
      </c>
    </row>
    <row r="1800" spans="1:4">
      <c r="A1800" s="57">
        <v>4870</v>
      </c>
      <c r="B1800" s="57">
        <v>31011</v>
      </c>
      <c r="C1800" s="58">
        <v>2320.5</v>
      </c>
      <c r="D1800" s="58">
        <v>2.2999999999999998</v>
      </c>
    </row>
    <row r="1801" spans="1:4">
      <c r="A1801" s="57">
        <v>4871</v>
      </c>
      <c r="B1801" s="57">
        <v>31011</v>
      </c>
      <c r="C1801" s="58">
        <v>2320.5</v>
      </c>
      <c r="D1801" s="58">
        <v>2.2999999999999998</v>
      </c>
    </row>
    <row r="1802" spans="1:4">
      <c r="A1802" s="57">
        <v>4872</v>
      </c>
      <c r="B1802" s="57">
        <v>31210</v>
      </c>
      <c r="C1802" s="58">
        <v>1523.8</v>
      </c>
      <c r="D1802" s="58">
        <v>19.3</v>
      </c>
    </row>
    <row r="1803" spans="1:4">
      <c r="A1803" s="57">
        <v>4873</v>
      </c>
      <c r="B1803" s="57">
        <v>31037</v>
      </c>
      <c r="C1803" s="58">
        <v>2870.7</v>
      </c>
      <c r="D1803" s="58">
        <v>0</v>
      </c>
    </row>
    <row r="1804" spans="1:4">
      <c r="A1804" s="57">
        <v>4874</v>
      </c>
      <c r="B1804" s="57">
        <v>27058</v>
      </c>
      <c r="C1804" s="58">
        <v>3394.5</v>
      </c>
      <c r="D1804" s="58">
        <v>0</v>
      </c>
    </row>
    <row r="1805" spans="1:4">
      <c r="A1805" s="57">
        <v>4875</v>
      </c>
      <c r="B1805" s="57">
        <v>27058</v>
      </c>
      <c r="C1805" s="58">
        <v>3394.5</v>
      </c>
      <c r="D1805" s="58">
        <v>0</v>
      </c>
    </row>
    <row r="1806" spans="1:4">
      <c r="A1806" s="57">
        <v>4876</v>
      </c>
      <c r="B1806" s="57">
        <v>27058</v>
      </c>
      <c r="C1806" s="58">
        <v>3394.5</v>
      </c>
      <c r="D1806" s="58">
        <v>0</v>
      </c>
    </row>
    <row r="1807" spans="1:4">
      <c r="A1807" s="57">
        <v>4877</v>
      </c>
      <c r="B1807" s="57">
        <v>31037</v>
      </c>
      <c r="C1807" s="58">
        <v>2870.7</v>
      </c>
      <c r="D1807" s="58">
        <v>0</v>
      </c>
    </row>
    <row r="1808" spans="1:4">
      <c r="A1808" s="57">
        <v>4878</v>
      </c>
      <c r="B1808" s="57">
        <v>31011</v>
      </c>
      <c r="C1808" s="58">
        <v>2320.5</v>
      </c>
      <c r="D1808" s="58">
        <v>2.2999999999999998</v>
      </c>
    </row>
    <row r="1809" spans="1:4">
      <c r="A1809" s="57">
        <v>4879</v>
      </c>
      <c r="B1809" s="57">
        <v>31011</v>
      </c>
      <c r="C1809" s="58">
        <v>2320.5</v>
      </c>
      <c r="D1809" s="58">
        <v>2.2999999999999998</v>
      </c>
    </row>
    <row r="1810" spans="1:4">
      <c r="A1810" s="57">
        <v>4880</v>
      </c>
      <c r="B1810" s="57">
        <v>31210</v>
      </c>
      <c r="C1810" s="58">
        <v>1523.8</v>
      </c>
      <c r="D1810" s="58">
        <v>19.3</v>
      </c>
    </row>
    <row r="1811" spans="1:4">
      <c r="A1811" s="57">
        <v>4881</v>
      </c>
      <c r="B1811" s="57">
        <v>31011</v>
      </c>
      <c r="C1811" s="58">
        <v>2320.5</v>
      </c>
      <c r="D1811" s="58">
        <v>2.2999999999999998</v>
      </c>
    </row>
    <row r="1812" spans="1:4">
      <c r="A1812" s="57">
        <v>4882</v>
      </c>
      <c r="B1812" s="57">
        <v>31210</v>
      </c>
      <c r="C1812" s="58">
        <v>1523.8</v>
      </c>
      <c r="D1812" s="58">
        <v>19.3</v>
      </c>
    </row>
    <row r="1813" spans="1:4">
      <c r="A1813" s="57">
        <v>4883</v>
      </c>
      <c r="B1813" s="57">
        <v>31210</v>
      </c>
      <c r="C1813" s="58">
        <v>1523.8</v>
      </c>
      <c r="D1813" s="58">
        <v>19.3</v>
      </c>
    </row>
    <row r="1814" spans="1:4">
      <c r="A1814" s="57">
        <v>4884</v>
      </c>
      <c r="B1814" s="57">
        <v>31210</v>
      </c>
      <c r="C1814" s="58">
        <v>1523.8</v>
      </c>
      <c r="D1814" s="58">
        <v>19.3</v>
      </c>
    </row>
    <row r="1815" spans="1:4">
      <c r="A1815" s="16">
        <v>4885</v>
      </c>
      <c r="B1815" s="16">
        <v>31210</v>
      </c>
      <c r="C1815" s="16">
        <v>1523.8</v>
      </c>
      <c r="D1815" s="16">
        <v>19.3</v>
      </c>
    </row>
    <row r="1816" spans="1:4">
      <c r="A1816" s="57">
        <v>4886</v>
      </c>
      <c r="B1816" s="57">
        <v>32037</v>
      </c>
      <c r="C1816" s="58">
        <v>2260.9</v>
      </c>
      <c r="D1816" s="58">
        <v>16</v>
      </c>
    </row>
    <row r="1817" spans="1:4">
      <c r="A1817" s="57">
        <v>4887</v>
      </c>
      <c r="B1817" s="57">
        <v>31210</v>
      </c>
      <c r="C1817" s="58">
        <v>1523.8</v>
      </c>
      <c r="D1817" s="58">
        <v>19.3</v>
      </c>
    </row>
    <row r="1818" spans="1:4">
      <c r="A1818" s="57">
        <v>4888</v>
      </c>
      <c r="B1818" s="57">
        <v>31210</v>
      </c>
      <c r="C1818" s="58">
        <v>1523.8</v>
      </c>
      <c r="D1818" s="58">
        <v>19.3</v>
      </c>
    </row>
    <row r="1819" spans="1:4">
      <c r="A1819" s="57">
        <v>4890</v>
      </c>
      <c r="B1819" s="57">
        <v>29063</v>
      </c>
      <c r="C1819" s="58">
        <v>2174.5</v>
      </c>
      <c r="D1819" s="58">
        <v>4.0999999999999996</v>
      </c>
    </row>
    <row r="1820" spans="1:4">
      <c r="A1820" s="57">
        <v>4891</v>
      </c>
      <c r="B1820" s="57">
        <v>29063</v>
      </c>
      <c r="C1820" s="58">
        <v>2174.5</v>
      </c>
      <c r="D1820" s="58">
        <v>4.0999999999999996</v>
      </c>
    </row>
    <row r="1821" spans="1:4">
      <c r="A1821" s="57">
        <v>4892</v>
      </c>
      <c r="B1821" s="57">
        <v>31011</v>
      </c>
      <c r="C1821" s="58">
        <v>2320.5</v>
      </c>
      <c r="D1821" s="58">
        <v>2.2999999999999998</v>
      </c>
    </row>
    <row r="1822" spans="1:4">
      <c r="A1822" s="57">
        <v>4895</v>
      </c>
      <c r="B1822" s="57">
        <v>31209</v>
      </c>
      <c r="C1822" s="58">
        <v>2607.5</v>
      </c>
      <c r="D1822" s="58">
        <v>3.4</v>
      </c>
    </row>
    <row r="1823" spans="1:4">
      <c r="A1823" s="57">
        <v>5000</v>
      </c>
      <c r="B1823" s="57">
        <v>23034</v>
      </c>
      <c r="C1823" s="58">
        <v>159.69999999999999</v>
      </c>
      <c r="D1823" s="58">
        <v>995.6</v>
      </c>
    </row>
    <row r="1824" spans="1:4">
      <c r="A1824" s="57">
        <v>5005</v>
      </c>
      <c r="B1824" s="57">
        <v>23090</v>
      </c>
      <c r="C1824" s="58">
        <v>164.9</v>
      </c>
      <c r="D1824" s="58">
        <v>900.5</v>
      </c>
    </row>
    <row r="1825" spans="1:4">
      <c r="A1825" s="57">
        <v>5006</v>
      </c>
      <c r="B1825" s="57">
        <v>23090</v>
      </c>
      <c r="C1825" s="58">
        <v>164.9</v>
      </c>
      <c r="D1825" s="58">
        <v>900.5</v>
      </c>
    </row>
    <row r="1826" spans="1:4">
      <c r="A1826" s="57">
        <v>5007</v>
      </c>
      <c r="B1826" s="57">
        <v>23090</v>
      </c>
      <c r="C1826" s="58">
        <v>164.9</v>
      </c>
      <c r="D1826" s="58">
        <v>900.5</v>
      </c>
    </row>
    <row r="1827" spans="1:4">
      <c r="A1827" s="57">
        <v>5008</v>
      </c>
      <c r="B1827" s="57">
        <v>23090</v>
      </c>
      <c r="C1827" s="58">
        <v>164.9</v>
      </c>
      <c r="D1827" s="58">
        <v>900.5</v>
      </c>
    </row>
    <row r="1828" spans="1:4">
      <c r="A1828" s="57">
        <v>5009</v>
      </c>
      <c r="B1828" s="57">
        <v>23034</v>
      </c>
      <c r="C1828" s="58">
        <v>159.69999999999999</v>
      </c>
      <c r="D1828" s="58">
        <v>995.6</v>
      </c>
    </row>
    <row r="1829" spans="1:4">
      <c r="A1829" s="57">
        <v>5010</v>
      </c>
      <c r="B1829" s="57">
        <v>23090</v>
      </c>
      <c r="C1829" s="58">
        <v>164.9</v>
      </c>
      <c r="D1829" s="58">
        <v>900.5</v>
      </c>
    </row>
    <row r="1830" spans="1:4">
      <c r="A1830" s="57">
        <v>5011</v>
      </c>
      <c r="B1830" s="57">
        <v>23034</v>
      </c>
      <c r="C1830" s="58">
        <v>159.69999999999999</v>
      </c>
      <c r="D1830" s="58">
        <v>995.6</v>
      </c>
    </row>
    <row r="1831" spans="1:4">
      <c r="A1831" s="57">
        <v>5012</v>
      </c>
      <c r="B1831" s="57">
        <v>23013</v>
      </c>
      <c r="C1831" s="58">
        <v>158.19999999999999</v>
      </c>
      <c r="D1831" s="58">
        <v>1017.3</v>
      </c>
    </row>
    <row r="1832" spans="1:4">
      <c r="A1832" s="57">
        <v>5013</v>
      </c>
      <c r="B1832" s="57">
        <v>23013</v>
      </c>
      <c r="C1832" s="58">
        <v>158.19999999999999</v>
      </c>
      <c r="D1832" s="58">
        <v>1017.3</v>
      </c>
    </row>
    <row r="1833" spans="1:4">
      <c r="A1833" s="57">
        <v>5014</v>
      </c>
      <c r="B1833" s="57">
        <v>23034</v>
      </c>
      <c r="C1833" s="58">
        <v>159.69999999999999</v>
      </c>
      <c r="D1833" s="58">
        <v>995.6</v>
      </c>
    </row>
    <row r="1834" spans="1:4">
      <c r="A1834" s="57">
        <v>5015</v>
      </c>
      <c r="B1834" s="57">
        <v>23034</v>
      </c>
      <c r="C1834" s="58">
        <v>159.69999999999999</v>
      </c>
      <c r="D1834" s="58">
        <v>995.6</v>
      </c>
    </row>
    <row r="1835" spans="1:4">
      <c r="A1835" s="57">
        <v>5016</v>
      </c>
      <c r="B1835" s="57">
        <v>23013</v>
      </c>
      <c r="C1835" s="58">
        <v>158.19999999999999</v>
      </c>
      <c r="D1835" s="58">
        <v>1017.3</v>
      </c>
    </row>
    <row r="1836" spans="1:4">
      <c r="A1836" s="57">
        <v>5017</v>
      </c>
      <c r="B1836" s="57">
        <v>23013</v>
      </c>
      <c r="C1836" s="58">
        <v>158.19999999999999</v>
      </c>
      <c r="D1836" s="58">
        <v>1017.3</v>
      </c>
    </row>
    <row r="1837" spans="1:4">
      <c r="A1837" s="57">
        <v>5018</v>
      </c>
      <c r="B1837" s="57">
        <v>23013</v>
      </c>
      <c r="C1837" s="58">
        <v>158.19999999999999</v>
      </c>
      <c r="D1837" s="58">
        <v>1017.3</v>
      </c>
    </row>
    <row r="1838" spans="1:4">
      <c r="A1838" s="57">
        <v>5019</v>
      </c>
      <c r="B1838" s="57">
        <v>23034</v>
      </c>
      <c r="C1838" s="58">
        <v>159.69999999999999</v>
      </c>
      <c r="D1838" s="58">
        <v>995.6</v>
      </c>
    </row>
    <row r="1839" spans="1:4">
      <c r="A1839" s="57">
        <v>5020</v>
      </c>
      <c r="B1839" s="57">
        <v>23034</v>
      </c>
      <c r="C1839" s="58">
        <v>159.69999999999999</v>
      </c>
      <c r="D1839" s="58">
        <v>995.6</v>
      </c>
    </row>
    <row r="1840" spans="1:4">
      <c r="A1840" s="57">
        <v>5021</v>
      </c>
      <c r="B1840" s="57">
        <v>23034</v>
      </c>
      <c r="C1840" s="58">
        <v>159.69999999999999</v>
      </c>
      <c r="D1840" s="58">
        <v>995.6</v>
      </c>
    </row>
    <row r="1841" spans="1:4">
      <c r="A1841" s="57">
        <v>5022</v>
      </c>
      <c r="B1841" s="57">
        <v>23034</v>
      </c>
      <c r="C1841" s="58">
        <v>159.69999999999999</v>
      </c>
      <c r="D1841" s="58">
        <v>995.6</v>
      </c>
    </row>
    <row r="1842" spans="1:4">
      <c r="A1842" s="57">
        <v>5023</v>
      </c>
      <c r="B1842" s="57">
        <v>23034</v>
      </c>
      <c r="C1842" s="58">
        <v>159.69999999999999</v>
      </c>
      <c r="D1842" s="58">
        <v>995.6</v>
      </c>
    </row>
    <row r="1843" spans="1:4">
      <c r="A1843" s="57">
        <v>5024</v>
      </c>
      <c r="B1843" s="57">
        <v>23034</v>
      </c>
      <c r="C1843" s="58">
        <v>159.69999999999999</v>
      </c>
      <c r="D1843" s="58">
        <v>995.6</v>
      </c>
    </row>
    <row r="1844" spans="1:4">
      <c r="A1844" s="57">
        <v>5025</v>
      </c>
      <c r="B1844" s="57">
        <v>23034</v>
      </c>
      <c r="C1844" s="58">
        <v>159.69999999999999</v>
      </c>
      <c r="D1844" s="58">
        <v>995.6</v>
      </c>
    </row>
    <row r="1845" spans="1:4">
      <c r="A1845" s="57">
        <v>5031</v>
      </c>
      <c r="B1845" s="57">
        <v>23034</v>
      </c>
      <c r="C1845" s="58">
        <v>159.69999999999999</v>
      </c>
      <c r="D1845" s="58">
        <v>995.6</v>
      </c>
    </row>
    <row r="1846" spans="1:4">
      <c r="A1846" s="57">
        <v>5032</v>
      </c>
      <c r="B1846" s="57">
        <v>23034</v>
      </c>
      <c r="C1846" s="58">
        <v>159.69999999999999</v>
      </c>
      <c r="D1846" s="58">
        <v>995.6</v>
      </c>
    </row>
    <row r="1847" spans="1:4">
      <c r="A1847" s="57">
        <v>5033</v>
      </c>
      <c r="B1847" s="57">
        <v>23034</v>
      </c>
      <c r="C1847" s="58">
        <v>159.69999999999999</v>
      </c>
      <c r="D1847" s="58">
        <v>995.6</v>
      </c>
    </row>
    <row r="1848" spans="1:4">
      <c r="A1848" s="57">
        <v>5034</v>
      </c>
      <c r="B1848" s="57">
        <v>23090</v>
      </c>
      <c r="C1848" s="58">
        <v>164.9</v>
      </c>
      <c r="D1848" s="58">
        <v>900.5</v>
      </c>
    </row>
    <row r="1849" spans="1:4">
      <c r="A1849" s="57">
        <v>5035</v>
      </c>
      <c r="B1849" s="57">
        <v>23034</v>
      </c>
      <c r="C1849" s="58">
        <v>159.69999999999999</v>
      </c>
      <c r="D1849" s="58">
        <v>995.6</v>
      </c>
    </row>
    <row r="1850" spans="1:4">
      <c r="A1850" s="57">
        <v>5037</v>
      </c>
      <c r="B1850" s="57">
        <v>23034</v>
      </c>
      <c r="C1850" s="58">
        <v>159.69999999999999</v>
      </c>
      <c r="D1850" s="58">
        <v>995.6</v>
      </c>
    </row>
    <row r="1851" spans="1:4">
      <c r="A1851" s="57">
        <v>5038</v>
      </c>
      <c r="B1851" s="57">
        <v>23034</v>
      </c>
      <c r="C1851" s="58">
        <v>159.69999999999999</v>
      </c>
      <c r="D1851" s="58">
        <v>995.6</v>
      </c>
    </row>
    <row r="1852" spans="1:4">
      <c r="A1852" s="57">
        <v>5039</v>
      </c>
      <c r="B1852" s="57">
        <v>23034</v>
      </c>
      <c r="C1852" s="58">
        <v>159.69999999999999</v>
      </c>
      <c r="D1852" s="58">
        <v>995.6</v>
      </c>
    </row>
    <row r="1853" spans="1:4">
      <c r="A1853" s="57">
        <v>5040</v>
      </c>
      <c r="B1853" s="57">
        <v>23034</v>
      </c>
      <c r="C1853" s="58">
        <v>159.69999999999999</v>
      </c>
      <c r="D1853" s="58">
        <v>995.6</v>
      </c>
    </row>
    <row r="1854" spans="1:4">
      <c r="A1854" s="57">
        <v>5041</v>
      </c>
      <c r="B1854" s="57">
        <v>23090</v>
      </c>
      <c r="C1854" s="58">
        <v>164.9</v>
      </c>
      <c r="D1854" s="58">
        <v>900.5</v>
      </c>
    </row>
    <row r="1855" spans="1:4">
      <c r="A1855" s="57">
        <v>5042</v>
      </c>
      <c r="B1855" s="57">
        <v>23034</v>
      </c>
      <c r="C1855" s="58">
        <v>159.69999999999999</v>
      </c>
      <c r="D1855" s="58">
        <v>995.6</v>
      </c>
    </row>
    <row r="1856" spans="1:4">
      <c r="A1856" s="57">
        <v>5043</v>
      </c>
      <c r="B1856" s="57">
        <v>23034</v>
      </c>
      <c r="C1856" s="58">
        <v>159.69999999999999</v>
      </c>
      <c r="D1856" s="58">
        <v>995.6</v>
      </c>
    </row>
    <row r="1857" spans="1:4">
      <c r="A1857" s="57">
        <v>5044</v>
      </c>
      <c r="B1857" s="57">
        <v>23034</v>
      </c>
      <c r="C1857" s="58">
        <v>159.69999999999999</v>
      </c>
      <c r="D1857" s="58">
        <v>995.6</v>
      </c>
    </row>
    <row r="1858" spans="1:4">
      <c r="A1858" s="57">
        <v>5045</v>
      </c>
      <c r="B1858" s="57">
        <v>23034</v>
      </c>
      <c r="C1858" s="58">
        <v>159.69999999999999</v>
      </c>
      <c r="D1858" s="58">
        <v>995.6</v>
      </c>
    </row>
    <row r="1859" spans="1:4">
      <c r="A1859" s="57">
        <v>5046</v>
      </c>
      <c r="B1859" s="57">
        <v>23034</v>
      </c>
      <c r="C1859" s="58">
        <v>159.69999999999999</v>
      </c>
      <c r="D1859" s="58">
        <v>995.6</v>
      </c>
    </row>
    <row r="1860" spans="1:4">
      <c r="A1860" s="57">
        <v>5047</v>
      </c>
      <c r="B1860" s="57">
        <v>23034</v>
      </c>
      <c r="C1860" s="58">
        <v>159.69999999999999</v>
      </c>
      <c r="D1860" s="58">
        <v>995.6</v>
      </c>
    </row>
    <row r="1861" spans="1:4">
      <c r="A1861" s="57">
        <v>5048</v>
      </c>
      <c r="B1861" s="57">
        <v>23034</v>
      </c>
      <c r="C1861" s="58">
        <v>159.69999999999999</v>
      </c>
      <c r="D1861" s="58">
        <v>995.6</v>
      </c>
    </row>
    <row r="1862" spans="1:4">
      <c r="A1862" s="57">
        <v>5049</v>
      </c>
      <c r="B1862" s="57">
        <v>23034</v>
      </c>
      <c r="C1862" s="58">
        <v>159.69999999999999</v>
      </c>
      <c r="D1862" s="58">
        <v>995.6</v>
      </c>
    </row>
    <row r="1863" spans="1:4">
      <c r="A1863" s="57">
        <v>5050</v>
      </c>
      <c r="B1863" s="57">
        <v>23842</v>
      </c>
      <c r="C1863" s="58">
        <v>30.8</v>
      </c>
      <c r="D1863" s="58">
        <v>2317.1999999999998</v>
      </c>
    </row>
    <row r="1864" spans="1:4">
      <c r="A1864" s="57">
        <v>5051</v>
      </c>
      <c r="B1864" s="57">
        <v>23842</v>
      </c>
      <c r="C1864" s="58">
        <v>30.8</v>
      </c>
      <c r="D1864" s="58">
        <v>2317.1999999999998</v>
      </c>
    </row>
    <row r="1865" spans="1:4">
      <c r="A1865" s="57">
        <v>5052</v>
      </c>
      <c r="B1865" s="57">
        <v>23842</v>
      </c>
      <c r="C1865" s="58">
        <v>30.8</v>
      </c>
      <c r="D1865" s="58">
        <v>2317.1999999999998</v>
      </c>
    </row>
    <row r="1866" spans="1:4">
      <c r="A1866" s="57">
        <v>5061</v>
      </c>
      <c r="B1866" s="57">
        <v>23090</v>
      </c>
      <c r="C1866" s="58">
        <v>164.9</v>
      </c>
      <c r="D1866" s="58">
        <v>900.5</v>
      </c>
    </row>
    <row r="1867" spans="1:4">
      <c r="A1867" s="57">
        <v>5062</v>
      </c>
      <c r="B1867" s="57">
        <v>23090</v>
      </c>
      <c r="C1867" s="58">
        <v>164.9</v>
      </c>
      <c r="D1867" s="58">
        <v>900.5</v>
      </c>
    </row>
    <row r="1868" spans="1:4">
      <c r="A1868" s="57">
        <v>5063</v>
      </c>
      <c r="B1868" s="57">
        <v>23090</v>
      </c>
      <c r="C1868" s="58">
        <v>164.9</v>
      </c>
      <c r="D1868" s="58">
        <v>900.5</v>
      </c>
    </row>
    <row r="1869" spans="1:4">
      <c r="A1869" s="57">
        <v>5064</v>
      </c>
      <c r="B1869" s="57">
        <v>23090</v>
      </c>
      <c r="C1869" s="58">
        <v>164.9</v>
      </c>
      <c r="D1869" s="58">
        <v>900.5</v>
      </c>
    </row>
    <row r="1870" spans="1:4">
      <c r="A1870" s="57">
        <v>5065</v>
      </c>
      <c r="B1870" s="57">
        <v>23090</v>
      </c>
      <c r="C1870" s="58">
        <v>164.9</v>
      </c>
      <c r="D1870" s="58">
        <v>900.5</v>
      </c>
    </row>
    <row r="1871" spans="1:4">
      <c r="A1871" s="57">
        <v>5066</v>
      </c>
      <c r="B1871" s="57">
        <v>23090</v>
      </c>
      <c r="C1871" s="58">
        <v>164.9</v>
      </c>
      <c r="D1871" s="58">
        <v>900.5</v>
      </c>
    </row>
    <row r="1872" spans="1:4">
      <c r="A1872" s="57">
        <v>5067</v>
      </c>
      <c r="B1872" s="57">
        <v>23090</v>
      </c>
      <c r="C1872" s="58">
        <v>164.9</v>
      </c>
      <c r="D1872" s="58">
        <v>900.5</v>
      </c>
    </row>
    <row r="1873" spans="1:4">
      <c r="A1873" s="57">
        <v>5068</v>
      </c>
      <c r="B1873" s="57">
        <v>23090</v>
      </c>
      <c r="C1873" s="58">
        <v>164.9</v>
      </c>
      <c r="D1873" s="58">
        <v>900.5</v>
      </c>
    </row>
    <row r="1874" spans="1:4">
      <c r="A1874" s="57">
        <v>5069</v>
      </c>
      <c r="B1874" s="57">
        <v>23090</v>
      </c>
      <c r="C1874" s="58">
        <v>164.9</v>
      </c>
      <c r="D1874" s="58">
        <v>900.5</v>
      </c>
    </row>
    <row r="1875" spans="1:4">
      <c r="A1875" s="57">
        <v>5070</v>
      </c>
      <c r="B1875" s="57">
        <v>23090</v>
      </c>
      <c r="C1875" s="58">
        <v>164.9</v>
      </c>
      <c r="D1875" s="58">
        <v>900.5</v>
      </c>
    </row>
    <row r="1876" spans="1:4">
      <c r="A1876" s="57">
        <v>5072</v>
      </c>
      <c r="B1876" s="57">
        <v>23090</v>
      </c>
      <c r="C1876" s="58">
        <v>164.9</v>
      </c>
      <c r="D1876" s="58">
        <v>900.5</v>
      </c>
    </row>
    <row r="1877" spans="1:4">
      <c r="A1877" s="57">
        <v>5073</v>
      </c>
      <c r="B1877" s="57">
        <v>23090</v>
      </c>
      <c r="C1877" s="58">
        <v>164.9</v>
      </c>
      <c r="D1877" s="58">
        <v>900.5</v>
      </c>
    </row>
    <row r="1878" spans="1:4">
      <c r="A1878" s="57">
        <v>5074</v>
      </c>
      <c r="B1878" s="57">
        <v>23090</v>
      </c>
      <c r="C1878" s="58">
        <v>164.9</v>
      </c>
      <c r="D1878" s="58">
        <v>900.5</v>
      </c>
    </row>
    <row r="1879" spans="1:4">
      <c r="A1879" s="57">
        <v>5075</v>
      </c>
      <c r="B1879" s="57">
        <v>23090</v>
      </c>
      <c r="C1879" s="58">
        <v>164.9</v>
      </c>
      <c r="D1879" s="58">
        <v>900.5</v>
      </c>
    </row>
    <row r="1880" spans="1:4">
      <c r="A1880" s="57">
        <v>5076</v>
      </c>
      <c r="B1880" s="57">
        <v>23842</v>
      </c>
      <c r="C1880" s="58">
        <v>30.8</v>
      </c>
      <c r="D1880" s="58">
        <v>2317.1999999999998</v>
      </c>
    </row>
    <row r="1881" spans="1:4">
      <c r="A1881" s="57">
        <v>5081</v>
      </c>
      <c r="B1881" s="57">
        <v>23090</v>
      </c>
      <c r="C1881" s="58">
        <v>164.9</v>
      </c>
      <c r="D1881" s="58">
        <v>900.5</v>
      </c>
    </row>
    <row r="1882" spans="1:4">
      <c r="A1882" s="57">
        <v>5082</v>
      </c>
      <c r="B1882" s="57">
        <v>23090</v>
      </c>
      <c r="C1882" s="58">
        <v>164.9</v>
      </c>
      <c r="D1882" s="58">
        <v>900.5</v>
      </c>
    </row>
    <row r="1883" spans="1:4">
      <c r="A1883" s="57">
        <v>5083</v>
      </c>
      <c r="B1883" s="57">
        <v>23090</v>
      </c>
      <c r="C1883" s="58">
        <v>164.9</v>
      </c>
      <c r="D1883" s="58">
        <v>900.5</v>
      </c>
    </row>
    <row r="1884" spans="1:4">
      <c r="A1884" s="57">
        <v>5084</v>
      </c>
      <c r="B1884" s="57">
        <v>23090</v>
      </c>
      <c r="C1884" s="58">
        <v>164.9</v>
      </c>
      <c r="D1884" s="58">
        <v>900.5</v>
      </c>
    </row>
    <row r="1885" spans="1:4">
      <c r="A1885" s="57">
        <v>5085</v>
      </c>
      <c r="B1885" s="57">
        <v>23013</v>
      </c>
      <c r="C1885" s="58">
        <v>158.19999999999999</v>
      </c>
      <c r="D1885" s="58">
        <v>1017.3</v>
      </c>
    </row>
    <row r="1886" spans="1:4">
      <c r="A1886" s="57">
        <v>5086</v>
      </c>
      <c r="B1886" s="57">
        <v>23090</v>
      </c>
      <c r="C1886" s="58">
        <v>164.9</v>
      </c>
      <c r="D1886" s="58">
        <v>900.5</v>
      </c>
    </row>
    <row r="1887" spans="1:4">
      <c r="A1887" s="57">
        <v>5087</v>
      </c>
      <c r="B1887" s="57">
        <v>23090</v>
      </c>
      <c r="C1887" s="58">
        <v>164.9</v>
      </c>
      <c r="D1887" s="58">
        <v>900.5</v>
      </c>
    </row>
    <row r="1888" spans="1:4">
      <c r="A1888" s="57">
        <v>5088</v>
      </c>
      <c r="B1888" s="57">
        <v>23013</v>
      </c>
      <c r="C1888" s="58">
        <v>158.19999999999999</v>
      </c>
      <c r="D1888" s="58">
        <v>1017.3</v>
      </c>
    </row>
    <row r="1889" spans="1:4">
      <c r="A1889" s="57">
        <v>5089</v>
      </c>
      <c r="B1889" s="57">
        <v>23013</v>
      </c>
      <c r="C1889" s="58">
        <v>158.19999999999999</v>
      </c>
      <c r="D1889" s="58">
        <v>1017.3</v>
      </c>
    </row>
    <row r="1890" spans="1:4">
      <c r="A1890" s="57">
        <v>5090</v>
      </c>
      <c r="B1890" s="57">
        <v>23013</v>
      </c>
      <c r="C1890" s="58">
        <v>158.19999999999999</v>
      </c>
      <c r="D1890" s="58">
        <v>1017.3</v>
      </c>
    </row>
    <row r="1891" spans="1:4">
      <c r="A1891" s="57">
        <v>5091</v>
      </c>
      <c r="B1891" s="57">
        <v>23013</v>
      </c>
      <c r="C1891" s="58">
        <v>158.19999999999999</v>
      </c>
      <c r="D1891" s="58">
        <v>1017.3</v>
      </c>
    </row>
    <row r="1892" spans="1:4">
      <c r="A1892" s="57">
        <v>5092</v>
      </c>
      <c r="B1892" s="57">
        <v>23013</v>
      </c>
      <c r="C1892" s="58">
        <v>158.19999999999999</v>
      </c>
      <c r="D1892" s="58">
        <v>1017.3</v>
      </c>
    </row>
    <row r="1893" spans="1:4">
      <c r="A1893" s="57">
        <v>5093</v>
      </c>
      <c r="B1893" s="57">
        <v>23013</v>
      </c>
      <c r="C1893" s="58">
        <v>158.19999999999999</v>
      </c>
      <c r="D1893" s="58">
        <v>1017.3</v>
      </c>
    </row>
    <row r="1894" spans="1:4">
      <c r="A1894" s="57">
        <v>5094</v>
      </c>
      <c r="B1894" s="57">
        <v>23013</v>
      </c>
      <c r="C1894" s="58">
        <v>158.19999999999999</v>
      </c>
      <c r="D1894" s="58">
        <v>1017.3</v>
      </c>
    </row>
    <row r="1895" spans="1:4">
      <c r="A1895" s="57">
        <v>5095</v>
      </c>
      <c r="B1895" s="57">
        <v>23013</v>
      </c>
      <c r="C1895" s="58">
        <v>158.19999999999999</v>
      </c>
      <c r="D1895" s="58">
        <v>1017.3</v>
      </c>
    </row>
    <row r="1896" spans="1:4">
      <c r="A1896" s="57">
        <v>5096</v>
      </c>
      <c r="B1896" s="57">
        <v>23013</v>
      </c>
      <c r="C1896" s="58">
        <v>158.19999999999999</v>
      </c>
      <c r="D1896" s="58">
        <v>1017.3</v>
      </c>
    </row>
    <row r="1897" spans="1:4">
      <c r="A1897" s="57">
        <v>5097</v>
      </c>
      <c r="B1897" s="57">
        <v>23013</v>
      </c>
      <c r="C1897" s="58">
        <v>158.19999999999999</v>
      </c>
      <c r="D1897" s="58">
        <v>1017.3</v>
      </c>
    </row>
    <row r="1898" spans="1:4">
      <c r="A1898" s="57">
        <v>5098</v>
      </c>
      <c r="B1898" s="57">
        <v>23013</v>
      </c>
      <c r="C1898" s="58">
        <v>158.19999999999999</v>
      </c>
      <c r="D1898" s="58">
        <v>1017.3</v>
      </c>
    </row>
    <row r="1899" spans="1:4">
      <c r="A1899" s="57">
        <v>5106</v>
      </c>
      <c r="B1899" s="57">
        <v>23013</v>
      </c>
      <c r="C1899" s="58">
        <v>158.19999999999999</v>
      </c>
      <c r="D1899" s="58">
        <v>1017.3</v>
      </c>
    </row>
    <row r="1900" spans="1:4">
      <c r="A1900" s="57">
        <v>5107</v>
      </c>
      <c r="B1900" s="57">
        <v>23013</v>
      </c>
      <c r="C1900" s="58">
        <v>158.19999999999999</v>
      </c>
      <c r="D1900" s="58">
        <v>1017.3</v>
      </c>
    </row>
    <row r="1901" spans="1:4">
      <c r="A1901" s="57">
        <v>5108</v>
      </c>
      <c r="B1901" s="57">
        <v>23013</v>
      </c>
      <c r="C1901" s="58">
        <v>158.19999999999999</v>
      </c>
      <c r="D1901" s="58">
        <v>1017.3</v>
      </c>
    </row>
    <row r="1902" spans="1:4">
      <c r="A1902" s="57">
        <v>5109</v>
      </c>
      <c r="B1902" s="57">
        <v>23013</v>
      </c>
      <c r="C1902" s="58">
        <v>158.19999999999999</v>
      </c>
      <c r="D1902" s="58">
        <v>1017.3</v>
      </c>
    </row>
    <row r="1903" spans="1:4">
      <c r="A1903" s="57">
        <v>5110</v>
      </c>
      <c r="B1903" s="57">
        <v>23083</v>
      </c>
      <c r="C1903" s="58">
        <v>163.30000000000001</v>
      </c>
      <c r="D1903" s="58">
        <v>1035.5999999999999</v>
      </c>
    </row>
    <row r="1904" spans="1:4">
      <c r="A1904" s="57">
        <v>5111</v>
      </c>
      <c r="B1904" s="57">
        <v>23083</v>
      </c>
      <c r="C1904" s="58">
        <v>163.30000000000001</v>
      </c>
      <c r="D1904" s="58">
        <v>1035.5999999999999</v>
      </c>
    </row>
    <row r="1905" spans="1:4">
      <c r="A1905" s="57">
        <v>5112</v>
      </c>
      <c r="B1905" s="57">
        <v>23083</v>
      </c>
      <c r="C1905" s="58">
        <v>163.30000000000001</v>
      </c>
      <c r="D1905" s="58">
        <v>1035.5999999999999</v>
      </c>
    </row>
    <row r="1906" spans="1:4">
      <c r="A1906" s="57">
        <v>5113</v>
      </c>
      <c r="B1906" s="57">
        <v>23083</v>
      </c>
      <c r="C1906" s="58">
        <v>163.30000000000001</v>
      </c>
      <c r="D1906" s="58">
        <v>1035.5999999999999</v>
      </c>
    </row>
    <row r="1907" spans="1:4">
      <c r="A1907" s="57">
        <v>5114</v>
      </c>
      <c r="B1907" s="57">
        <v>23083</v>
      </c>
      <c r="C1907" s="58">
        <v>163.30000000000001</v>
      </c>
      <c r="D1907" s="58">
        <v>1035.5999999999999</v>
      </c>
    </row>
    <row r="1908" spans="1:4">
      <c r="A1908" s="57">
        <v>5115</v>
      </c>
      <c r="B1908" s="57">
        <v>23083</v>
      </c>
      <c r="C1908" s="58">
        <v>163.30000000000001</v>
      </c>
      <c r="D1908" s="58">
        <v>1035.5999999999999</v>
      </c>
    </row>
    <row r="1909" spans="1:4">
      <c r="A1909" s="57">
        <v>5116</v>
      </c>
      <c r="B1909" s="57">
        <v>23122</v>
      </c>
      <c r="C1909" s="58">
        <v>127.3</v>
      </c>
      <c r="D1909" s="58">
        <v>1177.3</v>
      </c>
    </row>
    <row r="1910" spans="1:4">
      <c r="A1910" s="57">
        <v>5117</v>
      </c>
      <c r="B1910" s="57">
        <v>23083</v>
      </c>
      <c r="C1910" s="58">
        <v>163.30000000000001</v>
      </c>
      <c r="D1910" s="58">
        <v>1035.5999999999999</v>
      </c>
    </row>
    <row r="1911" spans="1:4">
      <c r="A1911" s="57">
        <v>5118</v>
      </c>
      <c r="B1911" s="57">
        <v>23122</v>
      </c>
      <c r="C1911" s="58">
        <v>127.3</v>
      </c>
      <c r="D1911" s="58">
        <v>1177.3</v>
      </c>
    </row>
    <row r="1912" spans="1:4">
      <c r="A1912" s="57">
        <v>5120</v>
      </c>
      <c r="B1912" s="57">
        <v>23083</v>
      </c>
      <c r="C1912" s="58">
        <v>163.30000000000001</v>
      </c>
      <c r="D1912" s="58">
        <v>1035.5999999999999</v>
      </c>
    </row>
    <row r="1913" spans="1:4">
      <c r="A1913" s="57">
        <v>5121</v>
      </c>
      <c r="B1913" s="57">
        <v>23083</v>
      </c>
      <c r="C1913" s="58">
        <v>163.30000000000001</v>
      </c>
      <c r="D1913" s="58">
        <v>1035.5999999999999</v>
      </c>
    </row>
    <row r="1914" spans="1:4">
      <c r="A1914" s="57">
        <v>5125</v>
      </c>
      <c r="B1914" s="57">
        <v>23013</v>
      </c>
      <c r="C1914" s="58">
        <v>158.19999999999999</v>
      </c>
      <c r="D1914" s="58">
        <v>1017.3</v>
      </c>
    </row>
    <row r="1915" spans="1:4">
      <c r="A1915" s="57">
        <v>5126</v>
      </c>
      <c r="B1915" s="57">
        <v>23013</v>
      </c>
      <c r="C1915" s="58">
        <v>158.19999999999999</v>
      </c>
      <c r="D1915" s="58">
        <v>1017.3</v>
      </c>
    </row>
    <row r="1916" spans="1:4">
      <c r="A1916" s="57">
        <v>5127</v>
      </c>
      <c r="B1916" s="57">
        <v>23013</v>
      </c>
      <c r="C1916" s="58">
        <v>158.19999999999999</v>
      </c>
      <c r="D1916" s="58">
        <v>1017.3</v>
      </c>
    </row>
    <row r="1917" spans="1:4">
      <c r="A1917" s="57">
        <v>5131</v>
      </c>
      <c r="B1917" s="57">
        <v>23013</v>
      </c>
      <c r="C1917" s="58">
        <v>158.19999999999999</v>
      </c>
      <c r="D1917" s="58">
        <v>1017.3</v>
      </c>
    </row>
    <row r="1918" spans="1:4">
      <c r="A1918" s="57">
        <v>5132</v>
      </c>
      <c r="B1918" s="57">
        <v>23013</v>
      </c>
      <c r="C1918" s="58">
        <v>158.19999999999999</v>
      </c>
      <c r="D1918" s="58">
        <v>1017.3</v>
      </c>
    </row>
    <row r="1919" spans="1:4">
      <c r="A1919" s="57">
        <v>5133</v>
      </c>
      <c r="B1919" s="57">
        <v>23013</v>
      </c>
      <c r="C1919" s="58">
        <v>158.19999999999999</v>
      </c>
      <c r="D1919" s="58">
        <v>1017.3</v>
      </c>
    </row>
    <row r="1920" spans="1:4">
      <c r="A1920" s="57">
        <v>5134</v>
      </c>
      <c r="B1920" s="57">
        <v>23842</v>
      </c>
      <c r="C1920" s="58">
        <v>30.8</v>
      </c>
      <c r="D1920" s="58">
        <v>2317.1999999999998</v>
      </c>
    </row>
    <row r="1921" spans="1:4">
      <c r="A1921" s="57">
        <v>5136</v>
      </c>
      <c r="B1921" s="57">
        <v>23842</v>
      </c>
      <c r="C1921" s="58">
        <v>30.8</v>
      </c>
      <c r="D1921" s="58">
        <v>2317.1999999999998</v>
      </c>
    </row>
    <row r="1922" spans="1:4">
      <c r="A1922" s="57">
        <v>5137</v>
      </c>
      <c r="B1922" s="57">
        <v>23842</v>
      </c>
      <c r="C1922" s="58">
        <v>30.8</v>
      </c>
      <c r="D1922" s="58">
        <v>2317.1999999999998</v>
      </c>
    </row>
    <row r="1923" spans="1:4">
      <c r="A1923" s="57">
        <v>5138</v>
      </c>
      <c r="B1923" s="57">
        <v>23842</v>
      </c>
      <c r="C1923" s="58">
        <v>30.8</v>
      </c>
      <c r="D1923" s="58">
        <v>2317.1999999999998</v>
      </c>
    </row>
    <row r="1924" spans="1:4">
      <c r="A1924" s="57">
        <v>5139</v>
      </c>
      <c r="B1924" s="57">
        <v>23842</v>
      </c>
      <c r="C1924" s="58">
        <v>30.8</v>
      </c>
      <c r="D1924" s="58">
        <v>2317.1999999999998</v>
      </c>
    </row>
    <row r="1925" spans="1:4">
      <c r="A1925" s="57">
        <v>5140</v>
      </c>
      <c r="B1925" s="57">
        <v>23842</v>
      </c>
      <c r="C1925" s="58">
        <v>30.8</v>
      </c>
      <c r="D1925" s="58">
        <v>2317.1999999999998</v>
      </c>
    </row>
    <row r="1926" spans="1:4">
      <c r="A1926" s="57">
        <v>5141</v>
      </c>
      <c r="B1926" s="57">
        <v>23842</v>
      </c>
      <c r="C1926" s="58">
        <v>30.8</v>
      </c>
      <c r="D1926" s="58">
        <v>2317.1999999999998</v>
      </c>
    </row>
    <row r="1927" spans="1:4">
      <c r="A1927" s="57">
        <v>5142</v>
      </c>
      <c r="B1927" s="57">
        <v>23842</v>
      </c>
      <c r="C1927" s="58">
        <v>30.8</v>
      </c>
      <c r="D1927" s="58">
        <v>2317.1999999999998</v>
      </c>
    </row>
    <row r="1928" spans="1:4">
      <c r="A1928" s="57">
        <v>5144</v>
      </c>
      <c r="B1928" s="57">
        <v>23842</v>
      </c>
      <c r="C1928" s="58">
        <v>30.8</v>
      </c>
      <c r="D1928" s="58">
        <v>2317.1999999999998</v>
      </c>
    </row>
    <row r="1929" spans="1:4">
      <c r="A1929" s="57">
        <v>5150</v>
      </c>
      <c r="B1929" s="57">
        <v>23842</v>
      </c>
      <c r="C1929" s="58">
        <v>30.8</v>
      </c>
      <c r="D1929" s="58">
        <v>2317.1999999999998</v>
      </c>
    </row>
    <row r="1930" spans="1:4">
      <c r="A1930" s="57">
        <v>5151</v>
      </c>
      <c r="B1930" s="57">
        <v>23842</v>
      </c>
      <c r="C1930" s="58">
        <v>30.8</v>
      </c>
      <c r="D1930" s="58">
        <v>2317.1999999999998</v>
      </c>
    </row>
    <row r="1931" spans="1:4">
      <c r="A1931" s="57">
        <v>5152</v>
      </c>
      <c r="B1931" s="57">
        <v>23842</v>
      </c>
      <c r="C1931" s="58">
        <v>30.8</v>
      </c>
      <c r="D1931" s="58">
        <v>2317.1999999999998</v>
      </c>
    </row>
    <row r="1932" spans="1:4">
      <c r="A1932" s="57">
        <v>5153</v>
      </c>
      <c r="B1932" s="57">
        <v>23842</v>
      </c>
      <c r="C1932" s="58">
        <v>30.8</v>
      </c>
      <c r="D1932" s="58">
        <v>2317.1999999999998</v>
      </c>
    </row>
    <row r="1933" spans="1:4">
      <c r="A1933" s="57">
        <v>5154</v>
      </c>
      <c r="B1933" s="57">
        <v>23842</v>
      </c>
      <c r="C1933" s="58">
        <v>30.8</v>
      </c>
      <c r="D1933" s="58">
        <v>2317.1999999999998</v>
      </c>
    </row>
    <row r="1934" spans="1:4">
      <c r="A1934" s="57">
        <v>5155</v>
      </c>
      <c r="B1934" s="57">
        <v>23842</v>
      </c>
      <c r="C1934" s="58">
        <v>30.8</v>
      </c>
      <c r="D1934" s="58">
        <v>2317.1999999999998</v>
      </c>
    </row>
    <row r="1935" spans="1:4">
      <c r="A1935" s="57">
        <v>5156</v>
      </c>
      <c r="B1935" s="57">
        <v>23842</v>
      </c>
      <c r="C1935" s="58">
        <v>30.8</v>
      </c>
      <c r="D1935" s="58">
        <v>2317.1999999999998</v>
      </c>
    </row>
    <row r="1936" spans="1:4">
      <c r="A1936" s="57">
        <v>5157</v>
      </c>
      <c r="B1936" s="57">
        <v>23887</v>
      </c>
      <c r="C1936" s="58">
        <v>63.1</v>
      </c>
      <c r="D1936" s="58">
        <v>1560.6</v>
      </c>
    </row>
    <row r="1937" spans="1:4">
      <c r="A1937" s="57">
        <v>5158</v>
      </c>
      <c r="B1937" s="57">
        <v>23034</v>
      </c>
      <c r="C1937" s="58">
        <v>159.69999999999999</v>
      </c>
      <c r="D1937" s="58">
        <v>995.6</v>
      </c>
    </row>
    <row r="1938" spans="1:4">
      <c r="A1938" s="57">
        <v>5159</v>
      </c>
      <c r="B1938" s="57">
        <v>23887</v>
      </c>
      <c r="C1938" s="58">
        <v>63.1</v>
      </c>
      <c r="D1938" s="58">
        <v>1560.6</v>
      </c>
    </row>
    <row r="1939" spans="1:4">
      <c r="A1939" s="57">
        <v>5160</v>
      </c>
      <c r="B1939" s="57">
        <v>23885</v>
      </c>
      <c r="C1939" s="58">
        <v>133.5</v>
      </c>
      <c r="D1939" s="58">
        <v>956.2</v>
      </c>
    </row>
    <row r="1940" spans="1:4">
      <c r="A1940" s="57">
        <v>5161</v>
      </c>
      <c r="B1940" s="57">
        <v>23885</v>
      </c>
      <c r="C1940" s="58">
        <v>133.5</v>
      </c>
      <c r="D1940" s="58">
        <v>956.2</v>
      </c>
    </row>
    <row r="1941" spans="1:4">
      <c r="A1941" s="57">
        <v>5162</v>
      </c>
      <c r="B1941" s="57">
        <v>23885</v>
      </c>
      <c r="C1941" s="58">
        <v>133.5</v>
      </c>
      <c r="D1941" s="58">
        <v>956.2</v>
      </c>
    </row>
    <row r="1942" spans="1:4">
      <c r="A1942" s="57">
        <v>5163</v>
      </c>
      <c r="B1942" s="57">
        <v>23885</v>
      </c>
      <c r="C1942" s="58">
        <v>133.5</v>
      </c>
      <c r="D1942" s="58">
        <v>956.2</v>
      </c>
    </row>
    <row r="1943" spans="1:4">
      <c r="A1943" s="57">
        <v>5164</v>
      </c>
      <c r="B1943" s="57">
        <v>23885</v>
      </c>
      <c r="C1943" s="58">
        <v>133.5</v>
      </c>
      <c r="D1943" s="58">
        <v>956.2</v>
      </c>
    </row>
    <row r="1944" spans="1:4">
      <c r="A1944" s="57">
        <v>5165</v>
      </c>
      <c r="B1944" s="57">
        <v>23885</v>
      </c>
      <c r="C1944" s="58">
        <v>133.5</v>
      </c>
      <c r="D1944" s="58">
        <v>956.2</v>
      </c>
    </row>
    <row r="1945" spans="1:4">
      <c r="A1945" s="57">
        <v>5166</v>
      </c>
      <c r="B1945" s="57">
        <v>23885</v>
      </c>
      <c r="C1945" s="58">
        <v>133.5</v>
      </c>
      <c r="D1945" s="58">
        <v>956.2</v>
      </c>
    </row>
    <row r="1946" spans="1:4">
      <c r="A1946" s="57">
        <v>5167</v>
      </c>
      <c r="B1946" s="57">
        <v>23885</v>
      </c>
      <c r="C1946" s="58">
        <v>133.5</v>
      </c>
      <c r="D1946" s="58">
        <v>956.2</v>
      </c>
    </row>
    <row r="1947" spans="1:4">
      <c r="A1947" s="57">
        <v>5168</v>
      </c>
      <c r="B1947" s="57">
        <v>23885</v>
      </c>
      <c r="C1947" s="58">
        <v>133.5</v>
      </c>
      <c r="D1947" s="58">
        <v>956.2</v>
      </c>
    </row>
    <row r="1948" spans="1:4">
      <c r="A1948" s="57">
        <v>5169</v>
      </c>
      <c r="B1948" s="57">
        <v>23885</v>
      </c>
      <c r="C1948" s="58">
        <v>133.5</v>
      </c>
      <c r="D1948" s="58">
        <v>956.2</v>
      </c>
    </row>
    <row r="1949" spans="1:4">
      <c r="A1949" s="57">
        <v>5170</v>
      </c>
      <c r="B1949" s="57">
        <v>23885</v>
      </c>
      <c r="C1949" s="58">
        <v>133.5</v>
      </c>
      <c r="D1949" s="58">
        <v>956.2</v>
      </c>
    </row>
    <row r="1950" spans="1:4">
      <c r="A1950" s="57">
        <v>5171</v>
      </c>
      <c r="B1950" s="57">
        <v>23887</v>
      </c>
      <c r="C1950" s="58">
        <v>63.1</v>
      </c>
      <c r="D1950" s="58">
        <v>1560.6</v>
      </c>
    </row>
    <row r="1951" spans="1:4">
      <c r="A1951" s="57">
        <v>5172</v>
      </c>
      <c r="B1951" s="57">
        <v>23887</v>
      </c>
      <c r="C1951" s="58">
        <v>63.1</v>
      </c>
      <c r="D1951" s="58">
        <v>1560.6</v>
      </c>
    </row>
    <row r="1952" spans="1:4">
      <c r="A1952" s="57">
        <v>5173</v>
      </c>
      <c r="B1952" s="57">
        <v>23885</v>
      </c>
      <c r="C1952" s="58">
        <v>133.5</v>
      </c>
      <c r="D1952" s="58">
        <v>956.2</v>
      </c>
    </row>
    <row r="1953" spans="1:4">
      <c r="A1953" s="57">
        <v>5174</v>
      </c>
      <c r="B1953" s="57">
        <v>23885</v>
      </c>
      <c r="C1953" s="58">
        <v>133.5</v>
      </c>
      <c r="D1953" s="58">
        <v>956.2</v>
      </c>
    </row>
    <row r="1954" spans="1:4">
      <c r="A1954" s="57">
        <v>5201</v>
      </c>
      <c r="B1954" s="57">
        <v>23887</v>
      </c>
      <c r="C1954" s="58">
        <v>63.1</v>
      </c>
      <c r="D1954" s="58">
        <v>1560.6</v>
      </c>
    </row>
    <row r="1955" spans="1:4">
      <c r="A1955" s="57">
        <v>5202</v>
      </c>
      <c r="B1955" s="57">
        <v>23875</v>
      </c>
      <c r="C1955" s="58">
        <v>54.3</v>
      </c>
      <c r="D1955" s="58">
        <v>1698.6</v>
      </c>
    </row>
    <row r="1956" spans="1:4">
      <c r="A1956" s="57">
        <v>5203</v>
      </c>
      <c r="B1956" s="57">
        <v>23875</v>
      </c>
      <c r="C1956" s="58">
        <v>54.3</v>
      </c>
      <c r="D1956" s="58">
        <v>1698.6</v>
      </c>
    </row>
    <row r="1957" spans="1:4">
      <c r="A1957" s="57">
        <v>5204</v>
      </c>
      <c r="B1957" s="57">
        <v>23875</v>
      </c>
      <c r="C1957" s="58">
        <v>54.3</v>
      </c>
      <c r="D1957" s="58">
        <v>1698.6</v>
      </c>
    </row>
    <row r="1958" spans="1:4">
      <c r="A1958" s="57">
        <v>5210</v>
      </c>
      <c r="B1958" s="57">
        <v>23887</v>
      </c>
      <c r="C1958" s="58">
        <v>63.1</v>
      </c>
      <c r="D1958" s="58">
        <v>1560.6</v>
      </c>
    </row>
    <row r="1959" spans="1:4">
      <c r="A1959" s="57">
        <v>5211</v>
      </c>
      <c r="B1959" s="57">
        <v>23894</v>
      </c>
      <c r="C1959" s="58">
        <v>146.5</v>
      </c>
      <c r="D1959" s="58">
        <v>1029.5</v>
      </c>
    </row>
    <row r="1960" spans="1:4">
      <c r="A1960" s="57">
        <v>5212</v>
      </c>
      <c r="B1960" s="57">
        <v>23894</v>
      </c>
      <c r="C1960" s="58">
        <v>146.5</v>
      </c>
      <c r="D1960" s="58">
        <v>1029.5</v>
      </c>
    </row>
    <row r="1961" spans="1:4">
      <c r="A1961" s="57">
        <v>5213</v>
      </c>
      <c r="B1961" s="57">
        <v>23894</v>
      </c>
      <c r="C1961" s="58">
        <v>146.5</v>
      </c>
      <c r="D1961" s="58">
        <v>1029.5</v>
      </c>
    </row>
    <row r="1962" spans="1:4">
      <c r="A1962" s="57">
        <v>5214</v>
      </c>
      <c r="B1962" s="57">
        <v>23894</v>
      </c>
      <c r="C1962" s="58">
        <v>146.5</v>
      </c>
      <c r="D1962" s="58">
        <v>1029.5</v>
      </c>
    </row>
    <row r="1963" spans="1:4">
      <c r="A1963" s="57">
        <v>5220</v>
      </c>
      <c r="B1963" s="57">
        <v>22841</v>
      </c>
      <c r="C1963" s="58">
        <v>81.8</v>
      </c>
      <c r="D1963" s="58">
        <v>1331.8</v>
      </c>
    </row>
    <row r="1964" spans="1:4">
      <c r="A1964" s="57">
        <v>5221</v>
      </c>
      <c r="B1964" s="57">
        <v>22841</v>
      </c>
      <c r="C1964" s="58">
        <v>81.8</v>
      </c>
      <c r="D1964" s="58">
        <v>1331.8</v>
      </c>
    </row>
    <row r="1965" spans="1:4">
      <c r="A1965" s="57">
        <v>5222</v>
      </c>
      <c r="B1965" s="57">
        <v>22803</v>
      </c>
      <c r="C1965" s="58">
        <v>98.8</v>
      </c>
      <c r="D1965" s="58">
        <v>1028.7</v>
      </c>
    </row>
    <row r="1966" spans="1:4">
      <c r="A1966" s="57">
        <v>5223</v>
      </c>
      <c r="B1966" s="57">
        <v>22841</v>
      </c>
      <c r="C1966" s="58">
        <v>81.8</v>
      </c>
      <c r="D1966" s="58">
        <v>1331.8</v>
      </c>
    </row>
    <row r="1967" spans="1:4">
      <c r="A1967" s="57">
        <v>5231</v>
      </c>
      <c r="B1967" s="57">
        <v>23878</v>
      </c>
      <c r="C1967" s="58">
        <v>57.3</v>
      </c>
      <c r="D1967" s="58">
        <v>1768.4</v>
      </c>
    </row>
    <row r="1968" spans="1:4">
      <c r="A1968" s="57">
        <v>5232</v>
      </c>
      <c r="B1968" s="57">
        <v>23878</v>
      </c>
      <c r="C1968" s="58">
        <v>57.3</v>
      </c>
      <c r="D1968" s="58">
        <v>1768.4</v>
      </c>
    </row>
    <row r="1969" spans="1:4">
      <c r="A1969" s="57">
        <v>5233</v>
      </c>
      <c r="B1969" s="57">
        <v>23878</v>
      </c>
      <c r="C1969" s="58">
        <v>57.3</v>
      </c>
      <c r="D1969" s="58">
        <v>1768.4</v>
      </c>
    </row>
    <row r="1970" spans="1:4">
      <c r="A1970" s="57">
        <v>5234</v>
      </c>
      <c r="B1970" s="57">
        <v>23878</v>
      </c>
      <c r="C1970" s="58">
        <v>57.3</v>
      </c>
      <c r="D1970" s="58">
        <v>1768.4</v>
      </c>
    </row>
    <row r="1971" spans="1:4">
      <c r="A1971" s="57">
        <v>5235</v>
      </c>
      <c r="B1971" s="57">
        <v>23878</v>
      </c>
      <c r="C1971" s="58">
        <v>57.3</v>
      </c>
      <c r="D1971" s="58">
        <v>1768.4</v>
      </c>
    </row>
    <row r="1972" spans="1:4">
      <c r="A1972" s="57">
        <v>5236</v>
      </c>
      <c r="B1972" s="57">
        <v>23878</v>
      </c>
      <c r="C1972" s="58">
        <v>57.3</v>
      </c>
      <c r="D1972" s="58">
        <v>1768.4</v>
      </c>
    </row>
    <row r="1973" spans="1:4">
      <c r="A1973" s="57">
        <v>5237</v>
      </c>
      <c r="B1973" s="57">
        <v>24584</v>
      </c>
      <c r="C1973" s="58">
        <v>121.4</v>
      </c>
      <c r="D1973" s="58">
        <v>1230.3</v>
      </c>
    </row>
    <row r="1974" spans="1:4">
      <c r="A1974" s="57">
        <v>5238</v>
      </c>
      <c r="B1974" s="57">
        <v>23373</v>
      </c>
      <c r="C1974" s="58">
        <v>81</v>
      </c>
      <c r="D1974" s="58">
        <v>1463.7</v>
      </c>
    </row>
    <row r="1975" spans="1:4">
      <c r="A1975" s="57">
        <v>5240</v>
      </c>
      <c r="B1975" s="57">
        <v>23842</v>
      </c>
      <c r="C1975" s="58">
        <v>30.8</v>
      </c>
      <c r="D1975" s="58">
        <v>2317.1999999999998</v>
      </c>
    </row>
    <row r="1976" spans="1:4">
      <c r="A1976" s="57">
        <v>5241</v>
      </c>
      <c r="B1976" s="57">
        <v>23842</v>
      </c>
      <c r="C1976" s="58">
        <v>30.8</v>
      </c>
      <c r="D1976" s="58">
        <v>2317.1999999999998</v>
      </c>
    </row>
    <row r="1977" spans="1:4">
      <c r="A1977" s="57">
        <v>5242</v>
      </c>
      <c r="B1977" s="57">
        <v>23842</v>
      </c>
      <c r="C1977" s="58">
        <v>30.8</v>
      </c>
      <c r="D1977" s="58">
        <v>2317.1999999999998</v>
      </c>
    </row>
    <row r="1978" spans="1:4">
      <c r="A1978" s="57">
        <v>5243</v>
      </c>
      <c r="B1978" s="57">
        <v>23842</v>
      </c>
      <c r="C1978" s="58">
        <v>30.8</v>
      </c>
      <c r="D1978" s="58">
        <v>2317.1999999999998</v>
      </c>
    </row>
    <row r="1979" spans="1:4">
      <c r="A1979" s="57">
        <v>5244</v>
      </c>
      <c r="B1979" s="57">
        <v>24584</v>
      </c>
      <c r="C1979" s="58">
        <v>121.4</v>
      </c>
      <c r="D1979" s="58">
        <v>1230.3</v>
      </c>
    </row>
    <row r="1980" spans="1:4">
      <c r="A1980" s="57">
        <v>5245</v>
      </c>
      <c r="B1980" s="57">
        <v>23842</v>
      </c>
      <c r="C1980" s="58">
        <v>30.8</v>
      </c>
      <c r="D1980" s="58">
        <v>2317.1999999999998</v>
      </c>
    </row>
    <row r="1981" spans="1:4">
      <c r="A1981" s="57">
        <v>5250</v>
      </c>
      <c r="B1981" s="57">
        <v>23842</v>
      </c>
      <c r="C1981" s="58">
        <v>30.8</v>
      </c>
      <c r="D1981" s="58">
        <v>2317.1999999999998</v>
      </c>
    </row>
    <row r="1982" spans="1:4">
      <c r="A1982" s="57">
        <v>5251</v>
      </c>
      <c r="B1982" s="57">
        <v>23842</v>
      </c>
      <c r="C1982" s="58">
        <v>30.8</v>
      </c>
      <c r="D1982" s="58">
        <v>2317.1999999999998</v>
      </c>
    </row>
    <row r="1983" spans="1:4">
      <c r="A1983" s="57">
        <v>5252</v>
      </c>
      <c r="B1983" s="57">
        <v>23842</v>
      </c>
      <c r="C1983" s="58">
        <v>30.8</v>
      </c>
      <c r="D1983" s="58">
        <v>2317.1999999999998</v>
      </c>
    </row>
    <row r="1984" spans="1:4">
      <c r="A1984" s="57">
        <v>5253</v>
      </c>
      <c r="B1984" s="57">
        <v>24584</v>
      </c>
      <c r="C1984" s="58">
        <v>121.4</v>
      </c>
      <c r="D1984" s="58">
        <v>1230.3</v>
      </c>
    </row>
    <row r="1985" spans="1:4">
      <c r="A1985" s="57">
        <v>5254</v>
      </c>
      <c r="B1985" s="57">
        <v>24584</v>
      </c>
      <c r="C1985" s="58">
        <v>121.4</v>
      </c>
      <c r="D1985" s="58">
        <v>1230.3</v>
      </c>
    </row>
    <row r="1986" spans="1:4">
      <c r="A1986" s="57">
        <v>5255</v>
      </c>
      <c r="B1986" s="57">
        <v>24580</v>
      </c>
      <c r="C1986" s="58">
        <v>94.1</v>
      </c>
      <c r="D1986" s="58">
        <v>1186.3</v>
      </c>
    </row>
    <row r="1987" spans="1:4">
      <c r="A1987" s="57">
        <v>5256</v>
      </c>
      <c r="B1987" s="57">
        <v>24580</v>
      </c>
      <c r="C1987" s="58">
        <v>94.1</v>
      </c>
      <c r="D1987" s="58">
        <v>1186.3</v>
      </c>
    </row>
    <row r="1988" spans="1:4">
      <c r="A1988" s="57">
        <v>5259</v>
      </c>
      <c r="B1988" s="57">
        <v>24584</v>
      </c>
      <c r="C1988" s="58">
        <v>121.4</v>
      </c>
      <c r="D1988" s="58">
        <v>1230.3</v>
      </c>
    </row>
    <row r="1989" spans="1:4">
      <c r="A1989" s="57">
        <v>5260</v>
      </c>
      <c r="B1989" s="57">
        <v>24584</v>
      </c>
      <c r="C1989" s="58">
        <v>121.4</v>
      </c>
      <c r="D1989" s="58">
        <v>1230.3</v>
      </c>
    </row>
    <row r="1990" spans="1:4">
      <c r="A1990" s="57">
        <v>5261</v>
      </c>
      <c r="B1990" s="57">
        <v>24584</v>
      </c>
      <c r="C1990" s="58">
        <v>121.4</v>
      </c>
      <c r="D1990" s="58">
        <v>1230.3</v>
      </c>
    </row>
    <row r="1991" spans="1:4">
      <c r="A1991" s="57">
        <v>5262</v>
      </c>
      <c r="B1991" s="57">
        <v>26099</v>
      </c>
      <c r="C1991" s="58">
        <v>73.8</v>
      </c>
      <c r="D1991" s="58">
        <v>1554.2</v>
      </c>
    </row>
    <row r="1992" spans="1:4">
      <c r="A1992" s="57">
        <v>5263</v>
      </c>
      <c r="B1992" s="57">
        <v>26091</v>
      </c>
      <c r="C1992" s="58">
        <v>82.5</v>
      </c>
      <c r="D1992" s="58">
        <v>1633.4</v>
      </c>
    </row>
    <row r="1993" spans="1:4">
      <c r="A1993" s="57">
        <v>5264</v>
      </c>
      <c r="B1993" s="57">
        <v>23894</v>
      </c>
      <c r="C1993" s="58">
        <v>146.5</v>
      </c>
      <c r="D1993" s="58">
        <v>1029.5</v>
      </c>
    </row>
    <row r="1994" spans="1:4">
      <c r="A1994" s="57">
        <v>5265</v>
      </c>
      <c r="B1994" s="57">
        <v>25557</v>
      </c>
      <c r="C1994" s="58">
        <v>109.5</v>
      </c>
      <c r="D1994" s="58">
        <v>1444.8</v>
      </c>
    </row>
    <row r="1995" spans="1:4">
      <c r="A1995" s="57">
        <v>5266</v>
      </c>
      <c r="B1995" s="57">
        <v>25557</v>
      </c>
      <c r="C1995" s="58">
        <v>109.5</v>
      </c>
      <c r="D1995" s="58">
        <v>1444.8</v>
      </c>
    </row>
    <row r="1996" spans="1:4">
      <c r="A1996" s="57">
        <v>5267</v>
      </c>
      <c r="B1996" s="57">
        <v>25557</v>
      </c>
      <c r="C1996" s="58">
        <v>109.5</v>
      </c>
      <c r="D1996" s="58">
        <v>1444.8</v>
      </c>
    </row>
    <row r="1997" spans="1:4">
      <c r="A1997" s="57">
        <v>5268</v>
      </c>
      <c r="B1997" s="57">
        <v>26100</v>
      </c>
      <c r="C1997" s="58">
        <v>113.6</v>
      </c>
      <c r="D1997" s="58">
        <v>1487.2</v>
      </c>
    </row>
    <row r="1998" spans="1:4">
      <c r="A1998" s="57">
        <v>5269</v>
      </c>
      <c r="B1998" s="57">
        <v>26100</v>
      </c>
      <c r="C1998" s="58">
        <v>113.6</v>
      </c>
      <c r="D1998" s="58">
        <v>1487.2</v>
      </c>
    </row>
    <row r="1999" spans="1:4">
      <c r="A1999" s="57">
        <v>5270</v>
      </c>
      <c r="B1999" s="57">
        <v>25507</v>
      </c>
      <c r="C1999" s="58">
        <v>147.1</v>
      </c>
      <c r="D1999" s="58">
        <v>1276.2</v>
      </c>
    </row>
    <row r="2000" spans="1:4">
      <c r="A2000" s="57">
        <v>5271</v>
      </c>
      <c r="B2000" s="57">
        <v>26100</v>
      </c>
      <c r="C2000" s="58">
        <v>113.6</v>
      </c>
      <c r="D2000" s="58">
        <v>1487.2</v>
      </c>
    </row>
    <row r="2001" spans="1:4">
      <c r="A2001" s="57">
        <v>5272</v>
      </c>
      <c r="B2001" s="57">
        <v>26105</v>
      </c>
      <c r="C2001" s="58">
        <v>63.9</v>
      </c>
      <c r="D2001" s="58">
        <v>1474.4</v>
      </c>
    </row>
    <row r="2002" spans="1:4">
      <c r="A2002" s="57">
        <v>5273</v>
      </c>
      <c r="B2002" s="57">
        <v>26100</v>
      </c>
      <c r="C2002" s="58">
        <v>113.6</v>
      </c>
      <c r="D2002" s="58">
        <v>1487.2</v>
      </c>
    </row>
    <row r="2003" spans="1:4">
      <c r="A2003" s="57">
        <v>5275</v>
      </c>
      <c r="B2003" s="57">
        <v>26095</v>
      </c>
      <c r="C2003" s="58">
        <v>71.5</v>
      </c>
      <c r="D2003" s="58">
        <v>1360.5</v>
      </c>
    </row>
    <row r="2004" spans="1:4">
      <c r="A2004" s="57">
        <v>5276</v>
      </c>
      <c r="B2004" s="57">
        <v>26105</v>
      </c>
      <c r="C2004" s="58">
        <v>63.9</v>
      </c>
      <c r="D2004" s="58">
        <v>1474.4</v>
      </c>
    </row>
    <row r="2005" spans="1:4">
      <c r="A2005" s="57">
        <v>5277</v>
      </c>
      <c r="B2005" s="57">
        <v>26091</v>
      </c>
      <c r="C2005" s="58">
        <v>82.5</v>
      </c>
      <c r="D2005" s="58">
        <v>1633.4</v>
      </c>
    </row>
    <row r="2006" spans="1:4">
      <c r="A2006" s="57">
        <v>5278</v>
      </c>
      <c r="B2006" s="57">
        <v>26091</v>
      </c>
      <c r="C2006" s="58">
        <v>82.5</v>
      </c>
      <c r="D2006" s="58">
        <v>1633.4</v>
      </c>
    </row>
    <row r="2007" spans="1:4">
      <c r="A2007" s="57">
        <v>5279</v>
      </c>
      <c r="B2007" s="57">
        <v>26021</v>
      </c>
      <c r="C2007" s="58">
        <v>55.4</v>
      </c>
      <c r="D2007" s="58">
        <v>1654.6</v>
      </c>
    </row>
    <row r="2008" spans="1:4">
      <c r="A2008" s="57">
        <v>5280</v>
      </c>
      <c r="B2008" s="57">
        <v>26021</v>
      </c>
      <c r="C2008" s="58">
        <v>55.4</v>
      </c>
      <c r="D2008" s="58">
        <v>1654.6</v>
      </c>
    </row>
    <row r="2009" spans="1:4">
      <c r="A2009" s="57">
        <v>5290</v>
      </c>
      <c r="B2009" s="57">
        <v>26021</v>
      </c>
      <c r="C2009" s="58">
        <v>55.4</v>
      </c>
      <c r="D2009" s="58">
        <v>1654.6</v>
      </c>
    </row>
    <row r="2010" spans="1:4">
      <c r="A2010" s="57">
        <v>5291</v>
      </c>
      <c r="B2010" s="57">
        <v>26021</v>
      </c>
      <c r="C2010" s="58">
        <v>55.4</v>
      </c>
      <c r="D2010" s="58">
        <v>1654.6</v>
      </c>
    </row>
    <row r="2011" spans="1:4">
      <c r="A2011" s="57">
        <v>5301</v>
      </c>
      <c r="B2011" s="57">
        <v>25562</v>
      </c>
      <c r="C2011" s="58">
        <v>123.6</v>
      </c>
      <c r="D2011" s="58">
        <v>1339.7</v>
      </c>
    </row>
    <row r="2012" spans="1:4">
      <c r="A2012" s="57">
        <v>5302</v>
      </c>
      <c r="B2012" s="57">
        <v>25562</v>
      </c>
      <c r="C2012" s="58">
        <v>123.6</v>
      </c>
      <c r="D2012" s="58">
        <v>1339.7</v>
      </c>
    </row>
    <row r="2013" spans="1:4">
      <c r="A2013" s="57">
        <v>5303</v>
      </c>
      <c r="B2013" s="57">
        <v>25562</v>
      </c>
      <c r="C2013" s="58">
        <v>123.6</v>
      </c>
      <c r="D2013" s="58">
        <v>1339.7</v>
      </c>
    </row>
    <row r="2014" spans="1:4">
      <c r="A2014" s="57">
        <v>5304</v>
      </c>
      <c r="B2014" s="57">
        <v>24024</v>
      </c>
      <c r="C2014" s="58">
        <v>162</v>
      </c>
      <c r="D2014" s="58">
        <v>1154.7</v>
      </c>
    </row>
    <row r="2015" spans="1:4">
      <c r="A2015" s="57">
        <v>5306</v>
      </c>
      <c r="B2015" s="57">
        <v>24584</v>
      </c>
      <c r="C2015" s="58">
        <v>121.4</v>
      </c>
      <c r="D2015" s="58">
        <v>1230.3</v>
      </c>
    </row>
    <row r="2016" spans="1:4">
      <c r="A2016" s="57">
        <v>5307</v>
      </c>
      <c r="B2016" s="57">
        <v>25562</v>
      </c>
      <c r="C2016" s="58">
        <v>123.6</v>
      </c>
      <c r="D2016" s="58">
        <v>1339.7</v>
      </c>
    </row>
    <row r="2017" spans="1:4">
      <c r="A2017" s="57">
        <v>5308</v>
      </c>
      <c r="B2017" s="57">
        <v>24024</v>
      </c>
      <c r="C2017" s="58">
        <v>162</v>
      </c>
      <c r="D2017" s="58">
        <v>1154.7</v>
      </c>
    </row>
    <row r="2018" spans="1:4">
      <c r="A2018" s="57">
        <v>5309</v>
      </c>
      <c r="B2018" s="57">
        <v>24024</v>
      </c>
      <c r="C2018" s="58">
        <v>162</v>
      </c>
      <c r="D2018" s="58">
        <v>1154.7</v>
      </c>
    </row>
    <row r="2019" spans="1:4">
      <c r="A2019" s="57">
        <v>5310</v>
      </c>
      <c r="B2019" s="57">
        <v>24024</v>
      </c>
      <c r="C2019" s="58">
        <v>162</v>
      </c>
      <c r="D2019" s="58">
        <v>1154.7</v>
      </c>
    </row>
    <row r="2020" spans="1:4">
      <c r="A2020" s="57">
        <v>5311</v>
      </c>
      <c r="B2020" s="57">
        <v>25562</v>
      </c>
      <c r="C2020" s="58">
        <v>123.6</v>
      </c>
      <c r="D2020" s="58">
        <v>1339.7</v>
      </c>
    </row>
    <row r="2021" spans="1:4">
      <c r="A2021" s="57">
        <v>5320</v>
      </c>
      <c r="B2021" s="57">
        <v>24511</v>
      </c>
      <c r="C2021" s="58">
        <v>98</v>
      </c>
      <c r="D2021" s="58">
        <v>1421.5</v>
      </c>
    </row>
    <row r="2022" spans="1:4">
      <c r="A2022" s="57">
        <v>5321</v>
      </c>
      <c r="B2022" s="57">
        <v>24511</v>
      </c>
      <c r="C2022" s="58">
        <v>98</v>
      </c>
      <c r="D2022" s="58">
        <v>1421.5</v>
      </c>
    </row>
    <row r="2023" spans="1:4">
      <c r="A2023" s="57">
        <v>5322</v>
      </c>
      <c r="B2023" s="57">
        <v>24048</v>
      </c>
      <c r="C2023" s="58">
        <v>158.30000000000001</v>
      </c>
      <c r="D2023" s="58">
        <v>1100.8</v>
      </c>
    </row>
    <row r="2024" spans="1:4">
      <c r="A2024" s="57">
        <v>5330</v>
      </c>
      <c r="B2024" s="57">
        <v>24048</v>
      </c>
      <c r="C2024" s="58">
        <v>158.30000000000001</v>
      </c>
      <c r="D2024" s="58">
        <v>1100.8</v>
      </c>
    </row>
    <row r="2025" spans="1:4">
      <c r="A2025" s="57">
        <v>5331</v>
      </c>
      <c r="B2025" s="57">
        <v>24048</v>
      </c>
      <c r="C2025" s="58">
        <v>158.30000000000001</v>
      </c>
      <c r="D2025" s="58">
        <v>1100.8</v>
      </c>
    </row>
    <row r="2026" spans="1:4">
      <c r="A2026" s="57">
        <v>5332</v>
      </c>
      <c r="B2026" s="57">
        <v>24024</v>
      </c>
      <c r="C2026" s="58">
        <v>162</v>
      </c>
      <c r="D2026" s="58">
        <v>1154.7</v>
      </c>
    </row>
    <row r="2027" spans="1:4">
      <c r="A2027" s="57">
        <v>5333</v>
      </c>
      <c r="B2027" s="57">
        <v>24024</v>
      </c>
      <c r="C2027" s="58">
        <v>162</v>
      </c>
      <c r="D2027" s="58">
        <v>1154.7</v>
      </c>
    </row>
    <row r="2028" spans="1:4">
      <c r="A2028" s="57">
        <v>5340</v>
      </c>
      <c r="B2028" s="57">
        <v>24048</v>
      </c>
      <c r="C2028" s="58">
        <v>158.30000000000001</v>
      </c>
      <c r="D2028" s="58">
        <v>1100.8</v>
      </c>
    </row>
    <row r="2029" spans="1:4">
      <c r="A2029" s="57">
        <v>5341</v>
      </c>
      <c r="B2029" s="57">
        <v>24048</v>
      </c>
      <c r="C2029" s="58">
        <v>158.30000000000001</v>
      </c>
      <c r="D2029" s="58">
        <v>1100.8</v>
      </c>
    </row>
    <row r="2030" spans="1:4">
      <c r="A2030" s="57">
        <v>5342</v>
      </c>
      <c r="B2030" s="57">
        <v>24048</v>
      </c>
      <c r="C2030" s="58">
        <v>158.30000000000001</v>
      </c>
      <c r="D2030" s="58">
        <v>1100.8</v>
      </c>
    </row>
    <row r="2031" spans="1:4">
      <c r="A2031" s="57">
        <v>5343</v>
      </c>
      <c r="B2031" s="57">
        <v>24024</v>
      </c>
      <c r="C2031" s="58">
        <v>162</v>
      </c>
      <c r="D2031" s="58">
        <v>1154.7</v>
      </c>
    </row>
    <row r="2032" spans="1:4">
      <c r="A2032" s="57">
        <v>5344</v>
      </c>
      <c r="B2032" s="57">
        <v>24048</v>
      </c>
      <c r="C2032" s="58">
        <v>158.30000000000001</v>
      </c>
      <c r="D2032" s="58">
        <v>1100.8</v>
      </c>
    </row>
    <row r="2033" spans="1:4">
      <c r="A2033" s="57">
        <v>5345</v>
      </c>
      <c r="B2033" s="57">
        <v>24024</v>
      </c>
      <c r="C2033" s="58">
        <v>162</v>
      </c>
      <c r="D2033" s="58">
        <v>1154.7</v>
      </c>
    </row>
    <row r="2034" spans="1:4">
      <c r="A2034" s="57">
        <v>5346</v>
      </c>
      <c r="B2034" s="57">
        <v>24048</v>
      </c>
      <c r="C2034" s="58">
        <v>158.30000000000001</v>
      </c>
      <c r="D2034" s="58">
        <v>1100.8</v>
      </c>
    </row>
    <row r="2035" spans="1:4">
      <c r="A2035" s="57">
        <v>5350</v>
      </c>
      <c r="B2035" s="57">
        <v>23878</v>
      </c>
      <c r="C2035" s="58">
        <v>57.3</v>
      </c>
      <c r="D2035" s="58">
        <v>1768.4</v>
      </c>
    </row>
    <row r="2036" spans="1:4">
      <c r="A2036" s="57">
        <v>5351</v>
      </c>
      <c r="B2036" s="57">
        <v>23878</v>
      </c>
      <c r="C2036" s="58">
        <v>57.3</v>
      </c>
      <c r="D2036" s="58">
        <v>1768.4</v>
      </c>
    </row>
    <row r="2037" spans="1:4">
      <c r="A2037" s="57">
        <v>5352</v>
      </c>
      <c r="B2037" s="57">
        <v>23373</v>
      </c>
      <c r="C2037" s="58">
        <v>81</v>
      </c>
      <c r="D2037" s="58">
        <v>1463.7</v>
      </c>
    </row>
    <row r="2038" spans="1:4">
      <c r="A2038" s="57">
        <v>5353</v>
      </c>
      <c r="B2038" s="57">
        <v>24584</v>
      </c>
      <c r="C2038" s="58">
        <v>121.4</v>
      </c>
      <c r="D2038" s="58">
        <v>1230.3</v>
      </c>
    </row>
    <row r="2039" spans="1:4">
      <c r="A2039" s="57">
        <v>5354</v>
      </c>
      <c r="B2039" s="57">
        <v>24024</v>
      </c>
      <c r="C2039" s="58">
        <v>162</v>
      </c>
      <c r="D2039" s="58">
        <v>1154.7</v>
      </c>
    </row>
    <row r="2040" spans="1:4">
      <c r="A2040" s="57">
        <v>5355</v>
      </c>
      <c r="B2040" s="57">
        <v>23373</v>
      </c>
      <c r="C2040" s="58">
        <v>81</v>
      </c>
      <c r="D2040" s="58">
        <v>1463.7</v>
      </c>
    </row>
    <row r="2041" spans="1:4">
      <c r="A2041" s="57">
        <v>5356</v>
      </c>
      <c r="B2041" s="57">
        <v>23373</v>
      </c>
      <c r="C2041" s="58">
        <v>81</v>
      </c>
      <c r="D2041" s="58">
        <v>1463.7</v>
      </c>
    </row>
    <row r="2042" spans="1:4">
      <c r="A2042" s="57">
        <v>5357</v>
      </c>
      <c r="B2042" s="57">
        <v>24511</v>
      </c>
      <c r="C2042" s="58">
        <v>98</v>
      </c>
      <c r="D2042" s="58">
        <v>1421.5</v>
      </c>
    </row>
    <row r="2043" spans="1:4">
      <c r="A2043" s="57">
        <v>5360</v>
      </c>
      <c r="B2043" s="57">
        <v>23373</v>
      </c>
      <c r="C2043" s="58">
        <v>81</v>
      </c>
      <c r="D2043" s="58">
        <v>1463.7</v>
      </c>
    </row>
    <row r="2044" spans="1:4">
      <c r="A2044" s="57">
        <v>5371</v>
      </c>
      <c r="B2044" s="57">
        <v>23122</v>
      </c>
      <c r="C2044" s="58">
        <v>127.3</v>
      </c>
      <c r="D2044" s="58">
        <v>1177.3</v>
      </c>
    </row>
    <row r="2045" spans="1:4">
      <c r="A2045" s="57">
        <v>5372</v>
      </c>
      <c r="B2045" s="57">
        <v>23122</v>
      </c>
      <c r="C2045" s="58">
        <v>127.3</v>
      </c>
      <c r="D2045" s="58">
        <v>1177.3</v>
      </c>
    </row>
    <row r="2046" spans="1:4">
      <c r="A2046" s="57">
        <v>5373</v>
      </c>
      <c r="B2046" s="57">
        <v>24511</v>
      </c>
      <c r="C2046" s="58">
        <v>98</v>
      </c>
      <c r="D2046" s="58">
        <v>1421.5</v>
      </c>
    </row>
    <row r="2047" spans="1:4">
      <c r="A2047" s="57">
        <v>5374</v>
      </c>
      <c r="B2047" s="57">
        <v>24511</v>
      </c>
      <c r="C2047" s="58">
        <v>98</v>
      </c>
      <c r="D2047" s="58">
        <v>1421.5</v>
      </c>
    </row>
    <row r="2048" spans="1:4">
      <c r="A2048" s="57">
        <v>5381</v>
      </c>
      <c r="B2048" s="57">
        <v>24511</v>
      </c>
      <c r="C2048" s="58">
        <v>98</v>
      </c>
      <c r="D2048" s="58">
        <v>1421.5</v>
      </c>
    </row>
    <row r="2049" spans="1:4">
      <c r="A2049" s="57">
        <v>5400</v>
      </c>
      <c r="B2049" s="57">
        <v>23122</v>
      </c>
      <c r="C2049" s="58">
        <v>127.3</v>
      </c>
      <c r="D2049" s="58">
        <v>1177.3</v>
      </c>
    </row>
    <row r="2050" spans="1:4">
      <c r="A2050" s="57">
        <v>5401</v>
      </c>
      <c r="B2050" s="57">
        <v>23122</v>
      </c>
      <c r="C2050" s="58">
        <v>127.3</v>
      </c>
      <c r="D2050" s="58">
        <v>1177.3</v>
      </c>
    </row>
    <row r="2051" spans="1:4">
      <c r="A2051" s="57">
        <v>5410</v>
      </c>
      <c r="B2051" s="57">
        <v>23122</v>
      </c>
      <c r="C2051" s="58">
        <v>127.3</v>
      </c>
      <c r="D2051" s="58">
        <v>1177.3</v>
      </c>
    </row>
    <row r="2052" spans="1:4">
      <c r="A2052" s="57">
        <v>5411</v>
      </c>
      <c r="B2052" s="57">
        <v>23122</v>
      </c>
      <c r="C2052" s="58">
        <v>127.3</v>
      </c>
      <c r="D2052" s="58">
        <v>1177.3</v>
      </c>
    </row>
    <row r="2053" spans="1:4">
      <c r="A2053" s="57">
        <v>5412</v>
      </c>
      <c r="B2053" s="57">
        <v>24511</v>
      </c>
      <c r="C2053" s="58">
        <v>98</v>
      </c>
      <c r="D2053" s="58">
        <v>1421.5</v>
      </c>
    </row>
    <row r="2054" spans="1:4">
      <c r="A2054" s="57">
        <v>5413</v>
      </c>
      <c r="B2054" s="57">
        <v>21131</v>
      </c>
      <c r="C2054" s="58">
        <v>77.900000000000006</v>
      </c>
      <c r="D2054" s="58">
        <v>1543</v>
      </c>
    </row>
    <row r="2055" spans="1:4">
      <c r="A2055" s="57">
        <v>5414</v>
      </c>
      <c r="B2055" s="57">
        <v>21131</v>
      </c>
      <c r="C2055" s="58">
        <v>77.900000000000006</v>
      </c>
      <c r="D2055" s="58">
        <v>1543</v>
      </c>
    </row>
    <row r="2056" spans="1:4">
      <c r="A2056" s="57">
        <v>5415</v>
      </c>
      <c r="B2056" s="57">
        <v>21131</v>
      </c>
      <c r="C2056" s="58">
        <v>77.900000000000006</v>
      </c>
      <c r="D2056" s="58">
        <v>1543</v>
      </c>
    </row>
    <row r="2057" spans="1:4">
      <c r="A2057" s="57">
        <v>5416</v>
      </c>
      <c r="B2057" s="57">
        <v>21131</v>
      </c>
      <c r="C2057" s="58">
        <v>77.900000000000006</v>
      </c>
      <c r="D2057" s="58">
        <v>1543</v>
      </c>
    </row>
    <row r="2058" spans="1:4">
      <c r="A2058" s="57">
        <v>5417</v>
      </c>
      <c r="B2058" s="57">
        <v>21131</v>
      </c>
      <c r="C2058" s="58">
        <v>77.900000000000006</v>
      </c>
      <c r="D2058" s="58">
        <v>1543</v>
      </c>
    </row>
    <row r="2059" spans="1:4">
      <c r="A2059" s="57">
        <v>5418</v>
      </c>
      <c r="B2059" s="57">
        <v>21131</v>
      </c>
      <c r="C2059" s="58">
        <v>77.900000000000006</v>
      </c>
      <c r="D2059" s="58">
        <v>1543</v>
      </c>
    </row>
    <row r="2060" spans="1:4">
      <c r="A2060" s="57">
        <v>5419</v>
      </c>
      <c r="B2060" s="57">
        <v>21131</v>
      </c>
      <c r="C2060" s="58">
        <v>77.900000000000006</v>
      </c>
      <c r="D2060" s="58">
        <v>1543</v>
      </c>
    </row>
    <row r="2061" spans="1:4">
      <c r="A2061" s="57">
        <v>5420</v>
      </c>
      <c r="B2061" s="57">
        <v>21131</v>
      </c>
      <c r="C2061" s="58">
        <v>77.900000000000006</v>
      </c>
      <c r="D2061" s="58">
        <v>1543</v>
      </c>
    </row>
    <row r="2062" spans="1:4">
      <c r="A2062" s="57">
        <v>5421</v>
      </c>
      <c r="B2062" s="57">
        <v>21131</v>
      </c>
      <c r="C2062" s="58">
        <v>77.900000000000006</v>
      </c>
      <c r="D2062" s="58">
        <v>1543</v>
      </c>
    </row>
    <row r="2063" spans="1:4">
      <c r="A2063" s="57">
        <v>5422</v>
      </c>
      <c r="B2063" s="57">
        <v>20062</v>
      </c>
      <c r="C2063" s="58">
        <v>140.19999999999999</v>
      </c>
      <c r="D2063" s="58">
        <v>1252.3</v>
      </c>
    </row>
    <row r="2064" spans="1:4">
      <c r="A2064" s="57">
        <v>5431</v>
      </c>
      <c r="B2064" s="57">
        <v>20062</v>
      </c>
      <c r="C2064" s="58">
        <v>140.19999999999999</v>
      </c>
      <c r="D2064" s="58">
        <v>1252.3</v>
      </c>
    </row>
    <row r="2065" spans="1:4">
      <c r="A2065" s="57">
        <v>5432</v>
      </c>
      <c r="B2065" s="57">
        <v>18201</v>
      </c>
      <c r="C2065" s="58">
        <v>290.5</v>
      </c>
      <c r="D2065" s="58">
        <v>772.2</v>
      </c>
    </row>
    <row r="2066" spans="1:4">
      <c r="A2066" s="57">
        <v>5433</v>
      </c>
      <c r="B2066" s="57">
        <v>18201</v>
      </c>
      <c r="C2066" s="58">
        <v>290.5</v>
      </c>
      <c r="D2066" s="58">
        <v>772.2</v>
      </c>
    </row>
    <row r="2067" spans="1:4">
      <c r="A2067" s="57">
        <v>5434</v>
      </c>
      <c r="B2067" s="57">
        <v>18201</v>
      </c>
      <c r="C2067" s="58">
        <v>290.5</v>
      </c>
      <c r="D2067" s="58">
        <v>772.2</v>
      </c>
    </row>
    <row r="2068" spans="1:4">
      <c r="A2068" s="57">
        <v>5440</v>
      </c>
      <c r="B2068" s="57">
        <v>20062</v>
      </c>
      <c r="C2068" s="58">
        <v>140.19999999999999</v>
      </c>
      <c r="D2068" s="58">
        <v>1252.3</v>
      </c>
    </row>
    <row r="2069" spans="1:4">
      <c r="A2069" s="57">
        <v>5451</v>
      </c>
      <c r="B2069" s="57">
        <v>21131</v>
      </c>
      <c r="C2069" s="58">
        <v>77.900000000000006</v>
      </c>
      <c r="D2069" s="58">
        <v>1543</v>
      </c>
    </row>
    <row r="2070" spans="1:4">
      <c r="A2070" s="57">
        <v>5452</v>
      </c>
      <c r="B2070" s="57">
        <v>21131</v>
      </c>
      <c r="C2070" s="58">
        <v>77.900000000000006</v>
      </c>
      <c r="D2070" s="58">
        <v>1543</v>
      </c>
    </row>
    <row r="2071" spans="1:4">
      <c r="A2071" s="57">
        <v>5453</v>
      </c>
      <c r="B2071" s="57">
        <v>21131</v>
      </c>
      <c r="C2071" s="58">
        <v>77.900000000000006</v>
      </c>
      <c r="D2071" s="58">
        <v>1543</v>
      </c>
    </row>
    <row r="2072" spans="1:4">
      <c r="A2072" s="57">
        <v>5454</v>
      </c>
      <c r="B2072" s="57">
        <v>21131</v>
      </c>
      <c r="C2072" s="58">
        <v>77.900000000000006</v>
      </c>
      <c r="D2072" s="58">
        <v>1543</v>
      </c>
    </row>
    <row r="2073" spans="1:4">
      <c r="A2073" s="57">
        <v>5455</v>
      </c>
      <c r="B2073" s="57">
        <v>21131</v>
      </c>
      <c r="C2073" s="58">
        <v>77.900000000000006</v>
      </c>
      <c r="D2073" s="58">
        <v>1543</v>
      </c>
    </row>
    <row r="2074" spans="1:4">
      <c r="A2074" s="57">
        <v>5460</v>
      </c>
      <c r="B2074" s="57">
        <v>23122</v>
      </c>
      <c r="C2074" s="58">
        <v>127.3</v>
      </c>
      <c r="D2074" s="58">
        <v>1177.3</v>
      </c>
    </row>
    <row r="2075" spans="1:4">
      <c r="A2075" s="57">
        <v>5461</v>
      </c>
      <c r="B2075" s="57">
        <v>21131</v>
      </c>
      <c r="C2075" s="58">
        <v>77.900000000000006</v>
      </c>
      <c r="D2075" s="58">
        <v>1543</v>
      </c>
    </row>
    <row r="2076" spans="1:4">
      <c r="A2076" s="57">
        <v>5462</v>
      </c>
      <c r="B2076" s="57">
        <v>21131</v>
      </c>
      <c r="C2076" s="58">
        <v>77.900000000000006</v>
      </c>
      <c r="D2076" s="58">
        <v>1543</v>
      </c>
    </row>
    <row r="2077" spans="1:4">
      <c r="A2077" s="57">
        <v>5464</v>
      </c>
      <c r="B2077" s="57">
        <v>21133</v>
      </c>
      <c r="C2077" s="58">
        <v>148.30000000000001</v>
      </c>
      <c r="D2077" s="58">
        <v>1195.5999999999999</v>
      </c>
    </row>
    <row r="2078" spans="1:4">
      <c r="A2078" s="57">
        <v>5470</v>
      </c>
      <c r="B2078" s="57">
        <v>21133</v>
      </c>
      <c r="C2078" s="58">
        <v>148.30000000000001</v>
      </c>
      <c r="D2078" s="58">
        <v>1195.5999999999999</v>
      </c>
    </row>
    <row r="2079" spans="1:4">
      <c r="A2079" s="57">
        <v>5471</v>
      </c>
      <c r="B2079" s="57">
        <v>21133</v>
      </c>
      <c r="C2079" s="58">
        <v>148.30000000000001</v>
      </c>
      <c r="D2079" s="58">
        <v>1195.5999999999999</v>
      </c>
    </row>
    <row r="2080" spans="1:4">
      <c r="A2080" s="57">
        <v>5472</v>
      </c>
      <c r="B2080" s="57">
        <v>21133</v>
      </c>
      <c r="C2080" s="58">
        <v>148.30000000000001</v>
      </c>
      <c r="D2080" s="58">
        <v>1195.5999999999999</v>
      </c>
    </row>
    <row r="2081" spans="1:4">
      <c r="A2081" s="57">
        <v>5473</v>
      </c>
      <c r="B2081" s="57">
        <v>21133</v>
      </c>
      <c r="C2081" s="58">
        <v>148.30000000000001</v>
      </c>
      <c r="D2081" s="58">
        <v>1195.5999999999999</v>
      </c>
    </row>
    <row r="2082" spans="1:4">
      <c r="A2082" s="57">
        <v>5480</v>
      </c>
      <c r="B2082" s="57">
        <v>21133</v>
      </c>
      <c r="C2082" s="58">
        <v>148.30000000000001</v>
      </c>
      <c r="D2082" s="58">
        <v>1195.5999999999999</v>
      </c>
    </row>
    <row r="2083" spans="1:4">
      <c r="A2083" s="57">
        <v>5481</v>
      </c>
      <c r="B2083" s="57">
        <v>18120</v>
      </c>
      <c r="C2083" s="58">
        <v>292.10000000000002</v>
      </c>
      <c r="D2083" s="58">
        <v>902.5</v>
      </c>
    </row>
    <row r="2084" spans="1:4">
      <c r="A2084" s="57">
        <v>5482</v>
      </c>
      <c r="B2084" s="57">
        <v>18201</v>
      </c>
      <c r="C2084" s="58">
        <v>290.5</v>
      </c>
      <c r="D2084" s="58">
        <v>772.2</v>
      </c>
    </row>
    <row r="2085" spans="1:4">
      <c r="A2085" s="57">
        <v>5483</v>
      </c>
      <c r="B2085" s="57">
        <v>18201</v>
      </c>
      <c r="C2085" s="58">
        <v>290.5</v>
      </c>
      <c r="D2085" s="58">
        <v>772.2</v>
      </c>
    </row>
    <row r="2086" spans="1:4">
      <c r="A2086" s="57">
        <v>5485</v>
      </c>
      <c r="B2086" s="57">
        <v>18201</v>
      </c>
      <c r="C2086" s="58">
        <v>290.5</v>
      </c>
      <c r="D2086" s="58">
        <v>772.2</v>
      </c>
    </row>
    <row r="2087" spans="1:4">
      <c r="A2087" s="57">
        <v>5490</v>
      </c>
      <c r="B2087" s="57">
        <v>21133</v>
      </c>
      <c r="C2087" s="58">
        <v>148.30000000000001</v>
      </c>
      <c r="D2087" s="58">
        <v>1195.5999999999999</v>
      </c>
    </row>
    <row r="2088" spans="1:4">
      <c r="A2088" s="57">
        <v>5491</v>
      </c>
      <c r="B2088" s="57">
        <v>21131</v>
      </c>
      <c r="C2088" s="58">
        <v>77.900000000000006</v>
      </c>
      <c r="D2088" s="58">
        <v>1543</v>
      </c>
    </row>
    <row r="2089" spans="1:4">
      <c r="A2089" s="57">
        <v>5493</v>
      </c>
      <c r="B2089" s="57">
        <v>21131</v>
      </c>
      <c r="C2089" s="58">
        <v>77.900000000000006</v>
      </c>
      <c r="D2089" s="58">
        <v>1543</v>
      </c>
    </row>
    <row r="2090" spans="1:4">
      <c r="A2090" s="57">
        <v>5495</v>
      </c>
      <c r="B2090" s="57">
        <v>18120</v>
      </c>
      <c r="C2090" s="58">
        <v>292.10000000000002</v>
      </c>
      <c r="D2090" s="58">
        <v>902.5</v>
      </c>
    </row>
    <row r="2091" spans="1:4">
      <c r="A2091" s="57">
        <v>5501</v>
      </c>
      <c r="B2091" s="57">
        <v>23122</v>
      </c>
      <c r="C2091" s="58">
        <v>127.3</v>
      </c>
      <c r="D2091" s="58">
        <v>1177.3</v>
      </c>
    </row>
    <row r="2092" spans="1:4">
      <c r="A2092" s="57">
        <v>5502</v>
      </c>
      <c r="B2092" s="57">
        <v>23122</v>
      </c>
      <c r="C2092" s="58">
        <v>127.3</v>
      </c>
      <c r="D2092" s="58">
        <v>1177.3</v>
      </c>
    </row>
    <row r="2093" spans="1:4">
      <c r="A2093" s="57">
        <v>5510</v>
      </c>
      <c r="B2093" s="57">
        <v>21133</v>
      </c>
      <c r="C2093" s="58">
        <v>148.30000000000001</v>
      </c>
      <c r="D2093" s="58">
        <v>1195.5999999999999</v>
      </c>
    </row>
    <row r="2094" spans="1:4">
      <c r="A2094" s="57">
        <v>5520</v>
      </c>
      <c r="B2094" s="57">
        <v>21133</v>
      </c>
      <c r="C2094" s="58">
        <v>148.30000000000001</v>
      </c>
      <c r="D2094" s="58">
        <v>1195.5999999999999</v>
      </c>
    </row>
    <row r="2095" spans="1:4">
      <c r="A2095" s="57">
        <v>5521</v>
      </c>
      <c r="B2095" s="57">
        <v>21133</v>
      </c>
      <c r="C2095" s="58">
        <v>148.30000000000001</v>
      </c>
      <c r="D2095" s="58">
        <v>1195.5999999999999</v>
      </c>
    </row>
    <row r="2096" spans="1:4">
      <c r="A2096" s="57">
        <v>5522</v>
      </c>
      <c r="B2096" s="57">
        <v>21133</v>
      </c>
      <c r="C2096" s="58">
        <v>148.30000000000001</v>
      </c>
      <c r="D2096" s="58">
        <v>1195.5999999999999</v>
      </c>
    </row>
    <row r="2097" spans="1:4">
      <c r="A2097" s="57">
        <v>5523</v>
      </c>
      <c r="B2097" s="57">
        <v>21133</v>
      </c>
      <c r="C2097" s="58">
        <v>148.30000000000001</v>
      </c>
      <c r="D2097" s="58">
        <v>1195.5999999999999</v>
      </c>
    </row>
    <row r="2098" spans="1:4">
      <c r="A2098" s="57">
        <v>5540</v>
      </c>
      <c r="B2098" s="57">
        <v>18120</v>
      </c>
      <c r="C2098" s="58">
        <v>292.10000000000002</v>
      </c>
      <c r="D2098" s="58">
        <v>902.5</v>
      </c>
    </row>
    <row r="2099" spans="1:4">
      <c r="A2099" s="57">
        <v>5550</v>
      </c>
      <c r="B2099" s="57">
        <v>21133</v>
      </c>
      <c r="C2099" s="58">
        <v>148.30000000000001</v>
      </c>
      <c r="D2099" s="58">
        <v>1195.5999999999999</v>
      </c>
    </row>
    <row r="2100" spans="1:4">
      <c r="A2100" s="57">
        <v>5552</v>
      </c>
      <c r="B2100" s="57">
        <v>22050</v>
      </c>
      <c r="C2100" s="58">
        <v>174.8</v>
      </c>
      <c r="D2100" s="58">
        <v>1148.2</v>
      </c>
    </row>
    <row r="2101" spans="1:4">
      <c r="A2101" s="57">
        <v>5554</v>
      </c>
      <c r="B2101" s="57">
        <v>22050</v>
      </c>
      <c r="C2101" s="58">
        <v>174.8</v>
      </c>
      <c r="D2101" s="58">
        <v>1148.2</v>
      </c>
    </row>
    <row r="2102" spans="1:4">
      <c r="A2102" s="57">
        <v>5555</v>
      </c>
      <c r="B2102" s="57">
        <v>21133</v>
      </c>
      <c r="C2102" s="58">
        <v>148.30000000000001</v>
      </c>
      <c r="D2102" s="58">
        <v>1195.5999999999999</v>
      </c>
    </row>
    <row r="2103" spans="1:4">
      <c r="A2103" s="57">
        <v>5556</v>
      </c>
      <c r="B2103" s="57">
        <v>22050</v>
      </c>
      <c r="C2103" s="58">
        <v>174.8</v>
      </c>
      <c r="D2103" s="58">
        <v>1148.2</v>
      </c>
    </row>
    <row r="2104" spans="1:4">
      <c r="A2104" s="57">
        <v>5558</v>
      </c>
      <c r="B2104" s="57">
        <v>22050</v>
      </c>
      <c r="C2104" s="58">
        <v>174.8</v>
      </c>
      <c r="D2104" s="58">
        <v>1148.2</v>
      </c>
    </row>
    <row r="2105" spans="1:4">
      <c r="A2105" s="57">
        <v>5560</v>
      </c>
      <c r="B2105" s="57">
        <v>21133</v>
      </c>
      <c r="C2105" s="58">
        <v>148.30000000000001</v>
      </c>
      <c r="D2105" s="58">
        <v>1195.5999999999999</v>
      </c>
    </row>
    <row r="2106" spans="1:4">
      <c r="A2106" s="57">
        <v>5570</v>
      </c>
      <c r="B2106" s="57">
        <v>22008</v>
      </c>
      <c r="C2106" s="58">
        <v>184</v>
      </c>
      <c r="D2106" s="58">
        <v>1021.3</v>
      </c>
    </row>
    <row r="2107" spans="1:4">
      <c r="A2107" s="57">
        <v>5571</v>
      </c>
      <c r="B2107" s="57">
        <v>22008</v>
      </c>
      <c r="C2107" s="58">
        <v>184</v>
      </c>
      <c r="D2107" s="58">
        <v>1021.3</v>
      </c>
    </row>
    <row r="2108" spans="1:4">
      <c r="A2108" s="57">
        <v>5572</v>
      </c>
      <c r="B2108" s="57">
        <v>22008</v>
      </c>
      <c r="C2108" s="58">
        <v>184</v>
      </c>
      <c r="D2108" s="58">
        <v>1021.3</v>
      </c>
    </row>
    <row r="2109" spans="1:4">
      <c r="A2109" s="57">
        <v>5573</v>
      </c>
      <c r="B2109" s="57">
        <v>22008</v>
      </c>
      <c r="C2109" s="58">
        <v>184</v>
      </c>
      <c r="D2109" s="58">
        <v>1021.3</v>
      </c>
    </row>
    <row r="2110" spans="1:4">
      <c r="A2110" s="57">
        <v>5575</v>
      </c>
      <c r="B2110" s="57">
        <v>22031</v>
      </c>
      <c r="C2110" s="58">
        <v>166.5</v>
      </c>
      <c r="D2110" s="58">
        <v>1056</v>
      </c>
    </row>
    <row r="2111" spans="1:4">
      <c r="A2111" s="57">
        <v>5576</v>
      </c>
      <c r="B2111" s="57">
        <v>22046</v>
      </c>
      <c r="C2111" s="58">
        <v>184.3</v>
      </c>
      <c r="D2111" s="58">
        <v>1032.2</v>
      </c>
    </row>
    <row r="2112" spans="1:4">
      <c r="A2112" s="57">
        <v>5577</v>
      </c>
      <c r="B2112" s="57">
        <v>22049</v>
      </c>
      <c r="C2112" s="58">
        <v>200.6</v>
      </c>
      <c r="D2112" s="58">
        <v>868</v>
      </c>
    </row>
    <row r="2113" spans="1:4">
      <c r="A2113" s="57">
        <v>5580</v>
      </c>
      <c r="B2113" s="57">
        <v>22031</v>
      </c>
      <c r="C2113" s="58">
        <v>166.5</v>
      </c>
      <c r="D2113" s="58">
        <v>1056</v>
      </c>
    </row>
    <row r="2114" spans="1:4">
      <c r="A2114" s="57">
        <v>5581</v>
      </c>
      <c r="B2114" s="57">
        <v>22031</v>
      </c>
      <c r="C2114" s="58">
        <v>166.5</v>
      </c>
      <c r="D2114" s="58">
        <v>1056</v>
      </c>
    </row>
    <row r="2115" spans="1:4">
      <c r="A2115" s="57">
        <v>5582</v>
      </c>
      <c r="B2115" s="57">
        <v>22046</v>
      </c>
      <c r="C2115" s="58">
        <v>184.3</v>
      </c>
      <c r="D2115" s="58">
        <v>1032.2</v>
      </c>
    </row>
    <row r="2116" spans="1:4">
      <c r="A2116" s="57">
        <v>5583</v>
      </c>
      <c r="B2116" s="57">
        <v>22046</v>
      </c>
      <c r="C2116" s="58">
        <v>184.3</v>
      </c>
      <c r="D2116" s="58">
        <v>1032.2</v>
      </c>
    </row>
    <row r="2117" spans="1:4">
      <c r="A2117" s="57">
        <v>5600</v>
      </c>
      <c r="B2117" s="57">
        <v>18120</v>
      </c>
      <c r="C2117" s="58">
        <v>292.10000000000002</v>
      </c>
      <c r="D2117" s="58">
        <v>902.5</v>
      </c>
    </row>
    <row r="2118" spans="1:4">
      <c r="A2118" s="57">
        <v>5601</v>
      </c>
      <c r="B2118" s="57">
        <v>18120</v>
      </c>
      <c r="C2118" s="58">
        <v>292.10000000000002</v>
      </c>
      <c r="D2118" s="58">
        <v>902.5</v>
      </c>
    </row>
    <row r="2119" spans="1:4">
      <c r="A2119" s="57">
        <v>5602</v>
      </c>
      <c r="B2119" s="57">
        <v>22050</v>
      </c>
      <c r="C2119" s="58">
        <v>174.8</v>
      </c>
      <c r="D2119" s="58">
        <v>1148.2</v>
      </c>
    </row>
    <row r="2120" spans="1:4">
      <c r="A2120" s="57">
        <v>5603</v>
      </c>
      <c r="B2120" s="57">
        <v>18217</v>
      </c>
      <c r="C2120" s="58">
        <v>151.6</v>
      </c>
      <c r="D2120" s="58">
        <v>1184.4000000000001</v>
      </c>
    </row>
    <row r="2121" spans="1:4">
      <c r="A2121" s="57">
        <v>5604</v>
      </c>
      <c r="B2121" s="57">
        <v>18217</v>
      </c>
      <c r="C2121" s="58">
        <v>151.6</v>
      </c>
      <c r="D2121" s="58">
        <v>1184.4000000000001</v>
      </c>
    </row>
    <row r="2122" spans="1:4">
      <c r="A2122" s="57">
        <v>5605</v>
      </c>
      <c r="B2122" s="57">
        <v>18192</v>
      </c>
      <c r="C2122" s="58">
        <v>172.7</v>
      </c>
      <c r="D2122" s="58">
        <v>975.3</v>
      </c>
    </row>
    <row r="2123" spans="1:4">
      <c r="A2123" s="57">
        <v>5606</v>
      </c>
      <c r="B2123" s="57">
        <v>18192</v>
      </c>
      <c r="C2123" s="58">
        <v>172.7</v>
      </c>
      <c r="D2123" s="58">
        <v>975.3</v>
      </c>
    </row>
    <row r="2124" spans="1:4">
      <c r="A2124" s="57">
        <v>5607</v>
      </c>
      <c r="B2124" s="57">
        <v>18217</v>
      </c>
      <c r="C2124" s="58">
        <v>151.6</v>
      </c>
      <c r="D2124" s="58">
        <v>1184.4000000000001</v>
      </c>
    </row>
    <row r="2125" spans="1:4">
      <c r="A2125" s="57">
        <v>5608</v>
      </c>
      <c r="B2125" s="57">
        <v>18120</v>
      </c>
      <c r="C2125" s="58">
        <v>292.10000000000002</v>
      </c>
      <c r="D2125" s="58">
        <v>902.5</v>
      </c>
    </row>
    <row r="2126" spans="1:4">
      <c r="A2126" s="57">
        <v>5609</v>
      </c>
      <c r="B2126" s="57">
        <v>18120</v>
      </c>
      <c r="C2126" s="58">
        <v>292.10000000000002</v>
      </c>
      <c r="D2126" s="58">
        <v>902.5</v>
      </c>
    </row>
    <row r="2127" spans="1:4">
      <c r="A2127" s="57">
        <v>5630</v>
      </c>
      <c r="B2127" s="57">
        <v>18217</v>
      </c>
      <c r="C2127" s="58">
        <v>151.6</v>
      </c>
      <c r="D2127" s="58">
        <v>1184.4000000000001</v>
      </c>
    </row>
    <row r="2128" spans="1:4">
      <c r="A2128" s="57">
        <v>5631</v>
      </c>
      <c r="B2128" s="57">
        <v>18217</v>
      </c>
      <c r="C2128" s="58">
        <v>151.6</v>
      </c>
      <c r="D2128" s="58">
        <v>1184.4000000000001</v>
      </c>
    </row>
    <row r="2129" spans="1:4">
      <c r="A2129" s="57">
        <v>5632</v>
      </c>
      <c r="B2129" s="57">
        <v>18217</v>
      </c>
      <c r="C2129" s="58">
        <v>151.6</v>
      </c>
      <c r="D2129" s="58">
        <v>1184.4000000000001</v>
      </c>
    </row>
    <row r="2130" spans="1:4">
      <c r="A2130" s="57">
        <v>5633</v>
      </c>
      <c r="B2130" s="57">
        <v>18044</v>
      </c>
      <c r="C2130" s="58">
        <v>192.5</v>
      </c>
      <c r="D2130" s="58">
        <v>972.8</v>
      </c>
    </row>
    <row r="2131" spans="1:4">
      <c r="A2131" s="57">
        <v>5640</v>
      </c>
      <c r="B2131" s="57">
        <v>18217</v>
      </c>
      <c r="C2131" s="58">
        <v>151.6</v>
      </c>
      <c r="D2131" s="58">
        <v>1184.4000000000001</v>
      </c>
    </row>
    <row r="2132" spans="1:4">
      <c r="A2132" s="57">
        <v>5641</v>
      </c>
      <c r="B2132" s="57">
        <v>18044</v>
      </c>
      <c r="C2132" s="58">
        <v>192.5</v>
      </c>
      <c r="D2132" s="58">
        <v>972.8</v>
      </c>
    </row>
    <row r="2133" spans="1:4">
      <c r="A2133" s="57">
        <v>5642</v>
      </c>
      <c r="B2133" s="57">
        <v>18044</v>
      </c>
      <c r="C2133" s="58">
        <v>192.5</v>
      </c>
      <c r="D2133" s="58">
        <v>972.8</v>
      </c>
    </row>
    <row r="2134" spans="1:4">
      <c r="A2134" s="57">
        <v>5650</v>
      </c>
      <c r="B2134" s="57">
        <v>18044</v>
      </c>
      <c r="C2134" s="58">
        <v>192.5</v>
      </c>
      <c r="D2134" s="58">
        <v>972.8</v>
      </c>
    </row>
    <row r="2135" spans="1:4">
      <c r="A2135" s="57">
        <v>5651</v>
      </c>
      <c r="B2135" s="57">
        <v>18044</v>
      </c>
      <c r="C2135" s="58">
        <v>192.5</v>
      </c>
      <c r="D2135" s="58">
        <v>972.8</v>
      </c>
    </row>
    <row r="2136" spans="1:4">
      <c r="A2136" s="57">
        <v>5652</v>
      </c>
      <c r="B2136" s="57">
        <v>18083</v>
      </c>
      <c r="C2136" s="58">
        <v>165.5</v>
      </c>
      <c r="D2136" s="58">
        <v>953.9</v>
      </c>
    </row>
    <row r="2137" spans="1:4">
      <c r="A2137" s="57">
        <v>5653</v>
      </c>
      <c r="B2137" s="57">
        <v>18195</v>
      </c>
      <c r="C2137" s="58">
        <v>136.5</v>
      </c>
      <c r="D2137" s="58">
        <v>903.9</v>
      </c>
    </row>
    <row r="2138" spans="1:4">
      <c r="A2138" s="57">
        <v>5654</v>
      </c>
      <c r="B2138" s="57">
        <v>18195</v>
      </c>
      <c r="C2138" s="58">
        <v>136.5</v>
      </c>
      <c r="D2138" s="58">
        <v>903.9</v>
      </c>
    </row>
    <row r="2139" spans="1:4">
      <c r="A2139" s="57">
        <v>5655</v>
      </c>
      <c r="B2139" s="57">
        <v>18195</v>
      </c>
      <c r="C2139" s="58">
        <v>136.5</v>
      </c>
      <c r="D2139" s="58">
        <v>903.9</v>
      </c>
    </row>
    <row r="2140" spans="1:4">
      <c r="A2140" s="57">
        <v>5660</v>
      </c>
      <c r="B2140" s="57">
        <v>18195</v>
      </c>
      <c r="C2140" s="58">
        <v>136.5</v>
      </c>
      <c r="D2140" s="58">
        <v>903.9</v>
      </c>
    </row>
    <row r="2141" spans="1:4">
      <c r="A2141" s="57">
        <v>5661</v>
      </c>
      <c r="B2141" s="57">
        <v>18012</v>
      </c>
      <c r="C2141" s="58">
        <v>186.1</v>
      </c>
      <c r="D2141" s="58">
        <v>883</v>
      </c>
    </row>
    <row r="2142" spans="1:4">
      <c r="A2142" s="57">
        <v>5670</v>
      </c>
      <c r="B2142" s="57">
        <v>18069</v>
      </c>
      <c r="C2142" s="58">
        <v>191.2</v>
      </c>
      <c r="D2142" s="58">
        <v>838.5</v>
      </c>
    </row>
    <row r="2143" spans="1:4">
      <c r="A2143" s="57">
        <v>5671</v>
      </c>
      <c r="B2143" s="57">
        <v>18195</v>
      </c>
      <c r="C2143" s="58">
        <v>136.5</v>
      </c>
      <c r="D2143" s="58">
        <v>903.9</v>
      </c>
    </row>
    <row r="2144" spans="1:4">
      <c r="A2144" s="57">
        <v>5680</v>
      </c>
      <c r="B2144" s="57">
        <v>18195</v>
      </c>
      <c r="C2144" s="58">
        <v>136.5</v>
      </c>
      <c r="D2144" s="58">
        <v>903.9</v>
      </c>
    </row>
    <row r="2145" spans="1:4">
      <c r="A2145" s="57">
        <v>5690</v>
      </c>
      <c r="B2145" s="57">
        <v>18012</v>
      </c>
      <c r="C2145" s="58">
        <v>186.1</v>
      </c>
      <c r="D2145" s="58">
        <v>883</v>
      </c>
    </row>
    <row r="2146" spans="1:4">
      <c r="A2146" s="57">
        <v>5700</v>
      </c>
      <c r="B2146" s="57">
        <v>18201</v>
      </c>
      <c r="C2146" s="58">
        <v>290.5</v>
      </c>
      <c r="D2146" s="58">
        <v>772.2</v>
      </c>
    </row>
    <row r="2147" spans="1:4">
      <c r="A2147" s="57">
        <v>5701</v>
      </c>
      <c r="B2147" s="57">
        <v>23034</v>
      </c>
      <c r="C2147" s="58">
        <v>159.69999999999999</v>
      </c>
      <c r="D2147" s="58">
        <v>995.6</v>
      </c>
    </row>
    <row r="2148" spans="1:4">
      <c r="A2148" s="57">
        <v>5710</v>
      </c>
      <c r="B2148" s="57">
        <v>18201</v>
      </c>
      <c r="C2148" s="58">
        <v>290.5</v>
      </c>
      <c r="D2148" s="58">
        <v>772.2</v>
      </c>
    </row>
    <row r="2149" spans="1:4">
      <c r="A2149" s="57">
        <v>5720</v>
      </c>
      <c r="B2149" s="57">
        <v>16001</v>
      </c>
      <c r="C2149" s="58">
        <v>227.9</v>
      </c>
      <c r="D2149" s="58">
        <v>722</v>
      </c>
    </row>
    <row r="2150" spans="1:4">
      <c r="A2150" s="57">
        <v>5722</v>
      </c>
      <c r="B2150" s="57">
        <v>16096</v>
      </c>
      <c r="C2150" s="58">
        <v>275.89999999999998</v>
      </c>
      <c r="D2150" s="58">
        <v>765</v>
      </c>
    </row>
    <row r="2151" spans="1:4">
      <c r="A2151" s="57">
        <v>5723</v>
      </c>
      <c r="B2151" s="57">
        <v>16090</v>
      </c>
      <c r="C2151" s="58">
        <v>267.7</v>
      </c>
      <c r="D2151" s="58">
        <v>613.9</v>
      </c>
    </row>
    <row r="2152" spans="1:4">
      <c r="A2152" s="57">
        <v>5724</v>
      </c>
      <c r="B2152" s="57">
        <v>17043</v>
      </c>
      <c r="C2152" s="58">
        <v>497.7</v>
      </c>
      <c r="D2152" s="58">
        <v>507.4</v>
      </c>
    </row>
    <row r="2153" spans="1:4">
      <c r="A2153" s="57">
        <v>5725</v>
      </c>
      <c r="B2153" s="57">
        <v>16096</v>
      </c>
      <c r="C2153" s="58">
        <v>275.89999999999998</v>
      </c>
      <c r="D2153" s="58">
        <v>765</v>
      </c>
    </row>
    <row r="2154" spans="1:4">
      <c r="A2154" s="57">
        <v>5730</v>
      </c>
      <c r="B2154" s="57">
        <v>17110</v>
      </c>
      <c r="C2154" s="58">
        <v>278</v>
      </c>
      <c r="D2154" s="58">
        <v>794</v>
      </c>
    </row>
    <row r="2155" spans="1:4">
      <c r="A2155" s="57">
        <v>5731</v>
      </c>
      <c r="B2155" s="57">
        <v>22823</v>
      </c>
      <c r="C2155" s="58">
        <v>60.5</v>
      </c>
      <c r="D2155" s="58">
        <v>1224.8</v>
      </c>
    </row>
    <row r="2156" spans="1:4">
      <c r="A2156" s="57">
        <v>5732</v>
      </c>
      <c r="B2156" s="57">
        <v>17110</v>
      </c>
      <c r="C2156" s="58">
        <v>278</v>
      </c>
      <c r="D2156" s="58">
        <v>794</v>
      </c>
    </row>
    <row r="2157" spans="1:4">
      <c r="A2157" s="57">
        <v>5733</v>
      </c>
      <c r="B2157" s="57">
        <v>17126</v>
      </c>
      <c r="C2157" s="58">
        <v>435.6</v>
      </c>
      <c r="D2157" s="58">
        <v>618.5</v>
      </c>
    </row>
    <row r="2158" spans="1:4">
      <c r="A2158" s="57">
        <v>5734</v>
      </c>
      <c r="B2158" s="57">
        <v>17043</v>
      </c>
      <c r="C2158" s="58">
        <v>497.7</v>
      </c>
      <c r="D2158" s="58">
        <v>507.4</v>
      </c>
    </row>
    <row r="2159" spans="1:4">
      <c r="A2159" s="57">
        <v>5950</v>
      </c>
      <c r="B2159" s="57">
        <v>23034</v>
      </c>
      <c r="C2159" s="58">
        <v>159.69999999999999</v>
      </c>
      <c r="D2159" s="58">
        <v>995.6</v>
      </c>
    </row>
    <row r="2160" spans="1:4">
      <c r="A2160" s="57">
        <v>6000</v>
      </c>
      <c r="B2160" s="57">
        <v>9225</v>
      </c>
      <c r="C2160" s="58">
        <v>375.9</v>
      </c>
      <c r="D2160" s="58">
        <v>651.20000000000005</v>
      </c>
    </row>
    <row r="2161" spans="1:4">
      <c r="A2161" s="57">
        <v>6003</v>
      </c>
      <c r="B2161" s="57">
        <v>9225</v>
      </c>
      <c r="C2161" s="58">
        <v>375.9</v>
      </c>
      <c r="D2161" s="58">
        <v>651.20000000000005</v>
      </c>
    </row>
    <row r="2162" spans="1:4">
      <c r="A2162" s="57">
        <v>6004</v>
      </c>
      <c r="B2162" s="57">
        <v>9225</v>
      </c>
      <c r="C2162" s="58">
        <v>375.9</v>
      </c>
      <c r="D2162" s="58">
        <v>651.20000000000005</v>
      </c>
    </row>
    <row r="2163" spans="1:4">
      <c r="A2163" s="57">
        <v>6005</v>
      </c>
      <c r="B2163" s="57">
        <v>9225</v>
      </c>
      <c r="C2163" s="58">
        <v>375.9</v>
      </c>
      <c r="D2163" s="58">
        <v>651.20000000000005</v>
      </c>
    </row>
    <row r="2164" spans="1:4">
      <c r="A2164" s="57">
        <v>6006</v>
      </c>
      <c r="B2164" s="57">
        <v>9225</v>
      </c>
      <c r="C2164" s="58">
        <v>375.9</v>
      </c>
      <c r="D2164" s="58">
        <v>651.20000000000005</v>
      </c>
    </row>
    <row r="2165" spans="1:4">
      <c r="A2165" s="57">
        <v>6007</v>
      </c>
      <c r="B2165" s="57">
        <v>9225</v>
      </c>
      <c r="C2165" s="58">
        <v>375.9</v>
      </c>
      <c r="D2165" s="58">
        <v>651.20000000000005</v>
      </c>
    </row>
    <row r="2166" spans="1:4">
      <c r="A2166" s="57">
        <v>6008</v>
      </c>
      <c r="B2166" s="57">
        <v>9215</v>
      </c>
      <c r="C2166" s="58">
        <v>450.4</v>
      </c>
      <c r="D2166" s="58">
        <v>511.3</v>
      </c>
    </row>
    <row r="2167" spans="1:4">
      <c r="A2167" s="57">
        <v>6009</v>
      </c>
      <c r="B2167" s="57">
        <v>9215</v>
      </c>
      <c r="C2167" s="58">
        <v>450.4</v>
      </c>
      <c r="D2167" s="58">
        <v>511.3</v>
      </c>
    </row>
    <row r="2168" spans="1:4">
      <c r="A2168" s="57">
        <v>6010</v>
      </c>
      <c r="B2168" s="57">
        <v>9215</v>
      </c>
      <c r="C2168" s="58">
        <v>450.4</v>
      </c>
      <c r="D2168" s="58">
        <v>511.3</v>
      </c>
    </row>
    <row r="2169" spans="1:4">
      <c r="A2169" s="57">
        <v>6011</v>
      </c>
      <c r="B2169" s="57">
        <v>9215</v>
      </c>
      <c r="C2169" s="58">
        <v>450.4</v>
      </c>
      <c r="D2169" s="58">
        <v>511.3</v>
      </c>
    </row>
    <row r="2170" spans="1:4">
      <c r="A2170" s="57">
        <v>6012</v>
      </c>
      <c r="B2170" s="57">
        <v>9215</v>
      </c>
      <c r="C2170" s="58">
        <v>450.4</v>
      </c>
      <c r="D2170" s="58">
        <v>511.3</v>
      </c>
    </row>
    <row r="2171" spans="1:4">
      <c r="A2171" s="57">
        <v>6014</v>
      </c>
      <c r="B2171" s="57">
        <v>9215</v>
      </c>
      <c r="C2171" s="58">
        <v>450.4</v>
      </c>
      <c r="D2171" s="58">
        <v>511.3</v>
      </c>
    </row>
    <row r="2172" spans="1:4">
      <c r="A2172" s="57">
        <v>6015</v>
      </c>
      <c r="B2172" s="57">
        <v>9215</v>
      </c>
      <c r="C2172" s="58">
        <v>450.4</v>
      </c>
      <c r="D2172" s="58">
        <v>511.3</v>
      </c>
    </row>
    <row r="2173" spans="1:4">
      <c r="A2173" s="57">
        <v>6016</v>
      </c>
      <c r="B2173" s="57">
        <v>9225</v>
      </c>
      <c r="C2173" s="58">
        <v>375.9</v>
      </c>
      <c r="D2173" s="58">
        <v>651.20000000000005</v>
      </c>
    </row>
    <row r="2174" spans="1:4">
      <c r="A2174" s="57">
        <v>6017</v>
      </c>
      <c r="B2174" s="57">
        <v>9225</v>
      </c>
      <c r="C2174" s="58">
        <v>375.9</v>
      </c>
      <c r="D2174" s="58">
        <v>651.20000000000005</v>
      </c>
    </row>
    <row r="2175" spans="1:4">
      <c r="A2175" s="57">
        <v>6018</v>
      </c>
      <c r="B2175" s="57">
        <v>9215</v>
      </c>
      <c r="C2175" s="58">
        <v>450.4</v>
      </c>
      <c r="D2175" s="58">
        <v>511.3</v>
      </c>
    </row>
    <row r="2176" spans="1:4">
      <c r="A2176" s="57">
        <v>6019</v>
      </c>
      <c r="B2176" s="57">
        <v>9215</v>
      </c>
      <c r="C2176" s="58">
        <v>450.4</v>
      </c>
      <c r="D2176" s="58">
        <v>511.3</v>
      </c>
    </row>
    <row r="2177" spans="1:4">
      <c r="A2177" s="57">
        <v>6020</v>
      </c>
      <c r="B2177" s="57">
        <v>9215</v>
      </c>
      <c r="C2177" s="58">
        <v>450.4</v>
      </c>
      <c r="D2177" s="58">
        <v>511.3</v>
      </c>
    </row>
    <row r="2178" spans="1:4">
      <c r="A2178" s="57">
        <v>6021</v>
      </c>
      <c r="B2178" s="57">
        <v>9225</v>
      </c>
      <c r="C2178" s="58">
        <v>375.9</v>
      </c>
      <c r="D2178" s="58">
        <v>651.20000000000005</v>
      </c>
    </row>
    <row r="2179" spans="1:4">
      <c r="A2179" s="57">
        <v>6022</v>
      </c>
      <c r="B2179" s="57">
        <v>9225</v>
      </c>
      <c r="C2179" s="58">
        <v>375.9</v>
      </c>
      <c r="D2179" s="58">
        <v>651.20000000000005</v>
      </c>
    </row>
    <row r="2180" spans="1:4">
      <c r="A2180" s="57">
        <v>6023</v>
      </c>
      <c r="B2180" s="57">
        <v>9225</v>
      </c>
      <c r="C2180" s="58">
        <v>375.9</v>
      </c>
      <c r="D2180" s="58">
        <v>651.20000000000005</v>
      </c>
    </row>
    <row r="2181" spans="1:4">
      <c r="A2181" s="57">
        <v>6024</v>
      </c>
      <c r="B2181" s="57">
        <v>9225</v>
      </c>
      <c r="C2181" s="58">
        <v>375.9</v>
      </c>
      <c r="D2181" s="58">
        <v>651.20000000000005</v>
      </c>
    </row>
    <row r="2182" spans="1:4">
      <c r="A2182" s="57">
        <v>6025</v>
      </c>
      <c r="B2182" s="57">
        <v>9215</v>
      </c>
      <c r="C2182" s="58">
        <v>450.4</v>
      </c>
      <c r="D2182" s="58">
        <v>511.3</v>
      </c>
    </row>
    <row r="2183" spans="1:4">
      <c r="A2183" s="57">
        <v>6026</v>
      </c>
      <c r="B2183" s="57">
        <v>9225</v>
      </c>
      <c r="C2183" s="58">
        <v>375.9</v>
      </c>
      <c r="D2183" s="58">
        <v>651.20000000000005</v>
      </c>
    </row>
    <row r="2184" spans="1:4">
      <c r="A2184" s="57">
        <v>6027</v>
      </c>
      <c r="B2184" s="57">
        <v>9225</v>
      </c>
      <c r="C2184" s="58">
        <v>375.9</v>
      </c>
      <c r="D2184" s="58">
        <v>651.20000000000005</v>
      </c>
    </row>
    <row r="2185" spans="1:4">
      <c r="A2185" s="57">
        <v>6028</v>
      </c>
      <c r="B2185" s="57">
        <v>9225</v>
      </c>
      <c r="C2185" s="58">
        <v>375.9</v>
      </c>
      <c r="D2185" s="58">
        <v>651.20000000000005</v>
      </c>
    </row>
    <row r="2186" spans="1:4">
      <c r="A2186" s="57">
        <v>6029</v>
      </c>
      <c r="B2186" s="57">
        <v>9215</v>
      </c>
      <c r="C2186" s="58">
        <v>450.4</v>
      </c>
      <c r="D2186" s="58">
        <v>511.3</v>
      </c>
    </row>
    <row r="2187" spans="1:4">
      <c r="A2187" s="57">
        <v>6030</v>
      </c>
      <c r="B2187" s="57">
        <v>9178</v>
      </c>
      <c r="C2187" s="58">
        <v>302.39999999999998</v>
      </c>
      <c r="D2187" s="58">
        <v>823.7</v>
      </c>
    </row>
    <row r="2188" spans="1:4">
      <c r="A2188" s="57">
        <v>6031</v>
      </c>
      <c r="B2188" s="57">
        <v>9053</v>
      </c>
      <c r="C2188" s="58">
        <v>308.5</v>
      </c>
      <c r="D2188" s="58">
        <v>692.8</v>
      </c>
    </row>
    <row r="2189" spans="1:4">
      <c r="A2189" s="57">
        <v>6032</v>
      </c>
      <c r="B2189" s="57">
        <v>9178</v>
      </c>
      <c r="C2189" s="58">
        <v>302.39999999999998</v>
      </c>
      <c r="D2189" s="58">
        <v>823.7</v>
      </c>
    </row>
    <row r="2190" spans="1:4">
      <c r="A2190" s="57">
        <v>6033</v>
      </c>
      <c r="B2190" s="57">
        <v>9178</v>
      </c>
      <c r="C2190" s="58">
        <v>302.39999999999998</v>
      </c>
      <c r="D2190" s="58">
        <v>823.7</v>
      </c>
    </row>
    <row r="2191" spans="1:4">
      <c r="A2191" s="57">
        <v>6034</v>
      </c>
      <c r="B2191" s="57">
        <v>9178</v>
      </c>
      <c r="C2191" s="58">
        <v>302.39999999999998</v>
      </c>
      <c r="D2191" s="58">
        <v>823.7</v>
      </c>
    </row>
    <row r="2192" spans="1:4">
      <c r="A2192" s="57">
        <v>6035</v>
      </c>
      <c r="B2192" s="57">
        <v>9178</v>
      </c>
      <c r="C2192" s="58">
        <v>302.39999999999998</v>
      </c>
      <c r="D2192" s="58">
        <v>823.7</v>
      </c>
    </row>
    <row r="2193" spans="1:4">
      <c r="A2193" s="57">
        <v>6036</v>
      </c>
      <c r="B2193" s="57">
        <v>9178</v>
      </c>
      <c r="C2193" s="58">
        <v>302.39999999999998</v>
      </c>
      <c r="D2193" s="58">
        <v>823.7</v>
      </c>
    </row>
    <row r="2194" spans="1:4">
      <c r="A2194" s="57">
        <v>6037</v>
      </c>
      <c r="B2194" s="57">
        <v>9178</v>
      </c>
      <c r="C2194" s="58">
        <v>302.39999999999998</v>
      </c>
      <c r="D2194" s="58">
        <v>823.7</v>
      </c>
    </row>
    <row r="2195" spans="1:4">
      <c r="A2195" s="57">
        <v>6038</v>
      </c>
      <c r="B2195" s="57">
        <v>9178</v>
      </c>
      <c r="C2195" s="58">
        <v>302.39999999999998</v>
      </c>
      <c r="D2195" s="58">
        <v>823.7</v>
      </c>
    </row>
    <row r="2196" spans="1:4">
      <c r="A2196" s="57">
        <v>6041</v>
      </c>
      <c r="B2196" s="57">
        <v>9178</v>
      </c>
      <c r="C2196" s="58">
        <v>302.39999999999998</v>
      </c>
      <c r="D2196" s="58">
        <v>823.7</v>
      </c>
    </row>
    <row r="2197" spans="1:4">
      <c r="A2197" s="57">
        <v>6042</v>
      </c>
      <c r="B2197" s="57">
        <v>9114</v>
      </c>
      <c r="C2197" s="58">
        <v>587.79999999999995</v>
      </c>
      <c r="D2197" s="58">
        <v>431.4</v>
      </c>
    </row>
    <row r="2198" spans="1:4">
      <c r="A2198" s="57">
        <v>6043</v>
      </c>
      <c r="B2198" s="57">
        <v>9114</v>
      </c>
      <c r="C2198" s="58">
        <v>587.79999999999995</v>
      </c>
      <c r="D2198" s="58">
        <v>431.4</v>
      </c>
    </row>
    <row r="2199" spans="1:4">
      <c r="A2199" s="57">
        <v>6044</v>
      </c>
      <c r="B2199" s="57">
        <v>9114</v>
      </c>
      <c r="C2199" s="58">
        <v>587.79999999999995</v>
      </c>
      <c r="D2199" s="58">
        <v>431.4</v>
      </c>
    </row>
    <row r="2200" spans="1:4">
      <c r="A2200" s="57">
        <v>6050</v>
      </c>
      <c r="B2200" s="57">
        <v>9225</v>
      </c>
      <c r="C2200" s="58">
        <v>375.9</v>
      </c>
      <c r="D2200" s="58">
        <v>651.20000000000005</v>
      </c>
    </row>
    <row r="2201" spans="1:4">
      <c r="A2201" s="57">
        <v>6051</v>
      </c>
      <c r="B2201" s="57">
        <v>9225</v>
      </c>
      <c r="C2201" s="58">
        <v>375.9</v>
      </c>
      <c r="D2201" s="58">
        <v>651.20000000000005</v>
      </c>
    </row>
    <row r="2202" spans="1:4">
      <c r="A2202" s="57">
        <v>6052</v>
      </c>
      <c r="B2202" s="57">
        <v>9225</v>
      </c>
      <c r="C2202" s="58">
        <v>375.9</v>
      </c>
      <c r="D2202" s="58">
        <v>651.20000000000005</v>
      </c>
    </row>
    <row r="2203" spans="1:4">
      <c r="A2203" s="57">
        <v>6053</v>
      </c>
      <c r="B2203" s="57">
        <v>9225</v>
      </c>
      <c r="C2203" s="58">
        <v>375.9</v>
      </c>
      <c r="D2203" s="58">
        <v>651.20000000000005</v>
      </c>
    </row>
    <row r="2204" spans="1:4">
      <c r="A2204" s="57">
        <v>6054</v>
      </c>
      <c r="B2204" s="57">
        <v>9021</v>
      </c>
      <c r="C2204" s="58">
        <v>321.8</v>
      </c>
      <c r="D2204" s="58">
        <v>665.1</v>
      </c>
    </row>
    <row r="2205" spans="1:4">
      <c r="A2205" s="57">
        <v>6055</v>
      </c>
      <c r="B2205" s="57">
        <v>9021</v>
      </c>
      <c r="C2205" s="58">
        <v>321.8</v>
      </c>
      <c r="D2205" s="58">
        <v>665.1</v>
      </c>
    </row>
    <row r="2206" spans="1:4">
      <c r="A2206" s="57">
        <v>6056</v>
      </c>
      <c r="B2206" s="57">
        <v>9021</v>
      </c>
      <c r="C2206" s="58">
        <v>321.8</v>
      </c>
      <c r="D2206" s="58">
        <v>665.1</v>
      </c>
    </row>
    <row r="2207" spans="1:4">
      <c r="A2207" s="57">
        <v>6057</v>
      </c>
      <c r="B2207" s="57">
        <v>9021</v>
      </c>
      <c r="C2207" s="58">
        <v>321.8</v>
      </c>
      <c r="D2207" s="58">
        <v>665.1</v>
      </c>
    </row>
    <row r="2208" spans="1:4">
      <c r="A2208" s="57">
        <v>6058</v>
      </c>
      <c r="B2208" s="57">
        <v>9021</v>
      </c>
      <c r="C2208" s="58">
        <v>321.8</v>
      </c>
      <c r="D2208" s="58">
        <v>665.1</v>
      </c>
    </row>
    <row r="2209" spans="1:4">
      <c r="A2209" s="57">
        <v>6059</v>
      </c>
      <c r="B2209" s="57">
        <v>9225</v>
      </c>
      <c r="C2209" s="58">
        <v>375.9</v>
      </c>
      <c r="D2209" s="58">
        <v>651.20000000000005</v>
      </c>
    </row>
    <row r="2210" spans="1:4">
      <c r="A2210" s="57">
        <v>6060</v>
      </c>
      <c r="B2210" s="57">
        <v>9225</v>
      </c>
      <c r="C2210" s="58">
        <v>375.9</v>
      </c>
      <c r="D2210" s="58">
        <v>651.20000000000005</v>
      </c>
    </row>
    <row r="2211" spans="1:4">
      <c r="A2211" s="57">
        <v>6061</v>
      </c>
      <c r="B2211" s="57">
        <v>9225</v>
      </c>
      <c r="C2211" s="58">
        <v>375.9</v>
      </c>
      <c r="D2211" s="58">
        <v>651.20000000000005</v>
      </c>
    </row>
    <row r="2212" spans="1:4">
      <c r="A2212" s="57">
        <v>6062</v>
      </c>
      <c r="B2212" s="57">
        <v>9225</v>
      </c>
      <c r="C2212" s="58">
        <v>375.9</v>
      </c>
      <c r="D2212" s="58">
        <v>651.20000000000005</v>
      </c>
    </row>
    <row r="2213" spans="1:4">
      <c r="A2213" s="57">
        <v>6063</v>
      </c>
      <c r="B2213" s="57">
        <v>9021</v>
      </c>
      <c r="C2213" s="58">
        <v>321.8</v>
      </c>
      <c r="D2213" s="58">
        <v>665.1</v>
      </c>
    </row>
    <row r="2214" spans="1:4">
      <c r="A2214" s="57">
        <v>6064</v>
      </c>
      <c r="B2214" s="57">
        <v>9225</v>
      </c>
      <c r="C2214" s="58">
        <v>375.9</v>
      </c>
      <c r="D2214" s="58">
        <v>651.20000000000005</v>
      </c>
    </row>
    <row r="2215" spans="1:4">
      <c r="A2215" s="57">
        <v>6065</v>
      </c>
      <c r="B2215" s="57">
        <v>9225</v>
      </c>
      <c r="C2215" s="58">
        <v>375.9</v>
      </c>
      <c r="D2215" s="58">
        <v>651.20000000000005</v>
      </c>
    </row>
    <row r="2216" spans="1:4">
      <c r="A2216" s="57">
        <v>6066</v>
      </c>
      <c r="B2216" s="57">
        <v>9225</v>
      </c>
      <c r="C2216" s="58">
        <v>375.9</v>
      </c>
      <c r="D2216" s="58">
        <v>651.20000000000005</v>
      </c>
    </row>
    <row r="2217" spans="1:4">
      <c r="A2217" s="57">
        <v>6067</v>
      </c>
      <c r="B2217" s="57">
        <v>9225</v>
      </c>
      <c r="C2217" s="58">
        <v>375.9</v>
      </c>
      <c r="D2217" s="58">
        <v>651.20000000000005</v>
      </c>
    </row>
    <row r="2218" spans="1:4">
      <c r="A2218" s="57">
        <v>6068</v>
      </c>
      <c r="B2218" s="57">
        <v>9021</v>
      </c>
      <c r="C2218" s="58">
        <v>321.8</v>
      </c>
      <c r="D2218" s="58">
        <v>665.1</v>
      </c>
    </row>
    <row r="2219" spans="1:4">
      <c r="A2219" s="57">
        <v>6069</v>
      </c>
      <c r="B2219" s="57">
        <v>9053</v>
      </c>
      <c r="C2219" s="58">
        <v>308.5</v>
      </c>
      <c r="D2219" s="58">
        <v>692.8</v>
      </c>
    </row>
    <row r="2220" spans="1:4">
      <c r="A2220" s="57">
        <v>6070</v>
      </c>
      <c r="B2220" s="57">
        <v>9021</v>
      </c>
      <c r="C2220" s="58">
        <v>321.8</v>
      </c>
      <c r="D2220" s="58">
        <v>665.1</v>
      </c>
    </row>
    <row r="2221" spans="1:4">
      <c r="A2221" s="57">
        <v>6071</v>
      </c>
      <c r="B2221" s="57">
        <v>9240</v>
      </c>
      <c r="C2221" s="58">
        <v>171.4</v>
      </c>
      <c r="D2221" s="58">
        <v>1040.2</v>
      </c>
    </row>
    <row r="2222" spans="1:4">
      <c r="A2222" s="57">
        <v>6072</v>
      </c>
      <c r="B2222" s="57">
        <v>9240</v>
      </c>
      <c r="C2222" s="58">
        <v>171.4</v>
      </c>
      <c r="D2222" s="58">
        <v>1040.2</v>
      </c>
    </row>
    <row r="2223" spans="1:4">
      <c r="A2223" s="57">
        <v>6073</v>
      </c>
      <c r="B2223" s="57">
        <v>9240</v>
      </c>
      <c r="C2223" s="58">
        <v>171.4</v>
      </c>
      <c r="D2223" s="58">
        <v>1040.2</v>
      </c>
    </row>
    <row r="2224" spans="1:4">
      <c r="A2224" s="57">
        <v>6074</v>
      </c>
      <c r="B2224" s="57">
        <v>9240</v>
      </c>
      <c r="C2224" s="58">
        <v>171.4</v>
      </c>
      <c r="D2224" s="58">
        <v>1040.2</v>
      </c>
    </row>
    <row r="2225" spans="1:4">
      <c r="A2225" s="57">
        <v>6076</v>
      </c>
      <c r="B2225" s="57">
        <v>9240</v>
      </c>
      <c r="C2225" s="58">
        <v>171.4</v>
      </c>
      <c r="D2225" s="58">
        <v>1040.2</v>
      </c>
    </row>
    <row r="2226" spans="1:4">
      <c r="A2226" s="57">
        <v>6077</v>
      </c>
      <c r="B2226" s="57">
        <v>9053</v>
      </c>
      <c r="C2226" s="58">
        <v>308.5</v>
      </c>
      <c r="D2226" s="58">
        <v>692.8</v>
      </c>
    </row>
    <row r="2227" spans="1:4">
      <c r="A2227" s="57">
        <v>6078</v>
      </c>
      <c r="B2227" s="57">
        <v>9053</v>
      </c>
      <c r="C2227" s="58">
        <v>308.5</v>
      </c>
      <c r="D2227" s="58">
        <v>692.8</v>
      </c>
    </row>
    <row r="2228" spans="1:4">
      <c r="A2228" s="57">
        <v>6079</v>
      </c>
      <c r="B2228" s="57">
        <v>9053</v>
      </c>
      <c r="C2228" s="58">
        <v>308.5</v>
      </c>
      <c r="D2228" s="58">
        <v>692.8</v>
      </c>
    </row>
    <row r="2229" spans="1:4">
      <c r="A2229" s="57">
        <v>6081</v>
      </c>
      <c r="B2229" s="57">
        <v>9240</v>
      </c>
      <c r="C2229" s="58">
        <v>171.4</v>
      </c>
      <c r="D2229" s="58">
        <v>1040.2</v>
      </c>
    </row>
    <row r="2230" spans="1:4">
      <c r="A2230" s="57">
        <v>6082</v>
      </c>
      <c r="B2230" s="57">
        <v>9240</v>
      </c>
      <c r="C2230" s="58">
        <v>171.4</v>
      </c>
      <c r="D2230" s="58">
        <v>1040.2</v>
      </c>
    </row>
    <row r="2231" spans="1:4">
      <c r="A2231" s="57">
        <v>6083</v>
      </c>
      <c r="B2231" s="57">
        <v>9053</v>
      </c>
      <c r="C2231" s="58">
        <v>308.5</v>
      </c>
      <c r="D2231" s="58">
        <v>692.8</v>
      </c>
    </row>
    <row r="2232" spans="1:4">
      <c r="A2232" s="57">
        <v>6084</v>
      </c>
      <c r="B2232" s="57">
        <v>9053</v>
      </c>
      <c r="C2232" s="58">
        <v>308.5</v>
      </c>
      <c r="D2232" s="58">
        <v>692.8</v>
      </c>
    </row>
    <row r="2233" spans="1:4">
      <c r="A2233" s="57">
        <v>6090</v>
      </c>
      <c r="B2233" s="57">
        <v>9225</v>
      </c>
      <c r="C2233" s="58">
        <v>375.9</v>
      </c>
      <c r="D2233" s="58">
        <v>651.20000000000005</v>
      </c>
    </row>
    <row r="2234" spans="1:4">
      <c r="A2234" s="57">
        <v>6100</v>
      </c>
      <c r="B2234" s="57">
        <v>9225</v>
      </c>
      <c r="C2234" s="58">
        <v>375.9</v>
      </c>
      <c r="D2234" s="58">
        <v>651.20000000000005</v>
      </c>
    </row>
    <row r="2235" spans="1:4">
      <c r="A2235" s="57">
        <v>6101</v>
      </c>
      <c r="B2235" s="57">
        <v>9225</v>
      </c>
      <c r="C2235" s="58">
        <v>375.9</v>
      </c>
      <c r="D2235" s="58">
        <v>651.20000000000005</v>
      </c>
    </row>
    <row r="2236" spans="1:4">
      <c r="A2236" s="57">
        <v>6102</v>
      </c>
      <c r="B2236" s="57">
        <v>9021</v>
      </c>
      <c r="C2236" s="58">
        <v>321.8</v>
      </c>
      <c r="D2236" s="58">
        <v>665.1</v>
      </c>
    </row>
    <row r="2237" spans="1:4">
      <c r="A2237" s="57">
        <v>6103</v>
      </c>
      <c r="B2237" s="57">
        <v>9225</v>
      </c>
      <c r="C2237" s="58">
        <v>375.9</v>
      </c>
      <c r="D2237" s="58">
        <v>651.20000000000005</v>
      </c>
    </row>
    <row r="2238" spans="1:4">
      <c r="A2238" s="57">
        <v>6104</v>
      </c>
      <c r="B2238" s="57">
        <v>9021</v>
      </c>
      <c r="C2238" s="58">
        <v>321.8</v>
      </c>
      <c r="D2238" s="58">
        <v>665.1</v>
      </c>
    </row>
    <row r="2239" spans="1:4">
      <c r="A2239" s="57">
        <v>6105</v>
      </c>
      <c r="B2239" s="57">
        <v>9021</v>
      </c>
      <c r="C2239" s="58">
        <v>321.8</v>
      </c>
      <c r="D2239" s="58">
        <v>665.1</v>
      </c>
    </row>
    <row r="2240" spans="1:4">
      <c r="A2240" s="57">
        <v>6106</v>
      </c>
      <c r="B2240" s="57">
        <v>9021</v>
      </c>
      <c r="C2240" s="58">
        <v>321.8</v>
      </c>
      <c r="D2240" s="58">
        <v>665.1</v>
      </c>
    </row>
    <row r="2241" spans="1:4">
      <c r="A2241" s="57">
        <v>6107</v>
      </c>
      <c r="B2241" s="57">
        <v>9172</v>
      </c>
      <c r="C2241" s="58">
        <v>314</v>
      </c>
      <c r="D2241" s="58">
        <v>820.6</v>
      </c>
    </row>
    <row r="2242" spans="1:4">
      <c r="A2242" s="57">
        <v>6108</v>
      </c>
      <c r="B2242" s="57">
        <v>9172</v>
      </c>
      <c r="C2242" s="58">
        <v>314</v>
      </c>
      <c r="D2242" s="58">
        <v>820.6</v>
      </c>
    </row>
    <row r="2243" spans="1:4">
      <c r="A2243" s="57">
        <v>6109</v>
      </c>
      <c r="B2243" s="57">
        <v>9021</v>
      </c>
      <c r="C2243" s="58">
        <v>321.8</v>
      </c>
      <c r="D2243" s="58">
        <v>665.1</v>
      </c>
    </row>
    <row r="2244" spans="1:4">
      <c r="A2244" s="57">
        <v>6110</v>
      </c>
      <c r="B2244" s="57">
        <v>9172</v>
      </c>
      <c r="C2244" s="58">
        <v>314</v>
      </c>
      <c r="D2244" s="58">
        <v>820.6</v>
      </c>
    </row>
    <row r="2245" spans="1:4">
      <c r="A2245" s="57">
        <v>6111</v>
      </c>
      <c r="B2245" s="57">
        <v>9172</v>
      </c>
      <c r="C2245" s="58">
        <v>314</v>
      </c>
      <c r="D2245" s="58">
        <v>820.6</v>
      </c>
    </row>
    <row r="2246" spans="1:4">
      <c r="A2246" s="57">
        <v>6112</v>
      </c>
      <c r="B2246" s="57">
        <v>9172</v>
      </c>
      <c r="C2246" s="58">
        <v>314</v>
      </c>
      <c r="D2246" s="58">
        <v>820.6</v>
      </c>
    </row>
    <row r="2247" spans="1:4">
      <c r="A2247" s="57">
        <v>6121</v>
      </c>
      <c r="B2247" s="57">
        <v>9172</v>
      </c>
      <c r="C2247" s="58">
        <v>314</v>
      </c>
      <c r="D2247" s="58">
        <v>820.6</v>
      </c>
    </row>
    <row r="2248" spans="1:4">
      <c r="A2248" s="57">
        <v>6122</v>
      </c>
      <c r="B2248" s="57">
        <v>9172</v>
      </c>
      <c r="C2248" s="58">
        <v>314</v>
      </c>
      <c r="D2248" s="58">
        <v>820.6</v>
      </c>
    </row>
    <row r="2249" spans="1:4">
      <c r="A2249" s="57">
        <v>6123</v>
      </c>
      <c r="B2249" s="57">
        <v>9172</v>
      </c>
      <c r="C2249" s="58">
        <v>314</v>
      </c>
      <c r="D2249" s="58">
        <v>820.6</v>
      </c>
    </row>
    <row r="2250" spans="1:4">
      <c r="A2250" s="57">
        <v>6124</v>
      </c>
      <c r="B2250" s="57">
        <v>9538</v>
      </c>
      <c r="C2250" s="58">
        <v>166.1</v>
      </c>
      <c r="D2250" s="58">
        <v>1187.9000000000001</v>
      </c>
    </row>
    <row r="2251" spans="1:4">
      <c r="A2251" s="57">
        <v>6125</v>
      </c>
      <c r="B2251" s="57">
        <v>9172</v>
      </c>
      <c r="C2251" s="58">
        <v>314</v>
      </c>
      <c r="D2251" s="58">
        <v>820.6</v>
      </c>
    </row>
    <row r="2252" spans="1:4">
      <c r="A2252" s="57">
        <v>6126</v>
      </c>
      <c r="B2252" s="57">
        <v>9977</v>
      </c>
      <c r="C2252" s="58">
        <v>421.4</v>
      </c>
      <c r="D2252" s="58">
        <v>501.1</v>
      </c>
    </row>
    <row r="2253" spans="1:4">
      <c r="A2253" s="57">
        <v>6147</v>
      </c>
      <c r="B2253" s="57">
        <v>9172</v>
      </c>
      <c r="C2253" s="58">
        <v>314</v>
      </c>
      <c r="D2253" s="58">
        <v>820.6</v>
      </c>
    </row>
    <row r="2254" spans="1:4">
      <c r="A2254" s="57">
        <v>6148</v>
      </c>
      <c r="B2254" s="57">
        <v>9172</v>
      </c>
      <c r="C2254" s="58">
        <v>314</v>
      </c>
      <c r="D2254" s="58">
        <v>820.6</v>
      </c>
    </row>
    <row r="2255" spans="1:4">
      <c r="A2255" s="57">
        <v>6149</v>
      </c>
      <c r="B2255" s="57">
        <v>9172</v>
      </c>
      <c r="C2255" s="58">
        <v>314</v>
      </c>
      <c r="D2255" s="58">
        <v>820.6</v>
      </c>
    </row>
    <row r="2256" spans="1:4">
      <c r="A2256" s="57">
        <v>6150</v>
      </c>
      <c r="B2256" s="57">
        <v>9172</v>
      </c>
      <c r="C2256" s="58">
        <v>314</v>
      </c>
      <c r="D2256" s="58">
        <v>820.6</v>
      </c>
    </row>
    <row r="2257" spans="1:4">
      <c r="A2257" s="57">
        <v>6151</v>
      </c>
      <c r="B2257" s="57">
        <v>9225</v>
      </c>
      <c r="C2257" s="58">
        <v>375.9</v>
      </c>
      <c r="D2257" s="58">
        <v>651.20000000000005</v>
      </c>
    </row>
    <row r="2258" spans="1:4">
      <c r="A2258" s="57">
        <v>6152</v>
      </c>
      <c r="B2258" s="57">
        <v>9172</v>
      </c>
      <c r="C2258" s="58">
        <v>314</v>
      </c>
      <c r="D2258" s="58">
        <v>820.6</v>
      </c>
    </row>
    <row r="2259" spans="1:4">
      <c r="A2259" s="57">
        <v>6153</v>
      </c>
      <c r="B2259" s="57">
        <v>9172</v>
      </c>
      <c r="C2259" s="58">
        <v>314</v>
      </c>
      <c r="D2259" s="58">
        <v>820.6</v>
      </c>
    </row>
    <row r="2260" spans="1:4">
      <c r="A2260" s="57">
        <v>6154</v>
      </c>
      <c r="B2260" s="57">
        <v>9172</v>
      </c>
      <c r="C2260" s="58">
        <v>314</v>
      </c>
      <c r="D2260" s="58">
        <v>820.6</v>
      </c>
    </row>
    <row r="2261" spans="1:4">
      <c r="A2261" s="57">
        <v>6155</v>
      </c>
      <c r="B2261" s="57">
        <v>9172</v>
      </c>
      <c r="C2261" s="58">
        <v>314</v>
      </c>
      <c r="D2261" s="58">
        <v>820.6</v>
      </c>
    </row>
    <row r="2262" spans="1:4">
      <c r="A2262" s="57">
        <v>6156</v>
      </c>
      <c r="B2262" s="57">
        <v>9172</v>
      </c>
      <c r="C2262" s="58">
        <v>314</v>
      </c>
      <c r="D2262" s="58">
        <v>820.6</v>
      </c>
    </row>
    <row r="2263" spans="1:4">
      <c r="A2263" s="57">
        <v>6157</v>
      </c>
      <c r="B2263" s="57">
        <v>9215</v>
      </c>
      <c r="C2263" s="58">
        <v>450.4</v>
      </c>
      <c r="D2263" s="58">
        <v>511.3</v>
      </c>
    </row>
    <row r="2264" spans="1:4">
      <c r="A2264" s="57">
        <v>6158</v>
      </c>
      <c r="B2264" s="57">
        <v>9215</v>
      </c>
      <c r="C2264" s="58">
        <v>450.4</v>
      </c>
      <c r="D2264" s="58">
        <v>511.3</v>
      </c>
    </row>
    <row r="2265" spans="1:4">
      <c r="A2265" s="57">
        <v>6159</v>
      </c>
      <c r="B2265" s="57">
        <v>9215</v>
      </c>
      <c r="C2265" s="58">
        <v>450.4</v>
      </c>
      <c r="D2265" s="58">
        <v>511.3</v>
      </c>
    </row>
    <row r="2266" spans="1:4">
      <c r="A2266" s="57">
        <v>6160</v>
      </c>
      <c r="B2266" s="57">
        <v>9215</v>
      </c>
      <c r="C2266" s="58">
        <v>450.4</v>
      </c>
      <c r="D2266" s="58">
        <v>511.3</v>
      </c>
    </row>
    <row r="2267" spans="1:4">
      <c r="A2267" s="57">
        <v>6161</v>
      </c>
      <c r="B2267" s="57">
        <v>9193</v>
      </c>
      <c r="C2267" s="58">
        <v>487.4</v>
      </c>
      <c r="D2267" s="58">
        <v>385.1</v>
      </c>
    </row>
    <row r="2268" spans="1:4">
      <c r="A2268" s="57">
        <v>6162</v>
      </c>
      <c r="B2268" s="57">
        <v>9172</v>
      </c>
      <c r="C2268" s="58">
        <v>314</v>
      </c>
      <c r="D2268" s="58">
        <v>820.6</v>
      </c>
    </row>
    <row r="2269" spans="1:4">
      <c r="A2269" s="57">
        <v>6163</v>
      </c>
      <c r="B2269" s="57">
        <v>9172</v>
      </c>
      <c r="C2269" s="58">
        <v>314</v>
      </c>
      <c r="D2269" s="58">
        <v>820.6</v>
      </c>
    </row>
    <row r="2270" spans="1:4">
      <c r="A2270" s="57">
        <v>6164</v>
      </c>
      <c r="B2270" s="57">
        <v>9172</v>
      </c>
      <c r="C2270" s="58">
        <v>314</v>
      </c>
      <c r="D2270" s="58">
        <v>820.6</v>
      </c>
    </row>
    <row r="2271" spans="1:4">
      <c r="A2271" s="57">
        <v>6165</v>
      </c>
      <c r="B2271" s="57">
        <v>9256</v>
      </c>
      <c r="C2271" s="58">
        <v>487.4</v>
      </c>
      <c r="D2271" s="58">
        <v>478.6</v>
      </c>
    </row>
    <row r="2272" spans="1:4">
      <c r="A2272" s="57">
        <v>6166</v>
      </c>
      <c r="B2272" s="57">
        <v>9256</v>
      </c>
      <c r="C2272" s="58">
        <v>487.4</v>
      </c>
      <c r="D2272" s="58">
        <v>478.6</v>
      </c>
    </row>
    <row r="2273" spans="1:4">
      <c r="A2273" s="57">
        <v>6167</v>
      </c>
      <c r="B2273" s="57">
        <v>9256</v>
      </c>
      <c r="C2273" s="58">
        <v>487.4</v>
      </c>
      <c r="D2273" s="58">
        <v>478.6</v>
      </c>
    </row>
    <row r="2274" spans="1:4">
      <c r="A2274" s="57">
        <v>6168</v>
      </c>
      <c r="B2274" s="57">
        <v>9256</v>
      </c>
      <c r="C2274" s="58">
        <v>487.4</v>
      </c>
      <c r="D2274" s="58">
        <v>478.6</v>
      </c>
    </row>
    <row r="2275" spans="1:4">
      <c r="A2275" s="57">
        <v>6169</v>
      </c>
      <c r="B2275" s="57">
        <v>9256</v>
      </c>
      <c r="C2275" s="58">
        <v>487.4</v>
      </c>
      <c r="D2275" s="58">
        <v>478.6</v>
      </c>
    </row>
    <row r="2276" spans="1:4">
      <c r="A2276" s="57">
        <v>6170</v>
      </c>
      <c r="B2276" s="57">
        <v>9256</v>
      </c>
      <c r="C2276" s="58">
        <v>487.4</v>
      </c>
      <c r="D2276" s="58">
        <v>478.6</v>
      </c>
    </row>
    <row r="2277" spans="1:4">
      <c r="A2277" s="57">
        <v>6171</v>
      </c>
      <c r="B2277" s="57">
        <v>9256</v>
      </c>
      <c r="C2277" s="58">
        <v>487.4</v>
      </c>
      <c r="D2277" s="58">
        <v>478.6</v>
      </c>
    </row>
    <row r="2278" spans="1:4">
      <c r="A2278" s="57">
        <v>6172</v>
      </c>
      <c r="B2278" s="57">
        <v>9256</v>
      </c>
      <c r="C2278" s="58">
        <v>487.4</v>
      </c>
      <c r="D2278" s="58">
        <v>478.6</v>
      </c>
    </row>
    <row r="2279" spans="1:4">
      <c r="A2279" s="57">
        <v>6173</v>
      </c>
      <c r="B2279" s="57">
        <v>9977</v>
      </c>
      <c r="C2279" s="58">
        <v>421.4</v>
      </c>
      <c r="D2279" s="58">
        <v>501.1</v>
      </c>
    </row>
    <row r="2280" spans="1:4">
      <c r="A2280" s="57">
        <v>6174</v>
      </c>
      <c r="B2280" s="57">
        <v>9977</v>
      </c>
      <c r="C2280" s="58">
        <v>421.4</v>
      </c>
      <c r="D2280" s="58">
        <v>501.1</v>
      </c>
    </row>
    <row r="2281" spans="1:4">
      <c r="A2281" s="57">
        <v>6175</v>
      </c>
      <c r="B2281" s="57">
        <v>9977</v>
      </c>
      <c r="C2281" s="58">
        <v>421.4</v>
      </c>
      <c r="D2281" s="58">
        <v>501.1</v>
      </c>
    </row>
    <row r="2282" spans="1:4">
      <c r="A2282" s="57">
        <v>6176</v>
      </c>
      <c r="B2282" s="57">
        <v>9977</v>
      </c>
      <c r="C2282" s="58">
        <v>421.4</v>
      </c>
      <c r="D2282" s="58">
        <v>501.1</v>
      </c>
    </row>
    <row r="2283" spans="1:4">
      <c r="A2283" s="57">
        <v>6180</v>
      </c>
      <c r="B2283" s="57">
        <v>9977</v>
      </c>
      <c r="C2283" s="58">
        <v>421.4</v>
      </c>
      <c r="D2283" s="58">
        <v>501.1</v>
      </c>
    </row>
    <row r="2284" spans="1:4">
      <c r="A2284" s="57">
        <v>6181</v>
      </c>
      <c r="B2284" s="57">
        <v>9977</v>
      </c>
      <c r="C2284" s="58">
        <v>421.4</v>
      </c>
      <c r="D2284" s="58">
        <v>501.1</v>
      </c>
    </row>
    <row r="2285" spans="1:4">
      <c r="A2285" s="57">
        <v>6182</v>
      </c>
      <c r="B2285" s="57">
        <v>9977</v>
      </c>
      <c r="C2285" s="58">
        <v>421.4</v>
      </c>
      <c r="D2285" s="58">
        <v>501.1</v>
      </c>
    </row>
    <row r="2286" spans="1:4">
      <c r="A2286" s="57">
        <v>6207</v>
      </c>
      <c r="B2286" s="57">
        <v>9977</v>
      </c>
      <c r="C2286" s="58">
        <v>421.4</v>
      </c>
      <c r="D2286" s="58">
        <v>501.1</v>
      </c>
    </row>
    <row r="2287" spans="1:4">
      <c r="A2287" s="57">
        <v>6208</v>
      </c>
      <c r="B2287" s="57">
        <v>9538</v>
      </c>
      <c r="C2287" s="58">
        <v>166.1</v>
      </c>
      <c r="D2287" s="58">
        <v>1187.9000000000001</v>
      </c>
    </row>
    <row r="2288" spans="1:4">
      <c r="A2288" s="57">
        <v>6209</v>
      </c>
      <c r="B2288" s="57">
        <v>9977</v>
      </c>
      <c r="C2288" s="58">
        <v>421.4</v>
      </c>
      <c r="D2288" s="58">
        <v>501.1</v>
      </c>
    </row>
    <row r="2289" spans="1:4">
      <c r="A2289" s="57">
        <v>6210</v>
      </c>
      <c r="B2289" s="57">
        <v>9977</v>
      </c>
      <c r="C2289" s="58">
        <v>421.4</v>
      </c>
      <c r="D2289" s="58">
        <v>501.1</v>
      </c>
    </row>
    <row r="2290" spans="1:4">
      <c r="A2290" s="57">
        <v>6211</v>
      </c>
      <c r="B2290" s="57">
        <v>9977</v>
      </c>
      <c r="C2290" s="58">
        <v>421.4</v>
      </c>
      <c r="D2290" s="58">
        <v>501.1</v>
      </c>
    </row>
    <row r="2291" spans="1:4">
      <c r="A2291" s="57">
        <v>6213</v>
      </c>
      <c r="B2291" s="57">
        <v>9538</v>
      </c>
      <c r="C2291" s="58">
        <v>166.1</v>
      </c>
      <c r="D2291" s="58">
        <v>1187.9000000000001</v>
      </c>
    </row>
    <row r="2292" spans="1:4">
      <c r="A2292" s="57">
        <v>6214</v>
      </c>
      <c r="B2292" s="57">
        <v>9538</v>
      </c>
      <c r="C2292" s="58">
        <v>166.1</v>
      </c>
      <c r="D2292" s="58">
        <v>1187.9000000000001</v>
      </c>
    </row>
    <row r="2293" spans="1:4">
      <c r="A2293" s="57">
        <v>6215</v>
      </c>
      <c r="B2293" s="57">
        <v>9977</v>
      </c>
      <c r="C2293" s="58">
        <v>421.4</v>
      </c>
      <c r="D2293" s="58">
        <v>501.1</v>
      </c>
    </row>
    <row r="2294" spans="1:4">
      <c r="A2294" s="57">
        <v>6218</v>
      </c>
      <c r="B2294" s="57">
        <v>9538</v>
      </c>
      <c r="C2294" s="58">
        <v>166.1</v>
      </c>
      <c r="D2294" s="58">
        <v>1187.9000000000001</v>
      </c>
    </row>
    <row r="2295" spans="1:4">
      <c r="A2295" s="57">
        <v>6220</v>
      </c>
      <c r="B2295" s="57">
        <v>9965</v>
      </c>
      <c r="C2295" s="58">
        <v>290.2</v>
      </c>
      <c r="D2295" s="58">
        <v>926.6</v>
      </c>
    </row>
    <row r="2296" spans="1:4">
      <c r="A2296" s="57">
        <v>6221</v>
      </c>
      <c r="B2296" s="57">
        <v>9965</v>
      </c>
      <c r="C2296" s="58">
        <v>290.2</v>
      </c>
      <c r="D2296" s="58">
        <v>926.6</v>
      </c>
    </row>
    <row r="2297" spans="1:4">
      <c r="A2297" s="57">
        <v>6223</v>
      </c>
      <c r="B2297" s="57">
        <v>9965</v>
      </c>
      <c r="C2297" s="58">
        <v>290.2</v>
      </c>
      <c r="D2297" s="58">
        <v>926.6</v>
      </c>
    </row>
    <row r="2298" spans="1:4">
      <c r="A2298" s="57">
        <v>6224</v>
      </c>
      <c r="B2298" s="57">
        <v>9965</v>
      </c>
      <c r="C2298" s="58">
        <v>290.2</v>
      </c>
      <c r="D2298" s="58">
        <v>926.6</v>
      </c>
    </row>
    <row r="2299" spans="1:4">
      <c r="A2299" s="57">
        <v>6225</v>
      </c>
      <c r="B2299" s="57">
        <v>9994</v>
      </c>
      <c r="C2299" s="58">
        <v>169.3</v>
      </c>
      <c r="D2299" s="58">
        <v>1321.1</v>
      </c>
    </row>
    <row r="2300" spans="1:4">
      <c r="A2300" s="57">
        <v>6226</v>
      </c>
      <c r="B2300" s="57">
        <v>9965</v>
      </c>
      <c r="C2300" s="58">
        <v>290.2</v>
      </c>
      <c r="D2300" s="58">
        <v>926.6</v>
      </c>
    </row>
    <row r="2301" spans="1:4">
      <c r="A2301" s="57">
        <v>6227</v>
      </c>
      <c r="B2301" s="57">
        <v>9965</v>
      </c>
      <c r="C2301" s="58">
        <v>290.2</v>
      </c>
      <c r="D2301" s="58">
        <v>926.6</v>
      </c>
    </row>
    <row r="2302" spans="1:4">
      <c r="A2302" s="57">
        <v>6228</v>
      </c>
      <c r="B2302" s="57">
        <v>9965</v>
      </c>
      <c r="C2302" s="58">
        <v>290.2</v>
      </c>
      <c r="D2302" s="58">
        <v>926.6</v>
      </c>
    </row>
    <row r="2303" spans="1:4">
      <c r="A2303" s="57">
        <v>6229</v>
      </c>
      <c r="B2303" s="57">
        <v>9965</v>
      </c>
      <c r="C2303" s="58">
        <v>290.2</v>
      </c>
      <c r="D2303" s="58">
        <v>926.6</v>
      </c>
    </row>
    <row r="2304" spans="1:4">
      <c r="A2304" s="57">
        <v>6230</v>
      </c>
      <c r="B2304" s="57">
        <v>9965</v>
      </c>
      <c r="C2304" s="58">
        <v>290.2</v>
      </c>
      <c r="D2304" s="58">
        <v>926.6</v>
      </c>
    </row>
    <row r="2305" spans="1:4">
      <c r="A2305" s="57">
        <v>6232</v>
      </c>
      <c r="B2305" s="57">
        <v>9965</v>
      </c>
      <c r="C2305" s="58">
        <v>290.2</v>
      </c>
      <c r="D2305" s="58">
        <v>926.6</v>
      </c>
    </row>
    <row r="2306" spans="1:4">
      <c r="A2306" s="57">
        <v>6233</v>
      </c>
      <c r="B2306" s="57">
        <v>9965</v>
      </c>
      <c r="C2306" s="58">
        <v>290.2</v>
      </c>
      <c r="D2306" s="58">
        <v>926.6</v>
      </c>
    </row>
    <row r="2307" spans="1:4">
      <c r="A2307" s="57">
        <v>6236</v>
      </c>
      <c r="B2307" s="57">
        <v>9965</v>
      </c>
      <c r="C2307" s="58">
        <v>290.2</v>
      </c>
      <c r="D2307" s="58">
        <v>926.6</v>
      </c>
    </row>
    <row r="2308" spans="1:4">
      <c r="A2308" s="57">
        <v>6237</v>
      </c>
      <c r="B2308" s="57">
        <v>9965</v>
      </c>
      <c r="C2308" s="58">
        <v>290.2</v>
      </c>
      <c r="D2308" s="58">
        <v>926.6</v>
      </c>
    </row>
    <row r="2309" spans="1:4">
      <c r="A2309" s="57">
        <v>6239</v>
      </c>
      <c r="B2309" s="57">
        <v>9965</v>
      </c>
      <c r="C2309" s="58">
        <v>290.2</v>
      </c>
      <c r="D2309" s="58">
        <v>926.6</v>
      </c>
    </row>
    <row r="2310" spans="1:4">
      <c r="A2310" s="57">
        <v>6240</v>
      </c>
      <c r="B2310" s="57">
        <v>9994</v>
      </c>
      <c r="C2310" s="58">
        <v>169.3</v>
      </c>
      <c r="D2310" s="58">
        <v>1321.1</v>
      </c>
    </row>
    <row r="2311" spans="1:4">
      <c r="A2311" s="57">
        <v>6243</v>
      </c>
      <c r="B2311" s="57">
        <v>9994</v>
      </c>
      <c r="C2311" s="58">
        <v>169.3</v>
      </c>
      <c r="D2311" s="58">
        <v>1321.1</v>
      </c>
    </row>
    <row r="2312" spans="1:4">
      <c r="A2312" s="57">
        <v>6244</v>
      </c>
      <c r="B2312" s="57">
        <v>9573</v>
      </c>
      <c r="C2312" s="58">
        <v>126.9</v>
      </c>
      <c r="D2312" s="58">
        <v>1248.8</v>
      </c>
    </row>
    <row r="2313" spans="1:4">
      <c r="A2313" s="57">
        <v>6251</v>
      </c>
      <c r="B2313" s="57">
        <v>9965</v>
      </c>
      <c r="C2313" s="58">
        <v>290.2</v>
      </c>
      <c r="D2313" s="58">
        <v>926.6</v>
      </c>
    </row>
    <row r="2314" spans="1:4">
      <c r="A2314" s="57">
        <v>6252</v>
      </c>
      <c r="B2314" s="57">
        <v>9994</v>
      </c>
      <c r="C2314" s="58">
        <v>169.3</v>
      </c>
      <c r="D2314" s="58">
        <v>1321.1</v>
      </c>
    </row>
    <row r="2315" spans="1:4">
      <c r="A2315" s="57">
        <v>6253</v>
      </c>
      <c r="B2315" s="57">
        <v>9994</v>
      </c>
      <c r="C2315" s="58">
        <v>169.3</v>
      </c>
      <c r="D2315" s="58">
        <v>1321.1</v>
      </c>
    </row>
    <row r="2316" spans="1:4">
      <c r="A2316" s="57">
        <v>6254</v>
      </c>
      <c r="B2316" s="57">
        <v>9573</v>
      </c>
      <c r="C2316" s="58">
        <v>126.9</v>
      </c>
      <c r="D2316" s="58">
        <v>1248.8</v>
      </c>
    </row>
    <row r="2317" spans="1:4">
      <c r="A2317" s="57">
        <v>6255</v>
      </c>
      <c r="B2317" s="57">
        <v>9573</v>
      </c>
      <c r="C2317" s="58">
        <v>126.9</v>
      </c>
      <c r="D2317" s="58">
        <v>1248.8</v>
      </c>
    </row>
    <row r="2318" spans="1:4">
      <c r="A2318" s="57">
        <v>6256</v>
      </c>
      <c r="B2318" s="57">
        <v>9573</v>
      </c>
      <c r="C2318" s="58">
        <v>126.9</v>
      </c>
      <c r="D2318" s="58">
        <v>1248.8</v>
      </c>
    </row>
    <row r="2319" spans="1:4">
      <c r="A2319" s="57">
        <v>6258</v>
      </c>
      <c r="B2319" s="57">
        <v>9573</v>
      </c>
      <c r="C2319" s="58">
        <v>126.9</v>
      </c>
      <c r="D2319" s="58">
        <v>1248.8</v>
      </c>
    </row>
    <row r="2320" spans="1:4">
      <c r="A2320" s="57">
        <v>6260</v>
      </c>
      <c r="B2320" s="57">
        <v>9573</v>
      </c>
      <c r="C2320" s="58">
        <v>126.9</v>
      </c>
      <c r="D2320" s="58">
        <v>1248.8</v>
      </c>
    </row>
    <row r="2321" spans="1:4">
      <c r="A2321" s="57">
        <v>6262</v>
      </c>
      <c r="B2321" s="57">
        <v>9968</v>
      </c>
      <c r="C2321" s="58">
        <v>117</v>
      </c>
      <c r="D2321" s="58">
        <v>1363.1</v>
      </c>
    </row>
    <row r="2322" spans="1:4">
      <c r="A2322" s="57">
        <v>6271</v>
      </c>
      <c r="B2322" s="57">
        <v>9603</v>
      </c>
      <c r="C2322" s="58">
        <v>185.6</v>
      </c>
      <c r="D2322" s="58">
        <v>1011.7</v>
      </c>
    </row>
    <row r="2323" spans="1:4">
      <c r="A2323" s="57">
        <v>6275</v>
      </c>
      <c r="B2323" s="57">
        <v>9573</v>
      </c>
      <c r="C2323" s="58">
        <v>126.9</v>
      </c>
      <c r="D2323" s="58">
        <v>1248.8</v>
      </c>
    </row>
    <row r="2324" spans="1:4">
      <c r="A2324" s="57">
        <v>6280</v>
      </c>
      <c r="B2324" s="57">
        <v>9603</v>
      </c>
      <c r="C2324" s="58">
        <v>185.6</v>
      </c>
      <c r="D2324" s="58">
        <v>1011.7</v>
      </c>
    </row>
    <row r="2325" spans="1:4">
      <c r="A2325" s="57">
        <v>6281</v>
      </c>
      <c r="B2325" s="57">
        <v>9519</v>
      </c>
      <c r="C2325" s="58">
        <v>191.2</v>
      </c>
      <c r="D2325" s="58">
        <v>619.9</v>
      </c>
    </row>
    <row r="2326" spans="1:4">
      <c r="A2326" s="57">
        <v>6282</v>
      </c>
      <c r="B2326" s="57">
        <v>9519</v>
      </c>
      <c r="C2326" s="58">
        <v>191.2</v>
      </c>
      <c r="D2326" s="58">
        <v>619.9</v>
      </c>
    </row>
    <row r="2327" spans="1:4">
      <c r="A2327" s="57">
        <v>6284</v>
      </c>
      <c r="B2327" s="57">
        <v>9603</v>
      </c>
      <c r="C2327" s="58">
        <v>185.6</v>
      </c>
      <c r="D2327" s="58">
        <v>1011.7</v>
      </c>
    </row>
    <row r="2328" spans="1:4">
      <c r="A2328" s="57">
        <v>6285</v>
      </c>
      <c r="B2328" s="57">
        <v>9519</v>
      </c>
      <c r="C2328" s="58">
        <v>191.2</v>
      </c>
      <c r="D2328" s="58">
        <v>619.9</v>
      </c>
    </row>
    <row r="2329" spans="1:4">
      <c r="A2329" s="57">
        <v>6286</v>
      </c>
      <c r="B2329" s="57">
        <v>9518</v>
      </c>
      <c r="C2329" s="58">
        <v>256.60000000000002</v>
      </c>
      <c r="D2329" s="58">
        <v>552.4</v>
      </c>
    </row>
    <row r="2330" spans="1:4">
      <c r="A2330" s="57">
        <v>6288</v>
      </c>
      <c r="B2330" s="57">
        <v>9518</v>
      </c>
      <c r="C2330" s="58">
        <v>256.60000000000002</v>
      </c>
      <c r="D2330" s="58">
        <v>552.4</v>
      </c>
    </row>
    <row r="2331" spans="1:4">
      <c r="A2331" s="57">
        <v>6290</v>
      </c>
      <c r="B2331" s="57">
        <v>9518</v>
      </c>
      <c r="C2331" s="58">
        <v>256.60000000000002</v>
      </c>
      <c r="D2331" s="58">
        <v>552.4</v>
      </c>
    </row>
    <row r="2332" spans="1:4">
      <c r="A2332" s="57">
        <v>6302</v>
      </c>
      <c r="B2332" s="57">
        <v>10286</v>
      </c>
      <c r="C2332" s="58">
        <v>285.8</v>
      </c>
      <c r="D2332" s="58">
        <v>963.7</v>
      </c>
    </row>
    <row r="2333" spans="1:4">
      <c r="A2333" s="57">
        <v>6304</v>
      </c>
      <c r="B2333" s="57">
        <v>10286</v>
      </c>
      <c r="C2333" s="58">
        <v>285.8</v>
      </c>
      <c r="D2333" s="58">
        <v>963.7</v>
      </c>
    </row>
    <row r="2334" spans="1:4">
      <c r="A2334" s="57">
        <v>6306</v>
      </c>
      <c r="B2334" s="57">
        <v>10917</v>
      </c>
      <c r="C2334" s="58">
        <v>153.1</v>
      </c>
      <c r="D2334" s="58">
        <v>1318.6</v>
      </c>
    </row>
    <row r="2335" spans="1:4">
      <c r="A2335" s="57">
        <v>6308</v>
      </c>
      <c r="B2335" s="57">
        <v>10917</v>
      </c>
      <c r="C2335" s="58">
        <v>153.1</v>
      </c>
      <c r="D2335" s="58">
        <v>1318.6</v>
      </c>
    </row>
    <row r="2336" spans="1:4">
      <c r="A2336" s="57">
        <v>6309</v>
      </c>
      <c r="B2336" s="57">
        <v>10917</v>
      </c>
      <c r="C2336" s="58">
        <v>153.1</v>
      </c>
      <c r="D2336" s="58">
        <v>1318.6</v>
      </c>
    </row>
    <row r="2337" spans="1:4">
      <c r="A2337" s="57">
        <v>6311</v>
      </c>
      <c r="B2337" s="57">
        <v>10917</v>
      </c>
      <c r="C2337" s="58">
        <v>153.1</v>
      </c>
      <c r="D2337" s="58">
        <v>1318.6</v>
      </c>
    </row>
    <row r="2338" spans="1:4">
      <c r="A2338" s="57">
        <v>6312</v>
      </c>
      <c r="B2338" s="57">
        <v>10917</v>
      </c>
      <c r="C2338" s="58">
        <v>153.1</v>
      </c>
      <c r="D2338" s="58">
        <v>1318.6</v>
      </c>
    </row>
    <row r="2339" spans="1:4">
      <c r="A2339" s="57">
        <v>6313</v>
      </c>
      <c r="B2339" s="57">
        <v>10917</v>
      </c>
      <c r="C2339" s="58">
        <v>153.1</v>
      </c>
      <c r="D2339" s="58">
        <v>1318.6</v>
      </c>
    </row>
    <row r="2340" spans="1:4">
      <c r="A2340" s="57">
        <v>6315</v>
      </c>
      <c r="B2340" s="57">
        <v>10916</v>
      </c>
      <c r="C2340" s="58">
        <v>89.3</v>
      </c>
      <c r="D2340" s="58">
        <v>1236.2</v>
      </c>
    </row>
    <row r="2341" spans="1:4">
      <c r="A2341" s="57">
        <v>6316</v>
      </c>
      <c r="B2341" s="57">
        <v>10916</v>
      </c>
      <c r="C2341" s="58">
        <v>89.3</v>
      </c>
      <c r="D2341" s="58">
        <v>1236.2</v>
      </c>
    </row>
    <row r="2342" spans="1:4">
      <c r="A2342" s="57">
        <v>6317</v>
      </c>
      <c r="B2342" s="57">
        <v>10916</v>
      </c>
      <c r="C2342" s="58">
        <v>89.3</v>
      </c>
      <c r="D2342" s="58">
        <v>1236.2</v>
      </c>
    </row>
    <row r="2343" spans="1:4">
      <c r="A2343" s="57">
        <v>6318</v>
      </c>
      <c r="B2343" s="57">
        <v>10916</v>
      </c>
      <c r="C2343" s="58">
        <v>89.3</v>
      </c>
      <c r="D2343" s="58">
        <v>1236.2</v>
      </c>
    </row>
    <row r="2344" spans="1:4">
      <c r="A2344" s="57">
        <v>6320</v>
      </c>
      <c r="B2344" s="57">
        <v>10916</v>
      </c>
      <c r="C2344" s="58">
        <v>89.3</v>
      </c>
      <c r="D2344" s="58">
        <v>1236.2</v>
      </c>
    </row>
    <row r="2345" spans="1:4">
      <c r="A2345" s="57">
        <v>6321</v>
      </c>
      <c r="B2345" s="57">
        <v>9964</v>
      </c>
      <c r="C2345" s="58">
        <v>84.9</v>
      </c>
      <c r="D2345" s="58">
        <v>1329.6</v>
      </c>
    </row>
    <row r="2346" spans="1:4">
      <c r="A2346" s="57">
        <v>6322</v>
      </c>
      <c r="B2346" s="57">
        <v>9964</v>
      </c>
      <c r="C2346" s="58">
        <v>84.9</v>
      </c>
      <c r="D2346" s="58">
        <v>1329.6</v>
      </c>
    </row>
    <row r="2347" spans="1:4">
      <c r="A2347" s="57">
        <v>6323</v>
      </c>
      <c r="B2347" s="57">
        <v>9741</v>
      </c>
      <c r="C2347" s="58">
        <v>125</v>
      </c>
      <c r="D2347" s="58">
        <v>1155.7</v>
      </c>
    </row>
    <row r="2348" spans="1:4">
      <c r="A2348" s="57">
        <v>6324</v>
      </c>
      <c r="B2348" s="57">
        <v>9964</v>
      </c>
      <c r="C2348" s="58">
        <v>84.9</v>
      </c>
      <c r="D2348" s="58">
        <v>1329.6</v>
      </c>
    </row>
    <row r="2349" spans="1:4">
      <c r="A2349" s="57">
        <v>6326</v>
      </c>
      <c r="B2349" s="57">
        <v>9741</v>
      </c>
      <c r="C2349" s="58">
        <v>125</v>
      </c>
      <c r="D2349" s="58">
        <v>1155.7</v>
      </c>
    </row>
    <row r="2350" spans="1:4">
      <c r="A2350" s="57">
        <v>6327</v>
      </c>
      <c r="B2350" s="57">
        <v>9741</v>
      </c>
      <c r="C2350" s="58">
        <v>125</v>
      </c>
      <c r="D2350" s="58">
        <v>1155.7</v>
      </c>
    </row>
    <row r="2351" spans="1:4">
      <c r="A2351" s="57">
        <v>6328</v>
      </c>
      <c r="B2351" s="57">
        <v>10905</v>
      </c>
      <c r="C2351" s="58">
        <v>103.1</v>
      </c>
      <c r="D2351" s="58">
        <v>1254</v>
      </c>
    </row>
    <row r="2352" spans="1:4">
      <c r="A2352" s="57">
        <v>6330</v>
      </c>
      <c r="B2352" s="57">
        <v>9741</v>
      </c>
      <c r="C2352" s="58">
        <v>125</v>
      </c>
      <c r="D2352" s="58">
        <v>1155.7</v>
      </c>
    </row>
    <row r="2353" spans="1:4">
      <c r="A2353" s="57">
        <v>6333</v>
      </c>
      <c r="B2353" s="57">
        <v>9741</v>
      </c>
      <c r="C2353" s="58">
        <v>125</v>
      </c>
      <c r="D2353" s="58">
        <v>1155.7</v>
      </c>
    </row>
    <row r="2354" spans="1:4">
      <c r="A2354" s="57">
        <v>6335</v>
      </c>
      <c r="B2354" s="57">
        <v>10916</v>
      </c>
      <c r="C2354" s="58">
        <v>89.3</v>
      </c>
      <c r="D2354" s="58">
        <v>1236.2</v>
      </c>
    </row>
    <row r="2355" spans="1:4">
      <c r="A2355" s="57">
        <v>6336</v>
      </c>
      <c r="B2355" s="57">
        <v>10905</v>
      </c>
      <c r="C2355" s="58">
        <v>103.1</v>
      </c>
      <c r="D2355" s="58">
        <v>1254</v>
      </c>
    </row>
    <row r="2356" spans="1:4">
      <c r="A2356" s="57">
        <v>6337</v>
      </c>
      <c r="B2356" s="57">
        <v>10905</v>
      </c>
      <c r="C2356" s="58">
        <v>103.1</v>
      </c>
      <c r="D2356" s="58">
        <v>1254</v>
      </c>
    </row>
    <row r="2357" spans="1:4">
      <c r="A2357" s="57">
        <v>6338</v>
      </c>
      <c r="B2357" s="57">
        <v>10916</v>
      </c>
      <c r="C2357" s="58">
        <v>89.3</v>
      </c>
      <c r="D2357" s="58">
        <v>1236.2</v>
      </c>
    </row>
    <row r="2358" spans="1:4">
      <c r="A2358" s="57">
        <v>6341</v>
      </c>
      <c r="B2358" s="57">
        <v>10916</v>
      </c>
      <c r="C2358" s="58">
        <v>89.3</v>
      </c>
      <c r="D2358" s="58">
        <v>1236.2</v>
      </c>
    </row>
    <row r="2359" spans="1:4">
      <c r="A2359" s="57">
        <v>6343</v>
      </c>
      <c r="B2359" s="57">
        <v>10905</v>
      </c>
      <c r="C2359" s="58">
        <v>103.1</v>
      </c>
      <c r="D2359" s="58">
        <v>1254</v>
      </c>
    </row>
    <row r="2360" spans="1:4">
      <c r="A2360" s="57">
        <v>6346</v>
      </c>
      <c r="B2360" s="57">
        <v>12044</v>
      </c>
      <c r="C2360" s="58">
        <v>138.1</v>
      </c>
      <c r="D2360" s="58">
        <v>965.9</v>
      </c>
    </row>
    <row r="2361" spans="1:4">
      <c r="A2361" s="57">
        <v>6348</v>
      </c>
      <c r="B2361" s="57">
        <v>9961</v>
      </c>
      <c r="C2361" s="58">
        <v>224.6</v>
      </c>
      <c r="D2361" s="58">
        <v>770.4</v>
      </c>
    </row>
    <row r="2362" spans="1:4">
      <c r="A2362" s="57">
        <v>6350</v>
      </c>
      <c r="B2362" s="57">
        <v>10916</v>
      </c>
      <c r="C2362" s="58">
        <v>89.3</v>
      </c>
      <c r="D2362" s="58">
        <v>1236.2</v>
      </c>
    </row>
    <row r="2363" spans="1:4">
      <c r="A2363" s="57">
        <v>6351</v>
      </c>
      <c r="B2363" s="57">
        <v>10911</v>
      </c>
      <c r="C2363" s="58">
        <v>154.80000000000001</v>
      </c>
      <c r="D2363" s="58">
        <v>1078.3</v>
      </c>
    </row>
    <row r="2364" spans="1:4">
      <c r="A2364" s="57">
        <v>6352</v>
      </c>
      <c r="B2364" s="57">
        <v>10911</v>
      </c>
      <c r="C2364" s="58">
        <v>154.80000000000001</v>
      </c>
      <c r="D2364" s="58">
        <v>1078.3</v>
      </c>
    </row>
    <row r="2365" spans="1:4">
      <c r="A2365" s="57">
        <v>6353</v>
      </c>
      <c r="B2365" s="57">
        <v>10692</v>
      </c>
      <c r="C2365" s="58">
        <v>99.7</v>
      </c>
      <c r="D2365" s="58">
        <v>1268.3</v>
      </c>
    </row>
    <row r="2366" spans="1:4">
      <c r="A2366" s="57">
        <v>6355</v>
      </c>
      <c r="B2366" s="57">
        <v>10692</v>
      </c>
      <c r="C2366" s="58">
        <v>99.7</v>
      </c>
      <c r="D2366" s="58">
        <v>1268.3</v>
      </c>
    </row>
    <row r="2367" spans="1:4">
      <c r="A2367" s="57">
        <v>6356</v>
      </c>
      <c r="B2367" s="57">
        <v>10692</v>
      </c>
      <c r="C2367" s="58">
        <v>99.7</v>
      </c>
      <c r="D2367" s="58">
        <v>1268.3</v>
      </c>
    </row>
    <row r="2368" spans="1:4">
      <c r="A2368" s="57">
        <v>6357</v>
      </c>
      <c r="B2368" s="57">
        <v>10911</v>
      </c>
      <c r="C2368" s="58">
        <v>154.80000000000001</v>
      </c>
      <c r="D2368" s="58">
        <v>1078.3</v>
      </c>
    </row>
    <row r="2369" spans="1:4">
      <c r="A2369" s="57">
        <v>6358</v>
      </c>
      <c r="B2369" s="57">
        <v>10692</v>
      </c>
      <c r="C2369" s="58">
        <v>99.7</v>
      </c>
      <c r="D2369" s="58">
        <v>1268.3</v>
      </c>
    </row>
    <row r="2370" spans="1:4">
      <c r="A2370" s="57">
        <v>6359</v>
      </c>
      <c r="B2370" s="57">
        <v>10692</v>
      </c>
      <c r="C2370" s="58">
        <v>99.7</v>
      </c>
      <c r="D2370" s="58">
        <v>1268.3</v>
      </c>
    </row>
    <row r="2371" spans="1:4">
      <c r="A2371" s="57">
        <v>6361</v>
      </c>
      <c r="B2371" s="57">
        <v>10911</v>
      </c>
      <c r="C2371" s="58">
        <v>154.80000000000001</v>
      </c>
      <c r="D2371" s="58">
        <v>1078.3</v>
      </c>
    </row>
    <row r="2372" spans="1:4">
      <c r="A2372" s="57">
        <v>6363</v>
      </c>
      <c r="B2372" s="57">
        <v>10911</v>
      </c>
      <c r="C2372" s="58">
        <v>154.80000000000001</v>
      </c>
      <c r="D2372" s="58">
        <v>1078.3</v>
      </c>
    </row>
    <row r="2373" spans="1:4">
      <c r="A2373" s="57">
        <v>6365</v>
      </c>
      <c r="B2373" s="57">
        <v>10536</v>
      </c>
      <c r="C2373" s="58">
        <v>259.8</v>
      </c>
      <c r="D2373" s="58">
        <v>1092.5999999999999</v>
      </c>
    </row>
    <row r="2374" spans="1:4">
      <c r="A2374" s="57">
        <v>6367</v>
      </c>
      <c r="B2374" s="57">
        <v>10536</v>
      </c>
      <c r="C2374" s="58">
        <v>259.8</v>
      </c>
      <c r="D2374" s="58">
        <v>1092.5999999999999</v>
      </c>
    </row>
    <row r="2375" spans="1:4">
      <c r="A2375" s="57">
        <v>6368</v>
      </c>
      <c r="B2375" s="57">
        <v>10536</v>
      </c>
      <c r="C2375" s="58">
        <v>259.8</v>
      </c>
      <c r="D2375" s="58">
        <v>1092.5999999999999</v>
      </c>
    </row>
    <row r="2376" spans="1:4">
      <c r="A2376" s="57">
        <v>6369</v>
      </c>
      <c r="B2376" s="57">
        <v>10536</v>
      </c>
      <c r="C2376" s="58">
        <v>259.8</v>
      </c>
      <c r="D2376" s="58">
        <v>1092.5999999999999</v>
      </c>
    </row>
    <row r="2377" spans="1:4">
      <c r="A2377" s="57">
        <v>6370</v>
      </c>
      <c r="B2377" s="57">
        <v>10536</v>
      </c>
      <c r="C2377" s="58">
        <v>259.8</v>
      </c>
      <c r="D2377" s="58">
        <v>1092.5999999999999</v>
      </c>
    </row>
    <row r="2378" spans="1:4">
      <c r="A2378" s="57">
        <v>6372</v>
      </c>
      <c r="B2378" s="57">
        <v>10536</v>
      </c>
      <c r="C2378" s="58">
        <v>259.8</v>
      </c>
      <c r="D2378" s="58">
        <v>1092.5999999999999</v>
      </c>
    </row>
    <row r="2379" spans="1:4">
      <c r="A2379" s="57">
        <v>6373</v>
      </c>
      <c r="B2379" s="57">
        <v>10536</v>
      </c>
      <c r="C2379" s="58">
        <v>259.8</v>
      </c>
      <c r="D2379" s="58">
        <v>1092.5999999999999</v>
      </c>
    </row>
    <row r="2380" spans="1:4">
      <c r="A2380" s="57">
        <v>6375</v>
      </c>
      <c r="B2380" s="57">
        <v>10536</v>
      </c>
      <c r="C2380" s="58">
        <v>259.8</v>
      </c>
      <c r="D2380" s="58">
        <v>1092.5999999999999</v>
      </c>
    </row>
    <row r="2381" spans="1:4">
      <c r="A2381" s="57">
        <v>6383</v>
      </c>
      <c r="B2381" s="57">
        <v>10286</v>
      </c>
      <c r="C2381" s="58">
        <v>285.8</v>
      </c>
      <c r="D2381" s="58">
        <v>963.7</v>
      </c>
    </row>
    <row r="2382" spans="1:4">
      <c r="A2382" s="57">
        <v>6384</v>
      </c>
      <c r="B2382" s="57">
        <v>10536</v>
      </c>
      <c r="C2382" s="58">
        <v>259.8</v>
      </c>
      <c r="D2382" s="58">
        <v>1092.5999999999999</v>
      </c>
    </row>
    <row r="2383" spans="1:4">
      <c r="A2383" s="57">
        <v>6385</v>
      </c>
      <c r="B2383" s="57">
        <v>10536</v>
      </c>
      <c r="C2383" s="58">
        <v>259.8</v>
      </c>
      <c r="D2383" s="58">
        <v>1092.5999999999999</v>
      </c>
    </row>
    <row r="2384" spans="1:4">
      <c r="A2384" s="57">
        <v>6386</v>
      </c>
      <c r="B2384" s="57">
        <v>10536</v>
      </c>
      <c r="C2384" s="58">
        <v>259.8</v>
      </c>
      <c r="D2384" s="58">
        <v>1092.5999999999999</v>
      </c>
    </row>
    <row r="2385" spans="1:4">
      <c r="A2385" s="57">
        <v>6390</v>
      </c>
      <c r="B2385" s="57">
        <v>10917</v>
      </c>
      <c r="C2385" s="58">
        <v>153.1</v>
      </c>
      <c r="D2385" s="58">
        <v>1318.6</v>
      </c>
    </row>
    <row r="2386" spans="1:4">
      <c r="A2386" s="57">
        <v>6391</v>
      </c>
      <c r="B2386" s="57">
        <v>10917</v>
      </c>
      <c r="C2386" s="58">
        <v>153.1</v>
      </c>
      <c r="D2386" s="58">
        <v>1318.6</v>
      </c>
    </row>
    <row r="2387" spans="1:4">
      <c r="A2387" s="57">
        <v>6392</v>
      </c>
      <c r="B2387" s="57">
        <v>9994</v>
      </c>
      <c r="C2387" s="58">
        <v>169.3</v>
      </c>
      <c r="D2387" s="58">
        <v>1321.1</v>
      </c>
    </row>
    <row r="2388" spans="1:4">
      <c r="A2388" s="57">
        <v>6393</v>
      </c>
      <c r="B2388" s="57">
        <v>9994</v>
      </c>
      <c r="C2388" s="58">
        <v>169.3</v>
      </c>
      <c r="D2388" s="58">
        <v>1321.1</v>
      </c>
    </row>
    <row r="2389" spans="1:4">
      <c r="A2389" s="57">
        <v>6394</v>
      </c>
      <c r="B2389" s="57">
        <v>10916</v>
      </c>
      <c r="C2389" s="58">
        <v>89.3</v>
      </c>
      <c r="D2389" s="58">
        <v>1236.2</v>
      </c>
    </row>
    <row r="2390" spans="1:4">
      <c r="A2390" s="57">
        <v>6395</v>
      </c>
      <c r="B2390" s="57">
        <v>10916</v>
      </c>
      <c r="C2390" s="58">
        <v>89.3</v>
      </c>
      <c r="D2390" s="58">
        <v>1236.2</v>
      </c>
    </row>
    <row r="2391" spans="1:4">
      <c r="A2391" s="57">
        <v>6396</v>
      </c>
      <c r="B2391" s="57">
        <v>9964</v>
      </c>
      <c r="C2391" s="58">
        <v>84.9</v>
      </c>
      <c r="D2391" s="58">
        <v>1329.6</v>
      </c>
    </row>
    <row r="2392" spans="1:4">
      <c r="A2392" s="57">
        <v>6397</v>
      </c>
      <c r="B2392" s="57">
        <v>9964</v>
      </c>
      <c r="C2392" s="58">
        <v>84.9</v>
      </c>
      <c r="D2392" s="58">
        <v>1329.6</v>
      </c>
    </row>
    <row r="2393" spans="1:4">
      <c r="A2393" s="57">
        <v>6398</v>
      </c>
      <c r="B2393" s="57">
        <v>9968</v>
      </c>
      <c r="C2393" s="58">
        <v>117</v>
      </c>
      <c r="D2393" s="58">
        <v>1363.1</v>
      </c>
    </row>
    <row r="2394" spans="1:4">
      <c r="A2394" s="57">
        <v>6401</v>
      </c>
      <c r="B2394" s="57">
        <v>9053</v>
      </c>
      <c r="C2394" s="58">
        <v>308.5</v>
      </c>
      <c r="D2394" s="58">
        <v>692.8</v>
      </c>
    </row>
    <row r="2395" spans="1:4">
      <c r="A2395" s="57">
        <v>6403</v>
      </c>
      <c r="B2395" s="57">
        <v>10286</v>
      </c>
      <c r="C2395" s="58">
        <v>285.8</v>
      </c>
      <c r="D2395" s="58">
        <v>963.7</v>
      </c>
    </row>
    <row r="2396" spans="1:4">
      <c r="A2396" s="57">
        <v>6405</v>
      </c>
      <c r="B2396" s="57">
        <v>10286</v>
      </c>
      <c r="C2396" s="58">
        <v>285.8</v>
      </c>
      <c r="D2396" s="58">
        <v>963.7</v>
      </c>
    </row>
    <row r="2397" spans="1:4">
      <c r="A2397" s="57">
        <v>6407</v>
      </c>
      <c r="B2397" s="57">
        <v>10286</v>
      </c>
      <c r="C2397" s="58">
        <v>285.8</v>
      </c>
      <c r="D2397" s="58">
        <v>963.7</v>
      </c>
    </row>
    <row r="2398" spans="1:4">
      <c r="A2398" s="57">
        <v>6409</v>
      </c>
      <c r="B2398" s="57">
        <v>10286</v>
      </c>
      <c r="C2398" s="58">
        <v>285.8</v>
      </c>
      <c r="D2398" s="58">
        <v>963.7</v>
      </c>
    </row>
    <row r="2399" spans="1:4">
      <c r="A2399" s="57">
        <v>6410</v>
      </c>
      <c r="B2399" s="57">
        <v>10286</v>
      </c>
      <c r="C2399" s="58">
        <v>285.8</v>
      </c>
      <c r="D2399" s="58">
        <v>963.7</v>
      </c>
    </row>
    <row r="2400" spans="1:4">
      <c r="A2400" s="57">
        <v>6411</v>
      </c>
      <c r="B2400" s="57">
        <v>10286</v>
      </c>
      <c r="C2400" s="58">
        <v>285.8</v>
      </c>
      <c r="D2400" s="58">
        <v>963.7</v>
      </c>
    </row>
    <row r="2401" spans="1:4">
      <c r="A2401" s="57">
        <v>6412</v>
      </c>
      <c r="B2401" s="57">
        <v>10286</v>
      </c>
      <c r="C2401" s="58">
        <v>285.8</v>
      </c>
      <c r="D2401" s="58">
        <v>963.7</v>
      </c>
    </row>
    <row r="2402" spans="1:4">
      <c r="A2402" s="57">
        <v>6413</v>
      </c>
      <c r="B2402" s="57">
        <v>10286</v>
      </c>
      <c r="C2402" s="58">
        <v>285.8</v>
      </c>
      <c r="D2402" s="58">
        <v>963.7</v>
      </c>
    </row>
    <row r="2403" spans="1:4">
      <c r="A2403" s="57">
        <v>6414</v>
      </c>
      <c r="B2403" s="57">
        <v>10286</v>
      </c>
      <c r="C2403" s="58">
        <v>285.8</v>
      </c>
      <c r="D2403" s="58">
        <v>963.7</v>
      </c>
    </row>
    <row r="2404" spans="1:4">
      <c r="A2404" s="57">
        <v>6415</v>
      </c>
      <c r="B2404" s="57">
        <v>10536</v>
      </c>
      <c r="C2404" s="58">
        <v>259.8</v>
      </c>
      <c r="D2404" s="58">
        <v>1092.5999999999999</v>
      </c>
    </row>
    <row r="2405" spans="1:4">
      <c r="A2405" s="57">
        <v>6418</v>
      </c>
      <c r="B2405" s="57">
        <v>10536</v>
      </c>
      <c r="C2405" s="58">
        <v>259.8</v>
      </c>
      <c r="D2405" s="58">
        <v>1092.5999999999999</v>
      </c>
    </row>
    <row r="2406" spans="1:4">
      <c r="A2406" s="57">
        <v>6419</v>
      </c>
      <c r="B2406" s="57">
        <v>10536</v>
      </c>
      <c r="C2406" s="58">
        <v>259.8</v>
      </c>
      <c r="D2406" s="58">
        <v>1092.5999999999999</v>
      </c>
    </row>
    <row r="2407" spans="1:4">
      <c r="A2407" s="57">
        <v>6420</v>
      </c>
      <c r="B2407" s="57">
        <v>10536</v>
      </c>
      <c r="C2407" s="58">
        <v>259.8</v>
      </c>
      <c r="D2407" s="58">
        <v>1092.5999999999999</v>
      </c>
    </row>
    <row r="2408" spans="1:4">
      <c r="A2408" s="57">
        <v>6421</v>
      </c>
      <c r="B2408" s="57">
        <v>10536</v>
      </c>
      <c r="C2408" s="58">
        <v>259.8</v>
      </c>
      <c r="D2408" s="58">
        <v>1092.5999999999999</v>
      </c>
    </row>
    <row r="2409" spans="1:4">
      <c r="A2409" s="57">
        <v>6422</v>
      </c>
      <c r="B2409" s="57">
        <v>10536</v>
      </c>
      <c r="C2409" s="58">
        <v>259.8</v>
      </c>
      <c r="D2409" s="58">
        <v>1092.5999999999999</v>
      </c>
    </row>
    <row r="2410" spans="1:4">
      <c r="A2410" s="57">
        <v>6423</v>
      </c>
      <c r="B2410" s="57">
        <v>10536</v>
      </c>
      <c r="C2410" s="58">
        <v>259.8</v>
      </c>
      <c r="D2410" s="58">
        <v>1092.5999999999999</v>
      </c>
    </row>
    <row r="2411" spans="1:4">
      <c r="A2411" s="57">
        <v>6424</v>
      </c>
      <c r="B2411" s="57">
        <v>10536</v>
      </c>
      <c r="C2411" s="58">
        <v>259.8</v>
      </c>
      <c r="D2411" s="58">
        <v>1092.5999999999999</v>
      </c>
    </row>
    <row r="2412" spans="1:4">
      <c r="A2412" s="57">
        <v>6425</v>
      </c>
      <c r="B2412" s="57">
        <v>10536</v>
      </c>
      <c r="C2412" s="58">
        <v>259.8</v>
      </c>
      <c r="D2412" s="58">
        <v>1092.5999999999999</v>
      </c>
    </row>
    <row r="2413" spans="1:4">
      <c r="A2413" s="57">
        <v>6426</v>
      </c>
      <c r="B2413" s="57">
        <v>12038</v>
      </c>
      <c r="C2413" s="58">
        <v>221.9</v>
      </c>
      <c r="D2413" s="58">
        <v>774</v>
      </c>
    </row>
    <row r="2414" spans="1:4">
      <c r="A2414" s="57">
        <v>6427</v>
      </c>
      <c r="B2414" s="57">
        <v>12038</v>
      </c>
      <c r="C2414" s="58">
        <v>221.9</v>
      </c>
      <c r="D2414" s="58">
        <v>774</v>
      </c>
    </row>
    <row r="2415" spans="1:4">
      <c r="A2415" s="57">
        <v>6428</v>
      </c>
      <c r="B2415" s="57">
        <v>10536</v>
      </c>
      <c r="C2415" s="58">
        <v>259.8</v>
      </c>
      <c r="D2415" s="58">
        <v>1092.5999999999999</v>
      </c>
    </row>
    <row r="2416" spans="1:4">
      <c r="A2416" s="57">
        <v>6429</v>
      </c>
      <c r="B2416" s="57">
        <v>12038</v>
      </c>
      <c r="C2416" s="58">
        <v>221.9</v>
      </c>
      <c r="D2416" s="58">
        <v>774</v>
      </c>
    </row>
    <row r="2417" spans="1:4">
      <c r="A2417" s="57">
        <v>6430</v>
      </c>
      <c r="B2417" s="57">
        <v>12038</v>
      </c>
      <c r="C2417" s="58">
        <v>221.9</v>
      </c>
      <c r="D2417" s="58">
        <v>774</v>
      </c>
    </row>
    <row r="2418" spans="1:4">
      <c r="A2418" s="16">
        <v>6431</v>
      </c>
      <c r="B2418" s="16">
        <v>12038</v>
      </c>
      <c r="C2418" s="16">
        <v>221.9</v>
      </c>
      <c r="D2418" s="16">
        <v>774</v>
      </c>
    </row>
    <row r="2419" spans="1:4">
      <c r="A2419" s="57">
        <v>6432</v>
      </c>
      <c r="B2419" s="57">
        <v>12038</v>
      </c>
      <c r="C2419" s="58">
        <v>221.9</v>
      </c>
      <c r="D2419" s="58">
        <v>774</v>
      </c>
    </row>
    <row r="2420" spans="1:4">
      <c r="A2420" s="57">
        <v>6434</v>
      </c>
      <c r="B2420" s="57">
        <v>11052</v>
      </c>
      <c r="C2420" s="58">
        <v>235.9</v>
      </c>
      <c r="D2420" s="58">
        <v>753.3</v>
      </c>
    </row>
    <row r="2421" spans="1:4">
      <c r="A2421" s="57">
        <v>6436</v>
      </c>
      <c r="B2421" s="57">
        <v>12038</v>
      </c>
      <c r="C2421" s="58">
        <v>221.9</v>
      </c>
      <c r="D2421" s="58">
        <v>774</v>
      </c>
    </row>
    <row r="2422" spans="1:4">
      <c r="A2422" s="57">
        <v>6437</v>
      </c>
      <c r="B2422" s="57">
        <v>12241</v>
      </c>
      <c r="C2422" s="58">
        <v>348.7</v>
      </c>
      <c r="D2422" s="58">
        <v>574.79999999999995</v>
      </c>
    </row>
    <row r="2423" spans="1:4">
      <c r="A2423" s="57">
        <v>6438</v>
      </c>
      <c r="B2423" s="57">
        <v>12046</v>
      </c>
      <c r="C2423" s="58">
        <v>448.1</v>
      </c>
      <c r="D2423" s="58">
        <v>562.20000000000005</v>
      </c>
    </row>
    <row r="2424" spans="1:4">
      <c r="A2424" s="57">
        <v>6440</v>
      </c>
      <c r="B2424" s="57">
        <v>13011</v>
      </c>
      <c r="C2424" s="58">
        <v>514.6</v>
      </c>
      <c r="D2424" s="58">
        <v>457.2</v>
      </c>
    </row>
    <row r="2425" spans="1:4">
      <c r="A2425" s="57">
        <v>6442</v>
      </c>
      <c r="B2425" s="57">
        <v>12038</v>
      </c>
      <c r="C2425" s="58">
        <v>221.9</v>
      </c>
      <c r="D2425" s="58">
        <v>774</v>
      </c>
    </row>
    <row r="2426" spans="1:4">
      <c r="A2426" s="57">
        <v>6443</v>
      </c>
      <c r="B2426" s="57">
        <v>11052</v>
      </c>
      <c r="C2426" s="58">
        <v>235.9</v>
      </c>
      <c r="D2426" s="58">
        <v>753.3</v>
      </c>
    </row>
    <row r="2427" spans="1:4">
      <c r="A2427" s="57">
        <v>6445</v>
      </c>
      <c r="B2427" s="57">
        <v>9542</v>
      </c>
      <c r="C2427" s="58">
        <v>172.3</v>
      </c>
      <c r="D2427" s="58">
        <v>930</v>
      </c>
    </row>
    <row r="2428" spans="1:4">
      <c r="A2428" s="57">
        <v>6446</v>
      </c>
      <c r="B2428" s="57">
        <v>9542</v>
      </c>
      <c r="C2428" s="58">
        <v>172.3</v>
      </c>
      <c r="D2428" s="58">
        <v>930</v>
      </c>
    </row>
    <row r="2429" spans="1:4">
      <c r="A2429" s="57">
        <v>6447</v>
      </c>
      <c r="B2429" s="57">
        <v>9542</v>
      </c>
      <c r="C2429" s="58">
        <v>172.3</v>
      </c>
      <c r="D2429" s="58">
        <v>930</v>
      </c>
    </row>
    <row r="2430" spans="1:4">
      <c r="A2430" s="57">
        <v>6448</v>
      </c>
      <c r="B2430" s="57">
        <v>9542</v>
      </c>
      <c r="C2430" s="58">
        <v>172.3</v>
      </c>
      <c r="D2430" s="58">
        <v>930</v>
      </c>
    </row>
    <row r="2431" spans="1:4">
      <c r="A2431" s="57">
        <v>6450</v>
      </c>
      <c r="B2431" s="57">
        <v>9542</v>
      </c>
      <c r="C2431" s="58">
        <v>172.3</v>
      </c>
      <c r="D2431" s="58">
        <v>930</v>
      </c>
    </row>
    <row r="2432" spans="1:4">
      <c r="A2432" s="57">
        <v>6452</v>
      </c>
      <c r="B2432" s="57">
        <v>9789</v>
      </c>
      <c r="C2432" s="58">
        <v>182</v>
      </c>
      <c r="D2432" s="58">
        <v>773.8</v>
      </c>
    </row>
    <row r="2433" spans="1:4">
      <c r="A2433" s="57">
        <v>6460</v>
      </c>
      <c r="B2433" s="57">
        <v>10286</v>
      </c>
      <c r="C2433" s="58">
        <v>285.8</v>
      </c>
      <c r="D2433" s="58">
        <v>963.7</v>
      </c>
    </row>
    <row r="2434" spans="1:4">
      <c r="A2434" s="57">
        <v>6461</v>
      </c>
      <c r="B2434" s="57">
        <v>10286</v>
      </c>
      <c r="C2434" s="58">
        <v>285.8</v>
      </c>
      <c r="D2434" s="58">
        <v>963.7</v>
      </c>
    </row>
    <row r="2435" spans="1:4">
      <c r="A2435" s="57">
        <v>6462</v>
      </c>
      <c r="B2435" s="57">
        <v>10286</v>
      </c>
      <c r="C2435" s="58">
        <v>285.8</v>
      </c>
      <c r="D2435" s="58">
        <v>963.7</v>
      </c>
    </row>
    <row r="2436" spans="1:4">
      <c r="A2436" s="57">
        <v>6463</v>
      </c>
      <c r="B2436" s="57">
        <v>10286</v>
      </c>
      <c r="C2436" s="58">
        <v>285.8</v>
      </c>
      <c r="D2436" s="58">
        <v>963.7</v>
      </c>
    </row>
    <row r="2437" spans="1:4">
      <c r="A2437" s="57">
        <v>6465</v>
      </c>
      <c r="B2437" s="57">
        <v>8297</v>
      </c>
      <c r="C2437" s="58">
        <v>259.60000000000002</v>
      </c>
      <c r="D2437" s="58">
        <v>832.6</v>
      </c>
    </row>
    <row r="2438" spans="1:4">
      <c r="A2438" s="57">
        <v>6466</v>
      </c>
      <c r="B2438" s="57">
        <v>8297</v>
      </c>
      <c r="C2438" s="58">
        <v>259.60000000000002</v>
      </c>
      <c r="D2438" s="58">
        <v>832.6</v>
      </c>
    </row>
    <row r="2439" spans="1:4">
      <c r="A2439" s="57">
        <v>6467</v>
      </c>
      <c r="B2439" s="57">
        <v>8297</v>
      </c>
      <c r="C2439" s="58">
        <v>259.60000000000002</v>
      </c>
      <c r="D2439" s="58">
        <v>832.6</v>
      </c>
    </row>
    <row r="2440" spans="1:4">
      <c r="A2440" s="57">
        <v>6468</v>
      </c>
      <c r="B2440" s="57">
        <v>8297</v>
      </c>
      <c r="C2440" s="58">
        <v>259.60000000000002</v>
      </c>
      <c r="D2440" s="58">
        <v>832.6</v>
      </c>
    </row>
    <row r="2441" spans="1:4">
      <c r="A2441" s="57">
        <v>6470</v>
      </c>
      <c r="B2441" s="57">
        <v>8297</v>
      </c>
      <c r="C2441" s="58">
        <v>259.60000000000002</v>
      </c>
      <c r="D2441" s="58">
        <v>832.6</v>
      </c>
    </row>
    <row r="2442" spans="1:4">
      <c r="A2442" s="57">
        <v>6472</v>
      </c>
      <c r="B2442" s="57">
        <v>8297</v>
      </c>
      <c r="C2442" s="58">
        <v>259.60000000000002</v>
      </c>
      <c r="D2442" s="58">
        <v>832.6</v>
      </c>
    </row>
    <row r="2443" spans="1:4">
      <c r="A2443" s="57">
        <v>6473</v>
      </c>
      <c r="B2443" s="57">
        <v>8297</v>
      </c>
      <c r="C2443" s="58">
        <v>259.60000000000002</v>
      </c>
      <c r="D2443" s="58">
        <v>832.6</v>
      </c>
    </row>
    <row r="2444" spans="1:4">
      <c r="A2444" s="57">
        <v>6475</v>
      </c>
      <c r="B2444" s="57">
        <v>10286</v>
      </c>
      <c r="C2444" s="58">
        <v>285.8</v>
      </c>
      <c r="D2444" s="58">
        <v>963.7</v>
      </c>
    </row>
    <row r="2445" spans="1:4">
      <c r="A2445" s="57">
        <v>6476</v>
      </c>
      <c r="B2445" s="57">
        <v>10286</v>
      </c>
      <c r="C2445" s="58">
        <v>285.8</v>
      </c>
      <c r="D2445" s="58">
        <v>963.7</v>
      </c>
    </row>
    <row r="2446" spans="1:4">
      <c r="A2446" s="57">
        <v>6477</v>
      </c>
      <c r="B2446" s="57">
        <v>10286</v>
      </c>
      <c r="C2446" s="58">
        <v>285.8</v>
      </c>
      <c r="D2446" s="58">
        <v>963.7</v>
      </c>
    </row>
    <row r="2447" spans="1:4">
      <c r="A2447" s="57">
        <v>6479</v>
      </c>
      <c r="B2447" s="57">
        <v>10286</v>
      </c>
      <c r="C2447" s="58">
        <v>285.8</v>
      </c>
      <c r="D2447" s="58">
        <v>963.7</v>
      </c>
    </row>
    <row r="2448" spans="1:4">
      <c r="A2448" s="57">
        <v>6480</v>
      </c>
      <c r="B2448" s="57">
        <v>10286</v>
      </c>
      <c r="C2448" s="58">
        <v>285.8</v>
      </c>
      <c r="D2448" s="58">
        <v>963.7</v>
      </c>
    </row>
    <row r="2449" spans="1:4">
      <c r="A2449" s="57">
        <v>6484</v>
      </c>
      <c r="B2449" s="57">
        <v>10286</v>
      </c>
      <c r="C2449" s="58">
        <v>285.8</v>
      </c>
      <c r="D2449" s="58">
        <v>963.7</v>
      </c>
    </row>
    <row r="2450" spans="1:4">
      <c r="A2450" s="57">
        <v>6485</v>
      </c>
      <c r="B2450" s="57">
        <v>10286</v>
      </c>
      <c r="C2450" s="58">
        <v>285.8</v>
      </c>
      <c r="D2450" s="58">
        <v>963.7</v>
      </c>
    </row>
    <row r="2451" spans="1:4">
      <c r="A2451" s="57">
        <v>6487</v>
      </c>
      <c r="B2451" s="57">
        <v>10286</v>
      </c>
      <c r="C2451" s="58">
        <v>285.8</v>
      </c>
      <c r="D2451" s="58">
        <v>963.7</v>
      </c>
    </row>
    <row r="2452" spans="1:4">
      <c r="A2452" s="57">
        <v>6488</v>
      </c>
      <c r="B2452" s="57">
        <v>10286</v>
      </c>
      <c r="C2452" s="58">
        <v>285.8</v>
      </c>
      <c r="D2452" s="58">
        <v>963.7</v>
      </c>
    </row>
    <row r="2453" spans="1:4">
      <c r="A2453" s="57">
        <v>6489</v>
      </c>
      <c r="B2453" s="57">
        <v>10286</v>
      </c>
      <c r="C2453" s="58">
        <v>285.8</v>
      </c>
      <c r="D2453" s="58">
        <v>963.7</v>
      </c>
    </row>
    <row r="2454" spans="1:4">
      <c r="A2454" s="57">
        <v>6490</v>
      </c>
      <c r="B2454" s="57">
        <v>10286</v>
      </c>
      <c r="C2454" s="58">
        <v>285.8</v>
      </c>
      <c r="D2454" s="58">
        <v>963.7</v>
      </c>
    </row>
    <row r="2455" spans="1:4">
      <c r="A2455" s="57">
        <v>6501</v>
      </c>
      <c r="B2455" s="57">
        <v>9053</v>
      </c>
      <c r="C2455" s="58">
        <v>308.5</v>
      </c>
      <c r="D2455" s="58">
        <v>692.8</v>
      </c>
    </row>
    <row r="2456" spans="1:4">
      <c r="A2456" s="57">
        <v>6502</v>
      </c>
      <c r="B2456" s="57">
        <v>9178</v>
      </c>
      <c r="C2456" s="58">
        <v>302.39999999999998</v>
      </c>
      <c r="D2456" s="58">
        <v>823.7</v>
      </c>
    </row>
    <row r="2457" spans="1:4">
      <c r="A2457" s="57">
        <v>6503</v>
      </c>
      <c r="B2457" s="57">
        <v>9178</v>
      </c>
      <c r="C2457" s="58">
        <v>302.39999999999998</v>
      </c>
      <c r="D2457" s="58">
        <v>823.7</v>
      </c>
    </row>
    <row r="2458" spans="1:4">
      <c r="A2458" s="57">
        <v>6504</v>
      </c>
      <c r="B2458" s="57">
        <v>9178</v>
      </c>
      <c r="C2458" s="58">
        <v>302.39999999999998</v>
      </c>
      <c r="D2458" s="58">
        <v>823.7</v>
      </c>
    </row>
    <row r="2459" spans="1:4">
      <c r="A2459" s="57">
        <v>6505</v>
      </c>
      <c r="B2459" s="57">
        <v>9178</v>
      </c>
      <c r="C2459" s="58">
        <v>302.39999999999998</v>
      </c>
      <c r="D2459" s="58">
        <v>823.7</v>
      </c>
    </row>
    <row r="2460" spans="1:4">
      <c r="A2460" s="57">
        <v>6506</v>
      </c>
      <c r="B2460" s="57">
        <v>9178</v>
      </c>
      <c r="C2460" s="58">
        <v>302.39999999999998</v>
      </c>
      <c r="D2460" s="58">
        <v>823.7</v>
      </c>
    </row>
    <row r="2461" spans="1:4">
      <c r="A2461" s="57">
        <v>6507</v>
      </c>
      <c r="B2461" s="57">
        <v>9114</v>
      </c>
      <c r="C2461" s="58">
        <v>587.79999999999995</v>
      </c>
      <c r="D2461" s="58">
        <v>431.4</v>
      </c>
    </row>
    <row r="2462" spans="1:4">
      <c r="A2462" s="57">
        <v>6509</v>
      </c>
      <c r="B2462" s="57">
        <v>9178</v>
      </c>
      <c r="C2462" s="58">
        <v>302.39999999999998</v>
      </c>
      <c r="D2462" s="58">
        <v>823.7</v>
      </c>
    </row>
    <row r="2463" spans="1:4">
      <c r="A2463" s="57">
        <v>6510</v>
      </c>
      <c r="B2463" s="57">
        <v>8297</v>
      </c>
      <c r="C2463" s="58">
        <v>259.60000000000002</v>
      </c>
      <c r="D2463" s="58">
        <v>832.6</v>
      </c>
    </row>
    <row r="2464" spans="1:4">
      <c r="A2464" s="57">
        <v>6511</v>
      </c>
      <c r="B2464" s="57">
        <v>9037</v>
      </c>
      <c r="C2464" s="58">
        <v>286.2</v>
      </c>
      <c r="D2464" s="58">
        <v>737.6</v>
      </c>
    </row>
    <row r="2465" spans="1:4">
      <c r="A2465" s="57">
        <v>6512</v>
      </c>
      <c r="B2465" s="57">
        <v>9037</v>
      </c>
      <c r="C2465" s="58">
        <v>286.2</v>
      </c>
      <c r="D2465" s="58">
        <v>737.6</v>
      </c>
    </row>
    <row r="2466" spans="1:4">
      <c r="A2466" s="57">
        <v>6513</v>
      </c>
      <c r="B2466" s="57">
        <v>9037</v>
      </c>
      <c r="C2466" s="58">
        <v>286.2</v>
      </c>
      <c r="D2466" s="58">
        <v>737.6</v>
      </c>
    </row>
    <row r="2467" spans="1:4">
      <c r="A2467" s="57">
        <v>6514</v>
      </c>
      <c r="B2467" s="57">
        <v>9037</v>
      </c>
      <c r="C2467" s="58">
        <v>286.2</v>
      </c>
      <c r="D2467" s="58">
        <v>737.6</v>
      </c>
    </row>
    <row r="2468" spans="1:4">
      <c r="A2468" s="57">
        <v>6515</v>
      </c>
      <c r="B2468" s="57">
        <v>9037</v>
      </c>
      <c r="C2468" s="58">
        <v>286.2</v>
      </c>
      <c r="D2468" s="58">
        <v>737.6</v>
      </c>
    </row>
    <row r="2469" spans="1:4">
      <c r="A2469" s="57">
        <v>6516</v>
      </c>
      <c r="B2469" s="57">
        <v>9037</v>
      </c>
      <c r="C2469" s="58">
        <v>286.2</v>
      </c>
      <c r="D2469" s="58">
        <v>737.6</v>
      </c>
    </row>
    <row r="2470" spans="1:4">
      <c r="A2470" s="57">
        <v>6517</v>
      </c>
      <c r="B2470" s="57">
        <v>8296</v>
      </c>
      <c r="C2470" s="58">
        <v>409.1</v>
      </c>
      <c r="D2470" s="58">
        <v>619.1</v>
      </c>
    </row>
    <row r="2471" spans="1:4">
      <c r="A2471" s="57">
        <v>6518</v>
      </c>
      <c r="B2471" s="57">
        <v>9037</v>
      </c>
      <c r="C2471" s="58">
        <v>286.2</v>
      </c>
      <c r="D2471" s="58">
        <v>737.6</v>
      </c>
    </row>
    <row r="2472" spans="1:4">
      <c r="A2472" s="57">
        <v>6519</v>
      </c>
      <c r="B2472" s="57">
        <v>8296</v>
      </c>
      <c r="C2472" s="58">
        <v>409.1</v>
      </c>
      <c r="D2472" s="58">
        <v>619.1</v>
      </c>
    </row>
    <row r="2473" spans="1:4">
      <c r="A2473" s="57">
        <v>6521</v>
      </c>
      <c r="B2473" s="57">
        <v>9037</v>
      </c>
      <c r="C2473" s="58">
        <v>286.2</v>
      </c>
      <c r="D2473" s="58">
        <v>737.6</v>
      </c>
    </row>
    <row r="2474" spans="1:4">
      <c r="A2474" s="57">
        <v>6522</v>
      </c>
      <c r="B2474" s="57">
        <v>8296</v>
      </c>
      <c r="C2474" s="58">
        <v>409.1</v>
      </c>
      <c r="D2474" s="58">
        <v>619.1</v>
      </c>
    </row>
    <row r="2475" spans="1:4">
      <c r="A2475" s="57">
        <v>6525</v>
      </c>
      <c r="B2475" s="57">
        <v>9037</v>
      </c>
      <c r="C2475" s="58">
        <v>286.2</v>
      </c>
      <c r="D2475" s="58">
        <v>737.6</v>
      </c>
    </row>
    <row r="2476" spans="1:4">
      <c r="A2476" s="57">
        <v>6528</v>
      </c>
      <c r="B2476" s="57">
        <v>8051</v>
      </c>
      <c r="C2476" s="58">
        <v>563</v>
      </c>
      <c r="D2476" s="58">
        <v>403.4</v>
      </c>
    </row>
    <row r="2477" spans="1:4">
      <c r="A2477" s="57">
        <v>6530</v>
      </c>
      <c r="B2477" s="57">
        <v>8051</v>
      </c>
      <c r="C2477" s="58">
        <v>563</v>
      </c>
      <c r="D2477" s="58">
        <v>403.4</v>
      </c>
    </row>
    <row r="2478" spans="1:4">
      <c r="A2478" s="57">
        <v>6532</v>
      </c>
      <c r="B2478" s="57">
        <v>8251</v>
      </c>
      <c r="C2478" s="58">
        <v>963.6</v>
      </c>
      <c r="D2478" s="58">
        <v>199.5</v>
      </c>
    </row>
    <row r="2479" spans="1:4">
      <c r="A2479" s="57">
        <v>6535</v>
      </c>
      <c r="B2479" s="57">
        <v>8051</v>
      </c>
      <c r="C2479" s="58">
        <v>563</v>
      </c>
      <c r="D2479" s="58">
        <v>403.4</v>
      </c>
    </row>
    <row r="2480" spans="1:4">
      <c r="A2480" s="57">
        <v>6536</v>
      </c>
      <c r="B2480" s="57">
        <v>8251</v>
      </c>
      <c r="C2480" s="58">
        <v>963.6</v>
      </c>
      <c r="D2480" s="58">
        <v>199.5</v>
      </c>
    </row>
    <row r="2481" spans="1:4">
      <c r="A2481" s="57">
        <v>6537</v>
      </c>
      <c r="B2481" s="57">
        <v>6105</v>
      </c>
      <c r="C2481" s="58">
        <v>990.5</v>
      </c>
      <c r="D2481" s="58">
        <v>124.1</v>
      </c>
    </row>
    <row r="2482" spans="1:4">
      <c r="A2482" s="57">
        <v>6556</v>
      </c>
      <c r="B2482" s="57">
        <v>9240</v>
      </c>
      <c r="C2482" s="58">
        <v>171.4</v>
      </c>
      <c r="D2482" s="58">
        <v>1040.2</v>
      </c>
    </row>
    <row r="2483" spans="1:4">
      <c r="A2483" s="57">
        <v>6558</v>
      </c>
      <c r="B2483" s="57">
        <v>9240</v>
      </c>
      <c r="C2483" s="58">
        <v>171.4</v>
      </c>
      <c r="D2483" s="58">
        <v>1040.2</v>
      </c>
    </row>
    <row r="2484" spans="1:4">
      <c r="A2484" s="57">
        <v>6560</v>
      </c>
      <c r="B2484" s="57">
        <v>9053</v>
      </c>
      <c r="C2484" s="58">
        <v>308.5</v>
      </c>
      <c r="D2484" s="58">
        <v>692.8</v>
      </c>
    </row>
    <row r="2485" spans="1:4">
      <c r="A2485" s="57">
        <v>6562</v>
      </c>
      <c r="B2485" s="57">
        <v>9240</v>
      </c>
      <c r="C2485" s="58">
        <v>171.4</v>
      </c>
      <c r="D2485" s="58">
        <v>1040.2</v>
      </c>
    </row>
    <row r="2486" spans="1:4">
      <c r="A2486" s="57">
        <v>6564</v>
      </c>
      <c r="B2486" s="57">
        <v>9053</v>
      </c>
      <c r="C2486" s="58">
        <v>308.5</v>
      </c>
      <c r="D2486" s="58">
        <v>692.8</v>
      </c>
    </row>
    <row r="2487" spans="1:4">
      <c r="A2487" s="57">
        <v>6566</v>
      </c>
      <c r="B2487" s="57">
        <v>9178</v>
      </c>
      <c r="C2487" s="58">
        <v>302.39999999999998</v>
      </c>
      <c r="D2487" s="58">
        <v>823.7</v>
      </c>
    </row>
    <row r="2488" spans="1:4">
      <c r="A2488" s="57">
        <v>6567</v>
      </c>
      <c r="B2488" s="57">
        <v>9053</v>
      </c>
      <c r="C2488" s="58">
        <v>308.5</v>
      </c>
      <c r="D2488" s="58">
        <v>692.8</v>
      </c>
    </row>
    <row r="2489" spans="1:4">
      <c r="A2489" s="57">
        <v>6568</v>
      </c>
      <c r="B2489" s="57">
        <v>9053</v>
      </c>
      <c r="C2489" s="58">
        <v>308.5</v>
      </c>
      <c r="D2489" s="58">
        <v>692.8</v>
      </c>
    </row>
    <row r="2490" spans="1:4">
      <c r="A2490" s="57">
        <v>6569</v>
      </c>
      <c r="B2490" s="57">
        <v>9178</v>
      </c>
      <c r="C2490" s="58">
        <v>302.39999999999998</v>
      </c>
      <c r="D2490" s="58">
        <v>823.7</v>
      </c>
    </row>
    <row r="2491" spans="1:4">
      <c r="A2491" s="57">
        <v>6571</v>
      </c>
      <c r="B2491" s="57">
        <v>8297</v>
      </c>
      <c r="C2491" s="58">
        <v>259.60000000000002</v>
      </c>
      <c r="D2491" s="58">
        <v>832.6</v>
      </c>
    </row>
    <row r="2492" spans="1:4">
      <c r="A2492" s="57">
        <v>6572</v>
      </c>
      <c r="B2492" s="57">
        <v>8297</v>
      </c>
      <c r="C2492" s="58">
        <v>259.60000000000002</v>
      </c>
      <c r="D2492" s="58">
        <v>832.6</v>
      </c>
    </row>
    <row r="2493" spans="1:4">
      <c r="A2493" s="57">
        <v>6574</v>
      </c>
      <c r="B2493" s="57">
        <v>8297</v>
      </c>
      <c r="C2493" s="58">
        <v>259.60000000000002</v>
      </c>
      <c r="D2493" s="58">
        <v>832.6</v>
      </c>
    </row>
    <row r="2494" spans="1:4">
      <c r="A2494" s="57">
        <v>6575</v>
      </c>
      <c r="B2494" s="57">
        <v>8297</v>
      </c>
      <c r="C2494" s="58">
        <v>259.60000000000002</v>
      </c>
      <c r="D2494" s="58">
        <v>832.6</v>
      </c>
    </row>
    <row r="2495" spans="1:4">
      <c r="A2495" s="57">
        <v>6603</v>
      </c>
      <c r="B2495" s="57">
        <v>8297</v>
      </c>
      <c r="C2495" s="58">
        <v>259.60000000000002</v>
      </c>
      <c r="D2495" s="58">
        <v>832.6</v>
      </c>
    </row>
    <row r="2496" spans="1:4">
      <c r="A2496" s="57">
        <v>6605</v>
      </c>
      <c r="B2496" s="57">
        <v>8297</v>
      </c>
      <c r="C2496" s="58">
        <v>259.60000000000002</v>
      </c>
      <c r="D2496" s="58">
        <v>832.6</v>
      </c>
    </row>
    <row r="2497" spans="1:4">
      <c r="A2497" s="57">
        <v>6606</v>
      </c>
      <c r="B2497" s="57">
        <v>8297</v>
      </c>
      <c r="C2497" s="58">
        <v>259.60000000000002</v>
      </c>
      <c r="D2497" s="58">
        <v>832.6</v>
      </c>
    </row>
    <row r="2498" spans="1:4">
      <c r="A2498" s="57">
        <v>6608</v>
      </c>
      <c r="B2498" s="57">
        <v>8297</v>
      </c>
      <c r="C2498" s="58">
        <v>259.60000000000002</v>
      </c>
      <c r="D2498" s="58">
        <v>832.6</v>
      </c>
    </row>
    <row r="2499" spans="1:4">
      <c r="A2499" s="57">
        <v>6609</v>
      </c>
      <c r="B2499" s="57">
        <v>8297</v>
      </c>
      <c r="C2499" s="58">
        <v>259.60000000000002</v>
      </c>
      <c r="D2499" s="58">
        <v>832.6</v>
      </c>
    </row>
    <row r="2500" spans="1:4">
      <c r="A2500" s="57">
        <v>6612</v>
      </c>
      <c r="B2500" s="57">
        <v>8297</v>
      </c>
      <c r="C2500" s="58">
        <v>259.60000000000002</v>
      </c>
      <c r="D2500" s="58">
        <v>832.6</v>
      </c>
    </row>
    <row r="2501" spans="1:4">
      <c r="A2501" s="57">
        <v>6613</v>
      </c>
      <c r="B2501" s="57">
        <v>8297</v>
      </c>
      <c r="C2501" s="58">
        <v>259.60000000000002</v>
      </c>
      <c r="D2501" s="58">
        <v>832.6</v>
      </c>
    </row>
    <row r="2502" spans="1:4">
      <c r="A2502" s="57">
        <v>6614</v>
      </c>
      <c r="B2502" s="57">
        <v>8297</v>
      </c>
      <c r="C2502" s="58">
        <v>259.60000000000002</v>
      </c>
      <c r="D2502" s="58">
        <v>832.6</v>
      </c>
    </row>
    <row r="2503" spans="1:4">
      <c r="A2503" s="57">
        <v>6616</v>
      </c>
      <c r="B2503" s="57">
        <v>8297</v>
      </c>
      <c r="C2503" s="58">
        <v>259.60000000000002</v>
      </c>
      <c r="D2503" s="58">
        <v>832.6</v>
      </c>
    </row>
    <row r="2504" spans="1:4">
      <c r="A2504" s="57">
        <v>6620</v>
      </c>
      <c r="B2504" s="57">
        <v>8296</v>
      </c>
      <c r="C2504" s="58">
        <v>409.1</v>
      </c>
      <c r="D2504" s="58">
        <v>619.1</v>
      </c>
    </row>
    <row r="2505" spans="1:4">
      <c r="A2505" s="57">
        <v>6623</v>
      </c>
      <c r="B2505" s="57">
        <v>8296</v>
      </c>
      <c r="C2505" s="58">
        <v>409.1</v>
      </c>
      <c r="D2505" s="58">
        <v>619.1</v>
      </c>
    </row>
    <row r="2506" spans="1:4">
      <c r="A2506" s="57">
        <v>6625</v>
      </c>
      <c r="B2506" s="57">
        <v>8296</v>
      </c>
      <c r="C2506" s="58">
        <v>409.1</v>
      </c>
      <c r="D2506" s="58">
        <v>619.1</v>
      </c>
    </row>
    <row r="2507" spans="1:4">
      <c r="A2507" s="57">
        <v>6627</v>
      </c>
      <c r="B2507" s="57">
        <v>8296</v>
      </c>
      <c r="C2507" s="58">
        <v>409.1</v>
      </c>
      <c r="D2507" s="58">
        <v>619.1</v>
      </c>
    </row>
    <row r="2508" spans="1:4">
      <c r="A2508" s="57">
        <v>6628</v>
      </c>
      <c r="B2508" s="57">
        <v>8296</v>
      </c>
      <c r="C2508" s="58">
        <v>409.1</v>
      </c>
      <c r="D2508" s="58">
        <v>619.1</v>
      </c>
    </row>
    <row r="2509" spans="1:4">
      <c r="A2509" s="57">
        <v>6630</v>
      </c>
      <c r="B2509" s="57">
        <v>8051</v>
      </c>
      <c r="C2509" s="58">
        <v>563</v>
      </c>
      <c r="D2509" s="58">
        <v>403.4</v>
      </c>
    </row>
    <row r="2510" spans="1:4">
      <c r="A2510" s="57">
        <v>6631</v>
      </c>
      <c r="B2510" s="57">
        <v>8296</v>
      </c>
      <c r="C2510" s="58">
        <v>409.1</v>
      </c>
      <c r="D2510" s="58">
        <v>619.1</v>
      </c>
    </row>
    <row r="2511" spans="1:4">
      <c r="A2511" s="57">
        <v>6632</v>
      </c>
      <c r="B2511" s="57">
        <v>8051</v>
      </c>
      <c r="C2511" s="58">
        <v>563</v>
      </c>
      <c r="D2511" s="58">
        <v>403.4</v>
      </c>
    </row>
    <row r="2512" spans="1:4">
      <c r="A2512" s="57">
        <v>6635</v>
      </c>
      <c r="B2512" s="57">
        <v>8296</v>
      </c>
      <c r="C2512" s="58">
        <v>409.1</v>
      </c>
      <c r="D2512" s="58">
        <v>619.1</v>
      </c>
    </row>
    <row r="2513" spans="1:4">
      <c r="A2513" s="57">
        <v>6638</v>
      </c>
      <c r="B2513" s="57">
        <v>7045</v>
      </c>
      <c r="C2513" s="58">
        <v>424.2</v>
      </c>
      <c r="D2513" s="58">
        <v>382.2</v>
      </c>
    </row>
    <row r="2514" spans="1:4">
      <c r="A2514" s="57">
        <v>6639</v>
      </c>
      <c r="B2514" s="57">
        <v>7045</v>
      </c>
      <c r="C2514" s="58">
        <v>424.2</v>
      </c>
      <c r="D2514" s="58">
        <v>382.2</v>
      </c>
    </row>
    <row r="2515" spans="1:4">
      <c r="A2515" s="57">
        <v>6640</v>
      </c>
      <c r="B2515" s="57">
        <v>7045</v>
      </c>
      <c r="C2515" s="58">
        <v>424.2</v>
      </c>
      <c r="D2515" s="58">
        <v>382.2</v>
      </c>
    </row>
    <row r="2516" spans="1:4">
      <c r="A2516" s="57">
        <v>6642</v>
      </c>
      <c r="B2516" s="57">
        <v>7176</v>
      </c>
      <c r="C2516" s="58">
        <v>729.3</v>
      </c>
      <c r="D2516" s="58">
        <v>275.39999999999998</v>
      </c>
    </row>
    <row r="2517" spans="1:4">
      <c r="A2517" s="57">
        <v>6646</v>
      </c>
      <c r="B2517" s="57">
        <v>13011</v>
      </c>
      <c r="C2517" s="58">
        <v>514.6</v>
      </c>
      <c r="D2517" s="58">
        <v>457.2</v>
      </c>
    </row>
    <row r="2518" spans="1:4">
      <c r="A2518" s="57">
        <v>6701</v>
      </c>
      <c r="B2518" s="57">
        <v>6072</v>
      </c>
      <c r="C2518" s="58">
        <v>1413.3</v>
      </c>
      <c r="D2518" s="58">
        <v>27.1</v>
      </c>
    </row>
    <row r="2519" spans="1:4">
      <c r="A2519" s="57">
        <v>6705</v>
      </c>
      <c r="B2519" s="57">
        <v>6011</v>
      </c>
      <c r="C2519" s="58">
        <v>1174.9000000000001</v>
      </c>
      <c r="D2519" s="58">
        <v>123.6</v>
      </c>
    </row>
    <row r="2520" spans="1:4">
      <c r="A2520" s="57">
        <v>6707</v>
      </c>
      <c r="B2520" s="57">
        <v>5007</v>
      </c>
      <c r="C2520" s="58">
        <v>1336.2</v>
      </c>
      <c r="D2520" s="58">
        <v>46.4</v>
      </c>
    </row>
    <row r="2521" spans="1:4">
      <c r="A2521" s="57">
        <v>6710</v>
      </c>
      <c r="B2521" s="57">
        <v>5017</v>
      </c>
      <c r="C2521" s="58">
        <v>1765.1</v>
      </c>
      <c r="D2521" s="58">
        <v>4.4000000000000004</v>
      </c>
    </row>
    <row r="2522" spans="1:4">
      <c r="A2522" s="57">
        <v>6711</v>
      </c>
      <c r="B2522" s="57">
        <v>5017</v>
      </c>
      <c r="C2522" s="58">
        <v>1765.1</v>
      </c>
      <c r="D2522" s="58">
        <v>4.4000000000000004</v>
      </c>
    </row>
    <row r="2523" spans="1:4">
      <c r="A2523" s="57">
        <v>6712</v>
      </c>
      <c r="B2523" s="57">
        <v>5017</v>
      </c>
      <c r="C2523" s="58">
        <v>1765.1</v>
      </c>
      <c r="D2523" s="58">
        <v>4.4000000000000004</v>
      </c>
    </row>
    <row r="2524" spans="1:4">
      <c r="A2524" s="57">
        <v>6713</v>
      </c>
      <c r="B2524" s="57">
        <v>5017</v>
      </c>
      <c r="C2524" s="58">
        <v>1765.1</v>
      </c>
      <c r="D2524" s="58">
        <v>4.4000000000000004</v>
      </c>
    </row>
    <row r="2525" spans="1:4">
      <c r="A2525" s="57">
        <v>6714</v>
      </c>
      <c r="B2525" s="57">
        <v>4032</v>
      </c>
      <c r="C2525" s="58">
        <v>1972.4</v>
      </c>
      <c r="D2525" s="58">
        <v>10.4</v>
      </c>
    </row>
    <row r="2526" spans="1:4">
      <c r="A2526" s="57">
        <v>6716</v>
      </c>
      <c r="B2526" s="57">
        <v>7185</v>
      </c>
      <c r="C2526" s="58">
        <v>838.8</v>
      </c>
      <c r="D2526" s="58">
        <v>86.3</v>
      </c>
    </row>
    <row r="2527" spans="1:4">
      <c r="A2527" s="57">
        <v>6718</v>
      </c>
      <c r="B2527" s="57">
        <v>4032</v>
      </c>
      <c r="C2527" s="58">
        <v>1972.4</v>
      </c>
      <c r="D2527" s="58">
        <v>10.4</v>
      </c>
    </row>
    <row r="2528" spans="1:4">
      <c r="A2528" s="57">
        <v>6720</v>
      </c>
      <c r="B2528" s="57">
        <v>4032</v>
      </c>
      <c r="C2528" s="58">
        <v>1972.4</v>
      </c>
      <c r="D2528" s="58">
        <v>10.4</v>
      </c>
    </row>
    <row r="2529" spans="1:4">
      <c r="A2529" s="57">
        <v>6721</v>
      </c>
      <c r="B2529" s="57">
        <v>4032</v>
      </c>
      <c r="C2529" s="58">
        <v>1972.4</v>
      </c>
      <c r="D2529" s="58">
        <v>10.4</v>
      </c>
    </row>
    <row r="2530" spans="1:4">
      <c r="A2530" s="57">
        <v>6722</v>
      </c>
      <c r="B2530" s="57">
        <v>4032</v>
      </c>
      <c r="C2530" s="58">
        <v>1972.4</v>
      </c>
      <c r="D2530" s="58">
        <v>10.4</v>
      </c>
    </row>
    <row r="2531" spans="1:4">
      <c r="A2531" s="57">
        <v>6725</v>
      </c>
      <c r="B2531" s="57">
        <v>3003</v>
      </c>
      <c r="C2531" s="58">
        <v>2469.1999999999998</v>
      </c>
      <c r="D2531" s="58">
        <v>3.6</v>
      </c>
    </row>
    <row r="2532" spans="1:4">
      <c r="A2532" s="57">
        <v>6726</v>
      </c>
      <c r="B2532" s="57">
        <v>3003</v>
      </c>
      <c r="C2532" s="58">
        <v>2469.1999999999998</v>
      </c>
      <c r="D2532" s="58">
        <v>3.6</v>
      </c>
    </row>
    <row r="2533" spans="1:4">
      <c r="A2533" s="57">
        <v>6728</v>
      </c>
      <c r="B2533" s="57">
        <v>3032</v>
      </c>
      <c r="C2533" s="58">
        <v>2308.8000000000002</v>
      </c>
      <c r="D2533" s="58">
        <v>2.4</v>
      </c>
    </row>
    <row r="2534" spans="1:4">
      <c r="A2534" s="57">
        <v>6733</v>
      </c>
      <c r="B2534" s="57">
        <v>3032</v>
      </c>
      <c r="C2534" s="58">
        <v>2308.8000000000002</v>
      </c>
      <c r="D2534" s="58">
        <v>2.4</v>
      </c>
    </row>
    <row r="2535" spans="1:4">
      <c r="A2535" s="57">
        <v>6740</v>
      </c>
      <c r="B2535" s="57">
        <v>1020</v>
      </c>
      <c r="C2535" s="58">
        <v>2625.9</v>
      </c>
      <c r="D2535" s="58">
        <v>0.1</v>
      </c>
    </row>
    <row r="2536" spans="1:4">
      <c r="A2536" s="57">
        <v>6743</v>
      </c>
      <c r="B2536" s="57">
        <v>2064</v>
      </c>
      <c r="C2536" s="58">
        <v>1921.5</v>
      </c>
      <c r="D2536" s="58">
        <v>6.1</v>
      </c>
    </row>
    <row r="2537" spans="1:4">
      <c r="A2537" s="57">
        <v>6751</v>
      </c>
      <c r="B2537" s="57">
        <v>7185</v>
      </c>
      <c r="C2537" s="58">
        <v>838.8</v>
      </c>
      <c r="D2537" s="58">
        <v>86.3</v>
      </c>
    </row>
    <row r="2538" spans="1:4">
      <c r="A2538" s="57">
        <v>6753</v>
      </c>
      <c r="B2538" s="57">
        <v>7176</v>
      </c>
      <c r="C2538" s="58">
        <v>729.3</v>
      </c>
      <c r="D2538" s="58">
        <v>275.39999999999998</v>
      </c>
    </row>
    <row r="2539" spans="1:4">
      <c r="A2539" s="57">
        <v>6754</v>
      </c>
      <c r="B2539" s="57">
        <v>7185</v>
      </c>
      <c r="C2539" s="58">
        <v>838.8</v>
      </c>
      <c r="D2539" s="58">
        <v>86.3</v>
      </c>
    </row>
    <row r="2540" spans="1:4">
      <c r="A2540" s="57">
        <v>6758</v>
      </c>
      <c r="B2540" s="57">
        <v>7176</v>
      </c>
      <c r="C2540" s="58">
        <v>729.3</v>
      </c>
      <c r="D2540" s="58">
        <v>275.39999999999998</v>
      </c>
    </row>
    <row r="2541" spans="1:4">
      <c r="A2541" s="57">
        <v>6760</v>
      </c>
      <c r="B2541" s="57">
        <v>4032</v>
      </c>
      <c r="C2541" s="58">
        <v>1972.4</v>
      </c>
      <c r="D2541" s="58">
        <v>10.4</v>
      </c>
    </row>
    <row r="2542" spans="1:4">
      <c r="A2542" s="57">
        <v>6762</v>
      </c>
      <c r="B2542" s="57">
        <v>13030</v>
      </c>
      <c r="C2542" s="58">
        <v>1092.0999999999999</v>
      </c>
      <c r="D2542" s="58">
        <v>72.7</v>
      </c>
    </row>
    <row r="2543" spans="1:4">
      <c r="A2543" s="57">
        <v>6765</v>
      </c>
      <c r="B2543" s="57">
        <v>3093</v>
      </c>
      <c r="C2543" s="58">
        <v>1844.9</v>
      </c>
      <c r="D2543" s="58">
        <v>12.6</v>
      </c>
    </row>
    <row r="2544" spans="1:4">
      <c r="A2544" s="57">
        <v>6770</v>
      </c>
      <c r="B2544" s="57">
        <v>2012</v>
      </c>
      <c r="C2544" s="58">
        <v>1287.2</v>
      </c>
      <c r="D2544" s="58">
        <v>27.4</v>
      </c>
    </row>
    <row r="2545" spans="1:4">
      <c r="A2545" s="57">
        <v>6798</v>
      </c>
      <c r="B2545" s="57">
        <v>32040</v>
      </c>
      <c r="C2545" s="58">
        <v>2100.4</v>
      </c>
      <c r="D2545" s="58">
        <v>23.4</v>
      </c>
    </row>
    <row r="2546" spans="1:4">
      <c r="A2546" s="57">
        <v>6799</v>
      </c>
      <c r="B2546" s="57">
        <v>5007</v>
      </c>
      <c r="C2546" s="58">
        <v>1336.2</v>
      </c>
      <c r="D2546" s="58">
        <v>46.4</v>
      </c>
    </row>
    <row r="2547" spans="1:4">
      <c r="A2547" s="57">
        <v>7000</v>
      </c>
      <c r="B2547" s="57">
        <v>94029</v>
      </c>
      <c r="C2547" s="58">
        <v>26.1</v>
      </c>
      <c r="D2547" s="58">
        <v>1854.4</v>
      </c>
    </row>
    <row r="2548" spans="1:4">
      <c r="A2548" s="57">
        <v>7004</v>
      </c>
      <c r="B2548" s="57">
        <v>94029</v>
      </c>
      <c r="C2548" s="58">
        <v>26.1</v>
      </c>
      <c r="D2548" s="58">
        <v>1854.4</v>
      </c>
    </row>
    <row r="2549" spans="1:4">
      <c r="A2549" s="57">
        <v>7005</v>
      </c>
      <c r="B2549" s="57">
        <v>94029</v>
      </c>
      <c r="C2549" s="58">
        <v>26.1</v>
      </c>
      <c r="D2549" s="58">
        <v>1854.4</v>
      </c>
    </row>
    <row r="2550" spans="1:4">
      <c r="A2550" s="57">
        <v>7007</v>
      </c>
      <c r="B2550" s="57">
        <v>94029</v>
      </c>
      <c r="C2550" s="58">
        <v>26.1</v>
      </c>
      <c r="D2550" s="58">
        <v>1854.4</v>
      </c>
    </row>
    <row r="2551" spans="1:4">
      <c r="A2551" s="57">
        <v>7008</v>
      </c>
      <c r="B2551" s="57">
        <v>94029</v>
      </c>
      <c r="C2551" s="58">
        <v>26.1</v>
      </c>
      <c r="D2551" s="58">
        <v>1854.4</v>
      </c>
    </row>
    <row r="2552" spans="1:4">
      <c r="A2552" s="57">
        <v>7009</v>
      </c>
      <c r="B2552" s="57">
        <v>94029</v>
      </c>
      <c r="C2552" s="58">
        <v>26.1</v>
      </c>
      <c r="D2552" s="58">
        <v>1854.4</v>
      </c>
    </row>
    <row r="2553" spans="1:4">
      <c r="A2553" s="57">
        <v>7010</v>
      </c>
      <c r="B2553" s="57">
        <v>94029</v>
      </c>
      <c r="C2553" s="58">
        <v>26.1</v>
      </c>
      <c r="D2553" s="58">
        <v>1854.4</v>
      </c>
    </row>
    <row r="2554" spans="1:4">
      <c r="A2554" s="57">
        <v>7011</v>
      </c>
      <c r="B2554" s="57">
        <v>94087</v>
      </c>
      <c r="C2554" s="58">
        <v>0.2</v>
      </c>
      <c r="D2554" s="58">
        <v>4803.2</v>
      </c>
    </row>
    <row r="2555" spans="1:4">
      <c r="A2555" s="57">
        <v>7012</v>
      </c>
      <c r="B2555" s="57">
        <v>94087</v>
      </c>
      <c r="C2555" s="58">
        <v>0.2</v>
      </c>
      <c r="D2555" s="58">
        <v>4803.2</v>
      </c>
    </row>
    <row r="2556" spans="1:4">
      <c r="A2556" s="57">
        <v>7015</v>
      </c>
      <c r="B2556" s="57">
        <v>94029</v>
      </c>
      <c r="C2556" s="58">
        <v>26.1</v>
      </c>
      <c r="D2556" s="58">
        <v>1854.4</v>
      </c>
    </row>
    <row r="2557" spans="1:4">
      <c r="A2557" s="57">
        <v>7016</v>
      </c>
      <c r="B2557" s="57">
        <v>94029</v>
      </c>
      <c r="C2557" s="58">
        <v>26.1</v>
      </c>
      <c r="D2557" s="58">
        <v>1854.4</v>
      </c>
    </row>
    <row r="2558" spans="1:4">
      <c r="A2558" s="57">
        <v>7017</v>
      </c>
      <c r="B2558" s="57">
        <v>94212</v>
      </c>
      <c r="C2558" s="58">
        <v>30.9</v>
      </c>
      <c r="D2558" s="58">
        <v>1986.1</v>
      </c>
    </row>
    <row r="2559" spans="1:4">
      <c r="A2559" s="57">
        <v>7018</v>
      </c>
      <c r="B2559" s="57">
        <v>94029</v>
      </c>
      <c r="C2559" s="58">
        <v>26.1</v>
      </c>
      <c r="D2559" s="58">
        <v>1854.4</v>
      </c>
    </row>
    <row r="2560" spans="1:4">
      <c r="A2560" s="57">
        <v>7019</v>
      </c>
      <c r="B2560" s="57">
        <v>94008</v>
      </c>
      <c r="C2560" s="58">
        <v>27.8</v>
      </c>
      <c r="D2560" s="58">
        <v>1861.6</v>
      </c>
    </row>
    <row r="2561" spans="1:4">
      <c r="A2561" s="57">
        <v>7020</v>
      </c>
      <c r="B2561" s="57">
        <v>94008</v>
      </c>
      <c r="C2561" s="58">
        <v>27.8</v>
      </c>
      <c r="D2561" s="58">
        <v>1861.6</v>
      </c>
    </row>
    <row r="2562" spans="1:4">
      <c r="A2562" s="57">
        <v>7021</v>
      </c>
      <c r="B2562" s="57">
        <v>94008</v>
      </c>
      <c r="C2562" s="58">
        <v>27.8</v>
      </c>
      <c r="D2562" s="58">
        <v>1861.6</v>
      </c>
    </row>
    <row r="2563" spans="1:4">
      <c r="A2563" s="57">
        <v>7022</v>
      </c>
      <c r="B2563" s="57">
        <v>94029</v>
      </c>
      <c r="C2563" s="58">
        <v>26.1</v>
      </c>
      <c r="D2563" s="58">
        <v>1854.4</v>
      </c>
    </row>
    <row r="2564" spans="1:4">
      <c r="A2564" s="57">
        <v>7023</v>
      </c>
      <c r="B2564" s="57">
        <v>94029</v>
      </c>
      <c r="C2564" s="58">
        <v>26.1</v>
      </c>
      <c r="D2564" s="58">
        <v>1854.4</v>
      </c>
    </row>
    <row r="2565" spans="1:4">
      <c r="A2565" s="57">
        <v>7024</v>
      </c>
      <c r="B2565" s="57">
        <v>94008</v>
      </c>
      <c r="C2565" s="58">
        <v>27.8</v>
      </c>
      <c r="D2565" s="58">
        <v>1861.6</v>
      </c>
    </row>
    <row r="2566" spans="1:4">
      <c r="A2566" s="57">
        <v>7025</v>
      </c>
      <c r="B2566" s="57">
        <v>94212</v>
      </c>
      <c r="C2566" s="58">
        <v>30.9</v>
      </c>
      <c r="D2566" s="58">
        <v>1986.1</v>
      </c>
    </row>
    <row r="2567" spans="1:4">
      <c r="A2567" s="57">
        <v>7026</v>
      </c>
      <c r="B2567" s="57">
        <v>94212</v>
      </c>
      <c r="C2567" s="58">
        <v>30.9</v>
      </c>
      <c r="D2567" s="58">
        <v>1986.1</v>
      </c>
    </row>
    <row r="2568" spans="1:4">
      <c r="A2568" s="57">
        <v>7027</v>
      </c>
      <c r="B2568" s="57">
        <v>94195</v>
      </c>
      <c r="C2568" s="58">
        <v>6.1</v>
      </c>
      <c r="D2568" s="58">
        <v>2919.3</v>
      </c>
    </row>
    <row r="2569" spans="1:4">
      <c r="A2569" s="57">
        <v>7030</v>
      </c>
      <c r="B2569" s="57">
        <v>96033</v>
      </c>
      <c r="C2569" s="58">
        <v>0.5</v>
      </c>
      <c r="D2569" s="58">
        <v>4118.6000000000004</v>
      </c>
    </row>
    <row r="2570" spans="1:4">
      <c r="A2570" s="57">
        <v>7050</v>
      </c>
      <c r="B2570" s="57">
        <v>94029</v>
      </c>
      <c r="C2570" s="58">
        <v>26.1</v>
      </c>
      <c r="D2570" s="58">
        <v>1854.4</v>
      </c>
    </row>
    <row r="2571" spans="1:4">
      <c r="A2571" s="57">
        <v>7052</v>
      </c>
      <c r="B2571" s="57">
        <v>94029</v>
      </c>
      <c r="C2571" s="58">
        <v>26.1</v>
      </c>
      <c r="D2571" s="58">
        <v>1854.4</v>
      </c>
    </row>
    <row r="2572" spans="1:4">
      <c r="A2572" s="57">
        <v>7053</v>
      </c>
      <c r="B2572" s="57">
        <v>94029</v>
      </c>
      <c r="C2572" s="58">
        <v>26.1</v>
      </c>
      <c r="D2572" s="58">
        <v>1854.4</v>
      </c>
    </row>
    <row r="2573" spans="1:4">
      <c r="A2573" s="57">
        <v>7054</v>
      </c>
      <c r="B2573" s="57">
        <v>94220</v>
      </c>
      <c r="C2573" s="58">
        <v>26</v>
      </c>
      <c r="D2573" s="58">
        <v>2411.1999999999998</v>
      </c>
    </row>
    <row r="2574" spans="1:4">
      <c r="A2574" s="57">
        <v>7055</v>
      </c>
      <c r="B2574" s="57">
        <v>94087</v>
      </c>
      <c r="C2574" s="58">
        <v>0.2</v>
      </c>
      <c r="D2574" s="58">
        <v>4803.2</v>
      </c>
    </row>
    <row r="2575" spans="1:4">
      <c r="A2575" s="57">
        <v>7109</v>
      </c>
      <c r="B2575" s="57">
        <v>94220</v>
      </c>
      <c r="C2575" s="58">
        <v>26</v>
      </c>
      <c r="D2575" s="58">
        <v>2411.1999999999998</v>
      </c>
    </row>
    <row r="2576" spans="1:4">
      <c r="A2576" s="57">
        <v>7112</v>
      </c>
      <c r="B2576" s="57">
        <v>94198</v>
      </c>
      <c r="C2576" s="58">
        <v>17.600000000000001</v>
      </c>
      <c r="D2576" s="58">
        <v>2049.6</v>
      </c>
    </row>
    <row r="2577" spans="1:4">
      <c r="A2577" s="57">
        <v>7113</v>
      </c>
      <c r="B2577" s="57">
        <v>94220</v>
      </c>
      <c r="C2577" s="58">
        <v>26</v>
      </c>
      <c r="D2577" s="58">
        <v>2411.1999999999998</v>
      </c>
    </row>
    <row r="2578" spans="1:4">
      <c r="A2578" s="57">
        <v>7116</v>
      </c>
      <c r="B2578" s="57">
        <v>94191</v>
      </c>
      <c r="C2578" s="58">
        <v>1.9</v>
      </c>
      <c r="D2578" s="58">
        <v>3838.2</v>
      </c>
    </row>
    <row r="2579" spans="1:4">
      <c r="A2579" s="57">
        <v>7117</v>
      </c>
      <c r="B2579" s="57">
        <v>94198</v>
      </c>
      <c r="C2579" s="58">
        <v>17.600000000000001</v>
      </c>
      <c r="D2579" s="58">
        <v>2049.6</v>
      </c>
    </row>
    <row r="2580" spans="1:4">
      <c r="A2580" s="57">
        <v>7119</v>
      </c>
      <c r="B2580" s="57">
        <v>94195</v>
      </c>
      <c r="C2580" s="58">
        <v>6.1</v>
      </c>
      <c r="D2580" s="58">
        <v>2919.3</v>
      </c>
    </row>
    <row r="2581" spans="1:4">
      <c r="A2581" s="57">
        <v>7120</v>
      </c>
      <c r="B2581" s="57">
        <v>94195</v>
      </c>
      <c r="C2581" s="58">
        <v>6.1</v>
      </c>
      <c r="D2581" s="58">
        <v>2919.3</v>
      </c>
    </row>
    <row r="2582" spans="1:4">
      <c r="A2582" s="57">
        <v>7139</v>
      </c>
      <c r="B2582" s="57">
        <v>97083</v>
      </c>
      <c r="C2582" s="58">
        <v>9.6999999999999993</v>
      </c>
      <c r="D2582" s="58">
        <v>2788</v>
      </c>
    </row>
    <row r="2583" spans="1:4">
      <c r="A2583" s="57">
        <v>7140</v>
      </c>
      <c r="B2583" s="57">
        <v>95003</v>
      </c>
      <c r="C2583" s="58">
        <v>23.9</v>
      </c>
      <c r="D2583" s="58">
        <v>2266.9</v>
      </c>
    </row>
    <row r="2584" spans="1:4">
      <c r="A2584" s="57">
        <v>7150</v>
      </c>
      <c r="B2584" s="57">
        <v>94220</v>
      </c>
      <c r="C2584" s="58">
        <v>26</v>
      </c>
      <c r="D2584" s="58">
        <v>2411.1999999999998</v>
      </c>
    </row>
    <row r="2585" spans="1:4">
      <c r="A2585" s="57">
        <v>7151</v>
      </c>
      <c r="B2585" s="57">
        <v>94155</v>
      </c>
      <c r="C2585" s="58">
        <v>13.7</v>
      </c>
      <c r="D2585" s="58">
        <v>2383.8000000000002</v>
      </c>
    </row>
    <row r="2586" spans="1:4">
      <c r="A2586" s="57">
        <v>7155</v>
      </c>
      <c r="B2586" s="57">
        <v>94220</v>
      </c>
      <c r="C2586" s="58">
        <v>26</v>
      </c>
      <c r="D2586" s="58">
        <v>2411.1999999999998</v>
      </c>
    </row>
    <row r="2587" spans="1:4">
      <c r="A2587" s="57">
        <v>7162</v>
      </c>
      <c r="B2587" s="57">
        <v>94220</v>
      </c>
      <c r="C2587" s="58">
        <v>26</v>
      </c>
      <c r="D2587" s="58">
        <v>2411.1999999999998</v>
      </c>
    </row>
    <row r="2588" spans="1:4">
      <c r="A2588" s="57">
        <v>7163</v>
      </c>
      <c r="B2588" s="57">
        <v>94198</v>
      </c>
      <c r="C2588" s="58">
        <v>17.600000000000001</v>
      </c>
      <c r="D2588" s="58">
        <v>2049.6</v>
      </c>
    </row>
    <row r="2589" spans="1:4">
      <c r="A2589" s="57">
        <v>7170</v>
      </c>
      <c r="B2589" s="57">
        <v>94008</v>
      </c>
      <c r="C2589" s="58">
        <v>27.8</v>
      </c>
      <c r="D2589" s="58">
        <v>1861.6</v>
      </c>
    </row>
    <row r="2590" spans="1:4">
      <c r="A2590" s="57">
        <v>7171</v>
      </c>
      <c r="B2590" s="57">
        <v>94008</v>
      </c>
      <c r="C2590" s="58">
        <v>27.8</v>
      </c>
      <c r="D2590" s="58">
        <v>1861.6</v>
      </c>
    </row>
    <row r="2591" spans="1:4">
      <c r="A2591" s="57">
        <v>7172</v>
      </c>
      <c r="B2591" s="57">
        <v>94212</v>
      </c>
      <c r="C2591" s="58">
        <v>30.9</v>
      </c>
      <c r="D2591" s="58">
        <v>1986.1</v>
      </c>
    </row>
    <row r="2592" spans="1:4">
      <c r="A2592" s="57">
        <v>7173</v>
      </c>
      <c r="B2592" s="57">
        <v>94008</v>
      </c>
      <c r="C2592" s="58">
        <v>27.8</v>
      </c>
      <c r="D2592" s="58">
        <v>1861.6</v>
      </c>
    </row>
    <row r="2593" spans="1:4">
      <c r="A2593" s="57">
        <v>7174</v>
      </c>
      <c r="B2593" s="57">
        <v>94008</v>
      </c>
      <c r="C2593" s="58">
        <v>27.8</v>
      </c>
      <c r="D2593" s="58">
        <v>1861.6</v>
      </c>
    </row>
    <row r="2594" spans="1:4">
      <c r="A2594" s="57">
        <v>7175</v>
      </c>
      <c r="B2594" s="57">
        <v>92124</v>
      </c>
      <c r="C2594" s="58">
        <v>42.5</v>
      </c>
      <c r="D2594" s="58">
        <v>1643.8</v>
      </c>
    </row>
    <row r="2595" spans="1:4">
      <c r="A2595" s="57">
        <v>7176</v>
      </c>
      <c r="B2595" s="57">
        <v>92124</v>
      </c>
      <c r="C2595" s="58">
        <v>42.5</v>
      </c>
      <c r="D2595" s="58">
        <v>1643.8</v>
      </c>
    </row>
    <row r="2596" spans="1:4">
      <c r="A2596" s="57">
        <v>7177</v>
      </c>
      <c r="B2596" s="57">
        <v>94008</v>
      </c>
      <c r="C2596" s="58">
        <v>27.8</v>
      </c>
      <c r="D2596" s="58">
        <v>1861.6</v>
      </c>
    </row>
    <row r="2597" spans="1:4">
      <c r="A2597" s="57">
        <v>7178</v>
      </c>
      <c r="B2597" s="57">
        <v>94008</v>
      </c>
      <c r="C2597" s="58">
        <v>27.8</v>
      </c>
      <c r="D2597" s="58">
        <v>1861.6</v>
      </c>
    </row>
    <row r="2598" spans="1:4">
      <c r="A2598" s="57">
        <v>7179</v>
      </c>
      <c r="B2598" s="57">
        <v>94155</v>
      </c>
      <c r="C2598" s="58">
        <v>13.7</v>
      </c>
      <c r="D2598" s="58">
        <v>2383.8000000000002</v>
      </c>
    </row>
    <row r="2599" spans="1:4">
      <c r="A2599" s="57">
        <v>7180</v>
      </c>
      <c r="B2599" s="57">
        <v>94155</v>
      </c>
      <c r="C2599" s="58">
        <v>13.7</v>
      </c>
      <c r="D2599" s="58">
        <v>2383.8000000000002</v>
      </c>
    </row>
    <row r="2600" spans="1:4">
      <c r="A2600" s="57">
        <v>7182</v>
      </c>
      <c r="B2600" s="57">
        <v>94155</v>
      </c>
      <c r="C2600" s="58">
        <v>13.7</v>
      </c>
      <c r="D2600" s="58">
        <v>2383.8000000000002</v>
      </c>
    </row>
    <row r="2601" spans="1:4">
      <c r="A2601" s="57">
        <v>7183</v>
      </c>
      <c r="B2601" s="57">
        <v>94155</v>
      </c>
      <c r="C2601" s="58">
        <v>13.7</v>
      </c>
      <c r="D2601" s="58">
        <v>2383.8000000000002</v>
      </c>
    </row>
    <row r="2602" spans="1:4">
      <c r="A2602" s="57">
        <v>7184</v>
      </c>
      <c r="B2602" s="57">
        <v>94155</v>
      </c>
      <c r="C2602" s="58">
        <v>13.7</v>
      </c>
      <c r="D2602" s="58">
        <v>2383.8000000000002</v>
      </c>
    </row>
    <row r="2603" spans="1:4">
      <c r="A2603" s="57">
        <v>7185</v>
      </c>
      <c r="B2603" s="57">
        <v>94155</v>
      </c>
      <c r="C2603" s="58">
        <v>13.7</v>
      </c>
      <c r="D2603" s="58">
        <v>2383.8000000000002</v>
      </c>
    </row>
    <row r="2604" spans="1:4">
      <c r="A2604" s="57">
        <v>7186</v>
      </c>
      <c r="B2604" s="57">
        <v>94008</v>
      </c>
      <c r="C2604" s="58">
        <v>27.8</v>
      </c>
      <c r="D2604" s="58">
        <v>1861.6</v>
      </c>
    </row>
    <row r="2605" spans="1:4">
      <c r="A2605" s="57">
        <v>7187</v>
      </c>
      <c r="B2605" s="57">
        <v>94155</v>
      </c>
      <c r="C2605" s="58">
        <v>13.7</v>
      </c>
      <c r="D2605" s="58">
        <v>2383.8000000000002</v>
      </c>
    </row>
    <row r="2606" spans="1:4">
      <c r="A2606" s="57">
        <v>7190</v>
      </c>
      <c r="B2606" s="57">
        <v>92124</v>
      </c>
      <c r="C2606" s="58">
        <v>42.5</v>
      </c>
      <c r="D2606" s="58">
        <v>1643.8</v>
      </c>
    </row>
    <row r="2607" spans="1:4">
      <c r="A2607" s="57">
        <v>7209</v>
      </c>
      <c r="B2607" s="57">
        <v>94195</v>
      </c>
      <c r="C2607" s="58">
        <v>6.1</v>
      </c>
      <c r="D2607" s="58">
        <v>2919.3</v>
      </c>
    </row>
    <row r="2608" spans="1:4">
      <c r="A2608" s="57">
        <v>7210</v>
      </c>
      <c r="B2608" s="57">
        <v>92114</v>
      </c>
      <c r="C2608" s="58">
        <v>55.3</v>
      </c>
      <c r="D2608" s="58">
        <v>1647.1</v>
      </c>
    </row>
    <row r="2609" spans="1:4">
      <c r="A2609" s="57">
        <v>7211</v>
      </c>
      <c r="B2609" s="57">
        <v>91306</v>
      </c>
      <c r="C2609" s="58">
        <v>30.9</v>
      </c>
      <c r="D2609" s="58">
        <v>2320.4</v>
      </c>
    </row>
    <row r="2610" spans="1:4">
      <c r="A2610" s="57">
        <v>7212</v>
      </c>
      <c r="B2610" s="57">
        <v>91311</v>
      </c>
      <c r="C2610" s="58">
        <v>30.6</v>
      </c>
      <c r="D2610" s="58">
        <v>2218.3000000000002</v>
      </c>
    </row>
    <row r="2611" spans="1:4">
      <c r="A2611" s="57">
        <v>7213</v>
      </c>
      <c r="B2611" s="57">
        <v>92012</v>
      </c>
      <c r="C2611" s="58">
        <v>25</v>
      </c>
      <c r="D2611" s="58">
        <v>2421.9</v>
      </c>
    </row>
    <row r="2612" spans="1:4">
      <c r="A2612" s="57">
        <v>7214</v>
      </c>
      <c r="B2612" s="57">
        <v>92012</v>
      </c>
      <c r="C2612" s="58">
        <v>25</v>
      </c>
      <c r="D2612" s="58">
        <v>2421.9</v>
      </c>
    </row>
    <row r="2613" spans="1:4">
      <c r="A2613" s="57">
        <v>7215</v>
      </c>
      <c r="B2613" s="57">
        <v>92114</v>
      </c>
      <c r="C2613" s="58">
        <v>55.3</v>
      </c>
      <c r="D2613" s="58">
        <v>1647.1</v>
      </c>
    </row>
    <row r="2614" spans="1:4">
      <c r="A2614" s="57">
        <v>7216</v>
      </c>
      <c r="B2614" s="57">
        <v>92120</v>
      </c>
      <c r="C2614" s="58">
        <v>73.3</v>
      </c>
      <c r="D2614" s="58">
        <v>1781.5</v>
      </c>
    </row>
    <row r="2615" spans="1:4">
      <c r="A2615" s="57">
        <v>7248</v>
      </c>
      <c r="B2615" s="57">
        <v>91237</v>
      </c>
      <c r="C2615" s="58">
        <v>69.8</v>
      </c>
      <c r="D2615" s="58">
        <v>1931.7</v>
      </c>
    </row>
    <row r="2616" spans="1:4">
      <c r="A2616" s="57">
        <v>7249</v>
      </c>
      <c r="B2616" s="57">
        <v>91237</v>
      </c>
      <c r="C2616" s="58">
        <v>69.8</v>
      </c>
      <c r="D2616" s="58">
        <v>1931.7</v>
      </c>
    </row>
    <row r="2617" spans="1:4">
      <c r="A2617" s="57">
        <v>7250</v>
      </c>
      <c r="B2617" s="57">
        <v>91237</v>
      </c>
      <c r="C2617" s="58">
        <v>69.8</v>
      </c>
      <c r="D2617" s="58">
        <v>1931.7</v>
      </c>
    </row>
    <row r="2618" spans="1:4">
      <c r="A2618" s="57">
        <v>7252</v>
      </c>
      <c r="B2618" s="57">
        <v>91237</v>
      </c>
      <c r="C2618" s="58">
        <v>69.8</v>
      </c>
      <c r="D2618" s="58">
        <v>1931.7</v>
      </c>
    </row>
    <row r="2619" spans="1:4">
      <c r="A2619" s="57">
        <v>7253</v>
      </c>
      <c r="B2619" s="57">
        <v>91293</v>
      </c>
      <c r="C2619" s="58">
        <v>68.3</v>
      </c>
      <c r="D2619" s="58">
        <v>1680.8</v>
      </c>
    </row>
    <row r="2620" spans="1:4">
      <c r="A2620" s="57">
        <v>7254</v>
      </c>
      <c r="B2620" s="57">
        <v>91219</v>
      </c>
      <c r="C2620" s="58">
        <v>39.9</v>
      </c>
      <c r="D2620" s="58">
        <v>2186.1</v>
      </c>
    </row>
    <row r="2621" spans="1:4">
      <c r="A2621" s="57">
        <v>7255</v>
      </c>
      <c r="B2621" s="57">
        <v>99005</v>
      </c>
      <c r="C2621" s="58">
        <v>109.1</v>
      </c>
      <c r="D2621" s="58">
        <v>1583.2</v>
      </c>
    </row>
    <row r="2622" spans="1:4">
      <c r="A2622" s="57">
        <v>7256</v>
      </c>
      <c r="B2622" s="57">
        <v>98017</v>
      </c>
      <c r="C2622" s="58">
        <v>54.5</v>
      </c>
      <c r="D2622" s="58">
        <v>1731.4</v>
      </c>
    </row>
    <row r="2623" spans="1:4">
      <c r="A2623" s="57">
        <v>7257</v>
      </c>
      <c r="B2623" s="57">
        <v>92123</v>
      </c>
      <c r="C2623" s="58">
        <v>90.1</v>
      </c>
      <c r="D2623" s="58">
        <v>1449.5</v>
      </c>
    </row>
    <row r="2624" spans="1:4">
      <c r="A2624" s="57">
        <v>7258</v>
      </c>
      <c r="B2624" s="57">
        <v>91311</v>
      </c>
      <c r="C2624" s="58">
        <v>30.6</v>
      </c>
      <c r="D2624" s="58">
        <v>2218.3000000000002</v>
      </c>
    </row>
    <row r="2625" spans="1:4">
      <c r="A2625" s="57">
        <v>7259</v>
      </c>
      <c r="B2625" s="57">
        <v>91237</v>
      </c>
      <c r="C2625" s="58">
        <v>69.8</v>
      </c>
      <c r="D2625" s="58">
        <v>1931.7</v>
      </c>
    </row>
    <row r="2626" spans="1:4">
      <c r="A2626" s="57">
        <v>7260</v>
      </c>
      <c r="B2626" s="57">
        <v>91219</v>
      </c>
      <c r="C2626" s="58">
        <v>39.9</v>
      </c>
      <c r="D2626" s="58">
        <v>2186.1</v>
      </c>
    </row>
    <row r="2627" spans="1:4">
      <c r="A2627" s="57">
        <v>7261</v>
      </c>
      <c r="B2627" s="57">
        <v>91219</v>
      </c>
      <c r="C2627" s="58">
        <v>39.9</v>
      </c>
      <c r="D2627" s="58">
        <v>2186.1</v>
      </c>
    </row>
    <row r="2628" spans="1:4">
      <c r="A2628" s="57">
        <v>7262</v>
      </c>
      <c r="B2628" s="57">
        <v>92123</v>
      </c>
      <c r="C2628" s="58">
        <v>90.1</v>
      </c>
      <c r="D2628" s="58">
        <v>1449.5</v>
      </c>
    </row>
    <row r="2629" spans="1:4">
      <c r="A2629" s="57">
        <v>7263</v>
      </c>
      <c r="B2629" s="57">
        <v>91219</v>
      </c>
      <c r="C2629" s="58">
        <v>39.9</v>
      </c>
      <c r="D2629" s="58">
        <v>2186.1</v>
      </c>
    </row>
    <row r="2630" spans="1:4">
      <c r="A2630" s="57">
        <v>7264</v>
      </c>
      <c r="B2630" s="57">
        <v>92123</v>
      </c>
      <c r="C2630" s="58">
        <v>90.1</v>
      </c>
      <c r="D2630" s="58">
        <v>1449.5</v>
      </c>
    </row>
    <row r="2631" spans="1:4">
      <c r="A2631" s="57">
        <v>7265</v>
      </c>
      <c r="B2631" s="57">
        <v>91219</v>
      </c>
      <c r="C2631" s="58">
        <v>39.9</v>
      </c>
      <c r="D2631" s="58">
        <v>2186.1</v>
      </c>
    </row>
    <row r="2632" spans="1:4">
      <c r="A2632" s="57">
        <v>7267</v>
      </c>
      <c r="B2632" s="57">
        <v>91237</v>
      </c>
      <c r="C2632" s="58">
        <v>69.8</v>
      </c>
      <c r="D2632" s="58">
        <v>1931.7</v>
      </c>
    </row>
    <row r="2633" spans="1:4">
      <c r="A2633" s="57">
        <v>7268</v>
      </c>
      <c r="B2633" s="57">
        <v>91219</v>
      </c>
      <c r="C2633" s="58">
        <v>39.9</v>
      </c>
      <c r="D2633" s="58">
        <v>2186.1</v>
      </c>
    </row>
    <row r="2634" spans="1:4">
      <c r="A2634" s="57">
        <v>7270</v>
      </c>
      <c r="B2634" s="57">
        <v>91293</v>
      </c>
      <c r="C2634" s="58">
        <v>68.3</v>
      </c>
      <c r="D2634" s="58">
        <v>1680.8</v>
      </c>
    </row>
    <row r="2635" spans="1:4">
      <c r="A2635" s="57">
        <v>7275</v>
      </c>
      <c r="B2635" s="57">
        <v>91293</v>
      </c>
      <c r="C2635" s="58">
        <v>68.3</v>
      </c>
      <c r="D2635" s="58">
        <v>1680.8</v>
      </c>
    </row>
    <row r="2636" spans="1:4">
      <c r="A2636" s="57">
        <v>7276</v>
      </c>
      <c r="B2636" s="57">
        <v>91237</v>
      </c>
      <c r="C2636" s="58">
        <v>69.8</v>
      </c>
      <c r="D2636" s="58">
        <v>1931.7</v>
      </c>
    </row>
    <row r="2637" spans="1:4">
      <c r="A2637" s="57">
        <v>7277</v>
      </c>
      <c r="B2637" s="57">
        <v>91237</v>
      </c>
      <c r="C2637" s="58">
        <v>69.8</v>
      </c>
      <c r="D2637" s="58">
        <v>1931.7</v>
      </c>
    </row>
    <row r="2638" spans="1:4">
      <c r="A2638" s="57">
        <v>7290</v>
      </c>
      <c r="B2638" s="57">
        <v>91237</v>
      </c>
      <c r="C2638" s="58">
        <v>69.8</v>
      </c>
      <c r="D2638" s="58">
        <v>1931.7</v>
      </c>
    </row>
    <row r="2639" spans="1:4">
      <c r="A2639" s="57">
        <v>7291</v>
      </c>
      <c r="B2639" s="57">
        <v>91237</v>
      </c>
      <c r="C2639" s="58">
        <v>69.8</v>
      </c>
      <c r="D2639" s="58">
        <v>1931.7</v>
      </c>
    </row>
    <row r="2640" spans="1:4">
      <c r="A2640" s="57">
        <v>7292</v>
      </c>
      <c r="B2640" s="57">
        <v>91237</v>
      </c>
      <c r="C2640" s="58">
        <v>69.8</v>
      </c>
      <c r="D2640" s="58">
        <v>1931.7</v>
      </c>
    </row>
    <row r="2641" spans="1:4">
      <c r="A2641" s="57">
        <v>7300</v>
      </c>
      <c r="B2641" s="57">
        <v>91311</v>
      </c>
      <c r="C2641" s="58">
        <v>30.6</v>
      </c>
      <c r="D2641" s="58">
        <v>2218.3000000000002</v>
      </c>
    </row>
    <row r="2642" spans="1:4">
      <c r="A2642" s="57">
        <v>7301</v>
      </c>
      <c r="B2642" s="57">
        <v>91306</v>
      </c>
      <c r="C2642" s="58">
        <v>30.9</v>
      </c>
      <c r="D2642" s="58">
        <v>2320.4</v>
      </c>
    </row>
    <row r="2643" spans="1:4">
      <c r="A2643" s="57">
        <v>7302</v>
      </c>
      <c r="B2643" s="57">
        <v>91306</v>
      </c>
      <c r="C2643" s="58">
        <v>30.9</v>
      </c>
      <c r="D2643" s="58">
        <v>2320.4</v>
      </c>
    </row>
    <row r="2644" spans="1:4">
      <c r="A2644" s="57">
        <v>7303</v>
      </c>
      <c r="B2644" s="57">
        <v>91306</v>
      </c>
      <c r="C2644" s="58">
        <v>30.9</v>
      </c>
      <c r="D2644" s="58">
        <v>2320.4</v>
      </c>
    </row>
    <row r="2645" spans="1:4">
      <c r="A2645" s="57">
        <v>7304</v>
      </c>
      <c r="B2645" s="57">
        <v>96033</v>
      </c>
      <c r="C2645" s="58">
        <v>0.5</v>
      </c>
      <c r="D2645" s="58">
        <v>4118.6000000000004</v>
      </c>
    </row>
    <row r="2646" spans="1:4">
      <c r="A2646" s="57">
        <v>7305</v>
      </c>
      <c r="B2646" s="57">
        <v>91291</v>
      </c>
      <c r="C2646" s="58">
        <v>20.6</v>
      </c>
      <c r="D2646" s="58">
        <v>2445.6999999999998</v>
      </c>
    </row>
    <row r="2647" spans="1:4">
      <c r="A2647" s="57">
        <v>7306</v>
      </c>
      <c r="B2647" s="57">
        <v>91291</v>
      </c>
      <c r="C2647" s="58">
        <v>20.6</v>
      </c>
      <c r="D2647" s="58">
        <v>2445.6999999999998</v>
      </c>
    </row>
    <row r="2648" spans="1:4">
      <c r="A2648" s="57">
        <v>7307</v>
      </c>
      <c r="B2648" s="57">
        <v>91126</v>
      </c>
      <c r="C2648" s="58">
        <v>54.4</v>
      </c>
      <c r="D2648" s="58">
        <v>1954.4</v>
      </c>
    </row>
    <row r="2649" spans="1:4">
      <c r="A2649" s="57">
        <v>7310</v>
      </c>
      <c r="B2649" s="57">
        <v>91126</v>
      </c>
      <c r="C2649" s="58">
        <v>54.4</v>
      </c>
      <c r="D2649" s="58">
        <v>1954.4</v>
      </c>
    </row>
    <row r="2650" spans="1:4">
      <c r="A2650" s="57">
        <v>7315</v>
      </c>
      <c r="B2650" s="57">
        <v>91291</v>
      </c>
      <c r="C2650" s="58">
        <v>20.6</v>
      </c>
      <c r="D2650" s="58">
        <v>2445.6999999999998</v>
      </c>
    </row>
    <row r="2651" spans="1:4">
      <c r="A2651" s="57">
        <v>7316</v>
      </c>
      <c r="B2651" s="57">
        <v>91107</v>
      </c>
      <c r="C2651" s="58">
        <v>46.9</v>
      </c>
      <c r="D2651" s="58">
        <v>2140.6</v>
      </c>
    </row>
    <row r="2652" spans="1:4">
      <c r="A2652" s="57">
        <v>7320</v>
      </c>
      <c r="B2652" s="57">
        <v>91107</v>
      </c>
      <c r="C2652" s="58">
        <v>46.9</v>
      </c>
      <c r="D2652" s="58">
        <v>2140.6</v>
      </c>
    </row>
    <row r="2653" spans="1:4">
      <c r="A2653" s="57">
        <v>7321</v>
      </c>
      <c r="B2653" s="57">
        <v>91107</v>
      </c>
      <c r="C2653" s="58">
        <v>46.9</v>
      </c>
      <c r="D2653" s="58">
        <v>2140.6</v>
      </c>
    </row>
    <row r="2654" spans="1:4">
      <c r="A2654" s="57">
        <v>7322</v>
      </c>
      <c r="B2654" s="57">
        <v>91107</v>
      </c>
      <c r="C2654" s="58">
        <v>46.9</v>
      </c>
      <c r="D2654" s="58">
        <v>2140.6</v>
      </c>
    </row>
    <row r="2655" spans="1:4">
      <c r="A2655" s="57">
        <v>7325</v>
      </c>
      <c r="B2655" s="57">
        <v>91107</v>
      </c>
      <c r="C2655" s="58">
        <v>46.9</v>
      </c>
      <c r="D2655" s="58">
        <v>2140.6</v>
      </c>
    </row>
    <row r="2656" spans="1:4">
      <c r="A2656" s="57">
        <v>7330</v>
      </c>
      <c r="B2656" s="57">
        <v>91223</v>
      </c>
      <c r="C2656" s="58">
        <v>54.6</v>
      </c>
      <c r="D2656" s="58">
        <v>1905.2</v>
      </c>
    </row>
    <row r="2657" spans="1:5">
      <c r="A2657" s="57">
        <v>7331</v>
      </c>
      <c r="B2657" s="57">
        <v>91292</v>
      </c>
      <c r="C2657" s="58">
        <v>50</v>
      </c>
      <c r="D2657" s="58">
        <v>2096.9</v>
      </c>
    </row>
    <row r="2658" spans="1:5">
      <c r="A2658" s="57">
        <v>7466</v>
      </c>
      <c r="B2658" s="57">
        <v>97072</v>
      </c>
      <c r="C2658" s="58">
        <v>18.399999999999999</v>
      </c>
      <c r="D2658" s="58">
        <v>2147.1</v>
      </c>
    </row>
    <row r="2659" spans="1:5">
      <c r="A2659" s="57">
        <v>7467</v>
      </c>
      <c r="B2659" s="57">
        <v>97072</v>
      </c>
      <c r="C2659" s="58">
        <v>18.399999999999999</v>
      </c>
      <c r="D2659" s="58">
        <v>2147.1</v>
      </c>
    </row>
    <row r="2660" spans="1:5">
      <c r="A2660" s="57">
        <v>7468</v>
      </c>
      <c r="B2660" s="57">
        <v>97072</v>
      </c>
      <c r="C2660" s="58">
        <v>18.399999999999999</v>
      </c>
      <c r="D2660" s="58">
        <v>2147.1</v>
      </c>
    </row>
    <row r="2661" spans="1:5">
      <c r="A2661" s="57">
        <v>7469</v>
      </c>
      <c r="B2661" s="57">
        <v>97072</v>
      </c>
      <c r="C2661" s="58">
        <v>18.399999999999999</v>
      </c>
      <c r="D2661" s="58">
        <v>2147.1</v>
      </c>
    </row>
    <row r="2662" spans="1:5" ht="13.8" thickBot="1">
      <c r="A2662" s="140">
        <v>7470</v>
      </c>
      <c r="B2662" s="140">
        <v>97072</v>
      </c>
      <c r="C2662" s="141">
        <v>18.399999999999999</v>
      </c>
      <c r="D2662" s="141">
        <v>2147.1</v>
      </c>
    </row>
    <row r="2663" spans="1:5" ht="13.8" thickTop="1">
      <c r="A2663" s="138" t="s">
        <v>2340</v>
      </c>
      <c r="B2663" s="138">
        <v>930120</v>
      </c>
      <c r="C2663" s="139">
        <v>145.5</v>
      </c>
      <c r="D2663" s="139">
        <v>1115.0999999999999</v>
      </c>
      <c r="E2663" s="56" t="s">
        <v>2341</v>
      </c>
    </row>
    <row r="2664" spans="1:5">
      <c r="A2664" s="136" t="s">
        <v>2342</v>
      </c>
      <c r="B2664" s="136">
        <v>930120</v>
      </c>
      <c r="C2664" s="137">
        <v>145.5</v>
      </c>
      <c r="D2664" s="137">
        <v>1115.0999999999999</v>
      </c>
    </row>
    <row r="2665" spans="1:5">
      <c r="A2665" s="136" t="s">
        <v>2343</v>
      </c>
      <c r="B2665" s="136">
        <v>930120</v>
      </c>
      <c r="C2665" s="137">
        <v>145.5</v>
      </c>
      <c r="D2665" s="137">
        <v>1115.0999999999999</v>
      </c>
    </row>
    <row r="2666" spans="1:5">
      <c r="A2666" s="136" t="s">
        <v>2344</v>
      </c>
      <c r="B2666" s="136">
        <v>930120</v>
      </c>
      <c r="C2666" s="137">
        <v>145.5</v>
      </c>
      <c r="D2666" s="137">
        <v>1115.0999999999999</v>
      </c>
    </row>
    <row r="2667" spans="1:5">
      <c r="A2667" s="136" t="s">
        <v>2345</v>
      </c>
      <c r="B2667" s="136">
        <v>930120</v>
      </c>
      <c r="C2667" s="137">
        <v>145.5</v>
      </c>
      <c r="D2667" s="137">
        <v>1115.0999999999999</v>
      </c>
    </row>
    <row r="2668" spans="1:5">
      <c r="A2668" s="136" t="s">
        <v>2346</v>
      </c>
      <c r="B2668" s="136">
        <v>930120</v>
      </c>
      <c r="C2668" s="137">
        <v>145.5</v>
      </c>
      <c r="D2668" s="137">
        <v>1115.0999999999999</v>
      </c>
    </row>
    <row r="2669" spans="1:5">
      <c r="A2669" s="136" t="s">
        <v>2347</v>
      </c>
      <c r="B2669" s="136">
        <v>930120</v>
      </c>
      <c r="C2669" s="137">
        <v>145.5</v>
      </c>
      <c r="D2669" s="137">
        <v>1115.0999999999999</v>
      </c>
    </row>
    <row r="2670" spans="1:5">
      <c r="A2670" s="136" t="s">
        <v>2348</v>
      </c>
      <c r="B2670" s="136">
        <v>930120</v>
      </c>
      <c r="C2670" s="137">
        <v>145.5</v>
      </c>
      <c r="D2670" s="137">
        <v>1115.0999999999999</v>
      </c>
    </row>
    <row r="2671" spans="1:5">
      <c r="A2671" s="136" t="s">
        <v>2349</v>
      </c>
      <c r="B2671" s="136">
        <v>930120</v>
      </c>
      <c r="C2671" s="137">
        <v>145.5</v>
      </c>
      <c r="D2671" s="137">
        <v>1115.0999999999999</v>
      </c>
    </row>
    <row r="2672" spans="1:5">
      <c r="A2672" s="136" t="s">
        <v>2350</v>
      </c>
      <c r="B2672" s="136">
        <v>930120</v>
      </c>
      <c r="C2672" s="137">
        <v>145.5</v>
      </c>
      <c r="D2672" s="137">
        <v>1115.0999999999999</v>
      </c>
    </row>
    <row r="2673" spans="1:4">
      <c r="A2673" s="136" t="s">
        <v>2351</v>
      </c>
      <c r="B2673" s="136">
        <v>930120</v>
      </c>
      <c r="C2673" s="137">
        <v>145.5</v>
      </c>
      <c r="D2673" s="137">
        <v>1115.0999999999999</v>
      </c>
    </row>
    <row r="2674" spans="1:4">
      <c r="A2674" s="136" t="s">
        <v>2352</v>
      </c>
      <c r="B2674" s="136">
        <v>930120</v>
      </c>
      <c r="C2674" s="137">
        <v>145.5</v>
      </c>
      <c r="D2674" s="137">
        <v>1115.0999999999999</v>
      </c>
    </row>
    <row r="2675" spans="1:4">
      <c r="A2675" s="136" t="s">
        <v>2353</v>
      </c>
      <c r="B2675" s="136">
        <v>930120</v>
      </c>
      <c r="C2675" s="137">
        <v>145.5</v>
      </c>
      <c r="D2675" s="137">
        <v>1115.0999999999999</v>
      </c>
    </row>
    <row r="2676" spans="1:4">
      <c r="A2676" s="136" t="s">
        <v>2354</v>
      </c>
      <c r="B2676" s="136">
        <v>930120</v>
      </c>
      <c r="C2676" s="137">
        <v>145.5</v>
      </c>
      <c r="D2676" s="137">
        <v>1115.0999999999999</v>
      </c>
    </row>
    <row r="2677" spans="1:4">
      <c r="A2677" s="136" t="s">
        <v>2355</v>
      </c>
      <c r="B2677" s="136">
        <v>930120</v>
      </c>
      <c r="C2677" s="137">
        <v>145.5</v>
      </c>
      <c r="D2677" s="137">
        <v>1115.0999999999999</v>
      </c>
    </row>
    <row r="2678" spans="1:4">
      <c r="A2678" s="136" t="s">
        <v>2356</v>
      </c>
      <c r="B2678" s="136">
        <v>930120</v>
      </c>
      <c r="C2678" s="137">
        <v>145.5</v>
      </c>
      <c r="D2678" s="137">
        <v>1115.0999999999999</v>
      </c>
    </row>
    <row r="2679" spans="1:4">
      <c r="A2679" s="136" t="s">
        <v>2357</v>
      </c>
      <c r="B2679" s="136">
        <v>930120</v>
      </c>
      <c r="C2679" s="137">
        <v>145.5</v>
      </c>
      <c r="D2679" s="137">
        <v>1115.0999999999999</v>
      </c>
    </row>
    <row r="2680" spans="1:4">
      <c r="A2680" s="136" t="s">
        <v>2358</v>
      </c>
      <c r="B2680" s="136">
        <v>931190</v>
      </c>
      <c r="C2680" s="137">
        <v>115.7</v>
      </c>
      <c r="D2680" s="137">
        <v>1222.0999999999999</v>
      </c>
    </row>
    <row r="2681" spans="1:4">
      <c r="A2681" s="136" t="s">
        <v>2359</v>
      </c>
      <c r="B2681" s="136">
        <v>931190</v>
      </c>
      <c r="C2681" s="137">
        <v>115.7</v>
      </c>
      <c r="D2681" s="137">
        <v>1222.0999999999999</v>
      </c>
    </row>
    <row r="2682" spans="1:4">
      <c r="A2682" s="136" t="s">
        <v>2360</v>
      </c>
      <c r="B2682" s="136">
        <v>931190</v>
      </c>
      <c r="C2682" s="137">
        <v>115.7</v>
      </c>
      <c r="D2682" s="137">
        <v>1222.0999999999999</v>
      </c>
    </row>
    <row r="2683" spans="1:4">
      <c r="A2683" s="136" t="s">
        <v>2361</v>
      </c>
      <c r="B2683" s="136">
        <v>931190</v>
      </c>
      <c r="C2683" s="137">
        <v>115.7</v>
      </c>
      <c r="D2683" s="137">
        <v>1222.0999999999999</v>
      </c>
    </row>
    <row r="2684" spans="1:4">
      <c r="A2684" s="136" t="s">
        <v>2362</v>
      </c>
      <c r="B2684" s="136">
        <v>931190</v>
      </c>
      <c r="C2684" s="137">
        <v>115.7</v>
      </c>
      <c r="D2684" s="137">
        <v>1222.0999999999999</v>
      </c>
    </row>
    <row r="2685" spans="1:4">
      <c r="A2685" s="136" t="s">
        <v>2363</v>
      </c>
      <c r="B2685" s="136">
        <v>931190</v>
      </c>
      <c r="C2685" s="137">
        <v>115.7</v>
      </c>
      <c r="D2685" s="137">
        <v>1222.0999999999999</v>
      </c>
    </row>
    <row r="2686" spans="1:4">
      <c r="A2686" s="136" t="s">
        <v>2364</v>
      </c>
      <c r="B2686" s="136">
        <v>931190</v>
      </c>
      <c r="C2686" s="137">
        <v>115.7</v>
      </c>
      <c r="D2686" s="137">
        <v>1222.0999999999999</v>
      </c>
    </row>
    <row r="2687" spans="1:4">
      <c r="A2687" s="136" t="s">
        <v>2365</v>
      </c>
      <c r="B2687" s="136">
        <v>931190</v>
      </c>
      <c r="C2687" s="137">
        <v>115.7</v>
      </c>
      <c r="D2687" s="137">
        <v>1222.0999999999999</v>
      </c>
    </row>
    <row r="2688" spans="1:4">
      <c r="A2688" s="136" t="s">
        <v>2366</v>
      </c>
      <c r="B2688" s="136">
        <v>931190</v>
      </c>
      <c r="C2688" s="137">
        <v>115.7</v>
      </c>
      <c r="D2688" s="137">
        <v>1222.0999999999999</v>
      </c>
    </row>
    <row r="2689" spans="1:4">
      <c r="A2689" s="136" t="s">
        <v>2367</v>
      </c>
      <c r="B2689" s="136">
        <v>931190</v>
      </c>
      <c r="C2689" s="137">
        <v>115.7</v>
      </c>
      <c r="D2689" s="137">
        <v>1222.0999999999999</v>
      </c>
    </row>
    <row r="2690" spans="1:4">
      <c r="A2690" s="136" t="s">
        <v>2368</v>
      </c>
      <c r="B2690" s="136">
        <v>931190</v>
      </c>
      <c r="C2690" s="137">
        <v>115.7</v>
      </c>
      <c r="D2690" s="137">
        <v>1222.0999999999999</v>
      </c>
    </row>
    <row r="2691" spans="1:4">
      <c r="A2691" s="136" t="s">
        <v>2369</v>
      </c>
      <c r="B2691" s="136">
        <v>931190</v>
      </c>
      <c r="C2691" s="137">
        <v>115.7</v>
      </c>
      <c r="D2691" s="137">
        <v>1222.0999999999999</v>
      </c>
    </row>
    <row r="2692" spans="1:4">
      <c r="A2692" s="136" t="s">
        <v>2370</v>
      </c>
      <c r="B2692" s="136">
        <v>931190</v>
      </c>
      <c r="C2692" s="137">
        <v>115.7</v>
      </c>
      <c r="D2692" s="137">
        <v>1222.0999999999999</v>
      </c>
    </row>
    <row r="2693" spans="1:4">
      <c r="A2693" s="136" t="s">
        <v>2371</v>
      </c>
      <c r="B2693" s="136">
        <v>931190</v>
      </c>
      <c r="C2693" s="137">
        <v>115.7</v>
      </c>
      <c r="D2693" s="137">
        <v>1222.0999999999999</v>
      </c>
    </row>
    <row r="2694" spans="1:4">
      <c r="A2694" s="136" t="s">
        <v>2372</v>
      </c>
      <c r="B2694" s="136">
        <v>931190</v>
      </c>
      <c r="C2694" s="137">
        <v>115.7</v>
      </c>
      <c r="D2694" s="137">
        <v>1222.0999999999999</v>
      </c>
    </row>
    <row r="2695" spans="1:4">
      <c r="A2695" s="136" t="s">
        <v>2373</v>
      </c>
      <c r="B2695" s="136">
        <v>931190</v>
      </c>
      <c r="C2695" s="137">
        <v>115.7</v>
      </c>
      <c r="D2695" s="137">
        <v>1222.0999999999999</v>
      </c>
    </row>
    <row r="2696" spans="1:4">
      <c r="A2696" s="136" t="s">
        <v>2374</v>
      </c>
      <c r="B2696" s="136">
        <v>931190</v>
      </c>
      <c r="C2696" s="137">
        <v>115.7</v>
      </c>
      <c r="D2696" s="137">
        <v>1222.0999999999999</v>
      </c>
    </row>
    <row r="2697" spans="1:4">
      <c r="A2697" s="136" t="s">
        <v>2375</v>
      </c>
      <c r="B2697" s="136">
        <v>931190</v>
      </c>
      <c r="C2697" s="137">
        <v>115.7</v>
      </c>
      <c r="D2697" s="137">
        <v>1222.0999999999999</v>
      </c>
    </row>
    <row r="2698" spans="1:4">
      <c r="A2698" s="136" t="s">
        <v>2376</v>
      </c>
      <c r="B2698" s="136">
        <v>931190</v>
      </c>
      <c r="C2698" s="137">
        <v>115.7</v>
      </c>
      <c r="D2698" s="137">
        <v>1222.0999999999999</v>
      </c>
    </row>
    <row r="2699" spans="1:4">
      <c r="A2699" s="136" t="s">
        <v>2377</v>
      </c>
      <c r="B2699" s="136">
        <v>931190</v>
      </c>
      <c r="C2699" s="137">
        <v>115.7</v>
      </c>
      <c r="D2699" s="137">
        <v>1222.0999999999999</v>
      </c>
    </row>
    <row r="2700" spans="1:4">
      <c r="A2700" s="136" t="s">
        <v>2378</v>
      </c>
      <c r="B2700" s="136">
        <v>931190</v>
      </c>
      <c r="C2700" s="137">
        <v>115.7</v>
      </c>
      <c r="D2700" s="137">
        <v>1222.0999999999999</v>
      </c>
    </row>
    <row r="2701" spans="1:4">
      <c r="A2701" s="136" t="s">
        <v>2379</v>
      </c>
      <c r="B2701" s="136">
        <v>931190</v>
      </c>
      <c r="C2701" s="137">
        <v>115.7</v>
      </c>
      <c r="D2701" s="137">
        <v>1222.0999999999999</v>
      </c>
    </row>
    <row r="2702" spans="1:4">
      <c r="A2702" s="136" t="s">
        <v>2380</v>
      </c>
      <c r="B2702" s="136">
        <v>931190</v>
      </c>
      <c r="C2702" s="137">
        <v>115.7</v>
      </c>
      <c r="D2702" s="137">
        <v>1222.0999999999999</v>
      </c>
    </row>
    <row r="2703" spans="1:4">
      <c r="A2703" s="136" t="s">
        <v>2381</v>
      </c>
      <c r="B2703" s="136">
        <v>931190</v>
      </c>
      <c r="C2703" s="137">
        <v>115.7</v>
      </c>
      <c r="D2703" s="137">
        <v>1222.0999999999999</v>
      </c>
    </row>
    <row r="2704" spans="1:4">
      <c r="A2704" s="136" t="s">
        <v>2382</v>
      </c>
      <c r="B2704" s="136">
        <v>931190</v>
      </c>
      <c r="C2704" s="137">
        <v>115.7</v>
      </c>
      <c r="D2704" s="137">
        <v>1222.0999999999999</v>
      </c>
    </row>
    <row r="2705" spans="1:4">
      <c r="A2705" s="136" t="s">
        <v>2383</v>
      </c>
      <c r="B2705" s="136">
        <v>931190</v>
      </c>
      <c r="C2705" s="137">
        <v>115.7</v>
      </c>
      <c r="D2705" s="137">
        <v>1222.0999999999999</v>
      </c>
    </row>
    <row r="2706" spans="1:4">
      <c r="A2706" s="136" t="s">
        <v>2384</v>
      </c>
      <c r="B2706" s="136">
        <v>931190</v>
      </c>
      <c r="C2706" s="137">
        <v>115.7</v>
      </c>
      <c r="D2706" s="137">
        <v>1222.0999999999999</v>
      </c>
    </row>
    <row r="2707" spans="1:4">
      <c r="A2707" s="136" t="s">
        <v>2385</v>
      </c>
      <c r="B2707" s="136">
        <v>931190</v>
      </c>
      <c r="C2707" s="137">
        <v>115.7</v>
      </c>
      <c r="D2707" s="137">
        <v>1222.0999999999999</v>
      </c>
    </row>
    <row r="2708" spans="1:4">
      <c r="A2708" s="136" t="s">
        <v>2386</v>
      </c>
      <c r="B2708" s="136">
        <v>931190</v>
      </c>
      <c r="C2708" s="137">
        <v>115.7</v>
      </c>
      <c r="D2708" s="137">
        <v>1222.0999999999999</v>
      </c>
    </row>
    <row r="2709" spans="1:4">
      <c r="A2709" s="136" t="s">
        <v>2387</v>
      </c>
      <c r="B2709" s="136">
        <v>931190</v>
      </c>
      <c r="C2709" s="137">
        <v>115.7</v>
      </c>
      <c r="D2709" s="137">
        <v>1222.0999999999999</v>
      </c>
    </row>
    <row r="2710" spans="1:4">
      <c r="A2710" s="136" t="s">
        <v>2388</v>
      </c>
      <c r="B2710" s="136">
        <v>931190</v>
      </c>
      <c r="C2710" s="137">
        <v>115.7</v>
      </c>
      <c r="D2710" s="137">
        <v>1222.0999999999999</v>
      </c>
    </row>
    <row r="2711" spans="1:4">
      <c r="A2711" s="136" t="s">
        <v>2389</v>
      </c>
      <c r="B2711" s="136">
        <v>931190</v>
      </c>
      <c r="C2711" s="137">
        <v>115.7</v>
      </c>
      <c r="D2711" s="137">
        <v>1222.0999999999999</v>
      </c>
    </row>
    <row r="2712" spans="1:4">
      <c r="A2712" s="136" t="s">
        <v>2390</v>
      </c>
      <c r="B2712" s="136">
        <v>931190</v>
      </c>
      <c r="C2712" s="137">
        <v>115.7</v>
      </c>
      <c r="D2712" s="137">
        <v>1222.0999999999999</v>
      </c>
    </row>
    <row r="2713" spans="1:4">
      <c r="A2713" s="136" t="s">
        <v>2391</v>
      </c>
      <c r="B2713" s="136">
        <v>931190</v>
      </c>
      <c r="C2713" s="137">
        <v>115.7</v>
      </c>
      <c r="D2713" s="137">
        <v>1222.0999999999999</v>
      </c>
    </row>
    <row r="2714" spans="1:4">
      <c r="A2714" s="136" t="s">
        <v>2392</v>
      </c>
      <c r="B2714" s="136">
        <v>931190</v>
      </c>
      <c r="C2714" s="137">
        <v>115.7</v>
      </c>
      <c r="D2714" s="137">
        <v>1222.0999999999999</v>
      </c>
    </row>
    <row r="2715" spans="1:4">
      <c r="A2715" s="136" t="s">
        <v>2393</v>
      </c>
      <c r="B2715" s="136">
        <v>931190</v>
      </c>
      <c r="C2715" s="137">
        <v>115.7</v>
      </c>
      <c r="D2715" s="137">
        <v>1222.0999999999999</v>
      </c>
    </row>
    <row r="2716" spans="1:4">
      <c r="A2716" s="136" t="s">
        <v>2394</v>
      </c>
      <c r="B2716" s="136">
        <v>931190</v>
      </c>
      <c r="C2716" s="137">
        <v>115.7</v>
      </c>
      <c r="D2716" s="137">
        <v>1222.0999999999999</v>
      </c>
    </row>
    <row r="2717" spans="1:4">
      <c r="A2717" s="136" t="s">
        <v>2395</v>
      </c>
      <c r="B2717" s="136">
        <v>931190</v>
      </c>
      <c r="C2717" s="137">
        <v>115.7</v>
      </c>
      <c r="D2717" s="137">
        <v>1222.0999999999999</v>
      </c>
    </row>
    <row r="2718" spans="1:4">
      <c r="A2718" s="136" t="s">
        <v>2396</v>
      </c>
      <c r="B2718" s="136">
        <v>931190</v>
      </c>
      <c r="C2718" s="137">
        <v>115.7</v>
      </c>
      <c r="D2718" s="137">
        <v>1222.0999999999999</v>
      </c>
    </row>
    <row r="2719" spans="1:4">
      <c r="A2719" s="136" t="s">
        <v>2397</v>
      </c>
      <c r="B2719" s="136">
        <v>931190</v>
      </c>
      <c r="C2719" s="137">
        <v>115.7</v>
      </c>
      <c r="D2719" s="137">
        <v>1222.0999999999999</v>
      </c>
    </row>
    <row r="2720" spans="1:4">
      <c r="A2720" s="136" t="s">
        <v>2398</v>
      </c>
      <c r="B2720" s="136">
        <v>931190</v>
      </c>
      <c r="C2720" s="137">
        <v>115.7</v>
      </c>
      <c r="D2720" s="137">
        <v>1222.0999999999999</v>
      </c>
    </row>
    <row r="2721" spans="1:4">
      <c r="A2721" s="136" t="s">
        <v>2399</v>
      </c>
      <c r="B2721" s="136">
        <v>931190</v>
      </c>
      <c r="C2721" s="137">
        <v>115.7</v>
      </c>
      <c r="D2721" s="137">
        <v>1222.0999999999999</v>
      </c>
    </row>
    <row r="2722" spans="1:4">
      <c r="A2722" s="136" t="s">
        <v>2400</v>
      </c>
      <c r="B2722" s="136">
        <v>931190</v>
      </c>
      <c r="C2722" s="137">
        <v>115.7</v>
      </c>
      <c r="D2722" s="137">
        <v>1222.0999999999999</v>
      </c>
    </row>
    <row r="2723" spans="1:4">
      <c r="A2723" s="136" t="s">
        <v>2401</v>
      </c>
      <c r="B2723" s="136">
        <v>931190</v>
      </c>
      <c r="C2723" s="137">
        <v>115.7</v>
      </c>
      <c r="D2723" s="137">
        <v>1222.0999999999999</v>
      </c>
    </row>
    <row r="2724" spans="1:4">
      <c r="A2724" s="136" t="s">
        <v>2402</v>
      </c>
      <c r="B2724" s="136">
        <v>931190</v>
      </c>
      <c r="C2724" s="137">
        <v>115.7</v>
      </c>
      <c r="D2724" s="137">
        <v>1222.0999999999999</v>
      </c>
    </row>
    <row r="2725" spans="1:4">
      <c r="A2725" s="136" t="s">
        <v>2403</v>
      </c>
      <c r="B2725" s="136">
        <v>931190</v>
      </c>
      <c r="C2725" s="137">
        <v>115.7</v>
      </c>
      <c r="D2725" s="137">
        <v>1222.0999999999999</v>
      </c>
    </row>
    <row r="2726" spans="1:4">
      <c r="A2726" s="136" t="s">
        <v>2404</v>
      </c>
      <c r="B2726" s="136">
        <v>931190</v>
      </c>
      <c r="C2726" s="137">
        <v>115.7</v>
      </c>
      <c r="D2726" s="137">
        <v>1222.0999999999999</v>
      </c>
    </row>
    <row r="2727" spans="1:4">
      <c r="A2727" s="136" t="s">
        <v>2405</v>
      </c>
      <c r="B2727" s="136">
        <v>931190</v>
      </c>
      <c r="C2727" s="137">
        <v>115.7</v>
      </c>
      <c r="D2727" s="137">
        <v>1222.0999999999999</v>
      </c>
    </row>
    <row r="2728" spans="1:4">
      <c r="A2728" s="136" t="s">
        <v>2406</v>
      </c>
      <c r="B2728" s="136">
        <v>931190</v>
      </c>
      <c r="C2728" s="137">
        <v>115.7</v>
      </c>
      <c r="D2728" s="137">
        <v>1222.0999999999999</v>
      </c>
    </row>
    <row r="2729" spans="1:4">
      <c r="A2729" s="136" t="s">
        <v>2407</v>
      </c>
      <c r="B2729" s="136">
        <v>931190</v>
      </c>
      <c r="C2729" s="137">
        <v>115.7</v>
      </c>
      <c r="D2729" s="137">
        <v>1222.0999999999999</v>
      </c>
    </row>
    <row r="2730" spans="1:4">
      <c r="A2730" s="136" t="s">
        <v>2408</v>
      </c>
      <c r="B2730" s="136">
        <v>931190</v>
      </c>
      <c r="C2730" s="137">
        <v>115.7</v>
      </c>
      <c r="D2730" s="137">
        <v>1222.0999999999999</v>
      </c>
    </row>
    <row r="2731" spans="1:4">
      <c r="A2731" s="136" t="s">
        <v>2409</v>
      </c>
      <c r="B2731" s="136">
        <v>931190</v>
      </c>
      <c r="C2731" s="137">
        <v>115.7</v>
      </c>
      <c r="D2731" s="137">
        <v>1222.0999999999999</v>
      </c>
    </row>
    <row r="2732" spans="1:4">
      <c r="A2732" s="136" t="s">
        <v>2410</v>
      </c>
      <c r="B2732" s="136">
        <v>931190</v>
      </c>
      <c r="C2732" s="137">
        <v>115.7</v>
      </c>
      <c r="D2732" s="137">
        <v>1222.0999999999999</v>
      </c>
    </row>
    <row r="2733" spans="1:4">
      <c r="A2733" s="136" t="s">
        <v>2411</v>
      </c>
      <c r="B2733" s="136">
        <v>931190</v>
      </c>
      <c r="C2733" s="137">
        <v>115.7</v>
      </c>
      <c r="D2733" s="137">
        <v>1222.0999999999999</v>
      </c>
    </row>
    <row r="2734" spans="1:4">
      <c r="A2734" s="136" t="s">
        <v>2412</v>
      </c>
      <c r="B2734" s="136">
        <v>931190</v>
      </c>
      <c r="C2734" s="137">
        <v>115.7</v>
      </c>
      <c r="D2734" s="137">
        <v>1222.0999999999999</v>
      </c>
    </row>
    <row r="2735" spans="1:4">
      <c r="A2735" s="136" t="s">
        <v>2413</v>
      </c>
      <c r="B2735" s="136">
        <v>931190</v>
      </c>
      <c r="C2735" s="137">
        <v>115.7</v>
      </c>
      <c r="D2735" s="137">
        <v>1222.0999999999999</v>
      </c>
    </row>
    <row r="2736" spans="1:4">
      <c r="A2736" s="136" t="s">
        <v>2414</v>
      </c>
      <c r="B2736" s="136">
        <v>931190</v>
      </c>
      <c r="C2736" s="137">
        <v>115.7</v>
      </c>
      <c r="D2736" s="137">
        <v>1222.0999999999999</v>
      </c>
    </row>
    <row r="2737" spans="1:4">
      <c r="A2737" s="136" t="s">
        <v>2415</v>
      </c>
      <c r="B2737" s="136">
        <v>931190</v>
      </c>
      <c r="C2737" s="137">
        <v>115.7</v>
      </c>
      <c r="D2737" s="137">
        <v>1222.0999999999999</v>
      </c>
    </row>
    <row r="2738" spans="1:4">
      <c r="A2738" s="136" t="s">
        <v>2416</v>
      </c>
      <c r="B2738" s="136">
        <v>931190</v>
      </c>
      <c r="C2738" s="137">
        <v>115.7</v>
      </c>
      <c r="D2738" s="137">
        <v>1222.0999999999999</v>
      </c>
    </row>
    <row r="2739" spans="1:4">
      <c r="A2739" s="136" t="s">
        <v>2417</v>
      </c>
      <c r="B2739" s="136">
        <v>931190</v>
      </c>
      <c r="C2739" s="137">
        <v>115.7</v>
      </c>
      <c r="D2739" s="137">
        <v>1222.0999999999999</v>
      </c>
    </row>
    <row r="2740" spans="1:4">
      <c r="A2740" s="136" t="s">
        <v>2418</v>
      </c>
      <c r="B2740" s="136">
        <v>931190</v>
      </c>
      <c r="C2740" s="137">
        <v>115.7</v>
      </c>
      <c r="D2740" s="137">
        <v>1222.0999999999999</v>
      </c>
    </row>
    <row r="2741" spans="1:4">
      <c r="A2741" s="136" t="s">
        <v>2419</v>
      </c>
      <c r="B2741" s="136">
        <v>931190</v>
      </c>
      <c r="C2741" s="137">
        <v>115.7</v>
      </c>
      <c r="D2741" s="137">
        <v>1222.0999999999999</v>
      </c>
    </row>
    <row r="2742" spans="1:4">
      <c r="A2742" s="136" t="s">
        <v>2420</v>
      </c>
      <c r="B2742" s="136">
        <v>931190</v>
      </c>
      <c r="C2742" s="137">
        <v>115.7</v>
      </c>
      <c r="D2742" s="137">
        <v>1222.0999999999999</v>
      </c>
    </row>
    <row r="2743" spans="1:4">
      <c r="A2743" s="136" t="s">
        <v>2421</v>
      </c>
      <c r="B2743" s="136">
        <v>931190</v>
      </c>
      <c r="C2743" s="137">
        <v>115.7</v>
      </c>
      <c r="D2743" s="137">
        <v>1222.0999999999999</v>
      </c>
    </row>
    <row r="2744" spans="1:4">
      <c r="A2744" s="136" t="s">
        <v>2422</v>
      </c>
      <c r="B2744" s="136">
        <v>931190</v>
      </c>
      <c r="C2744" s="137">
        <v>115.7</v>
      </c>
      <c r="D2744" s="137">
        <v>1222.0999999999999</v>
      </c>
    </row>
    <row r="2745" spans="1:4">
      <c r="A2745" s="136" t="s">
        <v>2423</v>
      </c>
      <c r="B2745" s="136">
        <v>931190</v>
      </c>
      <c r="C2745" s="137">
        <v>115.7</v>
      </c>
      <c r="D2745" s="137">
        <v>1222.0999999999999</v>
      </c>
    </row>
    <row r="2746" spans="1:4">
      <c r="A2746" s="136" t="s">
        <v>2424</v>
      </c>
      <c r="B2746" s="136">
        <v>931190</v>
      </c>
      <c r="C2746" s="137">
        <v>115.7</v>
      </c>
      <c r="D2746" s="137">
        <v>1222.0999999999999</v>
      </c>
    </row>
    <row r="2747" spans="1:4">
      <c r="A2747" s="136" t="s">
        <v>2425</v>
      </c>
      <c r="B2747" s="136">
        <v>932470</v>
      </c>
      <c r="C2747" s="137">
        <v>34.9</v>
      </c>
      <c r="D2747" s="137">
        <v>2224</v>
      </c>
    </row>
    <row r="2748" spans="1:4">
      <c r="A2748" s="136" t="s">
        <v>2426</v>
      </c>
      <c r="B2748" s="136">
        <v>932470</v>
      </c>
      <c r="C2748" s="137">
        <v>34.9</v>
      </c>
      <c r="D2748" s="137">
        <v>2224</v>
      </c>
    </row>
    <row r="2749" spans="1:4">
      <c r="A2749" s="136" t="s">
        <v>2427</v>
      </c>
      <c r="B2749" s="136">
        <v>932470</v>
      </c>
      <c r="C2749" s="137">
        <v>34.9</v>
      </c>
      <c r="D2749" s="137">
        <v>2224</v>
      </c>
    </row>
    <row r="2750" spans="1:4">
      <c r="A2750" s="136" t="s">
        <v>2428</v>
      </c>
      <c r="B2750" s="136">
        <v>931850</v>
      </c>
      <c r="C2750" s="137">
        <v>123.8</v>
      </c>
      <c r="D2750" s="137">
        <v>1369.9</v>
      </c>
    </row>
    <row r="2751" spans="1:4">
      <c r="A2751" s="136" t="s">
        <v>2429</v>
      </c>
      <c r="B2751" s="136">
        <v>931850</v>
      </c>
      <c r="C2751" s="137">
        <v>123.8</v>
      </c>
      <c r="D2751" s="137">
        <v>1369.9</v>
      </c>
    </row>
    <row r="2752" spans="1:4">
      <c r="A2752" s="136" t="s">
        <v>2430</v>
      </c>
      <c r="B2752" s="136">
        <v>931850</v>
      </c>
      <c r="C2752" s="137">
        <v>123.8</v>
      </c>
      <c r="D2752" s="137">
        <v>1369.9</v>
      </c>
    </row>
    <row r="2753" spans="1:4">
      <c r="A2753" s="136" t="s">
        <v>2431</v>
      </c>
      <c r="B2753" s="136">
        <v>931850</v>
      </c>
      <c r="C2753" s="137">
        <v>123.8</v>
      </c>
      <c r="D2753" s="137">
        <v>1369.9</v>
      </c>
    </row>
    <row r="2754" spans="1:4">
      <c r="A2754" s="136" t="s">
        <v>2432</v>
      </c>
      <c r="B2754" s="136">
        <v>931850</v>
      </c>
      <c r="C2754" s="137">
        <v>123.8</v>
      </c>
      <c r="D2754" s="137">
        <v>1369.9</v>
      </c>
    </row>
    <row r="2755" spans="1:4">
      <c r="A2755" s="136" t="s">
        <v>2433</v>
      </c>
      <c r="B2755" s="136">
        <v>931850</v>
      </c>
      <c r="C2755" s="137">
        <v>123.8</v>
      </c>
      <c r="D2755" s="137">
        <v>1369.9</v>
      </c>
    </row>
    <row r="2756" spans="1:4">
      <c r="A2756" s="136" t="s">
        <v>2434</v>
      </c>
      <c r="B2756" s="136">
        <v>931850</v>
      </c>
      <c r="C2756" s="137">
        <v>123.8</v>
      </c>
      <c r="D2756" s="137">
        <v>1369.9</v>
      </c>
    </row>
    <row r="2757" spans="1:4">
      <c r="A2757" s="136" t="s">
        <v>2435</v>
      </c>
      <c r="B2757" s="136">
        <v>931850</v>
      </c>
      <c r="C2757" s="137">
        <v>123.8</v>
      </c>
      <c r="D2757" s="137">
        <v>1369.9</v>
      </c>
    </row>
    <row r="2758" spans="1:4">
      <c r="A2758" s="136" t="s">
        <v>2436</v>
      </c>
      <c r="B2758" s="136">
        <v>931850</v>
      </c>
      <c r="C2758" s="137">
        <v>123.8</v>
      </c>
      <c r="D2758" s="137">
        <v>1369.9</v>
      </c>
    </row>
    <row r="2759" spans="1:4">
      <c r="A2759" s="136" t="s">
        <v>2437</v>
      </c>
      <c r="B2759" s="136">
        <v>931850</v>
      </c>
      <c r="C2759" s="137">
        <v>123.8</v>
      </c>
      <c r="D2759" s="137">
        <v>1369.9</v>
      </c>
    </row>
    <row r="2760" spans="1:4">
      <c r="A2760" s="136" t="s">
        <v>2438</v>
      </c>
      <c r="B2760" s="136">
        <v>931850</v>
      </c>
      <c r="C2760" s="137">
        <v>123.8</v>
      </c>
      <c r="D2760" s="137">
        <v>1369.9</v>
      </c>
    </row>
    <row r="2761" spans="1:4">
      <c r="A2761" s="136" t="s">
        <v>2439</v>
      </c>
      <c r="B2761" s="136">
        <v>931850</v>
      </c>
      <c r="C2761" s="137">
        <v>123.8</v>
      </c>
      <c r="D2761" s="137">
        <v>1369.9</v>
      </c>
    </row>
    <row r="2762" spans="1:4">
      <c r="A2762" s="136" t="s">
        <v>2440</v>
      </c>
      <c r="B2762" s="136">
        <v>931850</v>
      </c>
      <c r="C2762" s="137">
        <v>123.8</v>
      </c>
      <c r="D2762" s="137">
        <v>1369.9</v>
      </c>
    </row>
    <row r="2763" spans="1:4">
      <c r="A2763" s="136" t="s">
        <v>2441</v>
      </c>
      <c r="B2763" s="136">
        <v>931730</v>
      </c>
      <c r="C2763" s="137">
        <v>74.099999999999994</v>
      </c>
      <c r="D2763" s="137">
        <v>1839.2</v>
      </c>
    </row>
    <row r="2764" spans="1:4">
      <c r="A2764" s="136" t="s">
        <v>2442</v>
      </c>
      <c r="B2764" s="136">
        <v>931730</v>
      </c>
      <c r="C2764" s="137">
        <v>74.099999999999994</v>
      </c>
      <c r="D2764" s="137">
        <v>1839.2</v>
      </c>
    </row>
    <row r="2765" spans="1:4">
      <c r="A2765" s="136" t="s">
        <v>2443</v>
      </c>
      <c r="B2765" s="136">
        <v>931730</v>
      </c>
      <c r="C2765" s="137">
        <v>74.099999999999994</v>
      </c>
      <c r="D2765" s="137">
        <v>1839.2</v>
      </c>
    </row>
    <row r="2766" spans="1:4">
      <c r="A2766" s="136" t="s">
        <v>2444</v>
      </c>
      <c r="B2766" s="136">
        <v>931730</v>
      </c>
      <c r="C2766" s="137">
        <v>74.099999999999994</v>
      </c>
      <c r="D2766" s="137">
        <v>1839.2</v>
      </c>
    </row>
    <row r="2767" spans="1:4">
      <c r="A2767" s="136" t="s">
        <v>2445</v>
      </c>
      <c r="B2767" s="136">
        <v>931730</v>
      </c>
      <c r="C2767" s="137">
        <v>74.099999999999994</v>
      </c>
      <c r="D2767" s="137">
        <v>1839.2</v>
      </c>
    </row>
    <row r="2768" spans="1:4">
      <c r="A2768" s="136" t="s">
        <v>2446</v>
      </c>
      <c r="B2768" s="136">
        <v>931730</v>
      </c>
      <c r="C2768" s="137">
        <v>74.099999999999994</v>
      </c>
      <c r="D2768" s="137">
        <v>1839.2</v>
      </c>
    </row>
    <row r="2769" spans="1:4">
      <c r="A2769" s="136" t="s">
        <v>2447</v>
      </c>
      <c r="B2769" s="136">
        <v>931730</v>
      </c>
      <c r="C2769" s="137">
        <v>74.099999999999994</v>
      </c>
      <c r="D2769" s="137">
        <v>1839.2</v>
      </c>
    </row>
    <row r="2770" spans="1:4">
      <c r="A2770" s="136" t="s">
        <v>2448</v>
      </c>
      <c r="B2770" s="136">
        <v>931730</v>
      </c>
      <c r="C2770" s="137">
        <v>74.099999999999994</v>
      </c>
      <c r="D2770" s="137">
        <v>1839.2</v>
      </c>
    </row>
    <row r="2771" spans="1:4">
      <c r="A2771" s="136" t="s">
        <v>2449</v>
      </c>
      <c r="B2771" s="136">
        <v>931730</v>
      </c>
      <c r="C2771" s="137">
        <v>74.099999999999994</v>
      </c>
      <c r="D2771" s="137">
        <v>1839.2</v>
      </c>
    </row>
    <row r="2772" spans="1:4">
      <c r="A2772" s="136" t="s">
        <v>2450</v>
      </c>
      <c r="B2772" s="136">
        <v>931730</v>
      </c>
      <c r="C2772" s="137">
        <v>74.099999999999994</v>
      </c>
      <c r="D2772" s="137">
        <v>1839.2</v>
      </c>
    </row>
    <row r="2773" spans="1:4">
      <c r="A2773" s="136" t="s">
        <v>2451</v>
      </c>
      <c r="B2773" s="136">
        <v>931730</v>
      </c>
      <c r="C2773" s="137">
        <v>74.099999999999994</v>
      </c>
      <c r="D2773" s="137">
        <v>1839.2</v>
      </c>
    </row>
    <row r="2774" spans="1:4">
      <c r="A2774" s="136" t="s">
        <v>2452</v>
      </c>
      <c r="B2774" s="136">
        <v>932450</v>
      </c>
      <c r="C2774" s="137">
        <v>36.799999999999997</v>
      </c>
      <c r="D2774" s="137">
        <v>2447.1</v>
      </c>
    </row>
    <row r="2775" spans="1:4">
      <c r="A2775" s="136" t="s">
        <v>2453</v>
      </c>
      <c r="B2775" s="136">
        <v>932450</v>
      </c>
      <c r="C2775" s="137">
        <v>36.799999999999997</v>
      </c>
      <c r="D2775" s="137">
        <v>2447.1</v>
      </c>
    </row>
    <row r="2776" spans="1:4">
      <c r="A2776" s="136" t="s">
        <v>2454</v>
      </c>
      <c r="B2776" s="136">
        <v>932450</v>
      </c>
      <c r="C2776" s="137">
        <v>36.799999999999997</v>
      </c>
      <c r="D2776" s="137">
        <v>2447.1</v>
      </c>
    </row>
    <row r="2777" spans="1:4">
      <c r="A2777" s="136" t="s">
        <v>2455</v>
      </c>
      <c r="B2777" s="136">
        <v>932450</v>
      </c>
      <c r="C2777" s="137">
        <v>36.799999999999997</v>
      </c>
      <c r="D2777" s="137">
        <v>2447.1</v>
      </c>
    </row>
    <row r="2778" spans="1:4">
      <c r="A2778" s="136" t="s">
        <v>2456</v>
      </c>
      <c r="B2778" s="136">
        <v>932450</v>
      </c>
      <c r="C2778" s="137">
        <v>36.799999999999997</v>
      </c>
      <c r="D2778" s="137">
        <v>2447.1</v>
      </c>
    </row>
    <row r="2779" spans="1:4">
      <c r="A2779" s="136" t="s">
        <v>2457</v>
      </c>
      <c r="B2779" s="136">
        <v>932450</v>
      </c>
      <c r="C2779" s="137">
        <v>36.799999999999997</v>
      </c>
      <c r="D2779" s="137">
        <v>2447.1</v>
      </c>
    </row>
    <row r="2780" spans="1:4">
      <c r="A2780" s="136" t="s">
        <v>2458</v>
      </c>
      <c r="B2780" s="136">
        <v>932450</v>
      </c>
      <c r="C2780" s="137">
        <v>36.799999999999997</v>
      </c>
      <c r="D2780" s="137">
        <v>2447.1</v>
      </c>
    </row>
    <row r="2781" spans="1:4">
      <c r="A2781" s="136" t="s">
        <v>2459</v>
      </c>
      <c r="B2781" s="136">
        <v>932450</v>
      </c>
      <c r="C2781" s="137">
        <v>36.799999999999997</v>
      </c>
      <c r="D2781" s="137">
        <v>2447.1</v>
      </c>
    </row>
    <row r="2782" spans="1:4">
      <c r="A2782" s="136" t="s">
        <v>2460</v>
      </c>
      <c r="B2782" s="136">
        <v>932450</v>
      </c>
      <c r="C2782" s="137">
        <v>36.799999999999997</v>
      </c>
      <c r="D2782" s="137">
        <v>2447.1</v>
      </c>
    </row>
    <row r="2783" spans="1:4">
      <c r="A2783" s="136" t="s">
        <v>2461</v>
      </c>
      <c r="B2783" s="136">
        <v>932450</v>
      </c>
      <c r="C2783" s="137">
        <v>36.799999999999997</v>
      </c>
      <c r="D2783" s="137">
        <v>2447.1</v>
      </c>
    </row>
    <row r="2784" spans="1:4">
      <c r="A2784" s="136" t="s">
        <v>2462</v>
      </c>
      <c r="B2784" s="136">
        <v>931730</v>
      </c>
      <c r="C2784" s="137">
        <v>74.099999999999994</v>
      </c>
      <c r="D2784" s="137">
        <v>1839.2</v>
      </c>
    </row>
    <row r="2785" spans="1:4">
      <c r="A2785" s="136" t="s">
        <v>2463</v>
      </c>
      <c r="B2785" s="136">
        <v>931730</v>
      </c>
      <c r="C2785" s="137">
        <v>74.099999999999994</v>
      </c>
      <c r="D2785" s="137">
        <v>1839.2</v>
      </c>
    </row>
    <row r="2786" spans="1:4">
      <c r="A2786" s="136" t="s">
        <v>2464</v>
      </c>
      <c r="B2786" s="136">
        <v>931850</v>
      </c>
      <c r="C2786" s="137">
        <v>123.8</v>
      </c>
      <c r="D2786" s="137">
        <v>1369.9</v>
      </c>
    </row>
    <row r="2787" spans="1:4">
      <c r="A2787" s="136" t="s">
        <v>2465</v>
      </c>
      <c r="B2787" s="136">
        <v>931190</v>
      </c>
      <c r="C2787" s="137">
        <v>115.7</v>
      </c>
      <c r="D2787" s="137">
        <v>1222.0999999999999</v>
      </c>
    </row>
    <row r="2788" spans="1:4">
      <c r="A2788" s="136" t="s">
        <v>2466</v>
      </c>
      <c r="B2788" s="136">
        <v>931850</v>
      </c>
      <c r="C2788" s="137">
        <v>123.8</v>
      </c>
      <c r="D2788" s="137">
        <v>1369.9</v>
      </c>
    </row>
    <row r="2789" spans="1:4">
      <c r="A2789" s="136" t="s">
        <v>2467</v>
      </c>
      <c r="B2789" s="136">
        <v>931850</v>
      </c>
      <c r="C2789" s="137">
        <v>123.8</v>
      </c>
      <c r="D2789" s="137">
        <v>1369.9</v>
      </c>
    </row>
    <row r="2790" spans="1:4">
      <c r="A2790" s="136" t="s">
        <v>2468</v>
      </c>
      <c r="B2790" s="136">
        <v>931850</v>
      </c>
      <c r="C2790" s="137">
        <v>123.8</v>
      </c>
      <c r="D2790" s="137">
        <v>1369.9</v>
      </c>
    </row>
    <row r="2791" spans="1:4">
      <c r="A2791" s="136" t="s">
        <v>2469</v>
      </c>
      <c r="B2791" s="136">
        <v>931190</v>
      </c>
      <c r="C2791" s="137">
        <v>115.7</v>
      </c>
      <c r="D2791" s="137">
        <v>1222.0999999999999</v>
      </c>
    </row>
    <row r="2792" spans="1:4">
      <c r="A2792" s="136" t="s">
        <v>2470</v>
      </c>
      <c r="B2792" s="136">
        <v>931190</v>
      </c>
      <c r="C2792" s="137">
        <v>115.7</v>
      </c>
      <c r="D2792" s="137">
        <v>1222.0999999999999</v>
      </c>
    </row>
    <row r="2793" spans="1:4">
      <c r="A2793" s="136" t="s">
        <v>2471</v>
      </c>
      <c r="B2793" s="136">
        <v>931850</v>
      </c>
      <c r="C2793" s="137">
        <v>123.8</v>
      </c>
      <c r="D2793" s="137">
        <v>1369.9</v>
      </c>
    </row>
    <row r="2794" spans="1:4">
      <c r="A2794" s="136" t="s">
        <v>2472</v>
      </c>
      <c r="B2794" s="136">
        <v>931850</v>
      </c>
      <c r="C2794" s="137">
        <v>123.8</v>
      </c>
      <c r="D2794" s="137">
        <v>1369.9</v>
      </c>
    </row>
    <row r="2795" spans="1:4">
      <c r="A2795" s="136" t="s">
        <v>2473</v>
      </c>
      <c r="B2795" s="136">
        <v>931730</v>
      </c>
      <c r="C2795" s="137">
        <v>74.099999999999994</v>
      </c>
      <c r="D2795" s="137">
        <v>1839.2</v>
      </c>
    </row>
    <row r="2796" spans="1:4">
      <c r="A2796" s="136" t="s">
        <v>2474</v>
      </c>
      <c r="B2796" s="136">
        <v>931730</v>
      </c>
      <c r="C2796" s="137">
        <v>74.099999999999994</v>
      </c>
      <c r="D2796" s="137">
        <v>1839.2</v>
      </c>
    </row>
    <row r="2797" spans="1:4">
      <c r="A2797" s="136" t="s">
        <v>2475</v>
      </c>
      <c r="B2797" s="136">
        <v>931730</v>
      </c>
      <c r="C2797" s="137">
        <v>74.099999999999994</v>
      </c>
      <c r="D2797" s="137">
        <v>1839.2</v>
      </c>
    </row>
    <row r="2798" spans="1:4">
      <c r="A2798" s="136" t="s">
        <v>2476</v>
      </c>
      <c r="B2798" s="136">
        <v>931730</v>
      </c>
      <c r="C2798" s="137">
        <v>74.099999999999994</v>
      </c>
      <c r="D2798" s="137">
        <v>1839.2</v>
      </c>
    </row>
    <row r="2799" spans="1:4">
      <c r="A2799" s="136" t="s">
        <v>2477</v>
      </c>
      <c r="B2799" s="136">
        <v>931730</v>
      </c>
      <c r="C2799" s="137">
        <v>74.099999999999994</v>
      </c>
      <c r="D2799" s="137">
        <v>1839.2</v>
      </c>
    </row>
    <row r="2800" spans="1:4">
      <c r="A2800" s="136" t="s">
        <v>2478</v>
      </c>
      <c r="B2800" s="136">
        <v>931730</v>
      </c>
      <c r="C2800" s="137">
        <v>74.099999999999994</v>
      </c>
      <c r="D2800" s="137">
        <v>1839.2</v>
      </c>
    </row>
    <row r="2801" spans="1:4">
      <c r="A2801" s="136" t="s">
        <v>2479</v>
      </c>
      <c r="B2801" s="136">
        <v>931730</v>
      </c>
      <c r="C2801" s="137">
        <v>74.099999999999994</v>
      </c>
      <c r="D2801" s="137">
        <v>1839.2</v>
      </c>
    </row>
    <row r="2802" spans="1:4">
      <c r="A2802" s="136" t="s">
        <v>2480</v>
      </c>
      <c r="B2802" s="136">
        <v>931730</v>
      </c>
      <c r="C2802" s="137">
        <v>74.099999999999994</v>
      </c>
      <c r="D2802" s="137">
        <v>1839.2</v>
      </c>
    </row>
    <row r="2803" spans="1:4">
      <c r="A2803" s="136" t="s">
        <v>2481</v>
      </c>
      <c r="B2803" s="136">
        <v>931730</v>
      </c>
      <c r="C2803" s="137">
        <v>74.099999999999994</v>
      </c>
      <c r="D2803" s="137">
        <v>1839.2</v>
      </c>
    </row>
    <row r="2804" spans="1:4">
      <c r="A2804" s="136" t="s">
        <v>2482</v>
      </c>
      <c r="B2804" s="136">
        <v>931730</v>
      </c>
      <c r="C2804" s="137">
        <v>74.099999999999994</v>
      </c>
      <c r="D2804" s="137">
        <v>1839.2</v>
      </c>
    </row>
    <row r="2805" spans="1:4">
      <c r="A2805" s="136" t="s">
        <v>2483</v>
      </c>
      <c r="B2805" s="136">
        <v>932450</v>
      </c>
      <c r="C2805" s="137">
        <v>36.799999999999997</v>
      </c>
      <c r="D2805" s="137">
        <v>2447.1</v>
      </c>
    </row>
    <row r="2806" spans="1:4">
      <c r="A2806" s="136" t="s">
        <v>2484</v>
      </c>
      <c r="B2806" s="136">
        <v>932450</v>
      </c>
      <c r="C2806" s="137">
        <v>36.799999999999997</v>
      </c>
      <c r="D2806" s="137">
        <v>2447.1</v>
      </c>
    </row>
    <row r="2807" spans="1:4">
      <c r="A2807" s="136" t="s">
        <v>2485</v>
      </c>
      <c r="B2807" s="136">
        <v>932450</v>
      </c>
      <c r="C2807" s="137">
        <v>36.799999999999997</v>
      </c>
      <c r="D2807" s="137">
        <v>2447.1</v>
      </c>
    </row>
    <row r="2808" spans="1:4">
      <c r="A2808" s="136" t="s">
        <v>2486</v>
      </c>
      <c r="B2808" s="136">
        <v>933730</v>
      </c>
      <c r="C2808" s="137">
        <v>46.9</v>
      </c>
      <c r="D2808" s="137">
        <v>1698.1</v>
      </c>
    </row>
    <row r="2809" spans="1:4">
      <c r="A2809" s="136" t="s">
        <v>2487</v>
      </c>
      <c r="B2809" s="136">
        <v>933730</v>
      </c>
      <c r="C2809" s="137">
        <v>46.9</v>
      </c>
      <c r="D2809" s="137">
        <v>1698.1</v>
      </c>
    </row>
    <row r="2810" spans="1:4">
      <c r="A2810" s="136" t="s">
        <v>2488</v>
      </c>
      <c r="B2810" s="136">
        <v>933730</v>
      </c>
      <c r="C2810" s="137">
        <v>46.9</v>
      </c>
      <c r="D2810" s="137">
        <v>1698.1</v>
      </c>
    </row>
    <row r="2811" spans="1:4">
      <c r="A2811" s="136" t="s">
        <v>2489</v>
      </c>
      <c r="B2811" s="136">
        <v>933730</v>
      </c>
      <c r="C2811" s="137">
        <v>46.9</v>
      </c>
      <c r="D2811" s="137">
        <v>1698.1</v>
      </c>
    </row>
    <row r="2812" spans="1:4">
      <c r="A2812" s="136" t="s">
        <v>2490</v>
      </c>
      <c r="B2812" s="136">
        <v>933730</v>
      </c>
      <c r="C2812" s="137">
        <v>46.9</v>
      </c>
      <c r="D2812" s="137">
        <v>1698.1</v>
      </c>
    </row>
    <row r="2813" spans="1:4">
      <c r="A2813" s="136" t="s">
        <v>2491</v>
      </c>
      <c r="B2813" s="136">
        <v>933730</v>
      </c>
      <c r="C2813" s="137">
        <v>46.9</v>
      </c>
      <c r="D2813" s="137">
        <v>1698.1</v>
      </c>
    </row>
    <row r="2814" spans="1:4">
      <c r="A2814" s="136" t="s">
        <v>2492</v>
      </c>
      <c r="B2814" s="136">
        <v>933730</v>
      </c>
      <c r="C2814" s="137">
        <v>46.9</v>
      </c>
      <c r="D2814" s="137">
        <v>1698.1</v>
      </c>
    </row>
    <row r="2815" spans="1:4">
      <c r="A2815" s="136" t="s">
        <v>2493</v>
      </c>
      <c r="B2815" s="136">
        <v>933730</v>
      </c>
      <c r="C2815" s="137">
        <v>46.9</v>
      </c>
      <c r="D2815" s="137">
        <v>1698.1</v>
      </c>
    </row>
    <row r="2816" spans="1:4">
      <c r="A2816" s="136" t="s">
        <v>2494</v>
      </c>
      <c r="B2816" s="136">
        <v>933730</v>
      </c>
      <c r="C2816" s="137">
        <v>46.9</v>
      </c>
      <c r="D2816" s="137">
        <v>1698.1</v>
      </c>
    </row>
    <row r="2817" spans="1:4">
      <c r="A2817" s="136" t="s">
        <v>2495</v>
      </c>
      <c r="B2817" s="136">
        <v>933730</v>
      </c>
      <c r="C2817" s="137">
        <v>46.9</v>
      </c>
      <c r="D2817" s="137">
        <v>1698.1</v>
      </c>
    </row>
    <row r="2818" spans="1:4">
      <c r="A2818" s="136" t="s">
        <v>2496</v>
      </c>
      <c r="B2818" s="136">
        <v>933730</v>
      </c>
      <c r="C2818" s="137">
        <v>46.9</v>
      </c>
      <c r="D2818" s="137">
        <v>1698.1</v>
      </c>
    </row>
    <row r="2819" spans="1:4">
      <c r="A2819" s="136" t="s">
        <v>2497</v>
      </c>
      <c r="B2819" s="136">
        <v>933730</v>
      </c>
      <c r="C2819" s="137">
        <v>46.9</v>
      </c>
      <c r="D2819" s="137">
        <v>1698.1</v>
      </c>
    </row>
    <row r="2820" spans="1:4">
      <c r="A2820" s="136" t="s">
        <v>2498</v>
      </c>
      <c r="B2820" s="136">
        <v>933730</v>
      </c>
      <c r="C2820" s="137">
        <v>46.9</v>
      </c>
      <c r="D2820" s="137">
        <v>1698.1</v>
      </c>
    </row>
    <row r="2821" spans="1:4">
      <c r="A2821" s="136" t="s">
        <v>2499</v>
      </c>
      <c r="B2821" s="136">
        <v>933730</v>
      </c>
      <c r="C2821" s="137">
        <v>46.9</v>
      </c>
      <c r="D2821" s="137">
        <v>1698.1</v>
      </c>
    </row>
    <row r="2822" spans="1:4">
      <c r="A2822" s="136" t="s">
        <v>2500</v>
      </c>
      <c r="B2822" s="136">
        <v>933730</v>
      </c>
      <c r="C2822" s="137">
        <v>46.9</v>
      </c>
      <c r="D2822" s="137">
        <v>1698.1</v>
      </c>
    </row>
    <row r="2823" spans="1:4">
      <c r="A2823" s="136" t="s">
        <v>2501</v>
      </c>
      <c r="B2823" s="136">
        <v>933090</v>
      </c>
      <c r="C2823" s="137">
        <v>60.9</v>
      </c>
      <c r="D2823" s="137">
        <v>1696.3</v>
      </c>
    </row>
    <row r="2824" spans="1:4">
      <c r="A2824" s="136" t="s">
        <v>2502</v>
      </c>
      <c r="B2824" s="136">
        <v>933090</v>
      </c>
      <c r="C2824" s="137">
        <v>60.9</v>
      </c>
      <c r="D2824" s="137">
        <v>1696.3</v>
      </c>
    </row>
    <row r="2825" spans="1:4">
      <c r="A2825" s="136" t="s">
        <v>2503</v>
      </c>
      <c r="B2825" s="136">
        <v>933090</v>
      </c>
      <c r="C2825" s="137">
        <v>60.9</v>
      </c>
      <c r="D2825" s="137">
        <v>1696.3</v>
      </c>
    </row>
    <row r="2826" spans="1:4">
      <c r="A2826" s="136" t="s">
        <v>2504</v>
      </c>
      <c r="B2826" s="136">
        <v>933090</v>
      </c>
      <c r="C2826" s="137">
        <v>60.9</v>
      </c>
      <c r="D2826" s="137">
        <v>1696.3</v>
      </c>
    </row>
    <row r="2827" spans="1:4">
      <c r="A2827" s="136" t="s">
        <v>2505</v>
      </c>
      <c r="B2827" s="136">
        <v>933090</v>
      </c>
      <c r="C2827" s="137">
        <v>60.9</v>
      </c>
      <c r="D2827" s="137">
        <v>1696.3</v>
      </c>
    </row>
    <row r="2828" spans="1:4">
      <c r="A2828" s="136" t="s">
        <v>2506</v>
      </c>
      <c r="B2828" s="136">
        <v>933090</v>
      </c>
      <c r="C2828" s="137">
        <v>60.9</v>
      </c>
      <c r="D2828" s="137">
        <v>1696.3</v>
      </c>
    </row>
    <row r="2829" spans="1:4">
      <c r="A2829" s="136" t="s">
        <v>2507</v>
      </c>
      <c r="B2829" s="136">
        <v>933090</v>
      </c>
      <c r="C2829" s="137">
        <v>60.9</v>
      </c>
      <c r="D2829" s="137">
        <v>1696.3</v>
      </c>
    </row>
    <row r="2830" spans="1:4">
      <c r="A2830" s="136" t="s">
        <v>2508</v>
      </c>
      <c r="B2830" s="136">
        <v>933090</v>
      </c>
      <c r="C2830" s="137">
        <v>60.9</v>
      </c>
      <c r="D2830" s="137">
        <v>1696.3</v>
      </c>
    </row>
    <row r="2831" spans="1:4">
      <c r="A2831" s="136" t="s">
        <v>2509</v>
      </c>
      <c r="B2831" s="136">
        <v>934200</v>
      </c>
      <c r="C2831" s="137">
        <v>50.1</v>
      </c>
      <c r="D2831" s="137">
        <v>1859</v>
      </c>
    </row>
    <row r="2832" spans="1:4">
      <c r="A2832" s="136" t="s">
        <v>2510</v>
      </c>
      <c r="B2832" s="136">
        <v>934200</v>
      </c>
      <c r="C2832" s="137">
        <v>50.1</v>
      </c>
      <c r="D2832" s="137">
        <v>1859</v>
      </c>
    </row>
    <row r="2833" spans="1:4">
      <c r="A2833" s="136" t="s">
        <v>2511</v>
      </c>
      <c r="B2833" s="136">
        <v>934200</v>
      </c>
      <c r="C2833" s="137">
        <v>50.1</v>
      </c>
      <c r="D2833" s="137">
        <v>1859</v>
      </c>
    </row>
    <row r="2834" spans="1:4">
      <c r="A2834" s="136" t="s">
        <v>2512</v>
      </c>
      <c r="B2834" s="136">
        <v>934200</v>
      </c>
      <c r="C2834" s="137">
        <v>50.1</v>
      </c>
      <c r="D2834" s="137">
        <v>1859</v>
      </c>
    </row>
    <row r="2835" spans="1:4">
      <c r="A2835" s="136" t="s">
        <v>2513</v>
      </c>
      <c r="B2835" s="136">
        <v>934200</v>
      </c>
      <c r="C2835" s="137">
        <v>50.1</v>
      </c>
      <c r="D2835" s="137">
        <v>1859</v>
      </c>
    </row>
    <row r="2836" spans="1:4">
      <c r="A2836" s="136" t="s">
        <v>2514</v>
      </c>
      <c r="B2836" s="136">
        <v>933090</v>
      </c>
      <c r="C2836" s="137">
        <v>60.9</v>
      </c>
      <c r="D2836" s="137">
        <v>1696.3</v>
      </c>
    </row>
    <row r="2837" spans="1:4">
      <c r="A2837" s="136" t="s">
        <v>2515</v>
      </c>
      <c r="B2837" s="136">
        <v>933090</v>
      </c>
      <c r="C2837" s="137">
        <v>60.9</v>
      </c>
      <c r="D2837" s="137">
        <v>1696.3</v>
      </c>
    </row>
    <row r="2838" spans="1:4">
      <c r="A2838" s="136" t="s">
        <v>2516</v>
      </c>
      <c r="B2838" s="136">
        <v>933090</v>
      </c>
      <c r="C2838" s="137">
        <v>60.9</v>
      </c>
      <c r="D2838" s="137">
        <v>1696.3</v>
      </c>
    </row>
    <row r="2839" spans="1:4">
      <c r="A2839" s="136" t="s">
        <v>2517</v>
      </c>
      <c r="B2839" s="136">
        <v>933090</v>
      </c>
      <c r="C2839" s="137">
        <v>60.9</v>
      </c>
      <c r="D2839" s="137">
        <v>1696.3</v>
      </c>
    </row>
    <row r="2840" spans="1:4">
      <c r="A2840" s="136" t="s">
        <v>2518</v>
      </c>
      <c r="B2840" s="136">
        <v>933090</v>
      </c>
      <c r="C2840" s="137">
        <v>60.9</v>
      </c>
      <c r="D2840" s="137">
        <v>1696.3</v>
      </c>
    </row>
    <row r="2841" spans="1:4">
      <c r="A2841" s="136" t="s">
        <v>2519</v>
      </c>
      <c r="B2841" s="136">
        <v>933090</v>
      </c>
      <c r="C2841" s="137">
        <v>60.9</v>
      </c>
      <c r="D2841" s="137">
        <v>1696.3</v>
      </c>
    </row>
    <row r="2842" spans="1:4">
      <c r="A2842" s="136" t="s">
        <v>2520</v>
      </c>
      <c r="B2842" s="136">
        <v>932450</v>
      </c>
      <c r="C2842" s="137">
        <v>36.799999999999997</v>
      </c>
      <c r="D2842" s="137">
        <v>2447.1</v>
      </c>
    </row>
    <row r="2843" spans="1:4">
      <c r="A2843" s="136" t="s">
        <v>2521</v>
      </c>
      <c r="B2843" s="136">
        <v>932450</v>
      </c>
      <c r="C2843" s="137">
        <v>36.799999999999997</v>
      </c>
      <c r="D2843" s="137">
        <v>2447.1</v>
      </c>
    </row>
    <row r="2844" spans="1:4">
      <c r="A2844" s="136" t="s">
        <v>2522</v>
      </c>
      <c r="B2844" s="136">
        <v>934200</v>
      </c>
      <c r="C2844" s="137">
        <v>50.1</v>
      </c>
      <c r="D2844" s="137">
        <v>1859</v>
      </c>
    </row>
    <row r="2845" spans="1:4">
      <c r="A2845" s="136" t="s">
        <v>2523</v>
      </c>
      <c r="B2845" s="136">
        <v>934200</v>
      </c>
      <c r="C2845" s="137">
        <v>50.1</v>
      </c>
      <c r="D2845" s="137">
        <v>1859</v>
      </c>
    </row>
    <row r="2846" spans="1:4">
      <c r="A2846" s="136" t="s">
        <v>2524</v>
      </c>
      <c r="B2846" s="136">
        <v>934200</v>
      </c>
      <c r="C2846" s="137">
        <v>50.1</v>
      </c>
      <c r="D2846" s="137">
        <v>1859</v>
      </c>
    </row>
    <row r="2847" spans="1:4">
      <c r="A2847" s="136" t="s">
        <v>2525</v>
      </c>
      <c r="B2847" s="136">
        <v>934200</v>
      </c>
      <c r="C2847" s="137">
        <v>50.1</v>
      </c>
      <c r="D2847" s="137">
        <v>1859</v>
      </c>
    </row>
    <row r="2848" spans="1:4">
      <c r="A2848" s="136" t="s">
        <v>2526</v>
      </c>
      <c r="B2848" s="136">
        <v>934200</v>
      </c>
      <c r="C2848" s="137">
        <v>50.1</v>
      </c>
      <c r="D2848" s="137">
        <v>1859</v>
      </c>
    </row>
    <row r="2849" spans="1:4">
      <c r="A2849" s="136" t="s">
        <v>2527</v>
      </c>
      <c r="B2849" s="136">
        <v>934200</v>
      </c>
      <c r="C2849" s="137">
        <v>50.1</v>
      </c>
      <c r="D2849" s="137">
        <v>1859</v>
      </c>
    </row>
    <row r="2850" spans="1:4">
      <c r="A2850" s="136" t="s">
        <v>2528</v>
      </c>
      <c r="B2850" s="136">
        <v>934200</v>
      </c>
      <c r="C2850" s="137">
        <v>50.1</v>
      </c>
      <c r="D2850" s="137">
        <v>1859</v>
      </c>
    </row>
    <row r="2851" spans="1:4">
      <c r="A2851" s="136" t="s">
        <v>2529</v>
      </c>
      <c r="B2851" s="136">
        <v>934200</v>
      </c>
      <c r="C2851" s="137">
        <v>50.1</v>
      </c>
      <c r="D2851" s="137">
        <v>1859</v>
      </c>
    </row>
    <row r="2852" spans="1:4">
      <c r="A2852" s="136" t="s">
        <v>2530</v>
      </c>
      <c r="B2852" s="136">
        <v>934200</v>
      </c>
      <c r="C2852" s="137">
        <v>50.1</v>
      </c>
      <c r="D2852" s="137">
        <v>1859</v>
      </c>
    </row>
    <row r="2853" spans="1:4">
      <c r="A2853" s="136" t="s">
        <v>2531</v>
      </c>
      <c r="B2853" s="136">
        <v>934200</v>
      </c>
      <c r="C2853" s="137">
        <v>50.1</v>
      </c>
      <c r="D2853" s="137">
        <v>1859</v>
      </c>
    </row>
    <row r="2854" spans="1:4">
      <c r="A2854" s="136" t="s">
        <v>2532</v>
      </c>
      <c r="B2854" s="136">
        <v>934200</v>
      </c>
      <c r="C2854" s="137">
        <v>50.1</v>
      </c>
      <c r="D2854" s="137">
        <v>1859</v>
      </c>
    </row>
    <row r="2855" spans="1:4">
      <c r="A2855" s="136" t="s">
        <v>2533</v>
      </c>
      <c r="B2855" s="136">
        <v>934200</v>
      </c>
      <c r="C2855" s="137">
        <v>50.1</v>
      </c>
      <c r="D2855" s="137">
        <v>1859</v>
      </c>
    </row>
    <row r="2856" spans="1:4">
      <c r="A2856" s="136" t="s">
        <v>2534</v>
      </c>
      <c r="B2856" s="136">
        <v>934200</v>
      </c>
      <c r="C2856" s="137">
        <v>50.1</v>
      </c>
      <c r="D2856" s="137">
        <v>1859</v>
      </c>
    </row>
    <row r="2857" spans="1:4">
      <c r="A2857" s="136" t="s">
        <v>2535</v>
      </c>
      <c r="B2857" s="136">
        <v>934200</v>
      </c>
      <c r="C2857" s="137">
        <v>50.1</v>
      </c>
      <c r="D2857" s="137">
        <v>1859</v>
      </c>
    </row>
    <row r="2858" spans="1:4">
      <c r="A2858" s="136" t="s">
        <v>2536</v>
      </c>
      <c r="B2858" s="136">
        <v>934200</v>
      </c>
      <c r="C2858" s="137">
        <v>50.1</v>
      </c>
      <c r="D2858" s="137">
        <v>1859</v>
      </c>
    </row>
    <row r="2859" spans="1:4">
      <c r="A2859" s="136" t="s">
        <v>2537</v>
      </c>
      <c r="B2859" s="136">
        <v>934200</v>
      </c>
      <c r="C2859" s="137">
        <v>50.1</v>
      </c>
      <c r="D2859" s="137">
        <v>1859</v>
      </c>
    </row>
    <row r="2860" spans="1:4">
      <c r="A2860" s="136" t="s">
        <v>2538</v>
      </c>
      <c r="B2860" s="136">
        <v>934200</v>
      </c>
      <c r="C2860" s="137">
        <v>50.1</v>
      </c>
      <c r="D2860" s="137">
        <v>1859</v>
      </c>
    </row>
    <row r="2861" spans="1:4">
      <c r="A2861" s="136" t="s">
        <v>2539</v>
      </c>
      <c r="B2861" s="136">
        <v>934200</v>
      </c>
      <c r="C2861" s="137">
        <v>50.1</v>
      </c>
      <c r="D2861" s="137">
        <v>1859</v>
      </c>
    </row>
    <row r="2862" spans="1:4">
      <c r="A2862" s="136" t="s">
        <v>2540</v>
      </c>
      <c r="B2862" s="136">
        <v>934200</v>
      </c>
      <c r="C2862" s="137">
        <v>50.1</v>
      </c>
      <c r="D2862" s="137">
        <v>1859</v>
      </c>
    </row>
    <row r="2863" spans="1:4">
      <c r="A2863" s="136" t="s">
        <v>2541</v>
      </c>
      <c r="B2863" s="136">
        <v>934360</v>
      </c>
      <c r="C2863" s="137">
        <v>14.6</v>
      </c>
      <c r="D2863" s="137">
        <v>1965.9</v>
      </c>
    </row>
    <row r="2864" spans="1:4">
      <c r="A2864" s="136" t="s">
        <v>2542</v>
      </c>
      <c r="B2864" s="136">
        <v>934360</v>
      </c>
      <c r="C2864" s="137">
        <v>14.6</v>
      </c>
      <c r="D2864" s="137">
        <v>1965.9</v>
      </c>
    </row>
    <row r="2865" spans="1:4">
      <c r="A2865" s="136" t="s">
        <v>2543</v>
      </c>
      <c r="B2865" s="136">
        <v>934360</v>
      </c>
      <c r="C2865" s="137">
        <v>14.6</v>
      </c>
      <c r="D2865" s="137">
        <v>1965.9</v>
      </c>
    </row>
    <row r="2866" spans="1:4">
      <c r="A2866" s="136" t="s">
        <v>2544</v>
      </c>
      <c r="B2866" s="136">
        <v>934360</v>
      </c>
      <c r="C2866" s="137">
        <v>14.6</v>
      </c>
      <c r="D2866" s="137">
        <v>1965.9</v>
      </c>
    </row>
    <row r="2867" spans="1:4">
      <c r="A2867" s="136" t="s">
        <v>2545</v>
      </c>
      <c r="B2867" s="136">
        <v>934360</v>
      </c>
      <c r="C2867" s="137">
        <v>14.6</v>
      </c>
      <c r="D2867" s="137">
        <v>1965.9</v>
      </c>
    </row>
    <row r="2868" spans="1:4">
      <c r="A2868" s="136" t="s">
        <v>2546</v>
      </c>
      <c r="B2868" s="136">
        <v>934360</v>
      </c>
      <c r="C2868" s="137">
        <v>14.6</v>
      </c>
      <c r="D2868" s="137">
        <v>1965.9</v>
      </c>
    </row>
    <row r="2869" spans="1:4">
      <c r="A2869" s="136" t="s">
        <v>2547</v>
      </c>
      <c r="B2869" s="136">
        <v>934360</v>
      </c>
      <c r="C2869" s="137">
        <v>14.6</v>
      </c>
      <c r="D2869" s="137">
        <v>1965.9</v>
      </c>
    </row>
    <row r="2870" spans="1:4">
      <c r="A2870" s="136" t="s">
        <v>2548</v>
      </c>
      <c r="B2870" s="136">
        <v>934360</v>
      </c>
      <c r="C2870" s="137">
        <v>14.6</v>
      </c>
      <c r="D2870" s="137">
        <v>1965.9</v>
      </c>
    </row>
    <row r="2871" spans="1:4">
      <c r="A2871" s="136" t="s">
        <v>2549</v>
      </c>
      <c r="B2871" s="136">
        <v>934360</v>
      </c>
      <c r="C2871" s="137">
        <v>14.6</v>
      </c>
      <c r="D2871" s="137">
        <v>1965.9</v>
      </c>
    </row>
    <row r="2872" spans="1:4">
      <c r="A2872" s="136" t="s">
        <v>2550</v>
      </c>
      <c r="B2872" s="136">
        <v>934360</v>
      </c>
      <c r="C2872" s="137">
        <v>14.6</v>
      </c>
      <c r="D2872" s="137">
        <v>1965.9</v>
      </c>
    </row>
    <row r="2873" spans="1:4">
      <c r="A2873" s="136" t="s">
        <v>2551</v>
      </c>
      <c r="B2873" s="136">
        <v>934360</v>
      </c>
      <c r="C2873" s="137">
        <v>14.6</v>
      </c>
      <c r="D2873" s="137">
        <v>1965.9</v>
      </c>
    </row>
    <row r="2874" spans="1:4">
      <c r="A2874" s="136" t="s">
        <v>2552</v>
      </c>
      <c r="B2874" s="136">
        <v>934360</v>
      </c>
      <c r="C2874" s="137">
        <v>14.6</v>
      </c>
      <c r="D2874" s="137">
        <v>1965.9</v>
      </c>
    </row>
    <row r="2875" spans="1:4">
      <c r="A2875" s="136" t="s">
        <v>2553</v>
      </c>
      <c r="B2875" s="136">
        <v>934200</v>
      </c>
      <c r="C2875" s="137">
        <v>50.1</v>
      </c>
      <c r="D2875" s="137">
        <v>1859</v>
      </c>
    </row>
    <row r="2876" spans="1:4">
      <c r="A2876" s="136" t="s">
        <v>2554</v>
      </c>
      <c r="B2876" s="136">
        <v>934200</v>
      </c>
      <c r="C2876" s="137">
        <v>50.1</v>
      </c>
      <c r="D2876" s="137">
        <v>1859</v>
      </c>
    </row>
    <row r="2877" spans="1:4">
      <c r="A2877" s="136" t="s">
        <v>2555</v>
      </c>
      <c r="B2877" s="136">
        <v>934200</v>
      </c>
      <c r="C2877" s="137">
        <v>50.1</v>
      </c>
      <c r="D2877" s="137">
        <v>1859</v>
      </c>
    </row>
    <row r="2878" spans="1:4">
      <c r="A2878" s="136" t="s">
        <v>2556</v>
      </c>
      <c r="B2878" s="136">
        <v>934200</v>
      </c>
      <c r="C2878" s="137">
        <v>50.1</v>
      </c>
      <c r="D2878" s="137">
        <v>1859</v>
      </c>
    </row>
    <row r="2879" spans="1:4">
      <c r="A2879" s="136" t="s">
        <v>2557</v>
      </c>
      <c r="B2879" s="136">
        <v>934200</v>
      </c>
      <c r="C2879" s="137">
        <v>50.1</v>
      </c>
      <c r="D2879" s="137">
        <v>1859</v>
      </c>
    </row>
    <row r="2880" spans="1:4">
      <c r="A2880" s="136" t="s">
        <v>2558</v>
      </c>
      <c r="B2880" s="136">
        <v>934710</v>
      </c>
      <c r="C2880" s="137">
        <v>27.9</v>
      </c>
      <c r="D2880" s="137">
        <v>2235.6</v>
      </c>
    </row>
    <row r="2881" spans="1:4">
      <c r="A2881" s="136" t="s">
        <v>2559</v>
      </c>
      <c r="B2881" s="136">
        <v>934710</v>
      </c>
      <c r="C2881" s="137">
        <v>27.9</v>
      </c>
      <c r="D2881" s="137">
        <v>2235.6</v>
      </c>
    </row>
    <row r="2882" spans="1:4">
      <c r="A2882" s="136" t="s">
        <v>2560</v>
      </c>
      <c r="B2882" s="136">
        <v>934710</v>
      </c>
      <c r="C2882" s="137">
        <v>27.9</v>
      </c>
      <c r="D2882" s="137">
        <v>2235.6</v>
      </c>
    </row>
    <row r="2883" spans="1:4">
      <c r="A2883" s="136" t="s">
        <v>2561</v>
      </c>
      <c r="B2883" s="136">
        <v>934710</v>
      </c>
      <c r="C2883" s="137">
        <v>27.9</v>
      </c>
      <c r="D2883" s="137">
        <v>2235.6</v>
      </c>
    </row>
    <row r="2884" spans="1:4">
      <c r="A2884" s="136" t="s">
        <v>2562</v>
      </c>
      <c r="B2884" s="136">
        <v>934710</v>
      </c>
      <c r="C2884" s="137">
        <v>27.9</v>
      </c>
      <c r="D2884" s="137">
        <v>2235.6</v>
      </c>
    </row>
    <row r="2885" spans="1:4">
      <c r="A2885" s="136" t="s">
        <v>2563</v>
      </c>
      <c r="B2885" s="136">
        <v>934360</v>
      </c>
      <c r="C2885" s="137">
        <v>14.6</v>
      </c>
      <c r="D2885" s="137">
        <v>1965.9</v>
      </c>
    </row>
    <row r="2886" spans="1:4">
      <c r="A2886" s="136" t="s">
        <v>2564</v>
      </c>
      <c r="B2886" s="136">
        <v>934360</v>
      </c>
      <c r="C2886" s="137">
        <v>14.6</v>
      </c>
      <c r="D2886" s="137">
        <v>1965.9</v>
      </c>
    </row>
    <row r="2887" spans="1:4">
      <c r="A2887" s="136" t="s">
        <v>2565</v>
      </c>
      <c r="B2887" s="136">
        <v>934360</v>
      </c>
      <c r="C2887" s="137">
        <v>14.6</v>
      </c>
      <c r="D2887" s="137">
        <v>1965.9</v>
      </c>
    </row>
    <row r="2888" spans="1:4">
      <c r="A2888" s="136" t="s">
        <v>2566</v>
      </c>
      <c r="B2888" s="136">
        <v>934360</v>
      </c>
      <c r="C2888" s="137">
        <v>14.6</v>
      </c>
      <c r="D2888" s="137">
        <v>1965.9</v>
      </c>
    </row>
    <row r="2889" spans="1:4">
      <c r="A2889" s="136" t="s">
        <v>2567</v>
      </c>
      <c r="B2889" s="136">
        <v>934360</v>
      </c>
      <c r="C2889" s="137">
        <v>14.6</v>
      </c>
      <c r="D2889" s="137">
        <v>1965.9</v>
      </c>
    </row>
    <row r="2890" spans="1:4">
      <c r="A2890" s="136" t="s">
        <v>2568</v>
      </c>
      <c r="B2890" s="136">
        <v>934360</v>
      </c>
      <c r="C2890" s="137">
        <v>14.6</v>
      </c>
      <c r="D2890" s="137">
        <v>1965.9</v>
      </c>
    </row>
    <row r="2891" spans="1:4">
      <c r="A2891" s="136" t="s">
        <v>2569</v>
      </c>
      <c r="B2891" s="136">
        <v>934360</v>
      </c>
      <c r="C2891" s="137">
        <v>14.6</v>
      </c>
      <c r="D2891" s="137">
        <v>1965.9</v>
      </c>
    </row>
    <row r="2892" spans="1:4">
      <c r="A2892" s="136" t="s">
        <v>2570</v>
      </c>
      <c r="B2892" s="136">
        <v>935460</v>
      </c>
      <c r="C2892" s="137">
        <v>40</v>
      </c>
      <c r="D2892" s="137">
        <v>1989.9</v>
      </c>
    </row>
    <row r="2893" spans="1:4">
      <c r="A2893" s="136" t="s">
        <v>2571</v>
      </c>
      <c r="B2893" s="136">
        <v>935460</v>
      </c>
      <c r="C2893" s="137">
        <v>40</v>
      </c>
      <c r="D2893" s="137">
        <v>1989.9</v>
      </c>
    </row>
    <row r="2894" spans="1:4">
      <c r="A2894" s="136" t="s">
        <v>2572</v>
      </c>
      <c r="B2894" s="136">
        <v>935460</v>
      </c>
      <c r="C2894" s="137">
        <v>40</v>
      </c>
      <c r="D2894" s="137">
        <v>1989.9</v>
      </c>
    </row>
    <row r="2895" spans="1:4">
      <c r="A2895" s="136" t="s">
        <v>2573</v>
      </c>
      <c r="B2895" s="136">
        <v>935460</v>
      </c>
      <c r="C2895" s="137">
        <v>40</v>
      </c>
      <c r="D2895" s="137">
        <v>1989.9</v>
      </c>
    </row>
    <row r="2896" spans="1:4">
      <c r="A2896" s="136" t="s">
        <v>2574</v>
      </c>
      <c r="B2896" s="136">
        <v>935460</v>
      </c>
      <c r="C2896" s="137">
        <v>40</v>
      </c>
      <c r="D2896" s="137">
        <v>1989.9</v>
      </c>
    </row>
    <row r="2897" spans="1:4">
      <c r="A2897" s="136" t="s">
        <v>2575</v>
      </c>
      <c r="B2897" s="136">
        <v>935460</v>
      </c>
      <c r="C2897" s="137">
        <v>40</v>
      </c>
      <c r="D2897" s="137">
        <v>1989.9</v>
      </c>
    </row>
    <row r="2898" spans="1:4">
      <c r="A2898" s="136" t="s">
        <v>2576</v>
      </c>
      <c r="B2898" s="136">
        <v>935460</v>
      </c>
      <c r="C2898" s="137">
        <v>40</v>
      </c>
      <c r="D2898" s="137">
        <v>1989.9</v>
      </c>
    </row>
    <row r="2899" spans="1:4">
      <c r="A2899" s="136" t="s">
        <v>2577</v>
      </c>
      <c r="B2899" s="136">
        <v>935460</v>
      </c>
      <c r="C2899" s="137">
        <v>40</v>
      </c>
      <c r="D2899" s="137">
        <v>1989.9</v>
      </c>
    </row>
    <row r="2900" spans="1:4">
      <c r="A2900" s="136" t="s">
        <v>2578</v>
      </c>
      <c r="B2900" s="136">
        <v>935460</v>
      </c>
      <c r="C2900" s="137">
        <v>40</v>
      </c>
      <c r="D2900" s="137">
        <v>1989.9</v>
      </c>
    </row>
    <row r="2901" spans="1:4">
      <c r="A2901" s="136" t="s">
        <v>2579</v>
      </c>
      <c r="B2901" s="136">
        <v>935460</v>
      </c>
      <c r="C2901" s="137">
        <v>40</v>
      </c>
      <c r="D2901" s="137">
        <v>1989.9</v>
      </c>
    </row>
    <row r="2902" spans="1:4">
      <c r="A2902" s="136" t="s">
        <v>2580</v>
      </c>
      <c r="B2902" s="136">
        <v>935460</v>
      </c>
      <c r="C2902" s="137">
        <v>40</v>
      </c>
      <c r="D2902" s="137">
        <v>1989.9</v>
      </c>
    </row>
    <row r="2903" spans="1:4">
      <c r="A2903" s="136" t="s">
        <v>2581</v>
      </c>
      <c r="B2903" s="136">
        <v>935460</v>
      </c>
      <c r="C2903" s="137">
        <v>40</v>
      </c>
      <c r="D2903" s="137">
        <v>1989.9</v>
      </c>
    </row>
    <row r="2904" spans="1:4">
      <c r="A2904" s="136" t="s">
        <v>2582</v>
      </c>
      <c r="B2904" s="136">
        <v>935460</v>
      </c>
      <c r="C2904" s="137">
        <v>40</v>
      </c>
      <c r="D2904" s="137">
        <v>1989.9</v>
      </c>
    </row>
    <row r="2905" spans="1:4">
      <c r="A2905" s="136" t="s">
        <v>2583</v>
      </c>
      <c r="B2905" s="136">
        <v>935460</v>
      </c>
      <c r="C2905" s="137">
        <v>40</v>
      </c>
      <c r="D2905" s="137">
        <v>1989.9</v>
      </c>
    </row>
    <row r="2906" spans="1:4">
      <c r="A2906" s="136" t="s">
        <v>2584</v>
      </c>
      <c r="B2906" s="136">
        <v>935460</v>
      </c>
      <c r="C2906" s="137">
        <v>40</v>
      </c>
      <c r="D2906" s="137">
        <v>1989.9</v>
      </c>
    </row>
    <row r="2907" spans="1:4">
      <c r="A2907" s="136" t="s">
        <v>2585</v>
      </c>
      <c r="B2907" s="136">
        <v>935460</v>
      </c>
      <c r="C2907" s="137">
        <v>40</v>
      </c>
      <c r="D2907" s="137">
        <v>1989.9</v>
      </c>
    </row>
    <row r="2908" spans="1:4">
      <c r="A2908" s="136" t="s">
        <v>2586</v>
      </c>
      <c r="B2908" s="136">
        <v>935460</v>
      </c>
      <c r="C2908" s="137">
        <v>40</v>
      </c>
      <c r="D2908" s="137">
        <v>1989.9</v>
      </c>
    </row>
    <row r="2909" spans="1:4">
      <c r="A2909" s="136" t="s">
        <v>2587</v>
      </c>
      <c r="B2909" s="136">
        <v>937800</v>
      </c>
      <c r="C2909" s="137">
        <v>2.7</v>
      </c>
      <c r="D2909" s="137">
        <v>2583.1999999999998</v>
      </c>
    </row>
    <row r="2910" spans="1:4">
      <c r="A2910" s="136" t="s">
        <v>2588</v>
      </c>
      <c r="B2910" s="136">
        <v>937800</v>
      </c>
      <c r="C2910" s="137">
        <v>2.7</v>
      </c>
      <c r="D2910" s="137">
        <v>2583.1999999999998</v>
      </c>
    </row>
    <row r="2911" spans="1:4">
      <c r="A2911" s="136" t="s">
        <v>2589</v>
      </c>
      <c r="B2911" s="136">
        <v>937800</v>
      </c>
      <c r="C2911" s="137">
        <v>2.7</v>
      </c>
      <c r="D2911" s="137">
        <v>2583.1999999999998</v>
      </c>
    </row>
    <row r="2912" spans="1:4">
      <c r="A2912" s="136" t="s">
        <v>2590</v>
      </c>
      <c r="B2912" s="136">
        <v>937800</v>
      </c>
      <c r="C2912" s="137">
        <v>2.7</v>
      </c>
      <c r="D2912" s="137">
        <v>2583.1999999999998</v>
      </c>
    </row>
    <row r="2913" spans="1:4">
      <c r="A2913" s="136" t="s">
        <v>2591</v>
      </c>
      <c r="B2913" s="136">
        <v>937800</v>
      </c>
      <c r="C2913" s="137">
        <v>2.7</v>
      </c>
      <c r="D2913" s="137">
        <v>2583.1999999999998</v>
      </c>
    </row>
    <row r="2914" spans="1:4">
      <c r="A2914" s="136" t="s">
        <v>2592</v>
      </c>
      <c r="B2914" s="136">
        <v>937800</v>
      </c>
      <c r="C2914" s="137">
        <v>2.7</v>
      </c>
      <c r="D2914" s="137">
        <v>2583.1999999999998</v>
      </c>
    </row>
    <row r="2915" spans="1:4">
      <c r="A2915" s="136" t="s">
        <v>2593</v>
      </c>
      <c r="B2915" s="136">
        <v>937800</v>
      </c>
      <c r="C2915" s="137">
        <v>2.7</v>
      </c>
      <c r="D2915" s="137">
        <v>2583.1999999999998</v>
      </c>
    </row>
    <row r="2916" spans="1:4">
      <c r="A2916" s="136" t="s">
        <v>2594</v>
      </c>
      <c r="B2916" s="136">
        <v>937800</v>
      </c>
      <c r="C2916" s="137">
        <v>2.7</v>
      </c>
      <c r="D2916" s="137">
        <v>2583.1999999999998</v>
      </c>
    </row>
    <row r="2917" spans="1:4">
      <c r="A2917" s="136" t="s">
        <v>2595</v>
      </c>
      <c r="B2917" s="136">
        <v>937800</v>
      </c>
      <c r="C2917" s="137">
        <v>2.7</v>
      </c>
      <c r="D2917" s="137">
        <v>2583.1999999999998</v>
      </c>
    </row>
    <row r="2918" spans="1:4">
      <c r="A2918" s="136" t="s">
        <v>2596</v>
      </c>
      <c r="B2918" s="136">
        <v>937800</v>
      </c>
      <c r="C2918" s="137">
        <v>2.7</v>
      </c>
      <c r="D2918" s="137">
        <v>2583.1999999999998</v>
      </c>
    </row>
    <row r="2919" spans="1:4">
      <c r="A2919" s="136" t="s">
        <v>2597</v>
      </c>
      <c r="B2919" s="136">
        <v>937800</v>
      </c>
      <c r="C2919" s="137">
        <v>2.7</v>
      </c>
      <c r="D2919" s="137">
        <v>2583.1999999999998</v>
      </c>
    </row>
    <row r="2920" spans="1:4">
      <c r="A2920" s="136" t="s">
        <v>2598</v>
      </c>
      <c r="B2920" s="136">
        <v>937800</v>
      </c>
      <c r="C2920" s="137">
        <v>2.7</v>
      </c>
      <c r="D2920" s="137">
        <v>2583.1999999999998</v>
      </c>
    </row>
    <row r="2921" spans="1:4">
      <c r="A2921" s="136" t="s">
        <v>2599</v>
      </c>
      <c r="B2921" s="136">
        <v>937800</v>
      </c>
      <c r="C2921" s="137">
        <v>2.7</v>
      </c>
      <c r="D2921" s="137">
        <v>2583.1999999999998</v>
      </c>
    </row>
    <row r="2922" spans="1:4">
      <c r="A2922" s="136" t="s">
        <v>2600</v>
      </c>
      <c r="B2922" s="136">
        <v>937800</v>
      </c>
      <c r="C2922" s="137">
        <v>2.7</v>
      </c>
      <c r="D2922" s="137">
        <v>2583.1999999999998</v>
      </c>
    </row>
    <row r="2923" spans="1:4">
      <c r="A2923" s="136" t="s">
        <v>2601</v>
      </c>
      <c r="B2923" s="136">
        <v>937800</v>
      </c>
      <c r="C2923" s="137">
        <v>2.7</v>
      </c>
      <c r="D2923" s="137">
        <v>2583.1999999999998</v>
      </c>
    </row>
    <row r="2924" spans="1:4">
      <c r="A2924" s="136" t="s">
        <v>2602</v>
      </c>
      <c r="B2924" s="136">
        <v>937800</v>
      </c>
      <c r="C2924" s="137">
        <v>2.7</v>
      </c>
      <c r="D2924" s="137">
        <v>2583.1999999999998</v>
      </c>
    </row>
    <row r="2925" spans="1:4">
      <c r="A2925" s="136" t="s">
        <v>2603</v>
      </c>
      <c r="B2925" s="136">
        <v>937800</v>
      </c>
      <c r="C2925" s="137">
        <v>2.7</v>
      </c>
      <c r="D2925" s="137">
        <v>2583.1999999999998</v>
      </c>
    </row>
    <row r="2926" spans="1:4">
      <c r="A2926" s="136" t="s">
        <v>2604</v>
      </c>
      <c r="B2926" s="136">
        <v>937800</v>
      </c>
      <c r="C2926" s="137">
        <v>2.7</v>
      </c>
      <c r="D2926" s="137">
        <v>2583.1999999999998</v>
      </c>
    </row>
    <row r="2927" spans="1:4">
      <c r="A2927" s="136" t="s">
        <v>2605</v>
      </c>
      <c r="B2927" s="136">
        <v>937800</v>
      </c>
      <c r="C2927" s="137">
        <v>2.7</v>
      </c>
      <c r="D2927" s="137">
        <v>2583.1999999999998</v>
      </c>
    </row>
    <row r="2928" spans="1:4">
      <c r="A2928" s="136" t="s">
        <v>2606</v>
      </c>
      <c r="B2928" s="136">
        <v>937800</v>
      </c>
      <c r="C2928" s="137">
        <v>2.7</v>
      </c>
      <c r="D2928" s="137">
        <v>2583.1999999999998</v>
      </c>
    </row>
    <row r="2929" spans="1:4">
      <c r="A2929" s="136" t="s">
        <v>2607</v>
      </c>
      <c r="B2929" s="136">
        <v>937800</v>
      </c>
      <c r="C2929" s="137">
        <v>2.7</v>
      </c>
      <c r="D2929" s="137">
        <v>2583.1999999999998</v>
      </c>
    </row>
    <row r="2930" spans="1:4">
      <c r="A2930" s="136" t="s">
        <v>2608</v>
      </c>
      <c r="B2930" s="136">
        <v>937800</v>
      </c>
      <c r="C2930" s="137">
        <v>2.7</v>
      </c>
      <c r="D2930" s="137">
        <v>2583.1999999999998</v>
      </c>
    </row>
    <row r="2931" spans="1:4">
      <c r="A2931" s="136" t="s">
        <v>2609</v>
      </c>
      <c r="B2931" s="136">
        <v>937800</v>
      </c>
      <c r="C2931" s="137">
        <v>2.7</v>
      </c>
      <c r="D2931" s="137">
        <v>2583.1999999999998</v>
      </c>
    </row>
    <row r="2932" spans="1:4">
      <c r="A2932" s="136" t="s">
        <v>2610</v>
      </c>
      <c r="B2932" s="136">
        <v>937800</v>
      </c>
      <c r="C2932" s="137">
        <v>2.7</v>
      </c>
      <c r="D2932" s="137">
        <v>2583.1999999999998</v>
      </c>
    </row>
    <row r="2933" spans="1:4">
      <c r="A2933" s="136" t="s">
        <v>2611</v>
      </c>
      <c r="B2933" s="136">
        <v>937800</v>
      </c>
      <c r="C2933" s="137">
        <v>2.7</v>
      </c>
      <c r="D2933" s="137">
        <v>2583.1999999999998</v>
      </c>
    </row>
    <row r="2934" spans="1:4">
      <c r="A2934" s="136" t="s">
        <v>2612</v>
      </c>
      <c r="B2934" s="136">
        <v>937800</v>
      </c>
      <c r="C2934" s="137">
        <v>2.7</v>
      </c>
      <c r="D2934" s="137">
        <v>2583.1999999999998</v>
      </c>
    </row>
    <row r="2935" spans="1:4">
      <c r="A2935" s="136" t="s">
        <v>2613</v>
      </c>
      <c r="B2935" s="136">
        <v>936150</v>
      </c>
      <c r="C2935" s="137">
        <v>14.1</v>
      </c>
      <c r="D2935" s="137">
        <v>2445.1999999999998</v>
      </c>
    </row>
    <row r="2936" spans="1:4">
      <c r="A2936" s="136" t="s">
        <v>2614</v>
      </c>
      <c r="B2936" s="136">
        <v>936150</v>
      </c>
      <c r="C2936" s="137">
        <v>14.1</v>
      </c>
      <c r="D2936" s="137">
        <v>2445.1999999999998</v>
      </c>
    </row>
    <row r="2937" spans="1:4">
      <c r="A2937" s="136" t="s">
        <v>2615</v>
      </c>
      <c r="B2937" s="136">
        <v>936150</v>
      </c>
      <c r="C2937" s="137">
        <v>14.1</v>
      </c>
      <c r="D2937" s="137">
        <v>2445.1999999999998</v>
      </c>
    </row>
    <row r="2938" spans="1:4">
      <c r="A2938" s="136" t="s">
        <v>2616</v>
      </c>
      <c r="B2938" s="136">
        <v>936150</v>
      </c>
      <c r="C2938" s="137">
        <v>14.1</v>
      </c>
      <c r="D2938" s="137">
        <v>2445.1999999999998</v>
      </c>
    </row>
    <row r="2939" spans="1:4">
      <c r="A2939" s="136" t="s">
        <v>2617</v>
      </c>
      <c r="B2939" s="136">
        <v>936150</v>
      </c>
      <c r="C2939" s="137">
        <v>14.1</v>
      </c>
      <c r="D2939" s="137">
        <v>2445.1999999999998</v>
      </c>
    </row>
    <row r="2940" spans="1:4">
      <c r="A2940" s="136" t="s">
        <v>2618</v>
      </c>
      <c r="B2940" s="136">
        <v>936150</v>
      </c>
      <c r="C2940" s="137">
        <v>14.1</v>
      </c>
      <c r="D2940" s="137">
        <v>2445.1999999999998</v>
      </c>
    </row>
    <row r="2941" spans="1:4">
      <c r="A2941" s="136" t="s">
        <v>2619</v>
      </c>
      <c r="B2941" s="136">
        <v>936150</v>
      </c>
      <c r="C2941" s="137">
        <v>14.1</v>
      </c>
      <c r="D2941" s="137">
        <v>2445.1999999999998</v>
      </c>
    </row>
    <row r="2942" spans="1:4">
      <c r="A2942" s="136" t="s">
        <v>2620</v>
      </c>
      <c r="B2942" s="136">
        <v>936150</v>
      </c>
      <c r="C2942" s="137">
        <v>14.1</v>
      </c>
      <c r="D2942" s="137">
        <v>2445.1999999999998</v>
      </c>
    </row>
    <row r="2943" spans="1:4">
      <c r="A2943" s="136" t="s">
        <v>2621</v>
      </c>
      <c r="B2943" s="136">
        <v>937800</v>
      </c>
      <c r="C2943" s="137">
        <v>2.7</v>
      </c>
      <c r="D2943" s="137">
        <v>2583.1999999999998</v>
      </c>
    </row>
    <row r="2944" spans="1:4">
      <c r="A2944" s="136" t="s">
        <v>2622</v>
      </c>
      <c r="B2944" s="136">
        <v>937800</v>
      </c>
      <c r="C2944" s="137">
        <v>2.7</v>
      </c>
      <c r="D2944" s="137">
        <v>2583.1999999999998</v>
      </c>
    </row>
    <row r="2945" spans="1:4">
      <c r="A2945" s="136" t="s">
        <v>2623</v>
      </c>
      <c r="B2945" s="136">
        <v>937800</v>
      </c>
      <c r="C2945" s="137">
        <v>2.7</v>
      </c>
      <c r="D2945" s="137">
        <v>2583.1999999999998</v>
      </c>
    </row>
    <row r="2946" spans="1:4">
      <c r="A2946" s="136" t="s">
        <v>2624</v>
      </c>
      <c r="B2946" s="136">
        <v>937800</v>
      </c>
      <c r="C2946" s="137">
        <v>2.7</v>
      </c>
      <c r="D2946" s="137">
        <v>2583.1999999999998</v>
      </c>
    </row>
    <row r="2947" spans="1:4">
      <c r="A2947" s="136" t="s">
        <v>2625</v>
      </c>
      <c r="B2947" s="136">
        <v>937800</v>
      </c>
      <c r="C2947" s="137">
        <v>2.7</v>
      </c>
      <c r="D2947" s="137">
        <v>2583.1999999999998</v>
      </c>
    </row>
    <row r="2948" spans="1:4">
      <c r="A2948" s="136" t="s">
        <v>2626</v>
      </c>
      <c r="B2948" s="136">
        <v>937800</v>
      </c>
      <c r="C2948" s="137">
        <v>2.7</v>
      </c>
      <c r="D2948" s="137">
        <v>2583.1999999999998</v>
      </c>
    </row>
    <row r="2949" spans="1:4">
      <c r="A2949" s="136" t="s">
        <v>2627</v>
      </c>
      <c r="B2949" s="136">
        <v>937800</v>
      </c>
      <c r="C2949" s="137">
        <v>2.7</v>
      </c>
      <c r="D2949" s="137">
        <v>2583.1999999999998</v>
      </c>
    </row>
    <row r="2950" spans="1:4">
      <c r="A2950" s="136" t="s">
        <v>2628</v>
      </c>
      <c r="B2950" s="136">
        <v>937800</v>
      </c>
      <c r="C2950" s="137">
        <v>2.7</v>
      </c>
      <c r="D2950" s="137">
        <v>2583.1999999999998</v>
      </c>
    </row>
    <row r="2951" spans="1:4">
      <c r="A2951" s="136" t="s">
        <v>2629</v>
      </c>
      <c r="B2951" s="136">
        <v>937800</v>
      </c>
      <c r="C2951" s="137">
        <v>2.7</v>
      </c>
      <c r="D2951" s="137">
        <v>2583.1999999999998</v>
      </c>
    </row>
    <row r="2952" spans="1:4">
      <c r="A2952" s="136" t="s">
        <v>2630</v>
      </c>
      <c r="B2952" s="136">
        <v>937800</v>
      </c>
      <c r="C2952" s="137">
        <v>2.7</v>
      </c>
      <c r="D2952" s="137">
        <v>2583.1999999999998</v>
      </c>
    </row>
    <row r="2953" spans="1:4">
      <c r="A2953" s="136" t="s">
        <v>2631</v>
      </c>
      <c r="B2953" s="136">
        <v>937800</v>
      </c>
      <c r="C2953" s="137">
        <v>2.7</v>
      </c>
      <c r="D2953" s="137">
        <v>2583.1999999999998</v>
      </c>
    </row>
    <row r="2954" spans="1:4">
      <c r="A2954" s="136" t="s">
        <v>2632</v>
      </c>
      <c r="B2954" s="136">
        <v>937800</v>
      </c>
      <c r="C2954" s="137">
        <v>2.7</v>
      </c>
      <c r="D2954" s="137">
        <v>2583.1999999999998</v>
      </c>
    </row>
    <row r="2955" spans="1:4">
      <c r="A2955" s="136" t="s">
        <v>2633</v>
      </c>
      <c r="B2955" s="136">
        <v>937800</v>
      </c>
      <c r="C2955" s="137">
        <v>2.7</v>
      </c>
      <c r="D2955" s="137">
        <v>2583.1999999999998</v>
      </c>
    </row>
    <row r="2956" spans="1:4">
      <c r="A2956" s="136" t="s">
        <v>2634</v>
      </c>
      <c r="B2956" s="136">
        <v>937800</v>
      </c>
      <c r="C2956" s="137">
        <v>2.7</v>
      </c>
      <c r="D2956" s="137">
        <v>2583.1999999999998</v>
      </c>
    </row>
    <row r="2957" spans="1:4">
      <c r="A2957" s="136" t="s">
        <v>2635</v>
      </c>
      <c r="B2957" s="136">
        <v>937800</v>
      </c>
      <c r="C2957" s="137">
        <v>2.7</v>
      </c>
      <c r="D2957" s="137">
        <v>2583.1999999999998</v>
      </c>
    </row>
    <row r="2958" spans="1:4">
      <c r="A2958" s="136" t="s">
        <v>2636</v>
      </c>
      <c r="B2958" s="136">
        <v>937800</v>
      </c>
      <c r="C2958" s="137">
        <v>2.7</v>
      </c>
      <c r="D2958" s="137">
        <v>2583.1999999999998</v>
      </c>
    </row>
    <row r="2959" spans="1:4">
      <c r="A2959" s="136" t="s">
        <v>2637</v>
      </c>
      <c r="B2959" s="136">
        <v>937800</v>
      </c>
      <c r="C2959" s="137">
        <v>2.7</v>
      </c>
      <c r="D2959" s="137">
        <v>2583.1999999999998</v>
      </c>
    </row>
    <row r="2960" spans="1:4">
      <c r="A2960" s="136" t="s">
        <v>2638</v>
      </c>
      <c r="B2960" s="136">
        <v>937800</v>
      </c>
      <c r="C2960" s="137">
        <v>2.7</v>
      </c>
      <c r="D2960" s="137">
        <v>2583.1999999999998</v>
      </c>
    </row>
    <row r="2961" spans="1:4">
      <c r="A2961" s="136" t="s">
        <v>2639</v>
      </c>
      <c r="B2961" s="136">
        <v>937800</v>
      </c>
      <c r="C2961" s="137">
        <v>2.7</v>
      </c>
      <c r="D2961" s="137">
        <v>2583.1999999999998</v>
      </c>
    </row>
    <row r="2962" spans="1:4">
      <c r="A2962" s="136" t="s">
        <v>2640</v>
      </c>
      <c r="B2962" s="136">
        <v>937800</v>
      </c>
      <c r="C2962" s="137">
        <v>2.7</v>
      </c>
      <c r="D2962" s="137">
        <v>2583.1999999999998</v>
      </c>
    </row>
    <row r="2963" spans="1:4">
      <c r="A2963" s="136" t="s">
        <v>2641</v>
      </c>
      <c r="B2963" s="136">
        <v>937800</v>
      </c>
      <c r="C2963" s="137">
        <v>2.7</v>
      </c>
      <c r="D2963" s="137">
        <v>2583.1999999999998</v>
      </c>
    </row>
    <row r="2964" spans="1:4">
      <c r="A2964" s="136" t="s">
        <v>2642</v>
      </c>
      <c r="B2964" s="136">
        <v>937800</v>
      </c>
      <c r="C2964" s="137">
        <v>2.7</v>
      </c>
      <c r="D2964" s="137">
        <v>2583.1999999999998</v>
      </c>
    </row>
    <row r="2965" spans="1:4">
      <c r="A2965" s="136" t="s">
        <v>2643</v>
      </c>
      <c r="B2965" s="136">
        <v>937800</v>
      </c>
      <c r="C2965" s="137">
        <v>2.7</v>
      </c>
      <c r="D2965" s="137">
        <v>2583.1999999999998</v>
      </c>
    </row>
    <row r="2966" spans="1:4">
      <c r="A2966" s="136" t="s">
        <v>2644</v>
      </c>
      <c r="B2966" s="136">
        <v>937800</v>
      </c>
      <c r="C2966" s="137">
        <v>2.7</v>
      </c>
      <c r="D2966" s="137">
        <v>2583.1999999999998</v>
      </c>
    </row>
    <row r="2967" spans="1:4">
      <c r="A2967" s="136" t="s">
        <v>2645</v>
      </c>
      <c r="B2967" s="136">
        <v>937800</v>
      </c>
      <c r="C2967" s="137">
        <v>2.7</v>
      </c>
      <c r="D2967" s="137">
        <v>2583.1999999999998</v>
      </c>
    </row>
    <row r="2968" spans="1:4">
      <c r="A2968" s="136" t="s">
        <v>2646</v>
      </c>
      <c r="B2968" s="136">
        <v>937800</v>
      </c>
      <c r="C2968" s="137">
        <v>2.7</v>
      </c>
      <c r="D2968" s="137">
        <v>2583.1999999999998</v>
      </c>
    </row>
    <row r="2969" spans="1:4">
      <c r="A2969" s="136" t="s">
        <v>2647</v>
      </c>
      <c r="B2969" s="136">
        <v>938910</v>
      </c>
      <c r="C2969" s="137">
        <v>0.7</v>
      </c>
      <c r="D2969" s="137">
        <v>2683.7</v>
      </c>
    </row>
    <row r="2970" spans="1:4">
      <c r="A2970" s="136" t="s">
        <v>2648</v>
      </c>
      <c r="B2970" s="136">
        <v>938910</v>
      </c>
      <c r="C2970" s="137">
        <v>0.7</v>
      </c>
      <c r="D2970" s="137">
        <v>2683.7</v>
      </c>
    </row>
    <row r="2971" spans="1:4">
      <c r="A2971" s="136" t="s">
        <v>2649</v>
      </c>
      <c r="B2971" s="136">
        <v>938910</v>
      </c>
      <c r="C2971" s="137">
        <v>0.7</v>
      </c>
      <c r="D2971" s="137">
        <v>2683.7</v>
      </c>
    </row>
    <row r="2972" spans="1:4">
      <c r="A2972" s="136" t="s">
        <v>2650</v>
      </c>
      <c r="B2972" s="136">
        <v>938910</v>
      </c>
      <c r="C2972" s="137">
        <v>0.7</v>
      </c>
      <c r="D2972" s="137">
        <v>2683.7</v>
      </c>
    </row>
    <row r="2973" spans="1:4">
      <c r="A2973" s="136" t="s">
        <v>2651</v>
      </c>
      <c r="B2973" s="136">
        <v>938910</v>
      </c>
      <c r="C2973" s="137">
        <v>0.7</v>
      </c>
      <c r="D2973" s="137">
        <v>2683.7</v>
      </c>
    </row>
    <row r="2974" spans="1:4">
      <c r="A2974" s="136" t="s">
        <v>2652</v>
      </c>
      <c r="B2974" s="136">
        <v>938910</v>
      </c>
      <c r="C2974" s="137">
        <v>0.7</v>
      </c>
      <c r="D2974" s="137">
        <v>2683.7</v>
      </c>
    </row>
    <row r="2975" spans="1:4">
      <c r="A2975" s="136" t="s">
        <v>2653</v>
      </c>
      <c r="B2975" s="136">
        <v>938910</v>
      </c>
      <c r="C2975" s="137">
        <v>0.7</v>
      </c>
      <c r="D2975" s="137">
        <v>2683.7</v>
      </c>
    </row>
    <row r="2976" spans="1:4">
      <c r="A2976" s="136" t="s">
        <v>2654</v>
      </c>
      <c r="B2976" s="136">
        <v>938910</v>
      </c>
      <c r="C2976" s="137">
        <v>0.7</v>
      </c>
      <c r="D2976" s="137">
        <v>2683.7</v>
      </c>
    </row>
    <row r="2977" spans="1:4">
      <c r="A2977" s="136" t="s">
        <v>2655</v>
      </c>
      <c r="B2977" s="136">
        <v>938910</v>
      </c>
      <c r="C2977" s="137">
        <v>0.7</v>
      </c>
      <c r="D2977" s="137">
        <v>2683.7</v>
      </c>
    </row>
    <row r="2978" spans="1:4">
      <c r="A2978" s="136" t="s">
        <v>2656</v>
      </c>
      <c r="B2978" s="136">
        <v>938910</v>
      </c>
      <c r="C2978" s="137">
        <v>0.7</v>
      </c>
      <c r="D2978" s="137">
        <v>2683.7</v>
      </c>
    </row>
    <row r="2979" spans="1:4">
      <c r="A2979" s="136" t="s">
        <v>2657</v>
      </c>
      <c r="B2979" s="136">
        <v>938910</v>
      </c>
      <c r="C2979" s="137">
        <v>0.7</v>
      </c>
      <c r="D2979" s="137">
        <v>2683.7</v>
      </c>
    </row>
    <row r="2980" spans="1:4">
      <c r="A2980" s="136" t="s">
        <v>2658</v>
      </c>
      <c r="B2980" s="136">
        <v>938910</v>
      </c>
      <c r="C2980" s="137">
        <v>0.7</v>
      </c>
      <c r="D2980" s="137">
        <v>2683.7</v>
      </c>
    </row>
    <row r="2981" spans="1:4">
      <c r="A2981" s="136" t="s">
        <v>2659</v>
      </c>
      <c r="B2981" s="136">
        <v>938910</v>
      </c>
      <c r="C2981" s="137">
        <v>0.7</v>
      </c>
      <c r="D2981" s="137">
        <v>2683.7</v>
      </c>
    </row>
    <row r="2982" spans="1:4">
      <c r="A2982" s="136" t="s">
        <v>2660</v>
      </c>
      <c r="B2982" s="136">
        <v>938910</v>
      </c>
      <c r="C2982" s="137">
        <v>0.7</v>
      </c>
      <c r="D2982" s="137">
        <v>2683.7</v>
      </c>
    </row>
    <row r="2983" spans="1:4">
      <c r="A2983" s="136" t="s">
        <v>2661</v>
      </c>
      <c r="B2983" s="136">
        <v>938910</v>
      </c>
      <c r="C2983" s="137">
        <v>0.7</v>
      </c>
      <c r="D2983" s="137">
        <v>2683.7</v>
      </c>
    </row>
    <row r="2984" spans="1:4">
      <c r="A2984" s="136" t="s">
        <v>2662</v>
      </c>
      <c r="B2984" s="136">
        <v>938910</v>
      </c>
      <c r="C2984" s="137">
        <v>0.7</v>
      </c>
      <c r="D2984" s="137">
        <v>2683.7</v>
      </c>
    </row>
    <row r="2985" spans="1:4">
      <c r="A2985" s="136" t="s">
        <v>2663</v>
      </c>
      <c r="B2985" s="136">
        <v>938310</v>
      </c>
      <c r="C2985" s="137">
        <v>0.1</v>
      </c>
      <c r="D2985" s="137">
        <v>3193.2</v>
      </c>
    </row>
    <row r="2986" spans="1:4">
      <c r="A2986" s="136" t="s">
        <v>2664</v>
      </c>
      <c r="B2986" s="136">
        <v>938310</v>
      </c>
      <c r="C2986" s="137">
        <v>0.1</v>
      </c>
      <c r="D2986" s="137">
        <v>3193.2</v>
      </c>
    </row>
    <row r="2987" spans="1:4">
      <c r="A2987" s="136" t="s">
        <v>2665</v>
      </c>
      <c r="B2987" s="136">
        <v>938310</v>
      </c>
      <c r="C2987" s="137">
        <v>0.1</v>
      </c>
      <c r="D2987" s="137">
        <v>3193.2</v>
      </c>
    </row>
    <row r="2988" spans="1:4">
      <c r="A2988" s="136" t="s">
        <v>2666</v>
      </c>
      <c r="B2988" s="136">
        <v>938510</v>
      </c>
      <c r="C2988" s="137">
        <v>0.6</v>
      </c>
      <c r="D2988" s="137">
        <v>3270</v>
      </c>
    </row>
    <row r="2989" spans="1:4">
      <c r="A2989" s="136" t="s">
        <v>2667</v>
      </c>
      <c r="B2989" s="136">
        <v>938510</v>
      </c>
      <c r="C2989" s="137">
        <v>0.6</v>
      </c>
      <c r="D2989" s="137">
        <v>3270</v>
      </c>
    </row>
    <row r="2990" spans="1:4">
      <c r="A2990" s="136" t="s">
        <v>2668</v>
      </c>
      <c r="B2990" s="136">
        <v>938510</v>
      </c>
      <c r="C2990" s="137">
        <v>0.6</v>
      </c>
      <c r="D2990" s="137">
        <v>3270</v>
      </c>
    </row>
    <row r="2991" spans="1:4">
      <c r="A2991" s="136" t="s">
        <v>2669</v>
      </c>
      <c r="B2991" s="136">
        <v>938510</v>
      </c>
      <c r="C2991" s="137">
        <v>0.6</v>
      </c>
      <c r="D2991" s="137">
        <v>3270</v>
      </c>
    </row>
    <row r="2992" spans="1:4">
      <c r="A2992" s="136" t="s">
        <v>2670</v>
      </c>
      <c r="B2992" s="136">
        <v>938910</v>
      </c>
      <c r="C2992" s="137">
        <v>0.7</v>
      </c>
      <c r="D2992" s="137">
        <v>2683.7</v>
      </c>
    </row>
    <row r="2993" spans="1:4">
      <c r="A2993" s="136" t="s">
        <v>2671</v>
      </c>
      <c r="B2993" s="136">
        <v>938910</v>
      </c>
      <c r="C2993" s="137">
        <v>0.7</v>
      </c>
      <c r="D2993" s="137">
        <v>2683.7</v>
      </c>
    </row>
    <row r="2994" spans="1:4">
      <c r="A2994" s="136" t="s">
        <v>2672</v>
      </c>
      <c r="B2994" s="136">
        <v>938910</v>
      </c>
      <c r="C2994" s="137">
        <v>0.7</v>
      </c>
      <c r="D2994" s="137">
        <v>2683.7</v>
      </c>
    </row>
    <row r="2995" spans="1:4">
      <c r="A2995" s="136" t="s">
        <v>2673</v>
      </c>
      <c r="B2995" s="136">
        <v>938910</v>
      </c>
      <c r="C2995" s="137">
        <v>0.7</v>
      </c>
      <c r="D2995" s="137">
        <v>2683.7</v>
      </c>
    </row>
    <row r="2996" spans="1:4">
      <c r="A2996" s="136" t="s">
        <v>2674</v>
      </c>
      <c r="B2996" s="136">
        <v>938910</v>
      </c>
      <c r="C2996" s="137">
        <v>0.7</v>
      </c>
      <c r="D2996" s="137">
        <v>2683.7</v>
      </c>
    </row>
    <row r="2997" spans="1:4">
      <c r="A2997" s="136" t="s">
        <v>2675</v>
      </c>
      <c r="B2997" s="136">
        <v>938910</v>
      </c>
      <c r="C2997" s="137">
        <v>0.7</v>
      </c>
      <c r="D2997" s="137">
        <v>2683.7</v>
      </c>
    </row>
    <row r="2998" spans="1:4">
      <c r="A2998" s="136" t="s">
        <v>2676</v>
      </c>
      <c r="B2998" s="136">
        <v>938510</v>
      </c>
      <c r="C2998" s="137">
        <v>0.6</v>
      </c>
      <c r="D2998" s="137">
        <v>3270</v>
      </c>
    </row>
    <row r="2999" spans="1:4">
      <c r="A2999" s="136" t="s">
        <v>2677</v>
      </c>
      <c r="B2999" s="136">
        <v>938910</v>
      </c>
      <c r="C2999" s="137">
        <v>0.7</v>
      </c>
      <c r="D2999" s="137">
        <v>2683.7</v>
      </c>
    </row>
    <row r="3000" spans="1:4">
      <c r="A3000" s="136" t="s">
        <v>2678</v>
      </c>
      <c r="B3000" s="136">
        <v>938910</v>
      </c>
      <c r="C3000" s="137">
        <v>0.7</v>
      </c>
      <c r="D3000" s="137">
        <v>2683.7</v>
      </c>
    </row>
    <row r="3001" spans="1:4">
      <c r="A3001" s="136" t="s">
        <v>2679</v>
      </c>
      <c r="B3001" s="136">
        <v>938910</v>
      </c>
      <c r="C3001" s="137">
        <v>0.7</v>
      </c>
      <c r="D3001" s="137">
        <v>2683.7</v>
      </c>
    </row>
    <row r="3002" spans="1:4">
      <c r="A3002" s="136" t="s">
        <v>2680</v>
      </c>
      <c r="B3002" s="136">
        <v>938910</v>
      </c>
      <c r="C3002" s="137">
        <v>0.7</v>
      </c>
      <c r="D3002" s="137">
        <v>2683.7</v>
      </c>
    </row>
    <row r="3003" spans="1:4">
      <c r="A3003" s="136" t="s">
        <v>2681</v>
      </c>
      <c r="B3003" s="136">
        <v>938910</v>
      </c>
      <c r="C3003" s="137">
        <v>0.7</v>
      </c>
      <c r="D3003" s="137">
        <v>2683.7</v>
      </c>
    </row>
    <row r="3004" spans="1:4">
      <c r="A3004" s="136" t="s">
        <v>2682</v>
      </c>
      <c r="B3004" s="136">
        <v>938450</v>
      </c>
      <c r="C3004" s="137">
        <v>1.6</v>
      </c>
      <c r="D3004" s="137">
        <v>2956.8</v>
      </c>
    </row>
    <row r="3005" spans="1:4">
      <c r="A3005" s="136" t="s">
        <v>2683</v>
      </c>
      <c r="B3005" s="136">
        <v>938450</v>
      </c>
      <c r="C3005" s="137">
        <v>1.6</v>
      </c>
      <c r="D3005" s="137">
        <v>2956.8</v>
      </c>
    </row>
    <row r="3006" spans="1:4">
      <c r="A3006" s="136" t="s">
        <v>2684</v>
      </c>
      <c r="B3006" s="136">
        <v>938450</v>
      </c>
      <c r="C3006" s="137">
        <v>1.6</v>
      </c>
      <c r="D3006" s="137">
        <v>2956.8</v>
      </c>
    </row>
    <row r="3007" spans="1:4">
      <c r="A3007" s="136" t="s">
        <v>2685</v>
      </c>
      <c r="B3007" s="136">
        <v>938450</v>
      </c>
      <c r="C3007" s="137">
        <v>1.6</v>
      </c>
      <c r="D3007" s="137">
        <v>2956.8</v>
      </c>
    </row>
    <row r="3008" spans="1:4">
      <c r="A3008" s="136" t="s">
        <v>2686</v>
      </c>
      <c r="B3008" s="136">
        <v>938450</v>
      </c>
      <c r="C3008" s="137">
        <v>1.6</v>
      </c>
      <c r="D3008" s="137">
        <v>2956.8</v>
      </c>
    </row>
    <row r="3009" spans="1:4">
      <c r="A3009" s="136" t="s">
        <v>2687</v>
      </c>
      <c r="B3009" s="136">
        <v>938450</v>
      </c>
      <c r="C3009" s="137">
        <v>1.6</v>
      </c>
      <c r="D3009" s="137">
        <v>2956.8</v>
      </c>
    </row>
    <row r="3010" spans="1:4">
      <c r="A3010" s="136" t="s">
        <v>2688</v>
      </c>
      <c r="B3010" s="136">
        <v>938450</v>
      </c>
      <c r="C3010" s="137">
        <v>1.6</v>
      </c>
      <c r="D3010" s="137">
        <v>2956.8</v>
      </c>
    </row>
    <row r="3011" spans="1:4">
      <c r="A3011" s="136" t="s">
        <v>2689</v>
      </c>
      <c r="B3011" s="136">
        <v>938450</v>
      </c>
      <c r="C3011" s="137">
        <v>1.6</v>
      </c>
      <c r="D3011" s="137">
        <v>2956.8</v>
      </c>
    </row>
    <row r="3012" spans="1:4">
      <c r="A3012" s="136" t="s">
        <v>2690</v>
      </c>
      <c r="B3012" s="136">
        <v>938450</v>
      </c>
      <c r="C3012" s="137">
        <v>1.6</v>
      </c>
      <c r="D3012" s="137">
        <v>2956.8</v>
      </c>
    </row>
    <row r="3013" spans="1:4">
      <c r="A3013" s="136" t="s">
        <v>2691</v>
      </c>
      <c r="B3013" s="136">
        <v>938450</v>
      </c>
      <c r="C3013" s="137">
        <v>1.6</v>
      </c>
      <c r="D3013" s="137">
        <v>2956.8</v>
      </c>
    </row>
    <row r="3014" spans="1:4">
      <c r="A3014" s="136" t="s">
        <v>2692</v>
      </c>
      <c r="B3014" s="136">
        <v>938450</v>
      </c>
      <c r="C3014" s="137">
        <v>1.6</v>
      </c>
      <c r="D3014" s="137">
        <v>2956.8</v>
      </c>
    </row>
    <row r="3015" spans="1:4">
      <c r="A3015" s="136" t="s">
        <v>2693</v>
      </c>
      <c r="B3015" s="136">
        <v>938450</v>
      </c>
      <c r="C3015" s="137">
        <v>1.6</v>
      </c>
      <c r="D3015" s="137">
        <v>2956.8</v>
      </c>
    </row>
    <row r="3016" spans="1:4">
      <c r="A3016" s="136" t="s">
        <v>2694</v>
      </c>
      <c r="B3016" s="136">
        <v>938450</v>
      </c>
      <c r="C3016" s="137">
        <v>1.6</v>
      </c>
      <c r="D3016" s="137">
        <v>2956.8</v>
      </c>
    </row>
    <row r="3017" spans="1:4">
      <c r="A3017" s="136" t="s">
        <v>2695</v>
      </c>
      <c r="B3017" s="136">
        <v>938450</v>
      </c>
      <c r="C3017" s="137">
        <v>1.6</v>
      </c>
      <c r="D3017" s="137">
        <v>2956.8</v>
      </c>
    </row>
    <row r="3018" spans="1:4">
      <c r="A3018" s="136" t="s">
        <v>2696</v>
      </c>
      <c r="B3018" s="136">
        <v>938450</v>
      </c>
      <c r="C3018" s="137">
        <v>1.6</v>
      </c>
      <c r="D3018" s="137">
        <v>2956.8</v>
      </c>
    </row>
    <row r="3019" spans="1:4">
      <c r="A3019" s="136" t="s">
        <v>2697</v>
      </c>
      <c r="B3019" s="136">
        <v>938450</v>
      </c>
      <c r="C3019" s="137">
        <v>1.6</v>
      </c>
      <c r="D3019" s="137">
        <v>2956.8</v>
      </c>
    </row>
    <row r="3020" spans="1:4">
      <c r="A3020" s="136" t="s">
        <v>2698</v>
      </c>
      <c r="B3020" s="136">
        <v>938450</v>
      </c>
      <c r="C3020" s="137">
        <v>1.6</v>
      </c>
      <c r="D3020" s="137">
        <v>2956.8</v>
      </c>
    </row>
    <row r="3021" spans="1:4">
      <c r="A3021" s="136" t="s">
        <v>2699</v>
      </c>
      <c r="B3021" s="136">
        <v>938510</v>
      </c>
      <c r="C3021" s="137">
        <v>0.6</v>
      </c>
      <c r="D3021" s="137">
        <v>3270</v>
      </c>
    </row>
  </sheetData>
  <customSheetViews>
    <customSheetView guid="{555478C2-F620-47D7-88F9-4C1EE7AEE227}" showGridLines="0" showRowCol="0" fitToPage="1">
      <selection activeCell="J54" sqref="J54"/>
      <pageMargins left="0" right="0" top="0" bottom="0" header="0" footer="0"/>
      <pageSetup paperSize="9" scale="10" orientation="portrait" r:id="rId1"/>
    </customSheetView>
    <customSheetView guid="{5E2E109E-4BFE-44CE-A2A0-BB9B6CC0D139}" showGridLines="0" showRowCol="0" fitToPage="1" topLeftCell="A16">
      <selection activeCell="J54" sqref="J54"/>
      <pageMargins left="0" right="0" top="0" bottom="0" header="0" footer="0"/>
      <pageSetup paperSize="9" scale="10" orientation="portrait" r:id="rId2"/>
    </customSheetView>
    <customSheetView guid="{3BAF3D14-B16A-4103-B9D6-D1D9B6381E90}" showGridLines="0" showRowCol="0" fitToPage="1" state="hidden" topLeftCell="A4">
      <selection activeCell="H20" sqref="H20"/>
      <pageMargins left="0" right="0" top="0" bottom="0" header="0" footer="0"/>
      <pageSetup paperSize="9" scale="10" orientation="portrait" r:id="rId3"/>
    </customSheetView>
    <customSheetView guid="{C362DBBD-8226-4073-BE04-D615B3B4BF31}" showGridLines="0" showRowCol="0" fitToPage="1" state="hidden" topLeftCell="A4">
      <selection activeCell="H20" sqref="H20"/>
      <pageMargins left="0" right="0" top="0" bottom="0" header="0" footer="0"/>
      <pageSetup paperSize="9" scale="10" orientation="portrait" r:id="rId4"/>
    </customSheetView>
    <customSheetView guid="{9E23992E-45A8-4DF8-9DFB-C5F9BB498A06}" showPageBreaks="1" showGridLines="0" showRowCol="0" fitToPage="1" state="hidden" topLeftCell="A4">
      <selection activeCell="H20" sqref="H20"/>
      <pageMargins left="0" right="0" top="0" bottom="0" header="0" footer="0"/>
      <pageSetup paperSize="9" scale="10" orientation="portrait" r:id="rId5"/>
    </customSheetView>
  </customSheetViews>
  <mergeCells count="1">
    <mergeCell ref="A4:E4"/>
  </mergeCells>
  <pageMargins left="0.70866141732283472" right="0.70866141732283472" top="0.74803149606299213" bottom="0.74803149606299213" header="0.31496062992125984" footer="0.31496062992125984"/>
  <pageSetup paperSize="9" scale="10" orientation="portrait" r:id="rId6"/>
  <drawing r:id="rId7"/>
  <legacyDrawingHF r:id="rId8"/>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tabColor theme="0" tint="-0.14999847407452621"/>
    <pageSetUpPr fitToPage="1"/>
  </sheetPr>
  <dimension ref="A1:I60"/>
  <sheetViews>
    <sheetView showGridLines="0" showRowColHeaders="0" topLeftCell="A67" zoomScaleNormal="100" workbookViewId="0">
      <selection activeCell="I17" sqref="I17"/>
    </sheetView>
  </sheetViews>
  <sheetFormatPr defaultColWidth="9.44140625" defaultRowHeight="13.2"/>
  <cols>
    <col min="1" max="1" width="5.5546875" style="154" customWidth="1"/>
    <col min="2" max="2" width="24.5546875" style="154" customWidth="1"/>
    <col min="3" max="3" width="21.5546875" style="154" customWidth="1"/>
    <col min="4" max="4" width="5.5546875" style="154" customWidth="1"/>
    <col min="5" max="5" width="24.44140625" style="154" bestFit="1" customWidth="1"/>
    <col min="6" max="6" width="27.5546875" style="154" customWidth="1"/>
    <col min="7" max="7" width="5.5546875" style="154" customWidth="1"/>
    <col min="8" max="8" width="21.5546875" style="154" customWidth="1"/>
    <col min="9" max="9" width="26.44140625" style="154" bestFit="1" customWidth="1"/>
    <col min="10" max="16384" width="9.44140625" style="154"/>
  </cols>
  <sheetData>
    <row r="1" spans="1:9" ht="87" customHeight="1"/>
    <row r="2" spans="1:9" ht="20.100000000000001" customHeight="1">
      <c r="A2" s="203"/>
      <c r="B2" s="188" t="s">
        <v>2700</v>
      </c>
      <c r="C2" s="188"/>
      <c r="D2" s="188"/>
      <c r="E2" s="188"/>
      <c r="F2" s="188"/>
      <c r="G2" s="188"/>
      <c r="H2" s="188"/>
      <c r="I2" s="188"/>
    </row>
    <row r="3" spans="1:9" ht="15" customHeight="1"/>
    <row r="4" spans="1:9" ht="15" customHeight="1">
      <c r="B4" s="671" t="s">
        <v>2701</v>
      </c>
      <c r="C4" s="672"/>
      <c r="D4" s="672"/>
      <c r="E4" s="672"/>
      <c r="F4" s="672"/>
    </row>
    <row r="5" spans="1:9" ht="15" customHeight="1">
      <c r="B5" s="671" t="s">
        <v>2702</v>
      </c>
      <c r="C5" s="673"/>
      <c r="E5" s="671" t="s">
        <v>2703</v>
      </c>
      <c r="F5" s="673"/>
    </row>
    <row r="6" spans="1:9" ht="15" customHeight="1">
      <c r="B6" s="118" t="s">
        <v>2704</v>
      </c>
      <c r="C6" s="118" t="s">
        <v>2063</v>
      </c>
      <c r="E6" s="118" t="s">
        <v>2704</v>
      </c>
      <c r="F6" s="118" t="s">
        <v>2063</v>
      </c>
      <c r="H6" s="181" t="s">
        <v>2705</v>
      </c>
      <c r="I6" s="182"/>
    </row>
    <row r="7" spans="1:9" ht="15" customHeight="1">
      <c r="B7" s="62">
        <v>0</v>
      </c>
      <c r="C7" s="59">
        <v>0</v>
      </c>
      <c r="E7" s="62">
        <v>0</v>
      </c>
      <c r="F7" s="59">
        <f>+C7*0.25</f>
        <v>0</v>
      </c>
      <c r="H7" s="183"/>
      <c r="I7" s="184" t="s">
        <v>2706</v>
      </c>
    </row>
    <row r="8" spans="1:9" ht="15" customHeight="1">
      <c r="B8" s="64">
        <v>0.04</v>
      </c>
      <c r="C8" s="63">
        <v>1</v>
      </c>
      <c r="E8" s="64">
        <v>0.05</v>
      </c>
      <c r="F8" s="63">
        <v>1</v>
      </c>
      <c r="H8" s="185"/>
      <c r="I8" s="184" t="s">
        <v>2707</v>
      </c>
    </row>
    <row r="9" spans="1:9" ht="15" customHeight="1">
      <c r="B9" s="64">
        <v>0.08</v>
      </c>
      <c r="C9" s="63">
        <v>2</v>
      </c>
      <c r="E9" s="64">
        <v>0.1</v>
      </c>
      <c r="F9" s="63">
        <v>2</v>
      </c>
      <c r="H9" s="186"/>
      <c r="I9" s="187" t="s">
        <v>2708</v>
      </c>
    </row>
    <row r="10" spans="1:9" ht="15" customHeight="1">
      <c r="B10" s="73">
        <v>0.12</v>
      </c>
      <c r="C10" s="63">
        <v>3</v>
      </c>
      <c r="E10" s="64">
        <v>0.15</v>
      </c>
      <c r="F10" s="63">
        <v>3</v>
      </c>
    </row>
    <row r="11" spans="1:9" ht="15" customHeight="1">
      <c r="B11" s="73">
        <v>0.16</v>
      </c>
      <c r="C11" s="63">
        <v>4</v>
      </c>
      <c r="E11" s="64">
        <v>0.2</v>
      </c>
      <c r="F11" s="63">
        <v>4</v>
      </c>
    </row>
    <row r="12" spans="1:9" ht="15" customHeight="1">
      <c r="B12" s="73">
        <v>0.2</v>
      </c>
      <c r="C12" s="63">
        <v>5</v>
      </c>
      <c r="E12" s="64">
        <v>0.25</v>
      </c>
      <c r="F12" s="63">
        <v>5</v>
      </c>
    </row>
    <row r="13" spans="1:9" ht="15" customHeight="1">
      <c r="B13" s="73">
        <v>0.24</v>
      </c>
      <c r="C13" s="63">
        <v>6</v>
      </c>
      <c r="E13" s="65">
        <v>0.3</v>
      </c>
      <c r="F13" s="60">
        <v>6</v>
      </c>
    </row>
    <row r="14" spans="1:9" ht="15" customHeight="1">
      <c r="B14" s="73">
        <v>0.28000000000000003</v>
      </c>
      <c r="C14" s="63">
        <v>7</v>
      </c>
      <c r="E14" s="64">
        <v>0.35</v>
      </c>
      <c r="F14" s="63">
        <v>7</v>
      </c>
    </row>
    <row r="15" spans="1:9" ht="15" customHeight="1">
      <c r="B15" s="65">
        <v>0.32</v>
      </c>
      <c r="C15" s="60">
        <v>8</v>
      </c>
      <c r="E15" s="64">
        <v>0.4</v>
      </c>
      <c r="F15" s="63">
        <v>8</v>
      </c>
    </row>
    <row r="16" spans="1:9" ht="15" customHeight="1">
      <c r="B16" s="73">
        <v>0.36</v>
      </c>
      <c r="C16" s="63">
        <v>9</v>
      </c>
      <c r="E16" s="64">
        <v>0.45</v>
      </c>
      <c r="F16" s="63">
        <v>9</v>
      </c>
    </row>
    <row r="17" spans="2:6" ht="15" customHeight="1">
      <c r="B17" s="73">
        <v>0.4</v>
      </c>
      <c r="C17" s="63">
        <v>10</v>
      </c>
      <c r="E17" s="64">
        <v>0.5</v>
      </c>
      <c r="F17" s="63">
        <v>10</v>
      </c>
    </row>
    <row r="18" spans="2:6" ht="15" customHeight="1">
      <c r="B18" s="73">
        <v>0.44</v>
      </c>
      <c r="C18" s="63">
        <v>11</v>
      </c>
      <c r="E18" s="64">
        <v>0.55000000000000004</v>
      </c>
      <c r="F18" s="63">
        <v>11</v>
      </c>
    </row>
    <row r="19" spans="2:6" ht="15" customHeight="1">
      <c r="B19" s="73">
        <v>0.48</v>
      </c>
      <c r="C19" s="63">
        <v>12</v>
      </c>
      <c r="E19" s="64">
        <v>0.6</v>
      </c>
      <c r="F19" s="63">
        <v>12</v>
      </c>
    </row>
    <row r="20" spans="2:6" ht="15" customHeight="1">
      <c r="B20" s="73">
        <v>0.52</v>
      </c>
      <c r="C20" s="63">
        <v>13</v>
      </c>
      <c r="E20" s="64">
        <v>0.65</v>
      </c>
      <c r="F20" s="63">
        <v>13</v>
      </c>
    </row>
    <row r="21" spans="2:6" ht="15" customHeight="1">
      <c r="B21" s="73">
        <v>0.56000000000000005</v>
      </c>
      <c r="C21" s="63">
        <v>14</v>
      </c>
      <c r="E21" s="64">
        <v>0.7</v>
      </c>
      <c r="F21" s="63">
        <v>14</v>
      </c>
    </row>
    <row r="22" spans="2:6" ht="15" customHeight="1">
      <c r="B22" s="73">
        <v>0.6</v>
      </c>
      <c r="C22" s="63">
        <v>15</v>
      </c>
      <c r="E22" s="64">
        <v>0.75</v>
      </c>
      <c r="F22" s="63">
        <v>15</v>
      </c>
    </row>
    <row r="23" spans="2:6" ht="15" customHeight="1">
      <c r="B23" s="73">
        <v>0.65</v>
      </c>
      <c r="C23" s="63">
        <v>16</v>
      </c>
      <c r="E23" s="64">
        <v>0.8</v>
      </c>
      <c r="F23" s="63">
        <v>16</v>
      </c>
    </row>
    <row r="24" spans="2:6" ht="15" customHeight="1">
      <c r="B24" s="73">
        <v>0.7</v>
      </c>
      <c r="C24" s="63">
        <v>17</v>
      </c>
      <c r="E24" s="64">
        <v>0.85</v>
      </c>
      <c r="F24" s="63">
        <v>17</v>
      </c>
    </row>
    <row r="25" spans="2:6" ht="15" customHeight="1">
      <c r="B25" s="73">
        <v>0.75</v>
      </c>
      <c r="C25" s="63">
        <v>18</v>
      </c>
      <c r="E25" s="64">
        <v>0.9</v>
      </c>
      <c r="F25" s="63">
        <v>18</v>
      </c>
    </row>
    <row r="26" spans="2:6" ht="15" customHeight="1">
      <c r="B26" s="73">
        <v>0.8</v>
      </c>
      <c r="C26" s="63">
        <v>19</v>
      </c>
      <c r="E26" s="64">
        <v>0.95</v>
      </c>
      <c r="F26" s="63">
        <v>19</v>
      </c>
    </row>
    <row r="27" spans="2:6" ht="15" customHeight="1">
      <c r="B27" s="73">
        <v>0.85</v>
      </c>
      <c r="C27" s="63">
        <v>20</v>
      </c>
      <c r="E27" s="67">
        <v>1</v>
      </c>
      <c r="F27" s="61">
        <v>20</v>
      </c>
    </row>
    <row r="28" spans="2:6" ht="15" customHeight="1">
      <c r="B28" s="73">
        <v>0.9</v>
      </c>
      <c r="C28" s="63">
        <v>21</v>
      </c>
    </row>
    <row r="29" spans="2:6" ht="15" customHeight="1">
      <c r="B29" s="73">
        <v>0.95</v>
      </c>
      <c r="C29" s="63">
        <v>22</v>
      </c>
    </row>
    <row r="30" spans="2:6" ht="15" customHeight="1">
      <c r="B30" s="67">
        <v>1</v>
      </c>
      <c r="C30" s="61">
        <v>23</v>
      </c>
      <c r="E30" s="671" t="s">
        <v>2709</v>
      </c>
      <c r="F30" s="673"/>
    </row>
    <row r="31" spans="2:6" ht="35.1" customHeight="1">
      <c r="E31" s="118" t="s">
        <v>2710</v>
      </c>
      <c r="F31" s="118" t="s">
        <v>2063</v>
      </c>
    </row>
    <row r="32" spans="2:6" ht="15" customHeight="1">
      <c r="E32" s="66">
        <v>0</v>
      </c>
      <c r="F32" s="63">
        <v>0</v>
      </c>
    </row>
    <row r="33" spans="2:6" ht="15" customHeight="1">
      <c r="E33" s="66">
        <v>0.25</v>
      </c>
      <c r="F33" s="63">
        <v>1</v>
      </c>
    </row>
    <row r="34" spans="2:6" ht="15" customHeight="1">
      <c r="E34" s="66">
        <v>0.5</v>
      </c>
      <c r="F34" s="63">
        <v>2</v>
      </c>
    </row>
    <row r="35" spans="2:6" ht="15" customHeight="1">
      <c r="E35" s="66">
        <v>0.75</v>
      </c>
      <c r="F35" s="63">
        <v>3</v>
      </c>
    </row>
    <row r="36" spans="2:6" ht="15" customHeight="1"/>
    <row r="37" spans="2:6" ht="15" customHeight="1">
      <c r="B37" s="671" t="s">
        <v>2711</v>
      </c>
      <c r="C37" s="672"/>
      <c r="D37" s="672"/>
      <c r="E37" s="672"/>
      <c r="F37" s="672"/>
    </row>
    <row r="38" spans="2:6" ht="15" customHeight="1">
      <c r="B38" s="671" t="s">
        <v>2712</v>
      </c>
      <c r="C38" s="673"/>
      <c r="E38" s="671" t="s">
        <v>2713</v>
      </c>
      <c r="F38" s="673"/>
    </row>
    <row r="39" spans="2:6" ht="35.1" customHeight="1">
      <c r="B39" s="118" t="s">
        <v>2714</v>
      </c>
      <c r="C39" s="118" t="s">
        <v>2715</v>
      </c>
      <c r="E39" s="118" t="s">
        <v>2714</v>
      </c>
      <c r="F39" s="118" t="s">
        <v>2716</v>
      </c>
    </row>
    <row r="40" spans="2:6" ht="15" customHeight="1">
      <c r="B40" s="59">
        <v>1</v>
      </c>
      <c r="C40" s="59">
        <v>0</v>
      </c>
      <c r="E40" s="59">
        <v>1</v>
      </c>
      <c r="F40" s="59">
        <v>0</v>
      </c>
    </row>
    <row r="41" spans="2:6" ht="15" customHeight="1">
      <c r="B41" s="63">
        <v>1.5</v>
      </c>
      <c r="C41" s="63">
        <v>1</v>
      </c>
      <c r="E41" s="63">
        <v>1.5</v>
      </c>
      <c r="F41" s="63">
        <v>1</v>
      </c>
    </row>
    <row r="42" spans="2:6" ht="15" customHeight="1">
      <c r="B42" s="63">
        <v>2</v>
      </c>
      <c r="C42" s="63">
        <v>2</v>
      </c>
      <c r="E42" s="63">
        <v>2</v>
      </c>
      <c r="F42" s="63">
        <v>2</v>
      </c>
    </row>
    <row r="43" spans="2:6" ht="15" customHeight="1">
      <c r="B43" s="63">
        <v>2.5</v>
      </c>
      <c r="C43" s="63">
        <v>3</v>
      </c>
      <c r="E43" s="63">
        <v>2.5</v>
      </c>
      <c r="F43" s="63">
        <v>3</v>
      </c>
    </row>
    <row r="44" spans="2:6" ht="15" customHeight="1">
      <c r="B44" s="60">
        <v>3</v>
      </c>
      <c r="C44" s="60">
        <v>5</v>
      </c>
      <c r="E44" s="60">
        <v>3</v>
      </c>
      <c r="F44" s="60">
        <v>4</v>
      </c>
    </row>
    <row r="45" spans="2:6" ht="15" customHeight="1">
      <c r="B45" s="63">
        <v>3.5</v>
      </c>
      <c r="C45" s="63">
        <v>7</v>
      </c>
      <c r="E45" s="63">
        <v>3.5</v>
      </c>
      <c r="F45" s="63">
        <v>6</v>
      </c>
    </row>
    <row r="46" spans="2:6" ht="15" customHeight="1">
      <c r="B46" s="63">
        <v>4</v>
      </c>
      <c r="C46" s="63">
        <v>9</v>
      </c>
      <c r="E46" s="63">
        <v>4</v>
      </c>
      <c r="F46" s="63">
        <v>8</v>
      </c>
    </row>
    <row r="47" spans="2:6" ht="15" customHeight="1">
      <c r="B47" s="63">
        <v>4.5</v>
      </c>
      <c r="C47" s="63">
        <v>11</v>
      </c>
      <c r="E47" s="63">
        <v>4.5</v>
      </c>
      <c r="F47" s="63">
        <v>10</v>
      </c>
    </row>
    <row r="48" spans="2:6" ht="15" customHeight="1">
      <c r="B48" s="63">
        <v>5</v>
      </c>
      <c r="C48" s="63">
        <v>14</v>
      </c>
      <c r="E48" s="63">
        <v>5</v>
      </c>
      <c r="F48" s="63">
        <v>12</v>
      </c>
    </row>
    <row r="49" spans="2:6" ht="15" customHeight="1">
      <c r="B49" s="63">
        <v>5.5</v>
      </c>
      <c r="C49" s="63">
        <v>17</v>
      </c>
      <c r="E49" s="63">
        <v>5.5</v>
      </c>
      <c r="F49" s="63">
        <v>14</v>
      </c>
    </row>
    <row r="50" spans="2:6" ht="15" customHeight="1">
      <c r="B50" s="63">
        <v>6</v>
      </c>
      <c r="C50" s="63">
        <v>20</v>
      </c>
      <c r="E50" s="63">
        <v>6</v>
      </c>
      <c r="F50" s="63">
        <v>16</v>
      </c>
    </row>
    <row r="51" spans="2:6" ht="15" customHeight="1">
      <c r="B51" s="61" t="s">
        <v>2717</v>
      </c>
      <c r="C51" s="61">
        <v>23</v>
      </c>
      <c r="E51" s="61" t="s">
        <v>2717</v>
      </c>
      <c r="F51" s="61">
        <v>20</v>
      </c>
    </row>
    <row r="54" spans="2:6" ht="12.75" hidden="1" customHeight="1"/>
    <row r="55" spans="2:6" ht="12.75" hidden="1" customHeight="1"/>
    <row r="56" spans="2:6" ht="12.75" hidden="1" customHeight="1"/>
    <row r="57" spans="2:6" ht="12.75" hidden="1" customHeight="1"/>
    <row r="58" spans="2:6" ht="12.75" hidden="1" customHeight="1"/>
    <row r="59" spans="2:6" ht="114.75" hidden="1" customHeight="1"/>
    <row r="60" spans="2:6" ht="12.75" hidden="1" customHeight="1"/>
  </sheetData>
  <customSheetViews>
    <customSheetView guid="{555478C2-F620-47D7-88F9-4C1EE7AEE227}" showGridLines="0" fitToPage="1" hiddenRows="1" hiddenColumns="1">
      <selection activeCell="A53" sqref="A53:XFD61"/>
      <pageMargins left="0" right="0" top="0" bottom="0" header="0" footer="0"/>
      <pageSetup paperSize="9" scale="59" orientation="portrait" r:id="rId1"/>
    </customSheetView>
    <customSheetView guid="{5E2E109E-4BFE-44CE-A2A0-BB9B6CC0D139}" showGridLines="0" fitToPage="1" hiddenRows="1" hiddenColumns="1" topLeftCell="A37">
      <selection activeCell="A53" sqref="A53:XFD61"/>
      <pageMargins left="0" right="0" top="0" bottom="0" header="0" footer="0"/>
      <pageSetup paperSize="9" scale="59" orientation="portrait" r:id="rId2"/>
    </customSheetView>
    <customSheetView guid="{3BAF3D14-B16A-4103-B9D6-D1D9B6381E90}" showGridLines="0" showRowCol="0" fitToPage="1" hiddenRows="1" hiddenColumns="1" state="hidden">
      <selection activeCell="B7" sqref="B7"/>
      <pageMargins left="0" right="0" top="0" bottom="0" header="0" footer="0"/>
      <pageSetup paperSize="9" scale="59" orientation="portrait" r:id="rId3"/>
    </customSheetView>
    <customSheetView guid="{C362DBBD-8226-4073-BE04-D615B3B4BF31}" showGridLines="0" showRowCol="0" fitToPage="1" hiddenRows="1" state="hidden">
      <selection activeCell="I17" sqref="I17"/>
      <pageMargins left="0" right="0" top="0" bottom="0" header="0" footer="0"/>
      <pageSetup paperSize="9" scale="59" orientation="portrait" r:id="rId4"/>
    </customSheetView>
    <customSheetView guid="{9E23992E-45A8-4DF8-9DFB-C5F9BB498A06}" showPageBreaks="1" showGridLines="0" showRowCol="0" fitToPage="1" hiddenRows="1" state="hidden">
      <selection activeCell="I17" sqref="I17"/>
      <pageMargins left="0" right="0" top="0" bottom="0" header="0" footer="0"/>
      <pageSetup paperSize="9" scale="54" orientation="portrait" r:id="rId5"/>
    </customSheetView>
  </customSheetViews>
  <mergeCells count="7">
    <mergeCell ref="B38:C38"/>
    <mergeCell ref="E38:F38"/>
    <mergeCell ref="B4:F4"/>
    <mergeCell ref="B5:C5"/>
    <mergeCell ref="E5:F5"/>
    <mergeCell ref="E30:F30"/>
    <mergeCell ref="B37:F37"/>
  </mergeCells>
  <pageMargins left="0.70866141732283472" right="0.70866141732283472" top="0.74803149606299213" bottom="0.74803149606299213" header="0.31496062992125984" footer="0.31496062992125984"/>
  <pageSetup paperSize="9" scale="54" orientation="portrait" r:id="rId6"/>
  <drawing r:id="rId7"/>
  <legacyDrawing r:id="rId8"/>
  <legacyDrawingHF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0F49A-B149-4580-9498-E5E12D167AEF}">
  <sheetPr codeName="Sheet1">
    <pageSetUpPr autoPageBreaks="0"/>
  </sheetPr>
  <dimension ref="A1:L1229"/>
  <sheetViews>
    <sheetView showGridLines="0" topLeftCell="A2" zoomScale="80" zoomScaleNormal="80" workbookViewId="0">
      <selection activeCell="I9" sqref="I9"/>
    </sheetView>
  </sheetViews>
  <sheetFormatPr defaultColWidth="9.44140625" defaultRowHeight="13.8"/>
  <cols>
    <col min="1" max="1" width="3.5546875" style="292" customWidth="1"/>
    <col min="2" max="2" width="30.5546875" style="292" customWidth="1"/>
    <col min="3" max="3" width="25.5546875" style="292" customWidth="1"/>
    <col min="4" max="4" width="14.5546875" style="292" customWidth="1"/>
    <col min="5" max="6" width="10.5546875" style="292" customWidth="1"/>
    <col min="7" max="7" width="25.5546875" style="292" customWidth="1"/>
    <col min="8" max="8" width="20.5546875" style="292" customWidth="1"/>
    <col min="9" max="11" width="50.5546875" style="292" customWidth="1"/>
    <col min="12" max="16384" width="9.44140625" style="310"/>
  </cols>
  <sheetData>
    <row r="1" spans="1:11" ht="110.25" customHeight="1">
      <c r="A1" s="310"/>
      <c r="B1" s="310"/>
      <c r="C1" s="310"/>
      <c r="D1" s="310"/>
      <c r="E1" s="310"/>
      <c r="F1" s="310"/>
      <c r="G1" s="310"/>
      <c r="H1" s="310"/>
      <c r="I1" s="15"/>
      <c r="J1" s="15"/>
      <c r="K1" s="15"/>
    </row>
    <row r="2" spans="1:11" ht="67.5" customHeight="1">
      <c r="A2" s="310"/>
      <c r="B2" s="562" t="s">
        <v>1</v>
      </c>
      <c r="C2" s="562"/>
      <c r="D2" s="562"/>
      <c r="E2" s="562"/>
      <c r="F2" s="562"/>
      <c r="G2" s="562"/>
      <c r="H2" s="562"/>
      <c r="I2" s="15"/>
      <c r="J2" s="15"/>
      <c r="K2" s="15"/>
    </row>
    <row r="3" spans="1:11" ht="22.5" customHeight="1">
      <c r="A3" s="310"/>
      <c r="B3" s="311"/>
      <c r="C3" s="311"/>
      <c r="D3" s="311"/>
      <c r="E3" s="310"/>
      <c r="F3" s="310"/>
      <c r="G3" s="310"/>
      <c r="H3" s="310"/>
      <c r="I3" s="15"/>
      <c r="J3" s="15"/>
      <c r="K3" s="15"/>
    </row>
    <row r="4" spans="1:11" ht="33.75" customHeight="1">
      <c r="A4" s="310"/>
      <c r="B4" s="550" t="s">
        <v>2</v>
      </c>
      <c r="C4" s="550"/>
      <c r="D4" s="550"/>
      <c r="E4" s="550"/>
      <c r="F4" s="550"/>
      <c r="G4" s="550"/>
      <c r="H4" s="550"/>
      <c r="I4" s="15"/>
      <c r="J4" s="15"/>
      <c r="K4" s="15"/>
    </row>
    <row r="5" spans="1:11" ht="30" customHeight="1">
      <c r="A5" s="310"/>
      <c r="B5" s="305"/>
      <c r="C5" s="312"/>
      <c r="D5" s="312"/>
      <c r="E5" s="310"/>
      <c r="F5" s="310"/>
      <c r="G5" s="310"/>
      <c r="H5" s="310"/>
      <c r="I5" s="15"/>
      <c r="J5" s="15"/>
      <c r="K5" s="15"/>
    </row>
    <row r="6" spans="1:11" ht="30" customHeight="1">
      <c r="A6" s="310"/>
      <c r="B6" s="305"/>
      <c r="C6" s="306" t="s">
        <v>3</v>
      </c>
      <c r="D6" s="565" t="s">
        <v>4</v>
      </c>
      <c r="E6" s="566"/>
      <c r="F6" s="566"/>
      <c r="G6" s="566"/>
      <c r="H6" s="567"/>
      <c r="I6" s="15"/>
      <c r="J6" s="15"/>
      <c r="K6" s="15"/>
    </row>
    <row r="7" spans="1:11" ht="30" customHeight="1">
      <c r="A7" s="310"/>
      <c r="B7" s="558" t="s">
        <v>2724</v>
      </c>
      <c r="C7" s="444" t="s">
        <v>2743</v>
      </c>
      <c r="D7" s="559" t="s">
        <v>2744</v>
      </c>
      <c r="E7" s="560"/>
      <c r="F7" s="560"/>
      <c r="G7" s="560"/>
      <c r="H7" s="561"/>
      <c r="I7" s="15"/>
      <c r="J7" s="15"/>
      <c r="K7" s="15"/>
    </row>
    <row r="8" spans="1:11" ht="30" customHeight="1">
      <c r="A8" s="310"/>
      <c r="B8" s="558"/>
      <c r="C8" s="444" t="s">
        <v>2737</v>
      </c>
      <c r="D8" s="559" t="s">
        <v>2738</v>
      </c>
      <c r="E8" s="560"/>
      <c r="F8" s="560"/>
      <c r="G8" s="560"/>
      <c r="H8" s="561"/>
      <c r="I8" s="15"/>
      <c r="J8" s="15"/>
      <c r="K8" s="15"/>
    </row>
    <row r="9" spans="1:11" ht="30" customHeight="1">
      <c r="A9" s="310"/>
      <c r="B9" s="558"/>
      <c r="C9" s="444" t="s">
        <v>2726</v>
      </c>
      <c r="D9" s="559" t="s">
        <v>2725</v>
      </c>
      <c r="E9" s="560"/>
      <c r="F9" s="560"/>
      <c r="G9" s="560"/>
      <c r="H9" s="561"/>
      <c r="I9" s="15"/>
      <c r="J9" s="15"/>
      <c r="K9" s="15"/>
    </row>
    <row r="10" spans="1:11" ht="30" customHeight="1">
      <c r="A10" s="310"/>
      <c r="B10" s="558"/>
      <c r="C10" s="444" t="s">
        <v>2719</v>
      </c>
      <c r="D10" s="559" t="s">
        <v>2720</v>
      </c>
      <c r="E10" s="560"/>
      <c r="F10" s="560"/>
      <c r="G10" s="560"/>
      <c r="H10" s="561"/>
      <c r="I10" s="15"/>
      <c r="J10" s="15"/>
      <c r="K10" s="15"/>
    </row>
    <row r="11" spans="1:11" ht="30" customHeight="1">
      <c r="A11" s="310"/>
      <c r="B11" s="558"/>
      <c r="C11" s="444" t="s">
        <v>32</v>
      </c>
      <c r="D11" s="557" t="s">
        <v>2718</v>
      </c>
      <c r="E11" s="555"/>
      <c r="F11" s="555"/>
      <c r="G11" s="555"/>
      <c r="H11" s="556"/>
      <c r="I11" s="15"/>
      <c r="J11" s="15"/>
      <c r="K11" s="15"/>
    </row>
    <row r="12" spans="1:11" ht="30" customHeight="1">
      <c r="A12" s="310"/>
      <c r="B12" s="305"/>
      <c r="C12" s="312"/>
      <c r="D12" s="312"/>
      <c r="E12" s="310"/>
      <c r="F12" s="310"/>
      <c r="G12" s="310"/>
      <c r="H12" s="310"/>
      <c r="I12" s="15"/>
      <c r="J12" s="15"/>
      <c r="K12" s="15"/>
    </row>
    <row r="13" spans="1:11" ht="30" customHeight="1">
      <c r="A13" s="310"/>
      <c r="B13" s="305"/>
      <c r="C13" s="312"/>
      <c r="D13" s="312"/>
      <c r="E13" s="310"/>
      <c r="F13" s="310"/>
      <c r="G13" s="310"/>
      <c r="H13" s="310"/>
      <c r="I13" s="15"/>
      <c r="J13" s="15"/>
      <c r="K13" s="15"/>
    </row>
    <row r="14" spans="1:11" ht="30" customHeight="1">
      <c r="A14" s="310"/>
      <c r="B14" s="305"/>
      <c r="C14" s="312"/>
      <c r="D14" s="312"/>
      <c r="E14" s="310"/>
      <c r="F14" s="310"/>
      <c r="G14" s="310"/>
      <c r="H14" s="310"/>
      <c r="I14" s="15"/>
      <c r="J14" s="15"/>
      <c r="K14" s="15"/>
    </row>
    <row r="15" spans="1:11" ht="30" hidden="1" customHeight="1">
      <c r="A15" s="310"/>
      <c r="B15" s="305"/>
      <c r="C15" s="312"/>
      <c r="D15" s="312"/>
      <c r="E15" s="310"/>
      <c r="F15" s="310"/>
      <c r="G15" s="310"/>
      <c r="H15" s="310"/>
      <c r="I15" s="15"/>
      <c r="J15" s="15"/>
      <c r="K15" s="15"/>
    </row>
    <row r="16" spans="1:11" ht="30" hidden="1" customHeight="1">
      <c r="A16" s="310"/>
      <c r="B16" s="305"/>
      <c r="C16" s="312"/>
      <c r="D16" s="312"/>
      <c r="E16" s="310"/>
      <c r="F16" s="310"/>
      <c r="G16" s="310"/>
      <c r="H16" s="310"/>
      <c r="I16" s="15"/>
      <c r="J16" s="15"/>
      <c r="K16" s="15"/>
    </row>
    <row r="17" spans="1:11" ht="30" hidden="1" customHeight="1">
      <c r="A17" s="310"/>
      <c r="B17" s="310"/>
      <c r="C17" s="312"/>
      <c r="D17" s="312"/>
      <c r="E17" s="310"/>
      <c r="F17" s="310"/>
      <c r="G17" s="310"/>
      <c r="H17" s="310"/>
      <c r="I17" s="15"/>
      <c r="J17" s="15"/>
      <c r="K17" s="15"/>
    </row>
    <row r="18" spans="1:11" ht="20.100000000000001" hidden="1" customHeight="1">
      <c r="A18" s="310"/>
      <c r="B18" s="563" t="s">
        <v>5</v>
      </c>
      <c r="C18" s="306" t="s">
        <v>3</v>
      </c>
      <c r="D18" s="565" t="s">
        <v>4</v>
      </c>
      <c r="E18" s="566"/>
      <c r="F18" s="566"/>
      <c r="G18" s="566"/>
      <c r="H18" s="567"/>
      <c r="I18" s="15"/>
      <c r="J18" s="15"/>
      <c r="K18" s="15"/>
    </row>
    <row r="19" spans="1:11" ht="30" hidden="1" customHeight="1">
      <c r="A19" s="310"/>
      <c r="B19" s="569"/>
      <c r="C19" s="444" t="s">
        <v>6</v>
      </c>
      <c r="D19" s="557" t="s">
        <v>7</v>
      </c>
      <c r="E19" s="555"/>
      <c r="F19" s="555"/>
      <c r="G19" s="555"/>
      <c r="H19" s="556"/>
      <c r="I19" s="15"/>
      <c r="J19" s="15"/>
      <c r="K19" s="15"/>
    </row>
    <row r="20" spans="1:11" ht="20.100000000000001" hidden="1" customHeight="1">
      <c r="A20" s="310"/>
      <c r="B20" s="569"/>
      <c r="C20" s="444" t="s">
        <v>8</v>
      </c>
      <c r="D20" s="557" t="s">
        <v>9</v>
      </c>
      <c r="E20" s="555"/>
      <c r="F20" s="555"/>
      <c r="G20" s="555"/>
      <c r="H20" s="556"/>
      <c r="I20" s="15"/>
      <c r="J20" s="15"/>
      <c r="K20" s="15"/>
    </row>
    <row r="21" spans="1:11" ht="30" hidden="1" customHeight="1">
      <c r="A21" s="310"/>
      <c r="B21" s="569"/>
      <c r="C21" s="444" t="s">
        <v>10</v>
      </c>
      <c r="D21" s="557" t="s">
        <v>11</v>
      </c>
      <c r="E21" s="555"/>
      <c r="F21" s="555"/>
      <c r="G21" s="555"/>
      <c r="H21" s="556"/>
      <c r="I21" s="15"/>
      <c r="J21" s="15"/>
      <c r="K21" s="15"/>
    </row>
    <row r="22" spans="1:11" ht="45" hidden="1" customHeight="1">
      <c r="A22" s="310"/>
      <c r="B22" s="569"/>
      <c r="C22" s="444" t="s">
        <v>12</v>
      </c>
      <c r="D22" s="554" t="s">
        <v>13</v>
      </c>
      <c r="E22" s="555"/>
      <c r="F22" s="555"/>
      <c r="G22" s="555"/>
      <c r="H22" s="556"/>
      <c r="I22" s="15"/>
      <c r="J22" s="15"/>
      <c r="K22" s="15"/>
    </row>
    <row r="23" spans="1:11" ht="20.100000000000001" hidden="1" customHeight="1">
      <c r="A23" s="310"/>
      <c r="B23" s="569"/>
      <c r="C23" s="445" t="s">
        <v>14</v>
      </c>
      <c r="D23" s="551" t="s">
        <v>15</v>
      </c>
      <c r="E23" s="552"/>
      <c r="F23" s="552"/>
      <c r="G23" s="552"/>
      <c r="H23" s="553"/>
      <c r="I23" s="15"/>
      <c r="J23" s="15"/>
      <c r="K23" s="15"/>
    </row>
    <row r="24" spans="1:11" ht="104.25" hidden="1" customHeight="1">
      <c r="A24" s="310"/>
      <c r="B24" s="569"/>
      <c r="C24" s="303" t="s">
        <v>16</v>
      </c>
      <c r="D24" s="547" t="s">
        <v>17</v>
      </c>
      <c r="E24" s="548"/>
      <c r="F24" s="548"/>
      <c r="G24" s="548"/>
      <c r="H24" s="549"/>
      <c r="I24" s="15"/>
      <c r="J24" s="15"/>
      <c r="K24" s="15"/>
    </row>
    <row r="25" spans="1:11" ht="50.1" hidden="1" customHeight="1">
      <c r="A25" s="310"/>
      <c r="B25" s="569"/>
      <c r="C25" s="303" t="s">
        <v>18</v>
      </c>
      <c r="D25" s="547" t="s">
        <v>19</v>
      </c>
      <c r="E25" s="548"/>
      <c r="F25" s="548"/>
      <c r="G25" s="548"/>
      <c r="H25" s="549"/>
      <c r="I25" s="15"/>
      <c r="J25" s="15"/>
      <c r="K25" s="15"/>
    </row>
    <row r="26" spans="1:11" ht="50.1" hidden="1" customHeight="1">
      <c r="A26" s="310"/>
      <c r="B26" s="569"/>
      <c r="C26" s="303" t="s">
        <v>20</v>
      </c>
      <c r="D26" s="547" t="s">
        <v>21</v>
      </c>
      <c r="E26" s="548"/>
      <c r="F26" s="548"/>
      <c r="G26" s="548"/>
      <c r="H26" s="549"/>
      <c r="I26" s="15"/>
      <c r="J26" s="15"/>
      <c r="K26" s="15"/>
    </row>
    <row r="27" spans="1:11" ht="20.100000000000001" hidden="1" customHeight="1">
      <c r="A27" s="310"/>
      <c r="B27" s="569"/>
      <c r="C27" s="303" t="s">
        <v>22</v>
      </c>
      <c r="D27" s="547" t="s">
        <v>23</v>
      </c>
      <c r="E27" s="548"/>
      <c r="F27" s="548"/>
      <c r="G27" s="548"/>
      <c r="H27" s="549"/>
      <c r="I27" s="15"/>
      <c r="J27" s="15"/>
      <c r="K27" s="15"/>
    </row>
    <row r="28" spans="1:11" ht="65.099999999999994" hidden="1" customHeight="1">
      <c r="A28" s="310"/>
      <c r="B28" s="569"/>
      <c r="C28" s="303" t="s">
        <v>24</v>
      </c>
      <c r="D28" s="547" t="s">
        <v>25</v>
      </c>
      <c r="E28" s="548"/>
      <c r="F28" s="548"/>
      <c r="G28" s="548"/>
      <c r="H28" s="549"/>
      <c r="I28" s="15"/>
      <c r="J28" s="15"/>
      <c r="K28" s="15"/>
    </row>
    <row r="29" spans="1:11" ht="40.5" hidden="1" customHeight="1">
      <c r="A29" s="310"/>
      <c r="B29" s="569"/>
      <c r="C29" s="303" t="s">
        <v>26</v>
      </c>
      <c r="D29" s="547" t="s">
        <v>27</v>
      </c>
      <c r="E29" s="548"/>
      <c r="F29" s="548"/>
      <c r="G29" s="548"/>
      <c r="H29" s="549"/>
      <c r="I29" s="15"/>
      <c r="J29" s="15"/>
      <c r="K29" s="15"/>
    </row>
    <row r="30" spans="1:11" ht="65.099999999999994" hidden="1" customHeight="1">
      <c r="A30" s="310"/>
      <c r="B30" s="569"/>
      <c r="C30" s="303" t="s">
        <v>28</v>
      </c>
      <c r="D30" s="547" t="s">
        <v>29</v>
      </c>
      <c r="E30" s="548"/>
      <c r="F30" s="548"/>
      <c r="G30" s="548"/>
      <c r="H30" s="549"/>
      <c r="I30" s="15"/>
      <c r="J30" s="15"/>
      <c r="K30" s="15"/>
    </row>
    <row r="31" spans="1:11" ht="125.1" hidden="1" customHeight="1">
      <c r="A31" s="310"/>
      <c r="B31" s="564"/>
      <c r="C31" s="303" t="s">
        <v>30</v>
      </c>
      <c r="D31" s="547" t="s">
        <v>31</v>
      </c>
      <c r="E31" s="548"/>
      <c r="F31" s="548"/>
      <c r="G31" s="548"/>
      <c r="H31" s="549"/>
      <c r="I31" s="15"/>
      <c r="J31" s="15"/>
      <c r="K31" s="15"/>
    </row>
    <row r="32" spans="1:11" ht="35.1" hidden="1" customHeight="1">
      <c r="A32" s="310"/>
      <c r="B32" s="563" t="s">
        <v>34</v>
      </c>
      <c r="C32" s="303" t="s">
        <v>32</v>
      </c>
      <c r="D32" s="547" t="s">
        <v>33</v>
      </c>
      <c r="E32" s="548"/>
      <c r="F32" s="548"/>
      <c r="G32" s="548"/>
      <c r="H32" s="549"/>
      <c r="I32" s="304"/>
      <c r="J32" s="304"/>
      <c r="K32" s="304"/>
    </row>
    <row r="33" spans="1:11" ht="35.1" hidden="1" customHeight="1">
      <c r="A33" s="310"/>
      <c r="B33" s="564"/>
      <c r="C33" s="303" t="s">
        <v>35</v>
      </c>
      <c r="D33" s="568" t="s">
        <v>36</v>
      </c>
      <c r="E33" s="568"/>
      <c r="F33" s="568"/>
      <c r="G33" s="568"/>
      <c r="H33" s="568"/>
      <c r="I33" s="304"/>
      <c r="J33" s="304"/>
      <c r="K33" s="304"/>
    </row>
    <row r="34" spans="1:11" ht="45" hidden="1" customHeight="1">
      <c r="A34" s="310"/>
      <c r="B34" s="306" t="s">
        <v>39</v>
      </c>
      <c r="C34" s="303" t="s">
        <v>37</v>
      </c>
      <c r="D34" s="568" t="s">
        <v>38</v>
      </c>
      <c r="E34" s="568"/>
      <c r="F34" s="568"/>
      <c r="G34" s="568"/>
      <c r="H34" s="568"/>
      <c r="I34" s="302"/>
      <c r="J34" s="302"/>
      <c r="K34" s="302"/>
    </row>
    <row r="35" spans="1:11" hidden="1">
      <c r="A35" s="310"/>
      <c r="B35" s="310"/>
      <c r="C35" s="303" t="s">
        <v>40</v>
      </c>
      <c r="D35" s="546" t="s">
        <v>41</v>
      </c>
      <c r="E35" s="546"/>
      <c r="F35" s="546"/>
      <c r="G35" s="546"/>
      <c r="H35" s="546"/>
      <c r="I35" s="310"/>
      <c r="J35" s="310"/>
      <c r="K35" s="310"/>
    </row>
    <row r="36" spans="1:11" hidden="1">
      <c r="A36" s="310"/>
      <c r="B36" s="310"/>
      <c r="C36" s="310"/>
      <c r="D36" s="310"/>
      <c r="E36" s="310"/>
      <c r="F36" s="310"/>
      <c r="G36" s="310"/>
      <c r="H36" s="310"/>
      <c r="I36" s="310"/>
      <c r="J36" s="310"/>
      <c r="K36" s="310"/>
    </row>
    <row r="37" spans="1:11" hidden="1">
      <c r="A37" s="310"/>
      <c r="B37" s="310"/>
      <c r="C37" s="310"/>
      <c r="D37" s="310"/>
      <c r="E37" s="310"/>
      <c r="F37" s="310"/>
      <c r="G37" s="310"/>
      <c r="H37" s="310"/>
      <c r="I37" s="310"/>
      <c r="J37" s="310"/>
      <c r="K37" s="310"/>
    </row>
    <row r="38" spans="1:11" ht="21" hidden="1">
      <c r="A38" s="300" t="s">
        <v>42</v>
      </c>
      <c r="B38" s="309" t="s">
        <v>43</v>
      </c>
      <c r="C38" s="310"/>
      <c r="D38" s="310"/>
      <c r="E38" s="310"/>
      <c r="F38" s="310"/>
      <c r="G38" s="310"/>
      <c r="H38" s="310"/>
      <c r="I38" s="309"/>
      <c r="J38" s="301"/>
      <c r="K38" s="301"/>
    </row>
    <row r="39" spans="1:11" ht="21" hidden="1">
      <c r="A39" s="300" t="s">
        <v>42</v>
      </c>
      <c r="B39" s="313" t="s">
        <v>44</v>
      </c>
      <c r="C39" s="309"/>
      <c r="D39" s="309"/>
      <c r="E39" s="309"/>
      <c r="F39" s="309"/>
      <c r="G39" s="309"/>
      <c r="H39" s="309"/>
      <c r="I39" s="313" t="s">
        <v>51</v>
      </c>
      <c r="J39" s="313" t="s">
        <v>52</v>
      </c>
      <c r="K39" s="313" t="s">
        <v>53</v>
      </c>
    </row>
    <row r="40" spans="1:11" hidden="1">
      <c r="A40" s="295" t="s">
        <v>42</v>
      </c>
      <c r="B40" s="197" t="s">
        <v>54</v>
      </c>
      <c r="C40" s="313" t="s">
        <v>45</v>
      </c>
      <c r="D40" s="313" t="s">
        <v>46</v>
      </c>
      <c r="E40" s="313" t="s">
        <v>47</v>
      </c>
      <c r="F40" s="313" t="s">
        <v>48</v>
      </c>
      <c r="G40" s="313" t="s">
        <v>49</v>
      </c>
      <c r="H40" s="313" t="s">
        <v>50</v>
      </c>
      <c r="I40" s="410" t="s">
        <v>59</v>
      </c>
      <c r="J40" s="410" t="s">
        <v>60</v>
      </c>
      <c r="K40" s="410" t="s">
        <v>61</v>
      </c>
    </row>
    <row r="41" spans="1:11" hidden="1">
      <c r="A41" s="295" t="s">
        <v>42</v>
      </c>
      <c r="B41" s="197" t="s">
        <v>54</v>
      </c>
      <c r="C41" s="197">
        <v>43067</v>
      </c>
      <c r="D41" s="410" t="s">
        <v>55</v>
      </c>
      <c r="E41" s="410" t="s">
        <v>56</v>
      </c>
      <c r="F41" s="410" t="s">
        <v>55</v>
      </c>
      <c r="G41" s="410" t="s">
        <v>57</v>
      </c>
      <c r="H41" s="410" t="s">
        <v>58</v>
      </c>
      <c r="I41" s="410" t="s">
        <v>63</v>
      </c>
      <c r="J41" s="410" t="s">
        <v>64</v>
      </c>
      <c r="K41" s="410" t="s">
        <v>61</v>
      </c>
    </row>
    <row r="42" spans="1:11" hidden="1">
      <c r="A42" s="295" t="s">
        <v>42</v>
      </c>
      <c r="B42" s="197" t="s">
        <v>54</v>
      </c>
      <c r="C42" s="197">
        <v>43067</v>
      </c>
      <c r="D42" s="410" t="s">
        <v>55</v>
      </c>
      <c r="E42" s="410" t="s">
        <v>56</v>
      </c>
      <c r="F42" s="410" t="s">
        <v>55</v>
      </c>
      <c r="G42" s="410" t="s">
        <v>57</v>
      </c>
      <c r="H42" s="410" t="s">
        <v>62</v>
      </c>
      <c r="I42" s="410" t="s">
        <v>66</v>
      </c>
      <c r="J42" s="410" t="s">
        <v>67</v>
      </c>
      <c r="K42" s="410" t="s">
        <v>68</v>
      </c>
    </row>
    <row r="43" spans="1:11" ht="26.4" hidden="1">
      <c r="A43" s="295" t="s">
        <v>42</v>
      </c>
      <c r="B43" s="197" t="s">
        <v>54</v>
      </c>
      <c r="C43" s="197">
        <v>43067</v>
      </c>
      <c r="D43" s="410" t="s">
        <v>55</v>
      </c>
      <c r="E43" s="410" t="s">
        <v>56</v>
      </c>
      <c r="F43" s="410" t="s">
        <v>55</v>
      </c>
      <c r="G43" s="410" t="s">
        <v>57</v>
      </c>
      <c r="H43" s="410" t="s">
        <v>65</v>
      </c>
      <c r="I43" s="299" t="s">
        <v>71</v>
      </c>
      <c r="J43" s="412"/>
      <c r="K43" s="412" t="s">
        <v>72</v>
      </c>
    </row>
    <row r="44" spans="1:11" ht="26.4" hidden="1">
      <c r="A44" s="295" t="s">
        <v>42</v>
      </c>
      <c r="B44" s="197" t="s">
        <v>54</v>
      </c>
      <c r="C44" s="197">
        <v>43067</v>
      </c>
      <c r="D44" s="410" t="s">
        <v>55</v>
      </c>
      <c r="E44" s="410" t="s">
        <v>56</v>
      </c>
      <c r="F44" s="410" t="s">
        <v>55</v>
      </c>
      <c r="G44" s="412" t="s">
        <v>69</v>
      </c>
      <c r="H44" s="412" t="s">
        <v>70</v>
      </c>
      <c r="I44" s="412" t="s">
        <v>74</v>
      </c>
      <c r="J44" s="412"/>
      <c r="K44" s="412" t="s">
        <v>75</v>
      </c>
    </row>
    <row r="45" spans="1:11" ht="118.8" hidden="1">
      <c r="A45" s="295" t="s">
        <v>42</v>
      </c>
      <c r="B45" s="197" t="s">
        <v>54</v>
      </c>
      <c r="C45" s="197">
        <v>43067</v>
      </c>
      <c r="D45" s="410" t="s">
        <v>55</v>
      </c>
      <c r="E45" s="410" t="s">
        <v>56</v>
      </c>
      <c r="F45" s="410" t="s">
        <v>55</v>
      </c>
      <c r="G45" s="412" t="s">
        <v>69</v>
      </c>
      <c r="H45" s="412" t="s">
        <v>73</v>
      </c>
      <c r="I45" s="299" t="s">
        <v>77</v>
      </c>
      <c r="J45" s="299" t="s">
        <v>78</v>
      </c>
      <c r="K45" s="412" t="s">
        <v>79</v>
      </c>
    </row>
    <row r="46" spans="1:11" ht="66" hidden="1">
      <c r="A46" s="295" t="s">
        <v>42</v>
      </c>
      <c r="B46" s="197" t="s">
        <v>54</v>
      </c>
      <c r="C46" s="197">
        <v>43067</v>
      </c>
      <c r="D46" s="410" t="s">
        <v>55</v>
      </c>
      <c r="E46" s="410" t="s">
        <v>56</v>
      </c>
      <c r="F46" s="410" t="s">
        <v>55</v>
      </c>
      <c r="G46" s="412" t="s">
        <v>69</v>
      </c>
      <c r="H46" s="412" t="s">
        <v>76</v>
      </c>
      <c r="I46" s="410" t="s">
        <v>81</v>
      </c>
      <c r="J46" s="299" t="s">
        <v>82</v>
      </c>
      <c r="K46" s="412" t="s">
        <v>79</v>
      </c>
    </row>
    <row r="47" spans="1:11" ht="66" hidden="1">
      <c r="A47" s="295" t="s">
        <v>42</v>
      </c>
      <c r="B47" s="197" t="s">
        <v>54</v>
      </c>
      <c r="C47" s="197">
        <v>43067</v>
      </c>
      <c r="D47" s="410" t="s">
        <v>55</v>
      </c>
      <c r="E47" s="410" t="s">
        <v>56</v>
      </c>
      <c r="F47" s="410" t="s">
        <v>55</v>
      </c>
      <c r="G47" s="412" t="s">
        <v>69</v>
      </c>
      <c r="H47" s="410" t="s">
        <v>80</v>
      </c>
      <c r="I47" s="410" t="s">
        <v>84</v>
      </c>
      <c r="J47" s="299" t="s">
        <v>85</v>
      </c>
      <c r="K47" s="412" t="s">
        <v>79</v>
      </c>
    </row>
    <row r="48" spans="1:11" ht="66" hidden="1">
      <c r="A48" s="295" t="s">
        <v>42</v>
      </c>
      <c r="B48" s="197" t="s">
        <v>54</v>
      </c>
      <c r="C48" s="197">
        <v>43067</v>
      </c>
      <c r="D48" s="410" t="s">
        <v>55</v>
      </c>
      <c r="E48" s="410" t="s">
        <v>56</v>
      </c>
      <c r="F48" s="410" t="s">
        <v>55</v>
      </c>
      <c r="G48" s="412" t="s">
        <v>69</v>
      </c>
      <c r="H48" s="412" t="s">
        <v>83</v>
      </c>
      <c r="I48" s="410" t="s">
        <v>87</v>
      </c>
      <c r="J48" s="299" t="s">
        <v>88</v>
      </c>
      <c r="K48" s="412" t="s">
        <v>79</v>
      </c>
    </row>
    <row r="49" spans="1:11" ht="66" hidden="1">
      <c r="A49" s="295" t="s">
        <v>42</v>
      </c>
      <c r="B49" s="197" t="s">
        <v>54</v>
      </c>
      <c r="C49" s="197">
        <v>43067</v>
      </c>
      <c r="D49" s="410" t="s">
        <v>55</v>
      </c>
      <c r="E49" s="410" t="s">
        <v>56</v>
      </c>
      <c r="F49" s="410" t="s">
        <v>55</v>
      </c>
      <c r="G49" s="412" t="s">
        <v>69</v>
      </c>
      <c r="H49" s="410" t="s">
        <v>86</v>
      </c>
      <c r="I49" s="410">
        <v>3.5999999999999999E-3</v>
      </c>
      <c r="J49" s="299" t="s">
        <v>90</v>
      </c>
      <c r="K49" s="412" t="s">
        <v>79</v>
      </c>
    </row>
    <row r="50" spans="1:11" ht="66" hidden="1">
      <c r="A50" s="295" t="s">
        <v>42</v>
      </c>
      <c r="B50" s="197" t="s">
        <v>54</v>
      </c>
      <c r="C50" s="197">
        <v>43067</v>
      </c>
      <c r="D50" s="410" t="s">
        <v>55</v>
      </c>
      <c r="E50" s="410" t="s">
        <v>56</v>
      </c>
      <c r="F50" s="410" t="s">
        <v>55</v>
      </c>
      <c r="G50" s="412" t="s">
        <v>69</v>
      </c>
      <c r="H50" s="412" t="s">
        <v>89</v>
      </c>
      <c r="I50" s="410" t="s">
        <v>92</v>
      </c>
      <c r="J50" s="299" t="s">
        <v>93</v>
      </c>
      <c r="K50" s="412" t="s">
        <v>79</v>
      </c>
    </row>
    <row r="51" spans="1:11" ht="66" hidden="1">
      <c r="A51" s="295" t="s">
        <v>42</v>
      </c>
      <c r="B51" s="197" t="s">
        <v>54</v>
      </c>
      <c r="C51" s="197">
        <v>43067</v>
      </c>
      <c r="D51" s="410" t="s">
        <v>55</v>
      </c>
      <c r="E51" s="410" t="s">
        <v>56</v>
      </c>
      <c r="F51" s="410" t="s">
        <v>55</v>
      </c>
      <c r="G51" s="410" t="s">
        <v>69</v>
      </c>
      <c r="H51" s="410" t="s">
        <v>91</v>
      </c>
      <c r="I51" s="410" t="s">
        <v>95</v>
      </c>
      <c r="J51" s="299" t="s">
        <v>96</v>
      </c>
      <c r="K51" s="412" t="s">
        <v>79</v>
      </c>
    </row>
    <row r="52" spans="1:11" ht="66" hidden="1">
      <c r="A52" s="295" t="s">
        <v>42</v>
      </c>
      <c r="B52" s="197" t="s">
        <v>54</v>
      </c>
      <c r="C52" s="197">
        <v>43067</v>
      </c>
      <c r="D52" s="410" t="s">
        <v>55</v>
      </c>
      <c r="E52" s="410" t="s">
        <v>56</v>
      </c>
      <c r="F52" s="410" t="s">
        <v>55</v>
      </c>
      <c r="G52" s="412" t="s">
        <v>69</v>
      </c>
      <c r="H52" s="410" t="s">
        <v>94</v>
      </c>
      <c r="I52" s="410" t="s">
        <v>98</v>
      </c>
      <c r="J52" s="299" t="s">
        <v>99</v>
      </c>
      <c r="K52" s="412" t="s">
        <v>79</v>
      </c>
    </row>
    <row r="53" spans="1:11" ht="66" hidden="1">
      <c r="A53" s="295" t="s">
        <v>42</v>
      </c>
      <c r="B53" s="197" t="s">
        <v>54</v>
      </c>
      <c r="C53" s="197">
        <v>43067</v>
      </c>
      <c r="D53" s="410" t="s">
        <v>55</v>
      </c>
      <c r="E53" s="410" t="s">
        <v>56</v>
      </c>
      <c r="F53" s="410" t="s">
        <v>55</v>
      </c>
      <c r="G53" s="410" t="s">
        <v>69</v>
      </c>
      <c r="H53" s="410" t="s">
        <v>97</v>
      </c>
      <c r="I53" s="410">
        <v>1E-3</v>
      </c>
      <c r="J53" s="299" t="s">
        <v>101</v>
      </c>
      <c r="K53" s="412" t="s">
        <v>79</v>
      </c>
    </row>
    <row r="54" spans="1:11" ht="66" hidden="1">
      <c r="A54" s="295" t="s">
        <v>42</v>
      </c>
      <c r="B54" s="197" t="s">
        <v>54</v>
      </c>
      <c r="C54" s="197">
        <v>43067</v>
      </c>
      <c r="D54" s="410" t="s">
        <v>55</v>
      </c>
      <c r="E54" s="410" t="s">
        <v>56</v>
      </c>
      <c r="F54" s="410" t="s">
        <v>55</v>
      </c>
      <c r="G54" s="412" t="s">
        <v>69</v>
      </c>
      <c r="H54" s="410" t="s">
        <v>100</v>
      </c>
      <c r="I54" s="410" t="s">
        <v>92</v>
      </c>
      <c r="J54" s="299" t="s">
        <v>103</v>
      </c>
      <c r="K54" s="412" t="s">
        <v>79</v>
      </c>
    </row>
    <row r="55" spans="1:11" ht="66" hidden="1">
      <c r="A55" s="295" t="s">
        <v>42</v>
      </c>
      <c r="B55" s="197" t="s">
        <v>54</v>
      </c>
      <c r="C55" s="197">
        <v>43067</v>
      </c>
      <c r="D55" s="410" t="s">
        <v>55</v>
      </c>
      <c r="E55" s="410" t="s">
        <v>56</v>
      </c>
      <c r="F55" s="410" t="s">
        <v>55</v>
      </c>
      <c r="G55" s="410" t="s">
        <v>69</v>
      </c>
      <c r="H55" s="410" t="s">
        <v>102</v>
      </c>
      <c r="I55" s="410" t="s">
        <v>105</v>
      </c>
      <c r="J55" s="299" t="s">
        <v>106</v>
      </c>
      <c r="K55" s="412" t="s">
        <v>79</v>
      </c>
    </row>
    <row r="56" spans="1:11" ht="66" hidden="1">
      <c r="A56" s="295" t="s">
        <v>42</v>
      </c>
      <c r="B56" s="197" t="s">
        <v>54</v>
      </c>
      <c r="C56" s="197">
        <v>43067</v>
      </c>
      <c r="D56" s="410" t="s">
        <v>55</v>
      </c>
      <c r="E56" s="410" t="s">
        <v>56</v>
      </c>
      <c r="F56" s="410" t="s">
        <v>55</v>
      </c>
      <c r="G56" s="412" t="s">
        <v>69</v>
      </c>
      <c r="H56" s="410" t="s">
        <v>104</v>
      </c>
      <c r="I56" s="410" t="s">
        <v>108</v>
      </c>
      <c r="J56" s="299" t="s">
        <v>109</v>
      </c>
      <c r="K56" s="412" t="s">
        <v>79</v>
      </c>
    </row>
    <row r="57" spans="1:11" ht="66" hidden="1">
      <c r="A57" s="295" t="s">
        <v>42</v>
      </c>
      <c r="B57" s="197" t="s">
        <v>54</v>
      </c>
      <c r="C57" s="197">
        <v>43067</v>
      </c>
      <c r="D57" s="410" t="s">
        <v>55</v>
      </c>
      <c r="E57" s="410" t="s">
        <v>56</v>
      </c>
      <c r="F57" s="410" t="s">
        <v>55</v>
      </c>
      <c r="G57" s="410" t="s">
        <v>69</v>
      </c>
      <c r="H57" s="410" t="s">
        <v>107</v>
      </c>
      <c r="I57" s="410">
        <v>26.2</v>
      </c>
      <c r="J57" s="299" t="s">
        <v>111</v>
      </c>
      <c r="K57" s="412" t="s">
        <v>79</v>
      </c>
    </row>
    <row r="58" spans="1:11" ht="66" hidden="1">
      <c r="A58" s="295" t="s">
        <v>42</v>
      </c>
      <c r="B58" s="197" t="s">
        <v>54</v>
      </c>
      <c r="C58" s="197">
        <v>43067</v>
      </c>
      <c r="D58" s="410" t="s">
        <v>55</v>
      </c>
      <c r="E58" s="410" t="s">
        <v>56</v>
      </c>
      <c r="F58" s="410" t="s">
        <v>55</v>
      </c>
      <c r="G58" s="412" t="s">
        <v>69</v>
      </c>
      <c r="H58" s="410" t="s">
        <v>110</v>
      </c>
      <c r="I58" s="410" t="s">
        <v>92</v>
      </c>
      <c r="J58" s="299" t="s">
        <v>113</v>
      </c>
      <c r="K58" s="412" t="s">
        <v>79</v>
      </c>
    </row>
    <row r="59" spans="1:11" ht="66" hidden="1">
      <c r="A59" s="295" t="s">
        <v>42</v>
      </c>
      <c r="B59" s="197" t="s">
        <v>54</v>
      </c>
      <c r="C59" s="197">
        <v>43067</v>
      </c>
      <c r="D59" s="410" t="s">
        <v>55</v>
      </c>
      <c r="E59" s="410" t="s">
        <v>56</v>
      </c>
      <c r="F59" s="410" t="s">
        <v>55</v>
      </c>
      <c r="G59" s="410" t="s">
        <v>69</v>
      </c>
      <c r="H59" s="410" t="s">
        <v>112</v>
      </c>
      <c r="I59" s="410" t="s">
        <v>115</v>
      </c>
      <c r="J59" s="299" t="s">
        <v>116</v>
      </c>
      <c r="K59" s="412" t="s">
        <v>79</v>
      </c>
    </row>
    <row r="60" spans="1:11" ht="66" hidden="1">
      <c r="A60" s="295" t="s">
        <v>42</v>
      </c>
      <c r="B60" s="197" t="s">
        <v>54</v>
      </c>
      <c r="C60" s="197">
        <v>43067</v>
      </c>
      <c r="D60" s="410" t="s">
        <v>55</v>
      </c>
      <c r="E60" s="410" t="s">
        <v>56</v>
      </c>
      <c r="F60" s="410" t="s">
        <v>55</v>
      </c>
      <c r="G60" s="412" t="s">
        <v>69</v>
      </c>
      <c r="H60" s="410" t="s">
        <v>114</v>
      </c>
      <c r="I60" s="410" t="s">
        <v>108</v>
      </c>
      <c r="J60" s="299" t="s">
        <v>118</v>
      </c>
      <c r="K60" s="412" t="s">
        <v>79</v>
      </c>
    </row>
    <row r="61" spans="1:11" ht="66" hidden="1">
      <c r="A61" s="295" t="s">
        <v>42</v>
      </c>
      <c r="B61" s="197" t="s">
        <v>54</v>
      </c>
      <c r="C61" s="197">
        <v>43067</v>
      </c>
      <c r="D61" s="410" t="s">
        <v>55</v>
      </c>
      <c r="E61" s="410" t="s">
        <v>56</v>
      </c>
      <c r="F61" s="410" t="s">
        <v>55</v>
      </c>
      <c r="G61" s="410" t="s">
        <v>69</v>
      </c>
      <c r="H61" s="410" t="s">
        <v>117</v>
      </c>
      <c r="I61" s="410">
        <v>38.6</v>
      </c>
      <c r="J61" s="299" t="s">
        <v>120</v>
      </c>
      <c r="K61" s="412" t="s">
        <v>79</v>
      </c>
    </row>
    <row r="62" spans="1:11" ht="66" hidden="1">
      <c r="A62" s="295" t="s">
        <v>42</v>
      </c>
      <c r="B62" s="197" t="s">
        <v>54</v>
      </c>
      <c r="C62" s="197">
        <v>43067</v>
      </c>
      <c r="D62" s="410" t="s">
        <v>55</v>
      </c>
      <c r="E62" s="410" t="s">
        <v>56</v>
      </c>
      <c r="F62" s="410" t="s">
        <v>55</v>
      </c>
      <c r="G62" s="412" t="s">
        <v>69</v>
      </c>
      <c r="H62" s="410" t="s">
        <v>119</v>
      </c>
      <c r="I62" s="410" t="s">
        <v>92</v>
      </c>
      <c r="J62" s="299" t="s">
        <v>122</v>
      </c>
      <c r="K62" s="412" t="s">
        <v>79</v>
      </c>
    </row>
    <row r="63" spans="1:11" ht="66" hidden="1">
      <c r="A63" s="295" t="s">
        <v>42</v>
      </c>
      <c r="B63" s="197" t="s">
        <v>54</v>
      </c>
      <c r="C63" s="197">
        <v>43067</v>
      </c>
      <c r="D63" s="410" t="s">
        <v>55</v>
      </c>
      <c r="E63" s="410" t="s">
        <v>56</v>
      </c>
      <c r="F63" s="410" t="s">
        <v>55</v>
      </c>
      <c r="G63" s="410" t="s">
        <v>69</v>
      </c>
      <c r="H63" s="410" t="s">
        <v>121</v>
      </c>
      <c r="I63" s="410" t="s">
        <v>124</v>
      </c>
      <c r="J63" s="299" t="s">
        <v>125</v>
      </c>
      <c r="K63" s="412" t="s">
        <v>79</v>
      </c>
    </row>
    <row r="64" spans="1:11" ht="66" hidden="1">
      <c r="A64" s="295" t="s">
        <v>42</v>
      </c>
      <c r="B64" s="197" t="s">
        <v>54</v>
      </c>
      <c r="C64" s="197">
        <v>43067</v>
      </c>
      <c r="D64" s="410" t="s">
        <v>55</v>
      </c>
      <c r="E64" s="410" t="s">
        <v>56</v>
      </c>
      <c r="F64" s="410" t="s">
        <v>55</v>
      </c>
      <c r="G64" s="412" t="s">
        <v>69</v>
      </c>
      <c r="H64" s="410" t="s">
        <v>123</v>
      </c>
      <c r="I64" s="410" t="s">
        <v>127</v>
      </c>
      <c r="J64" s="299" t="s">
        <v>128</v>
      </c>
      <c r="K64" s="412" t="s">
        <v>79</v>
      </c>
    </row>
    <row r="65" spans="1:11" ht="66" hidden="1">
      <c r="A65" s="295" t="s">
        <v>42</v>
      </c>
      <c r="B65" s="197" t="s">
        <v>54</v>
      </c>
      <c r="C65" s="197">
        <v>43067</v>
      </c>
      <c r="D65" s="410" t="s">
        <v>55</v>
      </c>
      <c r="E65" s="410" t="s">
        <v>56</v>
      </c>
      <c r="F65" s="410" t="s">
        <v>55</v>
      </c>
      <c r="G65" s="410" t="s">
        <v>69</v>
      </c>
      <c r="H65" s="410" t="s">
        <v>126</v>
      </c>
      <c r="I65" s="410">
        <v>27</v>
      </c>
      <c r="J65" s="299" t="s">
        <v>130</v>
      </c>
      <c r="K65" s="412" t="s">
        <v>79</v>
      </c>
    </row>
    <row r="66" spans="1:11" ht="79.2" hidden="1">
      <c r="A66" s="295" t="s">
        <v>42</v>
      </c>
      <c r="B66" s="197" t="s">
        <v>54</v>
      </c>
      <c r="C66" s="197">
        <v>43067</v>
      </c>
      <c r="D66" s="410" t="s">
        <v>55</v>
      </c>
      <c r="E66" s="410" t="s">
        <v>56</v>
      </c>
      <c r="F66" s="410" t="s">
        <v>55</v>
      </c>
      <c r="G66" s="412" t="s">
        <v>69</v>
      </c>
      <c r="H66" s="410" t="s">
        <v>129</v>
      </c>
      <c r="I66" s="410" t="s">
        <v>132</v>
      </c>
      <c r="J66" s="410" t="s">
        <v>133</v>
      </c>
      <c r="K66" s="412" t="s">
        <v>79</v>
      </c>
    </row>
    <row r="67" spans="1:11" ht="79.2" hidden="1">
      <c r="A67" s="295" t="s">
        <v>42</v>
      </c>
      <c r="B67" s="197" t="s">
        <v>54</v>
      </c>
      <c r="C67" s="197">
        <v>43067</v>
      </c>
      <c r="D67" s="410" t="s">
        <v>55</v>
      </c>
      <c r="E67" s="410" t="s">
        <v>56</v>
      </c>
      <c r="F67" s="410" t="s">
        <v>55</v>
      </c>
      <c r="G67" s="410" t="s">
        <v>69</v>
      </c>
      <c r="H67" s="410" t="s">
        <v>131</v>
      </c>
      <c r="I67" s="410" t="s">
        <v>135</v>
      </c>
      <c r="J67" s="410" t="s">
        <v>136</v>
      </c>
      <c r="K67" s="412" t="s">
        <v>79</v>
      </c>
    </row>
    <row r="68" spans="1:11" ht="79.2" hidden="1">
      <c r="A68" s="295" t="s">
        <v>42</v>
      </c>
      <c r="B68" s="197" t="s">
        <v>54</v>
      </c>
      <c r="C68" s="197">
        <v>43067</v>
      </c>
      <c r="D68" s="410" t="s">
        <v>55</v>
      </c>
      <c r="E68" s="410" t="s">
        <v>56</v>
      </c>
      <c r="F68" s="410" t="s">
        <v>55</v>
      </c>
      <c r="G68" s="410" t="s">
        <v>69</v>
      </c>
      <c r="H68" s="410" t="s">
        <v>134</v>
      </c>
      <c r="I68" s="410" t="s">
        <v>138</v>
      </c>
      <c r="J68" s="410" t="s">
        <v>139</v>
      </c>
      <c r="K68" s="412" t="s">
        <v>79</v>
      </c>
    </row>
    <row r="69" spans="1:11" ht="79.2" hidden="1">
      <c r="A69" s="295" t="s">
        <v>42</v>
      </c>
      <c r="B69" s="197" t="s">
        <v>54</v>
      </c>
      <c r="C69" s="197">
        <v>43067</v>
      </c>
      <c r="D69" s="410" t="s">
        <v>55</v>
      </c>
      <c r="E69" s="410" t="s">
        <v>56</v>
      </c>
      <c r="F69" s="410" t="s">
        <v>55</v>
      </c>
      <c r="G69" s="410" t="s">
        <v>69</v>
      </c>
      <c r="H69" s="410" t="s">
        <v>137</v>
      </c>
      <c r="I69" s="410" t="s">
        <v>141</v>
      </c>
      <c r="J69" s="410" t="s">
        <v>142</v>
      </c>
      <c r="K69" s="412" t="s">
        <v>79</v>
      </c>
    </row>
    <row r="70" spans="1:11" hidden="1">
      <c r="A70" s="295" t="s">
        <v>42</v>
      </c>
      <c r="B70" s="197" t="s">
        <v>54</v>
      </c>
      <c r="C70" s="197">
        <v>43067</v>
      </c>
      <c r="D70" s="410" t="s">
        <v>55</v>
      </c>
      <c r="E70" s="410" t="s">
        <v>56</v>
      </c>
      <c r="F70" s="410" t="s">
        <v>55</v>
      </c>
      <c r="G70" s="410" t="s">
        <v>69</v>
      </c>
      <c r="H70" s="410" t="s">
        <v>140</v>
      </c>
      <c r="I70" s="410" t="s">
        <v>145</v>
      </c>
      <c r="J70" s="412" t="s">
        <v>146</v>
      </c>
      <c r="K70" s="412" t="s">
        <v>147</v>
      </c>
    </row>
    <row r="71" spans="1:11" ht="26.4" hidden="1">
      <c r="A71" s="295" t="s">
        <v>42</v>
      </c>
      <c r="B71" s="197" t="s">
        <v>54</v>
      </c>
      <c r="C71" s="197">
        <v>43067</v>
      </c>
      <c r="D71" s="412" t="s">
        <v>143</v>
      </c>
      <c r="E71" s="410" t="s">
        <v>55</v>
      </c>
      <c r="F71" s="410" t="s">
        <v>55</v>
      </c>
      <c r="G71" s="410" t="s">
        <v>69</v>
      </c>
      <c r="H71" s="410" t="s">
        <v>144</v>
      </c>
      <c r="I71" s="410" t="s">
        <v>149</v>
      </c>
      <c r="J71" s="412" t="s">
        <v>150</v>
      </c>
      <c r="K71" s="412" t="s">
        <v>147</v>
      </c>
    </row>
    <row r="72" spans="1:11" ht="26.4" hidden="1">
      <c r="A72" s="295" t="s">
        <v>42</v>
      </c>
      <c r="B72" s="197" t="s">
        <v>54</v>
      </c>
      <c r="C72" s="197">
        <v>43067</v>
      </c>
      <c r="D72" s="412" t="s">
        <v>143</v>
      </c>
      <c r="E72" s="410" t="s">
        <v>55</v>
      </c>
      <c r="F72" s="410" t="s">
        <v>55</v>
      </c>
      <c r="G72" s="410" t="s">
        <v>69</v>
      </c>
      <c r="H72" s="410" t="s">
        <v>148</v>
      </c>
      <c r="I72" s="410" t="s">
        <v>152</v>
      </c>
      <c r="J72" s="198" t="s">
        <v>153</v>
      </c>
      <c r="K72" s="412" t="s">
        <v>147</v>
      </c>
    </row>
    <row r="73" spans="1:11" ht="26.4" hidden="1">
      <c r="A73" s="295" t="s">
        <v>42</v>
      </c>
      <c r="B73" s="197" t="s">
        <v>54</v>
      </c>
      <c r="C73" s="197">
        <v>43067</v>
      </c>
      <c r="D73" s="412" t="s">
        <v>143</v>
      </c>
      <c r="E73" s="410" t="s">
        <v>55</v>
      </c>
      <c r="F73" s="410" t="s">
        <v>55</v>
      </c>
      <c r="G73" s="410" t="s">
        <v>69</v>
      </c>
      <c r="H73" s="410" t="s">
        <v>151</v>
      </c>
      <c r="I73" s="410" t="s">
        <v>155</v>
      </c>
      <c r="J73" s="198" t="s">
        <v>156</v>
      </c>
      <c r="K73" s="412" t="s">
        <v>147</v>
      </c>
    </row>
    <row r="74" spans="1:11" ht="26.4" hidden="1">
      <c r="A74" s="295" t="s">
        <v>42</v>
      </c>
      <c r="B74" s="197" t="s">
        <v>54</v>
      </c>
      <c r="C74" s="197">
        <v>43067</v>
      </c>
      <c r="D74" s="412" t="s">
        <v>143</v>
      </c>
      <c r="E74" s="410" t="s">
        <v>55</v>
      </c>
      <c r="F74" s="410" t="s">
        <v>55</v>
      </c>
      <c r="G74" s="410" t="s">
        <v>69</v>
      </c>
      <c r="H74" s="410" t="s">
        <v>154</v>
      </c>
      <c r="I74" s="410" t="s">
        <v>158</v>
      </c>
      <c r="J74" s="412" t="s">
        <v>146</v>
      </c>
      <c r="K74" s="412" t="s">
        <v>147</v>
      </c>
    </row>
    <row r="75" spans="1:11" ht="79.2" hidden="1">
      <c r="A75" s="295" t="s">
        <v>42</v>
      </c>
      <c r="B75" s="197" t="s">
        <v>54</v>
      </c>
      <c r="C75" s="197">
        <v>43067</v>
      </c>
      <c r="D75" s="412" t="s">
        <v>143</v>
      </c>
      <c r="E75" s="410" t="s">
        <v>55</v>
      </c>
      <c r="F75" s="410" t="s">
        <v>55</v>
      </c>
      <c r="G75" s="410" t="s">
        <v>69</v>
      </c>
      <c r="H75" s="410" t="s">
        <v>157</v>
      </c>
      <c r="I75" s="410" t="s">
        <v>161</v>
      </c>
      <c r="J75" s="410" t="s">
        <v>162</v>
      </c>
      <c r="K75" s="412" t="s">
        <v>163</v>
      </c>
    </row>
    <row r="76" spans="1:11" ht="79.2" hidden="1">
      <c r="A76" s="295" t="s">
        <v>42</v>
      </c>
      <c r="B76" s="197" t="s">
        <v>54</v>
      </c>
      <c r="C76" s="197">
        <v>43067</v>
      </c>
      <c r="D76" s="410" t="s">
        <v>55</v>
      </c>
      <c r="E76" s="410" t="s">
        <v>56</v>
      </c>
      <c r="F76" s="410" t="s">
        <v>55</v>
      </c>
      <c r="G76" s="410" t="s">
        <v>159</v>
      </c>
      <c r="H76" s="410" t="s">
        <v>160</v>
      </c>
      <c r="I76" s="410" t="s">
        <v>165</v>
      </c>
      <c r="J76" s="410" t="s">
        <v>166</v>
      </c>
      <c r="K76" s="412" t="s">
        <v>163</v>
      </c>
    </row>
    <row r="77" spans="1:11" ht="79.2" hidden="1">
      <c r="A77" s="295" t="s">
        <v>42</v>
      </c>
      <c r="B77" s="197" t="s">
        <v>54</v>
      </c>
      <c r="C77" s="197">
        <v>43067</v>
      </c>
      <c r="D77" s="410" t="s">
        <v>55</v>
      </c>
      <c r="E77" s="410" t="s">
        <v>56</v>
      </c>
      <c r="F77" s="410" t="s">
        <v>55</v>
      </c>
      <c r="G77" s="410" t="s">
        <v>159</v>
      </c>
      <c r="H77" s="410" t="s">
        <v>164</v>
      </c>
      <c r="I77" s="410" t="s">
        <v>168</v>
      </c>
      <c r="J77" s="410" t="s">
        <v>169</v>
      </c>
      <c r="K77" s="412" t="s">
        <v>163</v>
      </c>
    </row>
    <row r="78" spans="1:11" ht="79.2" hidden="1">
      <c r="A78" s="295" t="s">
        <v>42</v>
      </c>
      <c r="B78" s="197" t="s">
        <v>54</v>
      </c>
      <c r="C78" s="197">
        <v>43067</v>
      </c>
      <c r="D78" s="410" t="s">
        <v>55</v>
      </c>
      <c r="E78" s="410" t="s">
        <v>56</v>
      </c>
      <c r="F78" s="410" t="s">
        <v>55</v>
      </c>
      <c r="G78" s="410" t="s">
        <v>159</v>
      </c>
      <c r="H78" s="410" t="s">
        <v>167</v>
      </c>
      <c r="I78" s="410" t="s">
        <v>171</v>
      </c>
      <c r="J78" s="410" t="s">
        <v>172</v>
      </c>
      <c r="K78" s="412" t="s">
        <v>163</v>
      </c>
    </row>
    <row r="79" spans="1:11" ht="79.2" hidden="1">
      <c r="A79" s="295" t="s">
        <v>42</v>
      </c>
      <c r="B79" s="197" t="s">
        <v>54</v>
      </c>
      <c r="C79" s="197">
        <v>43067</v>
      </c>
      <c r="D79" s="410" t="s">
        <v>55</v>
      </c>
      <c r="E79" s="410" t="s">
        <v>56</v>
      </c>
      <c r="F79" s="410" t="s">
        <v>55</v>
      </c>
      <c r="G79" s="410" t="s">
        <v>159</v>
      </c>
      <c r="H79" s="410" t="s">
        <v>170</v>
      </c>
      <c r="I79" s="410" t="s">
        <v>174</v>
      </c>
      <c r="J79" s="410" t="s">
        <v>175</v>
      </c>
      <c r="K79" s="412" t="s">
        <v>163</v>
      </c>
    </row>
    <row r="80" spans="1:11" ht="79.2" hidden="1">
      <c r="A80" s="295" t="s">
        <v>42</v>
      </c>
      <c r="B80" s="197" t="s">
        <v>54</v>
      </c>
      <c r="C80" s="197">
        <v>43067</v>
      </c>
      <c r="D80" s="410" t="s">
        <v>55</v>
      </c>
      <c r="E80" s="410" t="s">
        <v>56</v>
      </c>
      <c r="F80" s="410" t="s">
        <v>55</v>
      </c>
      <c r="G80" s="410" t="s">
        <v>159</v>
      </c>
      <c r="H80" s="410" t="s">
        <v>173</v>
      </c>
      <c r="I80" s="410" t="s">
        <v>177</v>
      </c>
      <c r="J80" s="410" t="s">
        <v>178</v>
      </c>
      <c r="K80" s="412" t="s">
        <v>163</v>
      </c>
    </row>
    <row r="81" spans="1:11" ht="26.4" hidden="1">
      <c r="A81" s="295" t="s">
        <v>42</v>
      </c>
      <c r="B81" s="197" t="s">
        <v>54</v>
      </c>
      <c r="C81" s="197">
        <v>43067</v>
      </c>
      <c r="D81" s="410" t="s">
        <v>55</v>
      </c>
      <c r="E81" s="410" t="s">
        <v>56</v>
      </c>
      <c r="F81" s="410" t="s">
        <v>55</v>
      </c>
      <c r="G81" s="410" t="s">
        <v>159</v>
      </c>
      <c r="H81" s="410" t="s">
        <v>176</v>
      </c>
      <c r="I81" s="410" t="s">
        <v>180</v>
      </c>
      <c r="J81" s="410" t="s">
        <v>181</v>
      </c>
      <c r="K81" s="412" t="s">
        <v>163</v>
      </c>
    </row>
    <row r="82" spans="1:11" ht="26.4" hidden="1">
      <c r="A82" s="295" t="s">
        <v>42</v>
      </c>
      <c r="B82" s="197" t="s">
        <v>54</v>
      </c>
      <c r="C82" s="197">
        <v>43067</v>
      </c>
      <c r="D82" s="410" t="s">
        <v>55</v>
      </c>
      <c r="E82" s="410" t="s">
        <v>56</v>
      </c>
      <c r="F82" s="410" t="s">
        <v>55</v>
      </c>
      <c r="G82" s="410" t="s">
        <v>159</v>
      </c>
      <c r="H82" s="410" t="s">
        <v>179</v>
      </c>
      <c r="I82" s="410" t="s">
        <v>183</v>
      </c>
      <c r="J82" s="410" t="s">
        <v>184</v>
      </c>
      <c r="K82" s="412" t="s">
        <v>163</v>
      </c>
    </row>
    <row r="83" spans="1:11" ht="26.4" hidden="1">
      <c r="A83" s="295" t="s">
        <v>42</v>
      </c>
      <c r="B83" s="197" t="s">
        <v>54</v>
      </c>
      <c r="C83" s="197">
        <v>43067</v>
      </c>
      <c r="D83" s="410" t="s">
        <v>55</v>
      </c>
      <c r="E83" s="410" t="s">
        <v>56</v>
      </c>
      <c r="F83" s="410" t="s">
        <v>55</v>
      </c>
      <c r="G83" s="410" t="s">
        <v>159</v>
      </c>
      <c r="H83" s="410" t="s">
        <v>182</v>
      </c>
      <c r="I83" s="410" t="s">
        <v>186</v>
      </c>
      <c r="J83" s="410" t="s">
        <v>187</v>
      </c>
      <c r="K83" s="412" t="s">
        <v>163</v>
      </c>
    </row>
    <row r="84" spans="1:11" ht="26.4" hidden="1">
      <c r="A84" s="295" t="s">
        <v>42</v>
      </c>
      <c r="B84" s="197" t="s">
        <v>54</v>
      </c>
      <c r="C84" s="197">
        <v>43067</v>
      </c>
      <c r="D84" s="410" t="s">
        <v>55</v>
      </c>
      <c r="E84" s="410" t="s">
        <v>56</v>
      </c>
      <c r="F84" s="410" t="s">
        <v>55</v>
      </c>
      <c r="G84" s="410" t="s">
        <v>159</v>
      </c>
      <c r="H84" s="410" t="s">
        <v>185</v>
      </c>
      <c r="I84" s="410" t="s">
        <v>189</v>
      </c>
      <c r="J84" s="410" t="s">
        <v>190</v>
      </c>
      <c r="K84" s="412" t="s">
        <v>163</v>
      </c>
    </row>
    <row r="85" spans="1:11" ht="26.4" hidden="1">
      <c r="A85" s="295" t="s">
        <v>42</v>
      </c>
      <c r="B85" s="197" t="s">
        <v>54</v>
      </c>
      <c r="C85" s="197">
        <v>43067</v>
      </c>
      <c r="D85" s="410" t="s">
        <v>55</v>
      </c>
      <c r="E85" s="410" t="s">
        <v>56</v>
      </c>
      <c r="F85" s="410" t="s">
        <v>55</v>
      </c>
      <c r="G85" s="410" t="s">
        <v>159</v>
      </c>
      <c r="H85" s="410" t="s">
        <v>188</v>
      </c>
      <c r="I85" s="410" t="s">
        <v>192</v>
      </c>
      <c r="J85" s="410" t="s">
        <v>193</v>
      </c>
      <c r="K85" s="412" t="s">
        <v>163</v>
      </c>
    </row>
    <row r="86" spans="1:11" ht="26.4" hidden="1">
      <c r="A86" s="295" t="s">
        <v>42</v>
      </c>
      <c r="B86" s="197" t="s">
        <v>54</v>
      </c>
      <c r="C86" s="197">
        <v>43067</v>
      </c>
      <c r="D86" s="410" t="s">
        <v>55</v>
      </c>
      <c r="E86" s="410" t="s">
        <v>56</v>
      </c>
      <c r="F86" s="410" t="s">
        <v>55</v>
      </c>
      <c r="G86" s="410" t="s">
        <v>159</v>
      </c>
      <c r="H86" s="410" t="s">
        <v>191</v>
      </c>
      <c r="I86" s="410" t="s">
        <v>195</v>
      </c>
      <c r="J86" s="410" t="s">
        <v>196</v>
      </c>
      <c r="K86" s="412" t="s">
        <v>163</v>
      </c>
    </row>
    <row r="87" spans="1:11" ht="52.8" hidden="1">
      <c r="A87" s="295" t="s">
        <v>42</v>
      </c>
      <c r="B87" s="197" t="s">
        <v>54</v>
      </c>
      <c r="C87" s="197">
        <v>43067</v>
      </c>
      <c r="D87" s="410" t="s">
        <v>55</v>
      </c>
      <c r="E87" s="410" t="s">
        <v>56</v>
      </c>
      <c r="F87" s="410" t="s">
        <v>55</v>
      </c>
      <c r="G87" s="410" t="s">
        <v>159</v>
      </c>
      <c r="H87" s="410" t="s">
        <v>194</v>
      </c>
      <c r="I87" s="410" t="s">
        <v>198</v>
      </c>
      <c r="J87" s="198" t="s">
        <v>199</v>
      </c>
      <c r="K87" s="412" t="s">
        <v>200</v>
      </c>
    </row>
    <row r="88" spans="1:11" ht="79.2" hidden="1">
      <c r="A88" s="295" t="s">
        <v>42</v>
      </c>
      <c r="B88" s="197" t="s">
        <v>54</v>
      </c>
      <c r="C88" s="197">
        <v>43067</v>
      </c>
      <c r="D88" s="410" t="s">
        <v>55</v>
      </c>
      <c r="E88" s="410" t="s">
        <v>56</v>
      </c>
      <c r="F88" s="410" t="s">
        <v>55</v>
      </c>
      <c r="G88" s="410" t="s">
        <v>159</v>
      </c>
      <c r="H88" s="410" t="s">
        <v>197</v>
      </c>
      <c r="I88" s="410" t="s">
        <v>202</v>
      </c>
      <c r="J88" s="198" t="s">
        <v>203</v>
      </c>
      <c r="K88" s="412" t="s">
        <v>200</v>
      </c>
    </row>
    <row r="89" spans="1:11" ht="79.2" hidden="1">
      <c r="A89" s="295" t="s">
        <v>42</v>
      </c>
      <c r="B89" s="197" t="s">
        <v>54</v>
      </c>
      <c r="C89" s="197">
        <v>43067</v>
      </c>
      <c r="D89" s="410" t="s">
        <v>55</v>
      </c>
      <c r="E89" s="410" t="s">
        <v>56</v>
      </c>
      <c r="F89" s="410" t="s">
        <v>55</v>
      </c>
      <c r="G89" s="410" t="s">
        <v>159</v>
      </c>
      <c r="H89" s="410" t="s">
        <v>201</v>
      </c>
      <c r="I89" s="410" t="s">
        <v>205</v>
      </c>
      <c r="J89" s="198" t="s">
        <v>206</v>
      </c>
      <c r="K89" s="412" t="s">
        <v>200</v>
      </c>
    </row>
    <row r="90" spans="1:11" ht="52.8" hidden="1">
      <c r="A90" s="295" t="s">
        <v>42</v>
      </c>
      <c r="B90" s="197" t="s">
        <v>54</v>
      </c>
      <c r="C90" s="197">
        <v>43067</v>
      </c>
      <c r="D90" s="410" t="s">
        <v>55</v>
      </c>
      <c r="E90" s="410" t="s">
        <v>56</v>
      </c>
      <c r="F90" s="410" t="s">
        <v>55</v>
      </c>
      <c r="G90" s="410" t="s">
        <v>159</v>
      </c>
      <c r="H90" s="410" t="s">
        <v>204</v>
      </c>
      <c r="I90" s="410" t="s">
        <v>208</v>
      </c>
      <c r="J90" s="198" t="s">
        <v>209</v>
      </c>
      <c r="K90" s="412" t="s">
        <v>200</v>
      </c>
    </row>
    <row r="91" spans="1:11" ht="79.2" hidden="1">
      <c r="A91" s="295" t="s">
        <v>42</v>
      </c>
      <c r="B91" s="197" t="s">
        <v>54</v>
      </c>
      <c r="C91" s="197">
        <v>43067</v>
      </c>
      <c r="D91" s="410" t="s">
        <v>55</v>
      </c>
      <c r="E91" s="410" t="s">
        <v>56</v>
      </c>
      <c r="F91" s="410" t="s">
        <v>55</v>
      </c>
      <c r="G91" s="410" t="s">
        <v>159</v>
      </c>
      <c r="H91" s="410" t="s">
        <v>207</v>
      </c>
      <c r="I91" s="410" t="s">
        <v>211</v>
      </c>
      <c r="J91" s="198" t="s">
        <v>212</v>
      </c>
      <c r="K91" s="412" t="s">
        <v>200</v>
      </c>
    </row>
    <row r="92" spans="1:11" ht="52.8" hidden="1">
      <c r="A92" s="295" t="s">
        <v>42</v>
      </c>
      <c r="B92" s="197" t="s">
        <v>54</v>
      </c>
      <c r="C92" s="197">
        <v>43067</v>
      </c>
      <c r="D92" s="410" t="s">
        <v>55</v>
      </c>
      <c r="E92" s="410" t="s">
        <v>56</v>
      </c>
      <c r="F92" s="410" t="s">
        <v>55</v>
      </c>
      <c r="G92" s="410" t="s">
        <v>159</v>
      </c>
      <c r="H92" s="410" t="s">
        <v>210</v>
      </c>
      <c r="I92" s="410" t="s">
        <v>214</v>
      </c>
      <c r="J92" s="198" t="s">
        <v>215</v>
      </c>
      <c r="K92" s="412" t="s">
        <v>200</v>
      </c>
    </row>
    <row r="93" spans="1:11" ht="79.2" hidden="1">
      <c r="A93" s="295" t="s">
        <v>42</v>
      </c>
      <c r="B93" s="197" t="s">
        <v>54</v>
      </c>
      <c r="C93" s="197">
        <v>43067</v>
      </c>
      <c r="D93" s="410" t="s">
        <v>55</v>
      </c>
      <c r="E93" s="410" t="s">
        <v>56</v>
      </c>
      <c r="F93" s="410" t="s">
        <v>55</v>
      </c>
      <c r="G93" s="410" t="s">
        <v>159</v>
      </c>
      <c r="H93" s="410" t="s">
        <v>213</v>
      </c>
      <c r="I93" s="410" t="s">
        <v>217</v>
      </c>
      <c r="J93" s="198" t="s">
        <v>218</v>
      </c>
      <c r="K93" s="412" t="s">
        <v>200</v>
      </c>
    </row>
    <row r="94" spans="1:11" ht="52.8" hidden="1">
      <c r="A94" s="295" t="s">
        <v>42</v>
      </c>
      <c r="B94" s="197" t="s">
        <v>54</v>
      </c>
      <c r="C94" s="197">
        <v>43067</v>
      </c>
      <c r="D94" s="410" t="s">
        <v>55</v>
      </c>
      <c r="E94" s="410" t="s">
        <v>56</v>
      </c>
      <c r="F94" s="410" t="s">
        <v>55</v>
      </c>
      <c r="G94" s="410" t="s">
        <v>159</v>
      </c>
      <c r="H94" s="410" t="s">
        <v>216</v>
      </c>
      <c r="I94" s="410" t="s">
        <v>220</v>
      </c>
      <c r="J94" s="198" t="s">
        <v>221</v>
      </c>
      <c r="K94" s="412" t="s">
        <v>200</v>
      </c>
    </row>
    <row r="95" spans="1:11" ht="79.2" hidden="1">
      <c r="A95" s="295" t="s">
        <v>42</v>
      </c>
      <c r="B95" s="197" t="s">
        <v>54</v>
      </c>
      <c r="C95" s="197">
        <v>43067</v>
      </c>
      <c r="D95" s="410" t="s">
        <v>55</v>
      </c>
      <c r="E95" s="410" t="s">
        <v>56</v>
      </c>
      <c r="F95" s="410" t="s">
        <v>55</v>
      </c>
      <c r="G95" s="410" t="s">
        <v>159</v>
      </c>
      <c r="H95" s="410" t="s">
        <v>219</v>
      </c>
      <c r="I95" s="410" t="s">
        <v>223</v>
      </c>
      <c r="J95" s="198" t="s">
        <v>224</v>
      </c>
      <c r="K95" s="412" t="s">
        <v>200</v>
      </c>
    </row>
    <row r="96" spans="1:11" ht="52.8" hidden="1">
      <c r="A96" s="295" t="s">
        <v>42</v>
      </c>
      <c r="B96" s="197" t="s">
        <v>54</v>
      </c>
      <c r="C96" s="197">
        <v>43067</v>
      </c>
      <c r="D96" s="410" t="s">
        <v>55</v>
      </c>
      <c r="E96" s="410" t="s">
        <v>56</v>
      </c>
      <c r="F96" s="410" t="s">
        <v>55</v>
      </c>
      <c r="G96" s="410" t="s">
        <v>159</v>
      </c>
      <c r="H96" s="410" t="s">
        <v>222</v>
      </c>
      <c r="I96" s="410" t="s">
        <v>226</v>
      </c>
      <c r="J96" s="198" t="s">
        <v>227</v>
      </c>
      <c r="K96" s="412" t="s">
        <v>200</v>
      </c>
    </row>
    <row r="97" spans="1:11" ht="79.2" hidden="1">
      <c r="A97" s="295" t="s">
        <v>42</v>
      </c>
      <c r="B97" s="197" t="s">
        <v>54</v>
      </c>
      <c r="C97" s="197">
        <v>43067</v>
      </c>
      <c r="D97" s="410" t="s">
        <v>55</v>
      </c>
      <c r="E97" s="410" t="s">
        <v>56</v>
      </c>
      <c r="F97" s="410" t="s">
        <v>55</v>
      </c>
      <c r="G97" s="410" t="s">
        <v>159</v>
      </c>
      <c r="H97" s="410" t="s">
        <v>225</v>
      </c>
      <c r="I97" s="410" t="s">
        <v>229</v>
      </c>
      <c r="J97" s="198" t="s">
        <v>230</v>
      </c>
      <c r="K97" s="412" t="s">
        <v>200</v>
      </c>
    </row>
    <row r="98" spans="1:11" ht="52.8" hidden="1">
      <c r="A98" s="295" t="s">
        <v>42</v>
      </c>
      <c r="B98" s="197" t="s">
        <v>54</v>
      </c>
      <c r="C98" s="197">
        <v>43067</v>
      </c>
      <c r="D98" s="410" t="s">
        <v>55</v>
      </c>
      <c r="E98" s="410" t="s">
        <v>56</v>
      </c>
      <c r="F98" s="410" t="s">
        <v>55</v>
      </c>
      <c r="G98" s="410" t="s">
        <v>159</v>
      </c>
      <c r="H98" s="410" t="s">
        <v>228</v>
      </c>
      <c r="I98" s="410" t="s">
        <v>232</v>
      </c>
      <c r="J98" s="198" t="s">
        <v>233</v>
      </c>
      <c r="K98" s="412" t="s">
        <v>200</v>
      </c>
    </row>
    <row r="99" spans="1:11" ht="79.2" hidden="1">
      <c r="A99" s="295" t="s">
        <v>42</v>
      </c>
      <c r="B99" s="197" t="s">
        <v>54</v>
      </c>
      <c r="C99" s="197">
        <v>43067</v>
      </c>
      <c r="D99" s="410" t="s">
        <v>55</v>
      </c>
      <c r="E99" s="410" t="s">
        <v>56</v>
      </c>
      <c r="F99" s="410" t="s">
        <v>55</v>
      </c>
      <c r="G99" s="410" t="s">
        <v>159</v>
      </c>
      <c r="H99" s="410" t="s">
        <v>231</v>
      </c>
      <c r="I99" s="410" t="s">
        <v>235</v>
      </c>
      <c r="J99" s="198" t="s">
        <v>236</v>
      </c>
      <c r="K99" s="412" t="s">
        <v>200</v>
      </c>
    </row>
    <row r="100" spans="1:11" ht="52.8" hidden="1">
      <c r="A100" s="295" t="s">
        <v>42</v>
      </c>
      <c r="B100" s="197" t="s">
        <v>54</v>
      </c>
      <c r="C100" s="197">
        <v>43067</v>
      </c>
      <c r="D100" s="410" t="s">
        <v>55</v>
      </c>
      <c r="E100" s="410" t="s">
        <v>56</v>
      </c>
      <c r="F100" s="410" t="s">
        <v>55</v>
      </c>
      <c r="G100" s="410" t="s">
        <v>159</v>
      </c>
      <c r="H100" s="410" t="s">
        <v>234</v>
      </c>
      <c r="I100" s="410" t="s">
        <v>238</v>
      </c>
      <c r="J100" s="198" t="s">
        <v>239</v>
      </c>
      <c r="K100" s="412" t="s">
        <v>200</v>
      </c>
    </row>
    <row r="101" spans="1:11" ht="79.2" hidden="1">
      <c r="A101" s="295" t="s">
        <v>42</v>
      </c>
      <c r="B101" s="197" t="s">
        <v>54</v>
      </c>
      <c r="C101" s="197">
        <v>43067</v>
      </c>
      <c r="D101" s="410" t="s">
        <v>55</v>
      </c>
      <c r="E101" s="410" t="s">
        <v>56</v>
      </c>
      <c r="F101" s="410" t="s">
        <v>55</v>
      </c>
      <c r="G101" s="410" t="s">
        <v>159</v>
      </c>
      <c r="H101" s="410" t="s">
        <v>237</v>
      </c>
      <c r="I101" s="410" t="s">
        <v>241</v>
      </c>
      <c r="J101" s="198" t="s">
        <v>242</v>
      </c>
      <c r="K101" s="412" t="s">
        <v>200</v>
      </c>
    </row>
    <row r="102" spans="1:11" ht="52.8" hidden="1">
      <c r="A102" s="295" t="s">
        <v>42</v>
      </c>
      <c r="B102" s="197" t="s">
        <v>54</v>
      </c>
      <c r="C102" s="197">
        <v>43067</v>
      </c>
      <c r="D102" s="410" t="s">
        <v>55</v>
      </c>
      <c r="E102" s="410" t="s">
        <v>56</v>
      </c>
      <c r="F102" s="410" t="s">
        <v>55</v>
      </c>
      <c r="G102" s="410" t="s">
        <v>159</v>
      </c>
      <c r="H102" s="410" t="s">
        <v>240</v>
      </c>
      <c r="I102" s="410" t="s">
        <v>244</v>
      </c>
      <c r="J102" s="198" t="s">
        <v>245</v>
      </c>
      <c r="K102" s="412" t="s">
        <v>200</v>
      </c>
    </row>
    <row r="103" spans="1:11" ht="79.2" hidden="1">
      <c r="A103" s="295" t="s">
        <v>42</v>
      </c>
      <c r="B103" s="197" t="s">
        <v>54</v>
      </c>
      <c r="C103" s="197">
        <v>43067</v>
      </c>
      <c r="D103" s="410" t="s">
        <v>55</v>
      </c>
      <c r="E103" s="410" t="s">
        <v>56</v>
      </c>
      <c r="F103" s="410" t="s">
        <v>55</v>
      </c>
      <c r="G103" s="410" t="s">
        <v>159</v>
      </c>
      <c r="H103" s="410" t="s">
        <v>243</v>
      </c>
      <c r="I103" s="410" t="s">
        <v>247</v>
      </c>
      <c r="J103" s="198" t="s">
        <v>248</v>
      </c>
      <c r="K103" s="412" t="s">
        <v>200</v>
      </c>
    </row>
    <row r="104" spans="1:11" ht="52.8" hidden="1">
      <c r="A104" s="295" t="s">
        <v>42</v>
      </c>
      <c r="B104" s="197" t="s">
        <v>54</v>
      </c>
      <c r="C104" s="197">
        <v>43067</v>
      </c>
      <c r="D104" s="410" t="s">
        <v>55</v>
      </c>
      <c r="E104" s="410" t="s">
        <v>56</v>
      </c>
      <c r="F104" s="410" t="s">
        <v>55</v>
      </c>
      <c r="G104" s="410" t="s">
        <v>159</v>
      </c>
      <c r="H104" s="410" t="s">
        <v>246</v>
      </c>
      <c r="I104" s="410" t="s">
        <v>250</v>
      </c>
      <c r="J104" s="198" t="s">
        <v>251</v>
      </c>
      <c r="K104" s="412" t="s">
        <v>200</v>
      </c>
    </row>
    <row r="105" spans="1:11" ht="79.2" hidden="1">
      <c r="A105" s="295" t="s">
        <v>42</v>
      </c>
      <c r="B105" s="197" t="s">
        <v>54</v>
      </c>
      <c r="C105" s="197">
        <v>43067</v>
      </c>
      <c r="D105" s="410" t="s">
        <v>55</v>
      </c>
      <c r="E105" s="410" t="s">
        <v>56</v>
      </c>
      <c r="F105" s="410" t="s">
        <v>55</v>
      </c>
      <c r="G105" s="410" t="s">
        <v>159</v>
      </c>
      <c r="H105" s="410" t="s">
        <v>249</v>
      </c>
      <c r="I105" s="410" t="s">
        <v>253</v>
      </c>
      <c r="J105" s="198" t="s">
        <v>254</v>
      </c>
      <c r="K105" s="412" t="s">
        <v>200</v>
      </c>
    </row>
    <row r="106" spans="1:11" ht="52.8" hidden="1">
      <c r="A106" s="295" t="s">
        <v>42</v>
      </c>
      <c r="B106" s="197" t="s">
        <v>54</v>
      </c>
      <c r="C106" s="197">
        <v>43067</v>
      </c>
      <c r="D106" s="410" t="s">
        <v>55</v>
      </c>
      <c r="E106" s="410" t="s">
        <v>56</v>
      </c>
      <c r="F106" s="410" t="s">
        <v>55</v>
      </c>
      <c r="G106" s="410" t="s">
        <v>159</v>
      </c>
      <c r="H106" s="410" t="s">
        <v>252</v>
      </c>
      <c r="I106" s="410" t="s">
        <v>256</v>
      </c>
      <c r="J106" s="198" t="s">
        <v>257</v>
      </c>
      <c r="K106" s="412" t="s">
        <v>200</v>
      </c>
    </row>
    <row r="107" spans="1:11" ht="79.2" hidden="1">
      <c r="A107" s="295" t="s">
        <v>42</v>
      </c>
      <c r="B107" s="197" t="s">
        <v>54</v>
      </c>
      <c r="C107" s="197">
        <v>43067</v>
      </c>
      <c r="D107" s="410" t="s">
        <v>55</v>
      </c>
      <c r="E107" s="410" t="s">
        <v>56</v>
      </c>
      <c r="F107" s="410" t="s">
        <v>55</v>
      </c>
      <c r="G107" s="410" t="s">
        <v>159</v>
      </c>
      <c r="H107" s="410" t="s">
        <v>255</v>
      </c>
      <c r="I107" s="410" t="s">
        <v>259</v>
      </c>
      <c r="J107" s="198" t="s">
        <v>260</v>
      </c>
      <c r="K107" s="412" t="s">
        <v>200</v>
      </c>
    </row>
    <row r="108" spans="1:11" ht="52.8" hidden="1">
      <c r="A108" s="295" t="s">
        <v>42</v>
      </c>
      <c r="B108" s="197" t="s">
        <v>54</v>
      </c>
      <c r="C108" s="197">
        <v>43067</v>
      </c>
      <c r="D108" s="410" t="s">
        <v>55</v>
      </c>
      <c r="E108" s="410" t="s">
        <v>56</v>
      </c>
      <c r="F108" s="410" t="s">
        <v>55</v>
      </c>
      <c r="G108" s="410" t="s">
        <v>159</v>
      </c>
      <c r="H108" s="410" t="s">
        <v>258</v>
      </c>
      <c r="I108" s="410" t="s">
        <v>262</v>
      </c>
      <c r="J108" s="198" t="s">
        <v>263</v>
      </c>
      <c r="K108" s="412" t="s">
        <v>200</v>
      </c>
    </row>
    <row r="109" spans="1:11" ht="79.2" hidden="1">
      <c r="A109" s="295" t="s">
        <v>42</v>
      </c>
      <c r="B109" s="197" t="s">
        <v>54</v>
      </c>
      <c r="C109" s="197">
        <v>43067</v>
      </c>
      <c r="D109" s="410" t="s">
        <v>55</v>
      </c>
      <c r="E109" s="410" t="s">
        <v>56</v>
      </c>
      <c r="F109" s="410" t="s">
        <v>55</v>
      </c>
      <c r="G109" s="410" t="s">
        <v>159</v>
      </c>
      <c r="H109" s="410" t="s">
        <v>261</v>
      </c>
      <c r="I109" s="410" t="s">
        <v>265</v>
      </c>
      <c r="J109" s="198" t="s">
        <v>266</v>
      </c>
      <c r="K109" s="412" t="s">
        <v>200</v>
      </c>
    </row>
    <row r="110" spans="1:11" ht="52.8" hidden="1">
      <c r="A110" s="295" t="s">
        <v>42</v>
      </c>
      <c r="B110" s="197" t="s">
        <v>54</v>
      </c>
      <c r="C110" s="197">
        <v>43067</v>
      </c>
      <c r="D110" s="410" t="s">
        <v>55</v>
      </c>
      <c r="E110" s="410" t="s">
        <v>56</v>
      </c>
      <c r="F110" s="410" t="s">
        <v>55</v>
      </c>
      <c r="G110" s="410" t="s">
        <v>159</v>
      </c>
      <c r="H110" s="410" t="s">
        <v>264</v>
      </c>
      <c r="I110" s="410" t="s">
        <v>268</v>
      </c>
      <c r="J110" s="198" t="s">
        <v>269</v>
      </c>
      <c r="K110" s="412" t="s">
        <v>200</v>
      </c>
    </row>
    <row r="111" spans="1:11" ht="79.2" hidden="1">
      <c r="A111" s="295" t="s">
        <v>42</v>
      </c>
      <c r="B111" s="197" t="s">
        <v>54</v>
      </c>
      <c r="C111" s="197">
        <v>43067</v>
      </c>
      <c r="D111" s="410" t="s">
        <v>55</v>
      </c>
      <c r="E111" s="410" t="s">
        <v>56</v>
      </c>
      <c r="F111" s="410" t="s">
        <v>55</v>
      </c>
      <c r="G111" s="410" t="s">
        <v>159</v>
      </c>
      <c r="H111" s="410" t="s">
        <v>267</v>
      </c>
      <c r="I111" s="410" t="s">
        <v>271</v>
      </c>
      <c r="J111" s="198" t="s">
        <v>272</v>
      </c>
      <c r="K111" s="412" t="s">
        <v>200</v>
      </c>
    </row>
    <row r="112" spans="1:11" ht="52.8" hidden="1">
      <c r="A112" s="295" t="s">
        <v>42</v>
      </c>
      <c r="B112" s="197" t="s">
        <v>54</v>
      </c>
      <c r="C112" s="197">
        <v>43067</v>
      </c>
      <c r="D112" s="410" t="s">
        <v>55</v>
      </c>
      <c r="E112" s="410" t="s">
        <v>56</v>
      </c>
      <c r="F112" s="410" t="s">
        <v>55</v>
      </c>
      <c r="G112" s="410" t="s">
        <v>159</v>
      </c>
      <c r="H112" s="410" t="s">
        <v>270</v>
      </c>
      <c r="I112" s="410" t="s">
        <v>274</v>
      </c>
      <c r="J112" s="198" t="s">
        <v>275</v>
      </c>
      <c r="K112" s="412" t="s">
        <v>200</v>
      </c>
    </row>
    <row r="113" spans="1:11" ht="79.2" hidden="1">
      <c r="A113" s="295" t="s">
        <v>42</v>
      </c>
      <c r="B113" s="197" t="s">
        <v>54</v>
      </c>
      <c r="C113" s="197">
        <v>43067</v>
      </c>
      <c r="D113" s="410" t="s">
        <v>55</v>
      </c>
      <c r="E113" s="410" t="s">
        <v>56</v>
      </c>
      <c r="F113" s="410" t="s">
        <v>55</v>
      </c>
      <c r="G113" s="410" t="s">
        <v>159</v>
      </c>
      <c r="H113" s="410" t="s">
        <v>273</v>
      </c>
      <c r="I113" s="410" t="s">
        <v>277</v>
      </c>
      <c r="J113" s="198" t="s">
        <v>278</v>
      </c>
      <c r="K113" s="412" t="s">
        <v>200</v>
      </c>
    </row>
    <row r="114" spans="1:11" ht="52.8" hidden="1">
      <c r="A114" s="295" t="s">
        <v>42</v>
      </c>
      <c r="B114" s="197" t="s">
        <v>54</v>
      </c>
      <c r="C114" s="197">
        <v>43067</v>
      </c>
      <c r="D114" s="410" t="s">
        <v>55</v>
      </c>
      <c r="E114" s="410" t="s">
        <v>56</v>
      </c>
      <c r="F114" s="410" t="s">
        <v>55</v>
      </c>
      <c r="G114" s="410" t="s">
        <v>159</v>
      </c>
      <c r="H114" s="410" t="s">
        <v>276</v>
      </c>
      <c r="I114" s="410" t="s">
        <v>280</v>
      </c>
      <c r="J114" s="198" t="s">
        <v>281</v>
      </c>
      <c r="K114" s="412" t="s">
        <v>200</v>
      </c>
    </row>
    <row r="115" spans="1:11" ht="79.2" hidden="1">
      <c r="A115" s="295" t="s">
        <v>42</v>
      </c>
      <c r="B115" s="197" t="s">
        <v>54</v>
      </c>
      <c r="C115" s="197">
        <v>43067</v>
      </c>
      <c r="D115" s="410" t="s">
        <v>55</v>
      </c>
      <c r="E115" s="410" t="s">
        <v>56</v>
      </c>
      <c r="F115" s="410" t="s">
        <v>55</v>
      </c>
      <c r="G115" s="410" t="s">
        <v>159</v>
      </c>
      <c r="H115" s="410" t="s">
        <v>279</v>
      </c>
      <c r="I115" s="410" t="s">
        <v>283</v>
      </c>
      <c r="J115" s="198" t="s">
        <v>284</v>
      </c>
      <c r="K115" s="412" t="s">
        <v>200</v>
      </c>
    </row>
    <row r="116" spans="1:11" ht="52.8" hidden="1">
      <c r="A116" s="295" t="s">
        <v>42</v>
      </c>
      <c r="B116" s="197" t="s">
        <v>54</v>
      </c>
      <c r="C116" s="197">
        <v>43067</v>
      </c>
      <c r="D116" s="410" t="s">
        <v>55</v>
      </c>
      <c r="E116" s="410" t="s">
        <v>56</v>
      </c>
      <c r="F116" s="410" t="s">
        <v>55</v>
      </c>
      <c r="G116" s="410" t="s">
        <v>159</v>
      </c>
      <c r="H116" s="410" t="s">
        <v>282</v>
      </c>
      <c r="I116" s="410" t="s">
        <v>286</v>
      </c>
      <c r="J116" s="198" t="s">
        <v>287</v>
      </c>
      <c r="K116" s="412" t="s">
        <v>200</v>
      </c>
    </row>
    <row r="117" spans="1:11" hidden="1">
      <c r="A117" s="295" t="s">
        <v>42</v>
      </c>
      <c r="B117" s="199" t="s">
        <v>288</v>
      </c>
      <c r="C117" s="197">
        <v>43067</v>
      </c>
      <c r="D117" s="410" t="s">
        <v>55</v>
      </c>
      <c r="E117" s="410" t="s">
        <v>56</v>
      </c>
      <c r="F117" s="410" t="s">
        <v>55</v>
      </c>
      <c r="G117" s="410" t="s">
        <v>159</v>
      </c>
      <c r="H117" s="410" t="s">
        <v>285</v>
      </c>
      <c r="I117" s="410" t="s">
        <v>291</v>
      </c>
      <c r="J117" s="410" t="s">
        <v>291</v>
      </c>
      <c r="K117" s="412" t="s">
        <v>292</v>
      </c>
    </row>
    <row r="118" spans="1:11" hidden="1">
      <c r="A118" s="295" t="s">
        <v>42</v>
      </c>
      <c r="B118" s="199" t="s">
        <v>288</v>
      </c>
      <c r="C118" s="197">
        <v>43234</v>
      </c>
      <c r="D118" s="298" t="s">
        <v>55</v>
      </c>
      <c r="E118" s="410" t="s">
        <v>289</v>
      </c>
      <c r="F118" s="410" t="s">
        <v>55</v>
      </c>
      <c r="G118" s="410" t="s">
        <v>290</v>
      </c>
      <c r="H118" s="410"/>
      <c r="I118" s="410" t="s">
        <v>294</v>
      </c>
      <c r="J118" s="410" t="s">
        <v>295</v>
      </c>
      <c r="K118" s="412" t="s">
        <v>296</v>
      </c>
    </row>
    <row r="119" spans="1:11" hidden="1">
      <c r="A119" s="295" t="s">
        <v>42</v>
      </c>
      <c r="B119" s="199" t="s">
        <v>288</v>
      </c>
      <c r="C119" s="197">
        <v>43234</v>
      </c>
      <c r="D119" s="410" t="s">
        <v>55</v>
      </c>
      <c r="E119" s="410" t="s">
        <v>289</v>
      </c>
      <c r="F119" s="410" t="s">
        <v>55</v>
      </c>
      <c r="G119" s="410" t="s">
        <v>69</v>
      </c>
      <c r="H119" s="410" t="s">
        <v>293</v>
      </c>
      <c r="I119" s="410" t="s">
        <v>294</v>
      </c>
      <c r="J119" s="410" t="s">
        <v>295</v>
      </c>
      <c r="K119" s="412" t="s">
        <v>298</v>
      </c>
    </row>
    <row r="120" spans="1:11" hidden="1">
      <c r="A120" s="295" t="s">
        <v>42</v>
      </c>
      <c r="B120" s="199" t="s">
        <v>288</v>
      </c>
      <c r="C120" s="197">
        <v>43234</v>
      </c>
      <c r="D120" s="410" t="s">
        <v>55</v>
      </c>
      <c r="E120" s="410" t="s">
        <v>289</v>
      </c>
      <c r="F120" s="410" t="s">
        <v>55</v>
      </c>
      <c r="G120" s="410" t="s">
        <v>69</v>
      </c>
      <c r="H120" s="410" t="s">
        <v>297</v>
      </c>
      <c r="I120" s="410" t="s">
        <v>300</v>
      </c>
      <c r="J120" s="410" t="s">
        <v>295</v>
      </c>
      <c r="K120" s="412" t="s">
        <v>301</v>
      </c>
    </row>
    <row r="121" spans="1:11" hidden="1">
      <c r="A121" s="295" t="s">
        <v>42</v>
      </c>
      <c r="B121" s="199" t="s">
        <v>288</v>
      </c>
      <c r="C121" s="197">
        <v>43234</v>
      </c>
      <c r="D121" s="410" t="s">
        <v>55</v>
      </c>
      <c r="E121" s="410" t="s">
        <v>289</v>
      </c>
      <c r="F121" s="410" t="s">
        <v>55</v>
      </c>
      <c r="G121" s="410" t="s">
        <v>159</v>
      </c>
      <c r="H121" s="412" t="s">
        <v>299</v>
      </c>
      <c r="I121" s="410" t="s">
        <v>294</v>
      </c>
      <c r="J121" s="410" t="s">
        <v>295</v>
      </c>
      <c r="K121" s="412" t="s">
        <v>298</v>
      </c>
    </row>
    <row r="122" spans="1:11" hidden="1">
      <c r="A122" s="295" t="s">
        <v>42</v>
      </c>
      <c r="B122" s="199" t="s">
        <v>288</v>
      </c>
      <c r="C122" s="197">
        <v>43234</v>
      </c>
      <c r="D122" s="412" t="s">
        <v>55</v>
      </c>
      <c r="E122" s="412" t="s">
        <v>289</v>
      </c>
      <c r="F122" s="410" t="s">
        <v>55</v>
      </c>
      <c r="G122" s="410" t="s">
        <v>159</v>
      </c>
      <c r="H122" s="412" t="s">
        <v>302</v>
      </c>
      <c r="I122" s="410" t="s">
        <v>304</v>
      </c>
      <c r="J122" s="410" t="s">
        <v>305</v>
      </c>
      <c r="K122" s="412"/>
    </row>
    <row r="123" spans="1:11" hidden="1">
      <c r="A123" s="295" t="s">
        <v>42</v>
      </c>
      <c r="B123" s="199" t="s">
        <v>288</v>
      </c>
      <c r="C123" s="412"/>
      <c r="D123" s="412"/>
      <c r="E123" s="412"/>
      <c r="F123" s="412"/>
      <c r="G123" s="410" t="s">
        <v>57</v>
      </c>
      <c r="H123" s="410" t="s">
        <v>303</v>
      </c>
      <c r="I123" s="410">
        <v>25.7</v>
      </c>
      <c r="J123" s="410">
        <v>26.2</v>
      </c>
      <c r="K123" s="412"/>
    </row>
    <row r="124" spans="1:11" hidden="1">
      <c r="A124" s="295" t="s">
        <v>42</v>
      </c>
      <c r="B124" s="199" t="s">
        <v>288</v>
      </c>
      <c r="C124" s="412"/>
      <c r="D124" s="412"/>
      <c r="E124" s="412"/>
      <c r="F124" s="412"/>
      <c r="G124" s="410" t="s">
        <v>57</v>
      </c>
      <c r="H124" s="410" t="s">
        <v>306</v>
      </c>
      <c r="I124" s="410">
        <v>0.2</v>
      </c>
      <c r="J124" s="410">
        <v>0.4</v>
      </c>
      <c r="K124" s="412"/>
    </row>
    <row r="125" spans="1:11" hidden="1">
      <c r="A125" s="295" t="s">
        <v>42</v>
      </c>
      <c r="B125" s="199" t="s">
        <v>288</v>
      </c>
      <c r="C125" s="412"/>
      <c r="D125" s="412"/>
      <c r="E125" s="412"/>
      <c r="F125" s="412"/>
      <c r="G125" s="410" t="s">
        <v>57</v>
      </c>
      <c r="H125" s="410" t="s">
        <v>307</v>
      </c>
      <c r="I125" s="410">
        <v>0.2</v>
      </c>
      <c r="J125" s="410">
        <v>0.3</v>
      </c>
      <c r="K125" s="412"/>
    </row>
    <row r="126" spans="1:11" hidden="1">
      <c r="A126" s="295" t="s">
        <v>42</v>
      </c>
      <c r="B126" s="199" t="s">
        <v>288</v>
      </c>
      <c r="C126" s="412"/>
      <c r="D126" s="412"/>
      <c r="E126" s="412"/>
      <c r="F126" s="412"/>
      <c r="G126" s="410" t="s">
        <v>57</v>
      </c>
      <c r="H126" s="410" t="s">
        <v>308</v>
      </c>
      <c r="I126" s="410">
        <v>25.7</v>
      </c>
      <c r="J126" s="410">
        <v>26.2</v>
      </c>
      <c r="K126" s="412"/>
    </row>
    <row r="127" spans="1:11" hidden="1">
      <c r="A127" s="295" t="s">
        <v>42</v>
      </c>
      <c r="B127" s="199" t="s">
        <v>288</v>
      </c>
      <c r="C127" s="412"/>
      <c r="D127" s="412"/>
      <c r="E127" s="412"/>
      <c r="F127" s="412"/>
      <c r="G127" s="410" t="s">
        <v>57</v>
      </c>
      <c r="H127" s="410" t="s">
        <v>309</v>
      </c>
      <c r="I127" s="410">
        <v>0.2</v>
      </c>
      <c r="J127" s="410">
        <v>0.4</v>
      </c>
      <c r="K127" s="412"/>
    </row>
    <row r="128" spans="1:11" hidden="1">
      <c r="A128" s="295" t="s">
        <v>42</v>
      </c>
      <c r="B128" s="199" t="s">
        <v>288</v>
      </c>
      <c r="C128" s="412"/>
      <c r="D128" s="412"/>
      <c r="E128" s="412"/>
      <c r="F128" s="412"/>
      <c r="G128" s="410" t="s">
        <v>57</v>
      </c>
      <c r="H128" s="410" t="s">
        <v>310</v>
      </c>
      <c r="I128" s="410">
        <v>0.2</v>
      </c>
      <c r="J128" s="410">
        <v>0.3</v>
      </c>
      <c r="K128" s="412"/>
    </row>
    <row r="129" spans="1:11" ht="26.4" hidden="1">
      <c r="A129" s="295" t="s">
        <v>42</v>
      </c>
      <c r="B129" s="199" t="s">
        <v>288</v>
      </c>
      <c r="C129" s="412"/>
      <c r="D129" s="412"/>
      <c r="E129" s="412"/>
      <c r="F129" s="412"/>
      <c r="G129" s="410" t="s">
        <v>57</v>
      </c>
      <c r="H129" s="410" t="s">
        <v>311</v>
      </c>
      <c r="I129" s="410" t="s">
        <v>313</v>
      </c>
      <c r="J129" s="410" t="s">
        <v>295</v>
      </c>
      <c r="K129" s="412"/>
    </row>
    <row r="130" spans="1:11" hidden="1">
      <c r="A130" s="295" t="s">
        <v>42</v>
      </c>
      <c r="B130" s="199" t="s">
        <v>288</v>
      </c>
      <c r="C130" s="412"/>
      <c r="D130" s="412"/>
      <c r="E130" s="412"/>
      <c r="F130" s="412"/>
      <c r="G130" s="410" t="s">
        <v>312</v>
      </c>
      <c r="H130" s="410" t="s">
        <v>194</v>
      </c>
      <c r="I130" s="410" t="s">
        <v>315</v>
      </c>
      <c r="J130" s="410" t="s">
        <v>295</v>
      </c>
      <c r="K130" s="412"/>
    </row>
    <row r="131" spans="1:11" hidden="1">
      <c r="A131" s="295" t="s">
        <v>42</v>
      </c>
      <c r="B131" s="199" t="s">
        <v>288</v>
      </c>
      <c r="C131" s="412"/>
      <c r="D131" s="412"/>
      <c r="E131" s="412"/>
      <c r="F131" s="412"/>
      <c r="G131" s="410" t="s">
        <v>312</v>
      </c>
      <c r="H131" s="410" t="s">
        <v>314</v>
      </c>
      <c r="I131" s="410" t="s">
        <v>317</v>
      </c>
      <c r="J131" s="410" t="s">
        <v>295</v>
      </c>
      <c r="K131" s="410"/>
    </row>
    <row r="132" spans="1:11" hidden="1">
      <c r="A132" s="295" t="s">
        <v>42</v>
      </c>
      <c r="B132" s="199" t="s">
        <v>288</v>
      </c>
      <c r="C132" s="412"/>
      <c r="D132" s="412"/>
      <c r="E132" s="412"/>
      <c r="F132" s="412"/>
      <c r="G132" s="410" t="s">
        <v>312</v>
      </c>
      <c r="H132" s="410" t="s">
        <v>316</v>
      </c>
      <c r="I132" s="410" t="s">
        <v>319</v>
      </c>
      <c r="J132" s="410" t="s">
        <v>295</v>
      </c>
      <c r="K132" s="410"/>
    </row>
    <row r="133" spans="1:11" hidden="1">
      <c r="A133" s="295" t="s">
        <v>42</v>
      </c>
      <c r="B133" s="199" t="s">
        <v>288</v>
      </c>
      <c r="C133" s="412"/>
      <c r="D133" s="412"/>
      <c r="E133" s="412"/>
      <c r="F133" s="412"/>
      <c r="G133" s="410" t="s">
        <v>312</v>
      </c>
      <c r="H133" s="410" t="s">
        <v>318</v>
      </c>
      <c r="I133" s="410" t="s">
        <v>321</v>
      </c>
      <c r="J133" s="410" t="s">
        <v>295</v>
      </c>
      <c r="K133" s="412"/>
    </row>
    <row r="134" spans="1:11" hidden="1">
      <c r="A134" s="295" t="s">
        <v>42</v>
      </c>
      <c r="B134" s="199" t="s">
        <v>288</v>
      </c>
      <c r="C134" s="412"/>
      <c r="D134" s="412"/>
      <c r="E134" s="412"/>
      <c r="F134" s="412"/>
      <c r="G134" s="410" t="s">
        <v>312</v>
      </c>
      <c r="H134" s="410" t="s">
        <v>320</v>
      </c>
      <c r="I134" s="410" t="s">
        <v>323</v>
      </c>
      <c r="J134" s="410" t="s">
        <v>295</v>
      </c>
      <c r="K134" s="412"/>
    </row>
    <row r="135" spans="1:11" hidden="1">
      <c r="A135" s="295" t="s">
        <v>42</v>
      </c>
      <c r="B135" s="199" t="s">
        <v>288</v>
      </c>
      <c r="C135" s="412"/>
      <c r="D135" s="412"/>
      <c r="E135" s="412"/>
      <c r="F135" s="412"/>
      <c r="G135" s="410" t="s">
        <v>312</v>
      </c>
      <c r="H135" s="410" t="s">
        <v>322</v>
      </c>
      <c r="I135" s="410" t="s">
        <v>325</v>
      </c>
      <c r="J135" s="410" t="s">
        <v>295</v>
      </c>
      <c r="K135" s="412"/>
    </row>
    <row r="136" spans="1:11" hidden="1">
      <c r="A136" s="295" t="s">
        <v>42</v>
      </c>
      <c r="B136" s="199" t="s">
        <v>288</v>
      </c>
      <c r="C136" s="412"/>
      <c r="D136" s="412"/>
      <c r="E136" s="412"/>
      <c r="F136" s="412"/>
      <c r="G136" s="410" t="s">
        <v>312</v>
      </c>
      <c r="H136" s="410" t="s">
        <v>324</v>
      </c>
      <c r="I136" s="410" t="s">
        <v>327</v>
      </c>
      <c r="J136" s="410" t="s">
        <v>295</v>
      </c>
      <c r="K136" s="412"/>
    </row>
    <row r="137" spans="1:11" hidden="1">
      <c r="A137" s="295" t="s">
        <v>42</v>
      </c>
      <c r="B137" s="199" t="s">
        <v>288</v>
      </c>
      <c r="C137" s="412"/>
      <c r="D137" s="412"/>
      <c r="E137" s="412"/>
      <c r="F137" s="412"/>
      <c r="G137" s="410" t="s">
        <v>312</v>
      </c>
      <c r="H137" s="410" t="s">
        <v>326</v>
      </c>
      <c r="I137" s="410" t="s">
        <v>329</v>
      </c>
      <c r="J137" s="410" t="s">
        <v>295</v>
      </c>
      <c r="K137" s="412"/>
    </row>
    <row r="138" spans="1:11" hidden="1">
      <c r="A138" s="295" t="s">
        <v>42</v>
      </c>
      <c r="B138" s="199" t="s">
        <v>288</v>
      </c>
      <c r="C138" s="412"/>
      <c r="D138" s="412"/>
      <c r="E138" s="412"/>
      <c r="F138" s="412"/>
      <c r="G138" s="410" t="s">
        <v>312</v>
      </c>
      <c r="H138" s="410" t="s">
        <v>328</v>
      </c>
      <c r="I138" s="410" t="s">
        <v>331</v>
      </c>
      <c r="J138" s="410" t="s">
        <v>295</v>
      </c>
      <c r="K138" s="412"/>
    </row>
    <row r="139" spans="1:11" hidden="1">
      <c r="A139" s="295" t="s">
        <v>42</v>
      </c>
      <c r="B139" s="199" t="s">
        <v>288</v>
      </c>
      <c r="C139" s="412"/>
      <c r="D139" s="412"/>
      <c r="E139" s="412"/>
      <c r="F139" s="412"/>
      <c r="G139" s="410" t="s">
        <v>312</v>
      </c>
      <c r="H139" s="410" t="s">
        <v>330</v>
      </c>
      <c r="I139" s="410" t="s">
        <v>333</v>
      </c>
      <c r="J139" s="410" t="s">
        <v>334</v>
      </c>
      <c r="K139" s="412"/>
    </row>
    <row r="140" spans="1:11" hidden="1">
      <c r="A140" s="295" t="s">
        <v>42</v>
      </c>
      <c r="B140" s="199" t="s">
        <v>288</v>
      </c>
      <c r="C140" s="412"/>
      <c r="D140" s="412"/>
      <c r="E140" s="412"/>
      <c r="F140" s="412"/>
      <c r="G140" s="410" t="s">
        <v>312</v>
      </c>
      <c r="H140" s="410" t="s">
        <v>332</v>
      </c>
      <c r="I140" s="410" t="s">
        <v>336</v>
      </c>
      <c r="J140" s="410" t="s">
        <v>337</v>
      </c>
      <c r="K140" s="412"/>
    </row>
    <row r="141" spans="1:11" ht="26.4" hidden="1">
      <c r="A141" s="295" t="s">
        <v>42</v>
      </c>
      <c r="B141" s="199" t="s">
        <v>288</v>
      </c>
      <c r="C141" s="412"/>
      <c r="D141" s="412"/>
      <c r="E141" s="412"/>
      <c r="F141" s="412"/>
      <c r="G141" s="410" t="s">
        <v>312</v>
      </c>
      <c r="H141" s="410" t="s">
        <v>335</v>
      </c>
      <c r="I141" s="410" t="s">
        <v>339</v>
      </c>
      <c r="J141" s="410" t="s">
        <v>295</v>
      </c>
      <c r="K141" s="412"/>
    </row>
    <row r="142" spans="1:11" hidden="1">
      <c r="A142" s="295" t="s">
        <v>42</v>
      </c>
      <c r="B142" s="199" t="s">
        <v>288</v>
      </c>
      <c r="C142" s="412"/>
      <c r="D142" s="412"/>
      <c r="E142" s="412"/>
      <c r="F142" s="412"/>
      <c r="G142" s="410" t="s">
        <v>312</v>
      </c>
      <c r="H142" s="410" t="s">
        <v>338</v>
      </c>
      <c r="I142" s="198" t="s">
        <v>341</v>
      </c>
      <c r="J142" s="410" t="s">
        <v>295</v>
      </c>
      <c r="K142" s="412"/>
    </row>
    <row r="143" spans="1:11" hidden="1">
      <c r="A143" s="295" t="s">
        <v>42</v>
      </c>
      <c r="B143" s="199" t="s">
        <v>288</v>
      </c>
      <c r="C143" s="412"/>
      <c r="D143" s="412"/>
      <c r="E143" s="412"/>
      <c r="F143" s="412"/>
      <c r="G143" s="410" t="s">
        <v>312</v>
      </c>
      <c r="H143" s="410" t="s">
        <v>340</v>
      </c>
      <c r="I143" s="198" t="s">
        <v>343</v>
      </c>
      <c r="J143" s="410" t="s">
        <v>295</v>
      </c>
      <c r="K143" s="412"/>
    </row>
    <row r="144" spans="1:11" hidden="1">
      <c r="A144" s="295" t="s">
        <v>42</v>
      </c>
      <c r="B144" s="199" t="s">
        <v>288</v>
      </c>
      <c r="C144" s="412"/>
      <c r="D144" s="412"/>
      <c r="E144" s="412"/>
      <c r="F144" s="412"/>
      <c r="G144" s="410" t="s">
        <v>312</v>
      </c>
      <c r="H144" s="410" t="s">
        <v>342</v>
      </c>
      <c r="I144" s="198" t="s">
        <v>345</v>
      </c>
      <c r="J144" s="410" t="s">
        <v>295</v>
      </c>
      <c r="K144" s="412"/>
    </row>
    <row r="145" spans="1:11" hidden="1">
      <c r="A145" s="295" t="s">
        <v>42</v>
      </c>
      <c r="B145" s="199" t="s">
        <v>288</v>
      </c>
      <c r="C145" s="412"/>
      <c r="D145" s="412"/>
      <c r="E145" s="412"/>
      <c r="F145" s="412"/>
      <c r="G145" s="410" t="s">
        <v>312</v>
      </c>
      <c r="H145" s="410" t="s">
        <v>344</v>
      </c>
      <c r="I145" s="410" t="s">
        <v>347</v>
      </c>
      <c r="J145" s="410" t="s">
        <v>295</v>
      </c>
      <c r="K145" s="412"/>
    </row>
    <row r="146" spans="1:11" hidden="1">
      <c r="A146" s="295" t="s">
        <v>42</v>
      </c>
      <c r="B146" s="199" t="s">
        <v>288</v>
      </c>
      <c r="C146" s="412"/>
      <c r="D146" s="412"/>
      <c r="E146" s="412"/>
      <c r="F146" s="412"/>
      <c r="G146" s="410" t="s">
        <v>312</v>
      </c>
      <c r="H146" s="410" t="s">
        <v>346</v>
      </c>
      <c r="I146" s="410" t="s">
        <v>349</v>
      </c>
      <c r="J146" s="410" t="s">
        <v>295</v>
      </c>
      <c r="K146" s="412"/>
    </row>
    <row r="147" spans="1:11" hidden="1">
      <c r="A147" s="295" t="s">
        <v>42</v>
      </c>
      <c r="B147" s="197" t="s">
        <v>288</v>
      </c>
      <c r="C147" s="412"/>
      <c r="D147" s="412"/>
      <c r="E147" s="412"/>
      <c r="F147" s="412"/>
      <c r="G147" s="410" t="s">
        <v>312</v>
      </c>
      <c r="H147" s="410" t="s">
        <v>348</v>
      </c>
      <c r="I147" s="410" t="s">
        <v>351</v>
      </c>
      <c r="J147" s="410" t="s">
        <v>295</v>
      </c>
      <c r="K147" s="412"/>
    </row>
    <row r="148" spans="1:11" hidden="1">
      <c r="A148" s="295" t="s">
        <v>42</v>
      </c>
      <c r="B148" s="197" t="s">
        <v>288</v>
      </c>
      <c r="C148" s="412"/>
      <c r="D148" s="412"/>
      <c r="E148" s="412"/>
      <c r="F148" s="412"/>
      <c r="G148" s="410" t="s">
        <v>312</v>
      </c>
      <c r="H148" s="410" t="s">
        <v>350</v>
      </c>
      <c r="I148" s="410" t="s">
        <v>354</v>
      </c>
      <c r="J148" s="410"/>
      <c r="K148" s="412"/>
    </row>
    <row r="149" spans="1:11" hidden="1">
      <c r="A149" s="295" t="s">
        <v>42</v>
      </c>
      <c r="B149" s="197" t="s">
        <v>288</v>
      </c>
      <c r="C149" s="293">
        <v>43292</v>
      </c>
      <c r="D149" s="412" t="s">
        <v>352</v>
      </c>
      <c r="E149" s="412" t="s">
        <v>55</v>
      </c>
      <c r="F149" s="412" t="s">
        <v>55</v>
      </c>
      <c r="G149" s="410" t="s">
        <v>312</v>
      </c>
      <c r="H149" s="410" t="s">
        <v>353</v>
      </c>
      <c r="I149" s="410" t="s">
        <v>354</v>
      </c>
      <c r="J149" s="410"/>
      <c r="K149" s="412"/>
    </row>
    <row r="150" spans="1:11" hidden="1">
      <c r="A150" s="295" t="s">
        <v>42</v>
      </c>
      <c r="B150" s="197" t="s">
        <v>288</v>
      </c>
      <c r="C150" s="293">
        <v>43292</v>
      </c>
      <c r="D150" s="412" t="s">
        <v>352</v>
      </c>
      <c r="E150" s="412" t="s">
        <v>55</v>
      </c>
      <c r="F150" s="412" t="s">
        <v>55</v>
      </c>
      <c r="G150" s="410" t="s">
        <v>312</v>
      </c>
      <c r="H150" s="410" t="s">
        <v>355</v>
      </c>
      <c r="I150" s="410" t="s">
        <v>357</v>
      </c>
      <c r="J150" s="410" t="s">
        <v>295</v>
      </c>
      <c r="K150" s="412"/>
    </row>
    <row r="151" spans="1:11" ht="26.4" hidden="1">
      <c r="A151" s="295" t="s">
        <v>42</v>
      </c>
      <c r="B151" s="197" t="s">
        <v>288</v>
      </c>
      <c r="C151" s="293">
        <v>43292</v>
      </c>
      <c r="D151" s="412" t="s">
        <v>352</v>
      </c>
      <c r="E151" s="412" t="s">
        <v>55</v>
      </c>
      <c r="F151" s="412" t="s">
        <v>55</v>
      </c>
      <c r="G151" s="410" t="s">
        <v>312</v>
      </c>
      <c r="H151" s="410" t="s">
        <v>356</v>
      </c>
      <c r="I151" s="410" t="s">
        <v>359</v>
      </c>
      <c r="J151" s="410" t="s">
        <v>360</v>
      </c>
      <c r="K151" s="412"/>
    </row>
    <row r="152" spans="1:11" ht="26.4" hidden="1">
      <c r="A152" s="295" t="s">
        <v>42</v>
      </c>
      <c r="B152" s="197" t="s">
        <v>288</v>
      </c>
      <c r="C152" s="293">
        <v>43292</v>
      </c>
      <c r="D152" s="412" t="s">
        <v>352</v>
      </c>
      <c r="E152" s="412" t="s">
        <v>55</v>
      </c>
      <c r="F152" s="412" t="s">
        <v>55</v>
      </c>
      <c r="G152" s="410" t="s">
        <v>312</v>
      </c>
      <c r="H152" s="410" t="s">
        <v>358</v>
      </c>
      <c r="I152" s="410" t="s">
        <v>362</v>
      </c>
      <c r="J152" s="410" t="s">
        <v>363</v>
      </c>
      <c r="K152" s="412"/>
    </row>
    <row r="153" spans="1:11" hidden="1">
      <c r="A153" s="295" t="s">
        <v>42</v>
      </c>
      <c r="B153" s="197" t="s">
        <v>288</v>
      </c>
      <c r="C153" s="293">
        <v>43292</v>
      </c>
      <c r="D153" s="412" t="s">
        <v>352</v>
      </c>
      <c r="E153" s="412" t="s">
        <v>55</v>
      </c>
      <c r="F153" s="412" t="s">
        <v>55</v>
      </c>
      <c r="G153" s="410" t="s">
        <v>312</v>
      </c>
      <c r="H153" s="410" t="s">
        <v>361</v>
      </c>
      <c r="I153" s="410" t="s">
        <v>365</v>
      </c>
      <c r="J153" s="410"/>
      <c r="K153" s="412"/>
    </row>
    <row r="154" spans="1:11" hidden="1">
      <c r="A154" s="295" t="s">
        <v>42</v>
      </c>
      <c r="B154" s="197" t="s">
        <v>288</v>
      </c>
      <c r="C154" s="293">
        <v>43292</v>
      </c>
      <c r="D154" s="412" t="s">
        <v>352</v>
      </c>
      <c r="E154" s="412" t="s">
        <v>55</v>
      </c>
      <c r="F154" s="412" t="s">
        <v>55</v>
      </c>
      <c r="G154" s="410" t="s">
        <v>312</v>
      </c>
      <c r="H154" s="410" t="s">
        <v>364</v>
      </c>
      <c r="I154" s="410" t="s">
        <v>367</v>
      </c>
      <c r="J154" s="410" t="s">
        <v>368</v>
      </c>
      <c r="K154" s="412"/>
    </row>
    <row r="155" spans="1:11" hidden="1">
      <c r="A155" s="295" t="s">
        <v>42</v>
      </c>
      <c r="B155" s="197" t="s">
        <v>288</v>
      </c>
      <c r="C155" s="293">
        <v>43292</v>
      </c>
      <c r="D155" s="412" t="s">
        <v>352</v>
      </c>
      <c r="E155" s="412" t="s">
        <v>55</v>
      </c>
      <c r="F155" s="412" t="s">
        <v>55</v>
      </c>
      <c r="G155" s="410" t="s">
        <v>312</v>
      </c>
      <c r="H155" s="410" t="s">
        <v>366</v>
      </c>
      <c r="I155" s="410" t="s">
        <v>370</v>
      </c>
      <c r="J155" s="410" t="s">
        <v>371</v>
      </c>
      <c r="K155" s="412"/>
    </row>
    <row r="156" spans="1:11" hidden="1">
      <c r="A156" s="295" t="s">
        <v>42</v>
      </c>
      <c r="B156" s="197" t="s">
        <v>288</v>
      </c>
      <c r="C156" s="293">
        <v>43292</v>
      </c>
      <c r="D156" s="412" t="s">
        <v>352</v>
      </c>
      <c r="E156" s="412" t="s">
        <v>55</v>
      </c>
      <c r="F156" s="412" t="s">
        <v>55</v>
      </c>
      <c r="G156" s="410" t="s">
        <v>312</v>
      </c>
      <c r="H156" s="410" t="s">
        <v>369</v>
      </c>
      <c r="I156" s="410" t="s">
        <v>373</v>
      </c>
      <c r="J156" s="410" t="s">
        <v>374</v>
      </c>
      <c r="K156" s="412"/>
    </row>
    <row r="157" spans="1:11" ht="26.4" hidden="1">
      <c r="A157" s="295" t="s">
        <v>42</v>
      </c>
      <c r="B157" s="197" t="s">
        <v>288</v>
      </c>
      <c r="C157" s="293">
        <v>43292</v>
      </c>
      <c r="D157" s="412" t="s">
        <v>352</v>
      </c>
      <c r="E157" s="412" t="s">
        <v>55</v>
      </c>
      <c r="F157" s="412" t="s">
        <v>55</v>
      </c>
      <c r="G157" s="410" t="s">
        <v>312</v>
      </c>
      <c r="H157" s="410" t="s">
        <v>372</v>
      </c>
      <c r="I157" s="410" t="s">
        <v>376</v>
      </c>
      <c r="J157" s="410" t="s">
        <v>377</v>
      </c>
      <c r="K157" s="412"/>
    </row>
    <row r="158" spans="1:11" hidden="1">
      <c r="A158" s="295" t="s">
        <v>42</v>
      </c>
      <c r="B158" s="197" t="s">
        <v>288</v>
      </c>
      <c r="C158" s="293">
        <v>43292</v>
      </c>
      <c r="D158" s="412" t="s">
        <v>352</v>
      </c>
      <c r="E158" s="412" t="s">
        <v>55</v>
      </c>
      <c r="F158" s="412" t="s">
        <v>55</v>
      </c>
      <c r="G158" s="410" t="s">
        <v>312</v>
      </c>
      <c r="H158" s="410" t="s">
        <v>375</v>
      </c>
      <c r="I158" s="410" t="s">
        <v>354</v>
      </c>
      <c r="J158" s="410"/>
      <c r="K158" s="412"/>
    </row>
    <row r="159" spans="1:11" hidden="1">
      <c r="A159" s="295" t="s">
        <v>42</v>
      </c>
      <c r="B159" s="197" t="s">
        <v>288</v>
      </c>
      <c r="C159" s="293">
        <v>43292</v>
      </c>
      <c r="D159" s="412" t="s">
        <v>352</v>
      </c>
      <c r="E159" s="412" t="s">
        <v>55</v>
      </c>
      <c r="F159" s="412" t="s">
        <v>55</v>
      </c>
      <c r="G159" s="410" t="s">
        <v>312</v>
      </c>
      <c r="H159" s="410" t="s">
        <v>378</v>
      </c>
      <c r="I159" s="410" t="s">
        <v>354</v>
      </c>
      <c r="J159" s="410"/>
      <c r="K159" s="412"/>
    </row>
    <row r="160" spans="1:11" ht="26.4" hidden="1">
      <c r="A160" s="295" t="s">
        <v>42</v>
      </c>
      <c r="B160" s="197" t="s">
        <v>288</v>
      </c>
      <c r="C160" s="293">
        <v>43292</v>
      </c>
      <c r="D160" s="412" t="s">
        <v>352</v>
      </c>
      <c r="E160" s="412" t="s">
        <v>55</v>
      </c>
      <c r="F160" s="412" t="s">
        <v>55</v>
      </c>
      <c r="G160" s="410" t="s">
        <v>312</v>
      </c>
      <c r="H160" s="410" t="s">
        <v>379</v>
      </c>
      <c r="I160" s="410" t="s">
        <v>381</v>
      </c>
      <c r="J160" s="410" t="s">
        <v>295</v>
      </c>
      <c r="K160" s="412"/>
    </row>
    <row r="161" spans="1:11" hidden="1">
      <c r="A161" s="295" t="s">
        <v>42</v>
      </c>
      <c r="B161" s="197" t="s">
        <v>288</v>
      </c>
      <c r="C161" s="293">
        <v>43292</v>
      </c>
      <c r="D161" s="412" t="s">
        <v>352</v>
      </c>
      <c r="E161" s="412" t="s">
        <v>55</v>
      </c>
      <c r="F161" s="412" t="s">
        <v>55</v>
      </c>
      <c r="G161" s="410" t="s">
        <v>312</v>
      </c>
      <c r="H161" s="410" t="s">
        <v>380</v>
      </c>
      <c r="I161" s="410" t="s">
        <v>354</v>
      </c>
      <c r="J161" s="410"/>
      <c r="K161" s="412"/>
    </row>
    <row r="162" spans="1:11" ht="26.4" hidden="1">
      <c r="A162" s="295" t="s">
        <v>42</v>
      </c>
      <c r="B162" s="197" t="s">
        <v>288</v>
      </c>
      <c r="C162" s="293">
        <v>43292</v>
      </c>
      <c r="D162" s="412" t="s">
        <v>352</v>
      </c>
      <c r="E162" s="412" t="s">
        <v>55</v>
      </c>
      <c r="F162" s="412" t="s">
        <v>55</v>
      </c>
      <c r="G162" s="410" t="s">
        <v>312</v>
      </c>
      <c r="H162" s="410" t="s">
        <v>382</v>
      </c>
      <c r="I162" s="410" t="s">
        <v>384</v>
      </c>
      <c r="J162" s="410" t="s">
        <v>295</v>
      </c>
      <c r="K162" s="412"/>
    </row>
    <row r="163" spans="1:11" hidden="1">
      <c r="A163" s="295" t="s">
        <v>42</v>
      </c>
      <c r="B163" s="197" t="s">
        <v>288</v>
      </c>
      <c r="C163" s="293">
        <v>43292</v>
      </c>
      <c r="D163" s="412" t="s">
        <v>352</v>
      </c>
      <c r="E163" s="412" t="s">
        <v>55</v>
      </c>
      <c r="F163" s="412" t="s">
        <v>55</v>
      </c>
      <c r="G163" s="410" t="s">
        <v>312</v>
      </c>
      <c r="H163" s="410" t="s">
        <v>383</v>
      </c>
      <c r="I163" s="410" t="s">
        <v>386</v>
      </c>
      <c r="J163" s="410" t="s">
        <v>295</v>
      </c>
      <c r="K163" s="412"/>
    </row>
    <row r="164" spans="1:11" hidden="1">
      <c r="A164" s="295" t="s">
        <v>42</v>
      </c>
      <c r="B164" s="197" t="s">
        <v>288</v>
      </c>
      <c r="C164" s="293">
        <v>43292</v>
      </c>
      <c r="D164" s="412" t="s">
        <v>352</v>
      </c>
      <c r="E164" s="412" t="s">
        <v>55</v>
      </c>
      <c r="F164" s="412" t="s">
        <v>55</v>
      </c>
      <c r="G164" s="410" t="s">
        <v>312</v>
      </c>
      <c r="H164" s="410" t="s">
        <v>385</v>
      </c>
      <c r="I164" s="410" t="s">
        <v>388</v>
      </c>
      <c r="J164" s="410"/>
      <c r="K164" s="412"/>
    </row>
    <row r="165" spans="1:11" ht="26.4" hidden="1">
      <c r="A165" s="295" t="s">
        <v>42</v>
      </c>
      <c r="B165" s="197" t="s">
        <v>288</v>
      </c>
      <c r="C165" s="293">
        <v>43292</v>
      </c>
      <c r="D165" s="412" t="s">
        <v>352</v>
      </c>
      <c r="E165" s="412" t="s">
        <v>55</v>
      </c>
      <c r="F165" s="412" t="s">
        <v>55</v>
      </c>
      <c r="G165" s="410" t="s">
        <v>312</v>
      </c>
      <c r="H165" s="410" t="s">
        <v>387</v>
      </c>
      <c r="I165" s="410" t="s">
        <v>390</v>
      </c>
      <c r="J165" s="410" t="s">
        <v>333</v>
      </c>
      <c r="K165" s="412"/>
    </row>
    <row r="166" spans="1:11" hidden="1">
      <c r="A166" s="295" t="s">
        <v>42</v>
      </c>
      <c r="B166" s="197" t="s">
        <v>288</v>
      </c>
      <c r="C166" s="293">
        <v>43292</v>
      </c>
      <c r="D166" s="412" t="s">
        <v>352</v>
      </c>
      <c r="E166" s="412" t="s">
        <v>55</v>
      </c>
      <c r="F166" s="412" t="s">
        <v>55</v>
      </c>
      <c r="G166" s="410" t="s">
        <v>312</v>
      </c>
      <c r="H166" s="410" t="s">
        <v>389</v>
      </c>
      <c r="I166" s="410" t="s">
        <v>392</v>
      </c>
      <c r="J166" s="410" t="s">
        <v>295</v>
      </c>
      <c r="K166" s="412"/>
    </row>
    <row r="167" spans="1:11" hidden="1">
      <c r="A167" s="295" t="s">
        <v>42</v>
      </c>
      <c r="B167" s="197" t="s">
        <v>288</v>
      </c>
      <c r="C167" s="293">
        <v>43292</v>
      </c>
      <c r="D167" s="412" t="s">
        <v>352</v>
      </c>
      <c r="E167" s="412" t="s">
        <v>55</v>
      </c>
      <c r="F167" s="412" t="s">
        <v>55</v>
      </c>
      <c r="G167" s="410" t="s">
        <v>312</v>
      </c>
      <c r="H167" s="410" t="s">
        <v>391</v>
      </c>
      <c r="I167" s="410" t="s">
        <v>394</v>
      </c>
      <c r="J167" s="410" t="s">
        <v>295</v>
      </c>
      <c r="K167" s="412"/>
    </row>
    <row r="168" spans="1:11" hidden="1">
      <c r="A168" s="295" t="s">
        <v>42</v>
      </c>
      <c r="B168" s="197" t="s">
        <v>288</v>
      </c>
      <c r="C168" s="293">
        <v>43292</v>
      </c>
      <c r="D168" s="412" t="s">
        <v>352</v>
      </c>
      <c r="E168" s="412" t="s">
        <v>55</v>
      </c>
      <c r="F168" s="412" t="s">
        <v>55</v>
      </c>
      <c r="G168" s="410" t="s">
        <v>312</v>
      </c>
      <c r="H168" s="410" t="s">
        <v>393</v>
      </c>
      <c r="I168" s="410" t="s">
        <v>396</v>
      </c>
      <c r="J168" s="410" t="s">
        <v>295</v>
      </c>
      <c r="K168" s="412"/>
    </row>
    <row r="169" spans="1:11" hidden="1">
      <c r="A169" s="295" t="s">
        <v>42</v>
      </c>
      <c r="B169" s="197" t="s">
        <v>288</v>
      </c>
      <c r="C169" s="293">
        <v>43292</v>
      </c>
      <c r="D169" s="412" t="s">
        <v>352</v>
      </c>
      <c r="E169" s="412" t="s">
        <v>55</v>
      </c>
      <c r="F169" s="412" t="s">
        <v>55</v>
      </c>
      <c r="G169" s="410" t="s">
        <v>312</v>
      </c>
      <c r="H169" s="410" t="s">
        <v>395</v>
      </c>
      <c r="I169" s="410" t="s">
        <v>398</v>
      </c>
      <c r="J169" s="410" t="s">
        <v>295</v>
      </c>
      <c r="K169" s="412"/>
    </row>
    <row r="170" spans="1:11" hidden="1">
      <c r="A170" s="295" t="s">
        <v>42</v>
      </c>
      <c r="B170" s="197" t="s">
        <v>288</v>
      </c>
      <c r="C170" s="293">
        <v>43292</v>
      </c>
      <c r="D170" s="412" t="s">
        <v>352</v>
      </c>
      <c r="E170" s="412" t="s">
        <v>55</v>
      </c>
      <c r="F170" s="412" t="s">
        <v>55</v>
      </c>
      <c r="G170" s="410" t="s">
        <v>312</v>
      </c>
      <c r="H170" s="410" t="s">
        <v>397</v>
      </c>
      <c r="I170" s="410" t="s">
        <v>400</v>
      </c>
      <c r="J170" s="410" t="s">
        <v>295</v>
      </c>
      <c r="K170" s="412"/>
    </row>
    <row r="171" spans="1:11" hidden="1">
      <c r="A171" s="295" t="s">
        <v>42</v>
      </c>
      <c r="B171" s="197" t="s">
        <v>288</v>
      </c>
      <c r="C171" s="293">
        <v>43292</v>
      </c>
      <c r="D171" s="412" t="s">
        <v>352</v>
      </c>
      <c r="E171" s="412" t="s">
        <v>55</v>
      </c>
      <c r="F171" s="412" t="s">
        <v>55</v>
      </c>
      <c r="G171" s="410" t="s">
        <v>312</v>
      </c>
      <c r="H171" s="410" t="s">
        <v>399</v>
      </c>
      <c r="I171" s="410" t="s">
        <v>402</v>
      </c>
      <c r="J171" s="410" t="s">
        <v>295</v>
      </c>
      <c r="K171" s="412"/>
    </row>
    <row r="172" spans="1:11" ht="66" hidden="1">
      <c r="A172" s="295" t="s">
        <v>42</v>
      </c>
      <c r="B172" s="197" t="s">
        <v>288</v>
      </c>
      <c r="C172" s="293">
        <v>43292</v>
      </c>
      <c r="D172" s="412" t="s">
        <v>352</v>
      </c>
      <c r="E172" s="412" t="s">
        <v>55</v>
      </c>
      <c r="F172" s="412" t="s">
        <v>55</v>
      </c>
      <c r="G172" s="410" t="s">
        <v>312</v>
      </c>
      <c r="H172" s="410" t="s">
        <v>401</v>
      </c>
      <c r="I172" s="410" t="s">
        <v>404</v>
      </c>
      <c r="J172" s="410" t="s">
        <v>295</v>
      </c>
      <c r="K172" s="412"/>
    </row>
    <row r="173" spans="1:11" ht="66" hidden="1">
      <c r="A173" s="295" t="s">
        <v>42</v>
      </c>
      <c r="B173" s="197" t="s">
        <v>288</v>
      </c>
      <c r="C173" s="293">
        <v>43292</v>
      </c>
      <c r="D173" s="412" t="s">
        <v>352</v>
      </c>
      <c r="E173" s="412" t="s">
        <v>55</v>
      </c>
      <c r="F173" s="412" t="s">
        <v>55</v>
      </c>
      <c r="G173" s="410" t="s">
        <v>312</v>
      </c>
      <c r="H173" s="410" t="s">
        <v>403</v>
      </c>
      <c r="I173" s="410" t="s">
        <v>406</v>
      </c>
      <c r="J173" s="410" t="s">
        <v>295</v>
      </c>
      <c r="K173" s="412"/>
    </row>
    <row r="174" spans="1:11" hidden="1">
      <c r="A174" s="295" t="s">
        <v>42</v>
      </c>
      <c r="B174" s="197" t="s">
        <v>288</v>
      </c>
      <c r="C174" s="293">
        <v>43292</v>
      </c>
      <c r="D174" s="412" t="s">
        <v>352</v>
      </c>
      <c r="E174" s="412" t="s">
        <v>55</v>
      </c>
      <c r="F174" s="412" t="s">
        <v>55</v>
      </c>
      <c r="G174" s="410" t="s">
        <v>312</v>
      </c>
      <c r="H174" s="410" t="s">
        <v>405</v>
      </c>
      <c r="I174" s="410" t="s">
        <v>408</v>
      </c>
      <c r="J174" s="410" t="s">
        <v>295</v>
      </c>
      <c r="K174" s="412"/>
    </row>
    <row r="175" spans="1:11" ht="79.2" hidden="1">
      <c r="A175" s="295" t="s">
        <v>42</v>
      </c>
      <c r="B175" s="197" t="s">
        <v>288</v>
      </c>
      <c r="C175" s="293">
        <v>43292</v>
      </c>
      <c r="D175" s="412" t="s">
        <v>352</v>
      </c>
      <c r="E175" s="412" t="s">
        <v>55</v>
      </c>
      <c r="F175" s="412" t="s">
        <v>55</v>
      </c>
      <c r="G175" s="410" t="s">
        <v>312</v>
      </c>
      <c r="H175" s="410" t="s">
        <v>407</v>
      </c>
      <c r="I175" s="410" t="s">
        <v>410</v>
      </c>
      <c r="J175" s="410" t="s">
        <v>295</v>
      </c>
      <c r="K175" s="412"/>
    </row>
    <row r="176" spans="1:11" hidden="1">
      <c r="A176" s="295" t="s">
        <v>42</v>
      </c>
      <c r="B176" s="197" t="s">
        <v>288</v>
      </c>
      <c r="C176" s="293">
        <v>43292</v>
      </c>
      <c r="D176" s="412" t="s">
        <v>352</v>
      </c>
      <c r="E176" s="412" t="s">
        <v>55</v>
      </c>
      <c r="F176" s="412" t="s">
        <v>55</v>
      </c>
      <c r="G176" s="410" t="s">
        <v>312</v>
      </c>
      <c r="H176" s="410" t="s">
        <v>409</v>
      </c>
      <c r="I176" s="410" t="s">
        <v>412</v>
      </c>
      <c r="J176" s="410" t="s">
        <v>295</v>
      </c>
      <c r="K176" s="412"/>
    </row>
    <row r="177" spans="1:11" hidden="1">
      <c r="A177" s="295" t="s">
        <v>42</v>
      </c>
      <c r="B177" s="197" t="s">
        <v>288</v>
      </c>
      <c r="C177" s="293">
        <v>43292</v>
      </c>
      <c r="D177" s="412" t="s">
        <v>352</v>
      </c>
      <c r="E177" s="412" t="s">
        <v>55</v>
      </c>
      <c r="F177" s="412" t="s">
        <v>55</v>
      </c>
      <c r="G177" s="410" t="s">
        <v>312</v>
      </c>
      <c r="H177" s="410" t="s">
        <v>411</v>
      </c>
      <c r="I177" s="410" t="s">
        <v>414</v>
      </c>
      <c r="J177" s="410" t="s">
        <v>295</v>
      </c>
      <c r="K177" s="412"/>
    </row>
    <row r="178" spans="1:11" ht="26.4" hidden="1">
      <c r="A178" s="295" t="s">
        <v>42</v>
      </c>
      <c r="B178" s="197" t="s">
        <v>288</v>
      </c>
      <c r="C178" s="293">
        <v>43292</v>
      </c>
      <c r="D178" s="412" t="s">
        <v>352</v>
      </c>
      <c r="E178" s="412" t="s">
        <v>55</v>
      </c>
      <c r="F178" s="412" t="s">
        <v>55</v>
      </c>
      <c r="G178" s="410" t="s">
        <v>312</v>
      </c>
      <c r="H178" s="410" t="s">
        <v>413</v>
      </c>
      <c r="I178" s="410" t="s">
        <v>416</v>
      </c>
      <c r="J178" s="410" t="s">
        <v>295</v>
      </c>
      <c r="K178" s="412"/>
    </row>
    <row r="179" spans="1:11" hidden="1">
      <c r="A179" s="295" t="s">
        <v>42</v>
      </c>
      <c r="B179" s="197" t="s">
        <v>288</v>
      </c>
      <c r="C179" s="293">
        <v>43292</v>
      </c>
      <c r="D179" s="412" t="s">
        <v>352</v>
      </c>
      <c r="E179" s="412" t="s">
        <v>55</v>
      </c>
      <c r="F179" s="412" t="s">
        <v>55</v>
      </c>
      <c r="G179" s="410" t="s">
        <v>312</v>
      </c>
      <c r="H179" s="410" t="s">
        <v>415</v>
      </c>
      <c r="I179" s="410" t="s">
        <v>394</v>
      </c>
      <c r="J179" s="410" t="s">
        <v>295</v>
      </c>
      <c r="K179" s="412"/>
    </row>
    <row r="180" spans="1:11" hidden="1">
      <c r="A180" s="295" t="s">
        <v>42</v>
      </c>
      <c r="B180" s="197" t="s">
        <v>288</v>
      </c>
      <c r="C180" s="293">
        <v>43292</v>
      </c>
      <c r="D180" s="412" t="s">
        <v>352</v>
      </c>
      <c r="E180" s="412" t="s">
        <v>55</v>
      </c>
      <c r="F180" s="412" t="s">
        <v>55</v>
      </c>
      <c r="G180" s="410" t="s">
        <v>312</v>
      </c>
      <c r="H180" s="410" t="s">
        <v>417</v>
      </c>
      <c r="I180" s="410" t="s">
        <v>396</v>
      </c>
      <c r="J180" s="410" t="s">
        <v>295</v>
      </c>
      <c r="K180" s="412"/>
    </row>
    <row r="181" spans="1:11" hidden="1">
      <c r="A181" s="295" t="s">
        <v>42</v>
      </c>
      <c r="B181" s="197" t="s">
        <v>288</v>
      </c>
      <c r="C181" s="293">
        <v>43292</v>
      </c>
      <c r="D181" s="412" t="s">
        <v>352</v>
      </c>
      <c r="E181" s="412" t="s">
        <v>55</v>
      </c>
      <c r="F181" s="412" t="s">
        <v>55</v>
      </c>
      <c r="G181" s="410" t="s">
        <v>312</v>
      </c>
      <c r="H181" s="410" t="s">
        <v>418</v>
      </c>
      <c r="I181" s="410" t="s">
        <v>398</v>
      </c>
      <c r="J181" s="410" t="s">
        <v>295</v>
      </c>
      <c r="K181" s="412"/>
    </row>
    <row r="182" spans="1:11" hidden="1">
      <c r="A182" s="295" t="s">
        <v>42</v>
      </c>
      <c r="B182" s="197" t="s">
        <v>288</v>
      </c>
      <c r="C182" s="293">
        <v>43292</v>
      </c>
      <c r="D182" s="412" t="s">
        <v>352</v>
      </c>
      <c r="E182" s="412" t="s">
        <v>55</v>
      </c>
      <c r="F182" s="412" t="s">
        <v>55</v>
      </c>
      <c r="G182" s="410" t="s">
        <v>312</v>
      </c>
      <c r="H182" s="410" t="s">
        <v>419</v>
      </c>
      <c r="I182" s="410" t="s">
        <v>400</v>
      </c>
      <c r="J182" s="410" t="s">
        <v>295</v>
      </c>
      <c r="K182" s="412"/>
    </row>
    <row r="183" spans="1:11" hidden="1">
      <c r="A183" s="295" t="s">
        <v>42</v>
      </c>
      <c r="B183" s="197" t="s">
        <v>288</v>
      </c>
      <c r="C183" s="293">
        <v>43292</v>
      </c>
      <c r="D183" s="412" t="s">
        <v>352</v>
      </c>
      <c r="E183" s="412" t="s">
        <v>55</v>
      </c>
      <c r="F183" s="412" t="s">
        <v>55</v>
      </c>
      <c r="G183" s="410" t="s">
        <v>312</v>
      </c>
      <c r="H183" s="410" t="s">
        <v>420</v>
      </c>
      <c r="I183" s="410" t="s">
        <v>402</v>
      </c>
      <c r="J183" s="410" t="s">
        <v>295</v>
      </c>
      <c r="K183" s="412"/>
    </row>
    <row r="184" spans="1:11" ht="66" hidden="1">
      <c r="A184" s="295" t="s">
        <v>42</v>
      </c>
      <c r="B184" s="197" t="s">
        <v>288</v>
      </c>
      <c r="C184" s="293">
        <v>43292</v>
      </c>
      <c r="D184" s="412" t="s">
        <v>352</v>
      </c>
      <c r="E184" s="412" t="s">
        <v>55</v>
      </c>
      <c r="F184" s="412" t="s">
        <v>55</v>
      </c>
      <c r="G184" s="410" t="s">
        <v>312</v>
      </c>
      <c r="H184" s="410" t="s">
        <v>421</v>
      </c>
      <c r="I184" s="410" t="s">
        <v>423</v>
      </c>
      <c r="J184" s="410" t="s">
        <v>295</v>
      </c>
      <c r="K184" s="412"/>
    </row>
    <row r="185" spans="1:11" ht="92.4" hidden="1">
      <c r="A185" s="295" t="s">
        <v>42</v>
      </c>
      <c r="B185" s="197" t="s">
        <v>288</v>
      </c>
      <c r="C185" s="293">
        <v>43292</v>
      </c>
      <c r="D185" s="412" t="s">
        <v>352</v>
      </c>
      <c r="E185" s="412" t="s">
        <v>55</v>
      </c>
      <c r="F185" s="412" t="s">
        <v>55</v>
      </c>
      <c r="G185" s="410" t="s">
        <v>312</v>
      </c>
      <c r="H185" s="410" t="s">
        <v>422</v>
      </c>
      <c r="I185" s="410" t="s">
        <v>425</v>
      </c>
      <c r="J185" s="410" t="s">
        <v>295</v>
      </c>
      <c r="K185" s="412"/>
    </row>
    <row r="186" spans="1:11" hidden="1">
      <c r="A186" s="295" t="s">
        <v>42</v>
      </c>
      <c r="B186" s="197" t="s">
        <v>288</v>
      </c>
      <c r="C186" s="293">
        <v>43292</v>
      </c>
      <c r="D186" s="412" t="s">
        <v>352</v>
      </c>
      <c r="E186" s="412" t="s">
        <v>55</v>
      </c>
      <c r="F186" s="412" t="s">
        <v>55</v>
      </c>
      <c r="G186" s="410" t="s">
        <v>312</v>
      </c>
      <c r="H186" s="410" t="s">
        <v>424</v>
      </c>
      <c r="I186" s="410" t="s">
        <v>408</v>
      </c>
      <c r="J186" s="410" t="s">
        <v>295</v>
      </c>
      <c r="K186" s="412"/>
    </row>
    <row r="187" spans="1:11" ht="39.6" hidden="1">
      <c r="A187" s="295" t="s">
        <v>42</v>
      </c>
      <c r="B187" s="197" t="s">
        <v>288</v>
      </c>
      <c r="C187" s="293">
        <v>43292</v>
      </c>
      <c r="D187" s="412" t="s">
        <v>352</v>
      </c>
      <c r="E187" s="412" t="s">
        <v>55</v>
      </c>
      <c r="F187" s="412" t="s">
        <v>55</v>
      </c>
      <c r="G187" s="410" t="s">
        <v>312</v>
      </c>
      <c r="H187" s="410" t="s">
        <v>426</v>
      </c>
      <c r="I187" s="410" t="s">
        <v>428</v>
      </c>
      <c r="J187" s="410" t="s">
        <v>295</v>
      </c>
      <c r="K187" s="412"/>
    </row>
    <row r="188" spans="1:11" hidden="1">
      <c r="A188" s="295" t="s">
        <v>42</v>
      </c>
      <c r="B188" s="197" t="s">
        <v>288</v>
      </c>
      <c r="C188" s="293">
        <v>43292</v>
      </c>
      <c r="D188" s="412" t="s">
        <v>352</v>
      </c>
      <c r="E188" s="412" t="s">
        <v>55</v>
      </c>
      <c r="F188" s="412" t="s">
        <v>55</v>
      </c>
      <c r="G188" s="410" t="s">
        <v>312</v>
      </c>
      <c r="H188" s="410" t="s">
        <v>427</v>
      </c>
      <c r="I188" s="410" t="s">
        <v>412</v>
      </c>
      <c r="J188" s="410" t="s">
        <v>295</v>
      </c>
      <c r="K188" s="412"/>
    </row>
    <row r="189" spans="1:11" hidden="1">
      <c r="A189" s="295" t="s">
        <v>42</v>
      </c>
      <c r="B189" s="197" t="s">
        <v>288</v>
      </c>
      <c r="C189" s="293">
        <v>43292</v>
      </c>
      <c r="D189" s="412" t="s">
        <v>352</v>
      </c>
      <c r="E189" s="412" t="s">
        <v>55</v>
      </c>
      <c r="F189" s="412" t="s">
        <v>55</v>
      </c>
      <c r="G189" s="410" t="s">
        <v>312</v>
      </c>
      <c r="H189" s="410" t="s">
        <v>429</v>
      </c>
      <c r="I189" s="410" t="s">
        <v>431</v>
      </c>
      <c r="J189" s="410" t="s">
        <v>295</v>
      </c>
      <c r="K189" s="412"/>
    </row>
    <row r="190" spans="1:11" hidden="1">
      <c r="A190" s="295" t="s">
        <v>42</v>
      </c>
      <c r="B190" s="197" t="s">
        <v>288</v>
      </c>
      <c r="C190" s="293">
        <v>43292</v>
      </c>
      <c r="D190" s="412" t="s">
        <v>352</v>
      </c>
      <c r="E190" s="412" t="s">
        <v>55</v>
      </c>
      <c r="F190" s="412" t="s">
        <v>55</v>
      </c>
      <c r="G190" s="410" t="s">
        <v>312</v>
      </c>
      <c r="H190" s="410" t="s">
        <v>430</v>
      </c>
      <c r="I190" s="410" t="s">
        <v>433</v>
      </c>
      <c r="J190" s="410" t="s">
        <v>295</v>
      </c>
      <c r="K190" s="412"/>
    </row>
    <row r="191" spans="1:11" hidden="1">
      <c r="A191" s="295" t="s">
        <v>42</v>
      </c>
      <c r="B191" s="197" t="s">
        <v>288</v>
      </c>
      <c r="C191" s="293">
        <v>43292</v>
      </c>
      <c r="D191" s="412" t="s">
        <v>352</v>
      </c>
      <c r="E191" s="412" t="s">
        <v>55</v>
      </c>
      <c r="F191" s="412" t="s">
        <v>55</v>
      </c>
      <c r="G191" s="410" t="s">
        <v>312</v>
      </c>
      <c r="H191" s="410" t="s">
        <v>432</v>
      </c>
      <c r="I191" s="410" t="s">
        <v>394</v>
      </c>
      <c r="J191" s="410" t="s">
        <v>295</v>
      </c>
      <c r="K191" s="412"/>
    </row>
    <row r="192" spans="1:11" hidden="1">
      <c r="A192" s="295" t="s">
        <v>42</v>
      </c>
      <c r="B192" s="197" t="s">
        <v>288</v>
      </c>
      <c r="C192" s="293">
        <v>43292</v>
      </c>
      <c r="D192" s="412" t="s">
        <v>352</v>
      </c>
      <c r="E192" s="412" t="s">
        <v>55</v>
      </c>
      <c r="F192" s="412" t="s">
        <v>55</v>
      </c>
      <c r="G192" s="410" t="s">
        <v>312</v>
      </c>
      <c r="H192" s="410" t="s">
        <v>434</v>
      </c>
      <c r="I192" s="410" t="s">
        <v>396</v>
      </c>
      <c r="J192" s="410" t="s">
        <v>295</v>
      </c>
      <c r="K192" s="412"/>
    </row>
    <row r="193" spans="1:11" hidden="1">
      <c r="A193" s="295" t="s">
        <v>42</v>
      </c>
      <c r="B193" s="197" t="s">
        <v>288</v>
      </c>
      <c r="C193" s="293">
        <v>43292</v>
      </c>
      <c r="D193" s="412" t="s">
        <v>352</v>
      </c>
      <c r="E193" s="412" t="s">
        <v>55</v>
      </c>
      <c r="F193" s="412" t="s">
        <v>55</v>
      </c>
      <c r="G193" s="410" t="s">
        <v>312</v>
      </c>
      <c r="H193" s="410" t="s">
        <v>435</v>
      </c>
      <c r="I193" s="410" t="s">
        <v>398</v>
      </c>
      <c r="J193" s="410" t="s">
        <v>295</v>
      </c>
      <c r="K193" s="412"/>
    </row>
    <row r="194" spans="1:11" hidden="1">
      <c r="A194" s="295" t="s">
        <v>42</v>
      </c>
      <c r="B194" s="197" t="s">
        <v>288</v>
      </c>
      <c r="C194" s="293">
        <v>43292</v>
      </c>
      <c r="D194" s="412" t="s">
        <v>352</v>
      </c>
      <c r="E194" s="412" t="s">
        <v>55</v>
      </c>
      <c r="F194" s="412" t="s">
        <v>55</v>
      </c>
      <c r="G194" s="410" t="s">
        <v>312</v>
      </c>
      <c r="H194" s="410" t="s">
        <v>436</v>
      </c>
      <c r="I194" s="410" t="s">
        <v>400</v>
      </c>
      <c r="J194" s="410" t="s">
        <v>295</v>
      </c>
      <c r="K194" s="412"/>
    </row>
    <row r="195" spans="1:11" hidden="1">
      <c r="A195" s="295" t="s">
        <v>42</v>
      </c>
      <c r="B195" s="197" t="s">
        <v>288</v>
      </c>
      <c r="C195" s="293">
        <v>43292</v>
      </c>
      <c r="D195" s="412" t="s">
        <v>352</v>
      </c>
      <c r="E195" s="412" t="s">
        <v>55</v>
      </c>
      <c r="F195" s="412" t="s">
        <v>55</v>
      </c>
      <c r="G195" s="410" t="s">
        <v>312</v>
      </c>
      <c r="H195" s="410" t="s">
        <v>437</v>
      </c>
      <c r="I195" s="410" t="s">
        <v>402</v>
      </c>
      <c r="J195" s="410" t="s">
        <v>295</v>
      </c>
      <c r="K195" s="412"/>
    </row>
    <row r="196" spans="1:11" ht="66" hidden="1">
      <c r="A196" s="295" t="s">
        <v>42</v>
      </c>
      <c r="B196" s="197" t="s">
        <v>288</v>
      </c>
      <c r="C196" s="293">
        <v>43292</v>
      </c>
      <c r="D196" s="412" t="s">
        <v>352</v>
      </c>
      <c r="E196" s="412" t="s">
        <v>55</v>
      </c>
      <c r="F196" s="412" t="s">
        <v>55</v>
      </c>
      <c r="G196" s="410" t="s">
        <v>312</v>
      </c>
      <c r="H196" s="410" t="s">
        <v>438</v>
      </c>
      <c r="I196" s="410" t="s">
        <v>440</v>
      </c>
      <c r="J196" s="410" t="s">
        <v>295</v>
      </c>
      <c r="K196" s="412"/>
    </row>
    <row r="197" spans="1:11" hidden="1">
      <c r="A197" s="295" t="s">
        <v>42</v>
      </c>
      <c r="B197" s="197" t="s">
        <v>288</v>
      </c>
      <c r="C197" s="293">
        <v>43292</v>
      </c>
      <c r="D197" s="412" t="s">
        <v>352</v>
      </c>
      <c r="E197" s="412" t="s">
        <v>55</v>
      </c>
      <c r="F197" s="412" t="s">
        <v>55</v>
      </c>
      <c r="G197" s="410" t="s">
        <v>312</v>
      </c>
      <c r="H197" s="410" t="s">
        <v>439</v>
      </c>
      <c r="I197" s="410" t="s">
        <v>442</v>
      </c>
      <c r="J197" s="410" t="s">
        <v>295</v>
      </c>
      <c r="K197" s="412"/>
    </row>
    <row r="198" spans="1:11" hidden="1">
      <c r="A198" s="295" t="s">
        <v>42</v>
      </c>
      <c r="B198" s="197" t="s">
        <v>288</v>
      </c>
      <c r="C198" s="293">
        <v>43292</v>
      </c>
      <c r="D198" s="412" t="s">
        <v>352</v>
      </c>
      <c r="E198" s="412" t="s">
        <v>55</v>
      </c>
      <c r="F198" s="412" t="s">
        <v>55</v>
      </c>
      <c r="G198" s="410" t="s">
        <v>312</v>
      </c>
      <c r="H198" s="410" t="s">
        <v>441</v>
      </c>
      <c r="I198" s="410" t="s">
        <v>444</v>
      </c>
      <c r="J198" s="410" t="s">
        <v>295</v>
      </c>
      <c r="K198" s="412"/>
    </row>
    <row r="199" spans="1:11" hidden="1">
      <c r="A199" s="295" t="s">
        <v>42</v>
      </c>
      <c r="B199" s="197" t="s">
        <v>288</v>
      </c>
      <c r="C199" s="293">
        <v>43292</v>
      </c>
      <c r="D199" s="412" t="s">
        <v>352</v>
      </c>
      <c r="E199" s="412" t="s">
        <v>55</v>
      </c>
      <c r="F199" s="412" t="s">
        <v>55</v>
      </c>
      <c r="G199" s="410" t="s">
        <v>312</v>
      </c>
      <c r="H199" s="410" t="s">
        <v>443</v>
      </c>
      <c r="I199" s="410" t="s">
        <v>442</v>
      </c>
      <c r="J199" s="410" t="s">
        <v>295</v>
      </c>
      <c r="K199" s="412"/>
    </row>
    <row r="200" spans="1:11" hidden="1">
      <c r="A200" s="295" t="s">
        <v>42</v>
      </c>
      <c r="B200" s="197" t="s">
        <v>288</v>
      </c>
      <c r="C200" s="293">
        <v>43292</v>
      </c>
      <c r="D200" s="412" t="s">
        <v>352</v>
      </c>
      <c r="E200" s="412" t="s">
        <v>55</v>
      </c>
      <c r="F200" s="412" t="s">
        <v>55</v>
      </c>
      <c r="G200" s="410" t="s">
        <v>312</v>
      </c>
      <c r="H200" s="410" t="s">
        <v>445</v>
      </c>
      <c r="I200" s="410" t="s">
        <v>442</v>
      </c>
      <c r="J200" s="410" t="s">
        <v>295</v>
      </c>
      <c r="K200" s="412"/>
    </row>
    <row r="201" spans="1:11" hidden="1">
      <c r="A201" s="295" t="s">
        <v>42</v>
      </c>
      <c r="B201" s="197" t="s">
        <v>288</v>
      </c>
      <c r="C201" s="293">
        <v>43292</v>
      </c>
      <c r="D201" s="412" t="s">
        <v>352</v>
      </c>
      <c r="E201" s="412" t="s">
        <v>55</v>
      </c>
      <c r="F201" s="412" t="s">
        <v>55</v>
      </c>
      <c r="G201" s="410" t="s">
        <v>312</v>
      </c>
      <c r="H201" s="410" t="s">
        <v>446</v>
      </c>
      <c r="I201" s="410" t="s">
        <v>448</v>
      </c>
      <c r="J201" s="410" t="s">
        <v>295</v>
      </c>
      <c r="K201" s="412"/>
    </row>
    <row r="202" spans="1:11" hidden="1">
      <c r="A202" s="295" t="s">
        <v>42</v>
      </c>
      <c r="B202" s="197" t="s">
        <v>288</v>
      </c>
      <c r="C202" s="293">
        <v>43292</v>
      </c>
      <c r="D202" s="412" t="s">
        <v>352</v>
      </c>
      <c r="E202" s="412" t="s">
        <v>55</v>
      </c>
      <c r="F202" s="412" t="s">
        <v>55</v>
      </c>
      <c r="G202" s="410" t="s">
        <v>312</v>
      </c>
      <c r="H202" s="410" t="s">
        <v>447</v>
      </c>
      <c r="I202" s="410" t="s">
        <v>450</v>
      </c>
      <c r="J202" s="410" t="s">
        <v>295</v>
      </c>
      <c r="K202" s="412"/>
    </row>
    <row r="203" spans="1:11" ht="26.4" hidden="1">
      <c r="A203" s="295" t="s">
        <v>42</v>
      </c>
      <c r="B203" s="197" t="s">
        <v>288</v>
      </c>
      <c r="C203" s="293">
        <v>43292</v>
      </c>
      <c r="D203" s="412" t="s">
        <v>352</v>
      </c>
      <c r="E203" s="412" t="s">
        <v>55</v>
      </c>
      <c r="F203" s="412" t="s">
        <v>55</v>
      </c>
      <c r="G203" s="410" t="s">
        <v>312</v>
      </c>
      <c r="H203" s="410" t="s">
        <v>449</v>
      </c>
      <c r="I203" s="410" t="s">
        <v>452</v>
      </c>
      <c r="J203" s="410" t="s">
        <v>295</v>
      </c>
      <c r="K203" s="412"/>
    </row>
    <row r="204" spans="1:11" hidden="1">
      <c r="A204" s="295" t="s">
        <v>42</v>
      </c>
      <c r="B204" s="197" t="s">
        <v>288</v>
      </c>
      <c r="C204" s="293">
        <v>43292</v>
      </c>
      <c r="D204" s="412" t="s">
        <v>352</v>
      </c>
      <c r="E204" s="412" t="s">
        <v>55</v>
      </c>
      <c r="F204" s="412" t="s">
        <v>55</v>
      </c>
      <c r="G204" s="410" t="s">
        <v>312</v>
      </c>
      <c r="H204" s="410" t="s">
        <v>451</v>
      </c>
      <c r="I204" s="410" t="s">
        <v>394</v>
      </c>
      <c r="J204" s="410" t="s">
        <v>295</v>
      </c>
      <c r="K204" s="412"/>
    </row>
    <row r="205" spans="1:11" hidden="1">
      <c r="A205" s="295" t="s">
        <v>42</v>
      </c>
      <c r="B205" s="197" t="s">
        <v>288</v>
      </c>
      <c r="C205" s="293">
        <v>43292</v>
      </c>
      <c r="D205" s="412" t="s">
        <v>352</v>
      </c>
      <c r="E205" s="412" t="s">
        <v>55</v>
      </c>
      <c r="F205" s="412" t="s">
        <v>55</v>
      </c>
      <c r="G205" s="410" t="s">
        <v>312</v>
      </c>
      <c r="H205" s="410" t="s">
        <v>453</v>
      </c>
      <c r="I205" s="410" t="s">
        <v>396</v>
      </c>
      <c r="J205" s="410" t="s">
        <v>295</v>
      </c>
      <c r="K205" s="412"/>
    </row>
    <row r="206" spans="1:11" hidden="1">
      <c r="A206" s="295" t="s">
        <v>42</v>
      </c>
      <c r="B206" s="197" t="s">
        <v>288</v>
      </c>
      <c r="C206" s="293">
        <v>43292</v>
      </c>
      <c r="D206" s="412" t="s">
        <v>352</v>
      </c>
      <c r="E206" s="412" t="s">
        <v>55</v>
      </c>
      <c r="F206" s="412" t="s">
        <v>55</v>
      </c>
      <c r="G206" s="410" t="s">
        <v>312</v>
      </c>
      <c r="H206" s="410" t="s">
        <v>454</v>
      </c>
      <c r="I206" s="410" t="s">
        <v>398</v>
      </c>
      <c r="J206" s="410" t="s">
        <v>295</v>
      </c>
      <c r="K206" s="412"/>
    </row>
    <row r="207" spans="1:11" hidden="1">
      <c r="A207" s="295" t="s">
        <v>42</v>
      </c>
      <c r="B207" s="197" t="s">
        <v>288</v>
      </c>
      <c r="C207" s="293">
        <v>43292</v>
      </c>
      <c r="D207" s="412" t="s">
        <v>352</v>
      </c>
      <c r="E207" s="412" t="s">
        <v>55</v>
      </c>
      <c r="F207" s="412" t="s">
        <v>55</v>
      </c>
      <c r="G207" s="410" t="s">
        <v>312</v>
      </c>
      <c r="H207" s="410" t="s">
        <v>455</v>
      </c>
      <c r="I207" s="410" t="s">
        <v>400</v>
      </c>
      <c r="J207" s="410" t="s">
        <v>295</v>
      </c>
      <c r="K207" s="412"/>
    </row>
    <row r="208" spans="1:11" hidden="1">
      <c r="A208" s="295" t="s">
        <v>42</v>
      </c>
      <c r="B208" s="197" t="s">
        <v>288</v>
      </c>
      <c r="C208" s="293">
        <v>43292</v>
      </c>
      <c r="D208" s="412" t="s">
        <v>352</v>
      </c>
      <c r="E208" s="412" t="s">
        <v>55</v>
      </c>
      <c r="F208" s="412" t="s">
        <v>55</v>
      </c>
      <c r="G208" s="410" t="s">
        <v>312</v>
      </c>
      <c r="H208" s="410" t="s">
        <v>456</v>
      </c>
      <c r="I208" s="410" t="s">
        <v>402</v>
      </c>
      <c r="J208" s="410" t="s">
        <v>295</v>
      </c>
      <c r="K208" s="412"/>
    </row>
    <row r="209" spans="1:11" hidden="1">
      <c r="A209" s="295" t="s">
        <v>42</v>
      </c>
      <c r="B209" s="197" t="s">
        <v>288</v>
      </c>
      <c r="C209" s="293">
        <v>43292</v>
      </c>
      <c r="D209" s="412" t="s">
        <v>352</v>
      </c>
      <c r="E209" s="412" t="s">
        <v>55</v>
      </c>
      <c r="F209" s="412" t="s">
        <v>55</v>
      </c>
      <c r="G209" s="410" t="s">
        <v>312</v>
      </c>
      <c r="H209" s="410" t="s">
        <v>457</v>
      </c>
      <c r="I209" s="410" t="s">
        <v>408</v>
      </c>
      <c r="J209" s="410" t="s">
        <v>295</v>
      </c>
      <c r="K209" s="412"/>
    </row>
    <row r="210" spans="1:11" hidden="1">
      <c r="A210" s="295" t="s">
        <v>42</v>
      </c>
      <c r="B210" s="197" t="s">
        <v>288</v>
      </c>
      <c r="C210" s="293">
        <v>43292</v>
      </c>
      <c r="D210" s="412" t="s">
        <v>352</v>
      </c>
      <c r="E210" s="412" t="s">
        <v>55</v>
      </c>
      <c r="F210" s="412" t="s">
        <v>55</v>
      </c>
      <c r="G210" s="410" t="s">
        <v>312</v>
      </c>
      <c r="H210" s="410" t="s">
        <v>458</v>
      </c>
      <c r="I210" s="410" t="s">
        <v>460</v>
      </c>
      <c r="J210" s="410" t="s">
        <v>295</v>
      </c>
      <c r="K210" s="412"/>
    </row>
    <row r="211" spans="1:11" hidden="1">
      <c r="A211" s="295" t="s">
        <v>42</v>
      </c>
      <c r="B211" s="197" t="s">
        <v>288</v>
      </c>
      <c r="C211" s="293">
        <v>43292</v>
      </c>
      <c r="D211" s="412" t="s">
        <v>352</v>
      </c>
      <c r="E211" s="412" t="s">
        <v>55</v>
      </c>
      <c r="F211" s="412" t="s">
        <v>55</v>
      </c>
      <c r="G211" s="410" t="s">
        <v>312</v>
      </c>
      <c r="H211" s="410" t="s">
        <v>459</v>
      </c>
      <c r="I211" s="410" t="s">
        <v>462</v>
      </c>
      <c r="J211" s="410" t="s">
        <v>295</v>
      </c>
      <c r="K211" s="412"/>
    </row>
    <row r="212" spans="1:11" hidden="1">
      <c r="A212" s="295" t="s">
        <v>42</v>
      </c>
      <c r="B212" s="197" t="s">
        <v>288</v>
      </c>
      <c r="C212" s="293">
        <v>43292</v>
      </c>
      <c r="D212" s="412" t="s">
        <v>352</v>
      </c>
      <c r="E212" s="412" t="s">
        <v>55</v>
      </c>
      <c r="F212" s="412" t="s">
        <v>55</v>
      </c>
      <c r="G212" s="410" t="s">
        <v>312</v>
      </c>
      <c r="H212" s="410" t="s">
        <v>461</v>
      </c>
      <c r="I212" s="410" t="s">
        <v>464</v>
      </c>
      <c r="J212" s="410" t="s">
        <v>295</v>
      </c>
      <c r="K212" s="412"/>
    </row>
    <row r="213" spans="1:11" hidden="1">
      <c r="A213" s="295" t="s">
        <v>42</v>
      </c>
      <c r="B213" s="197" t="s">
        <v>288</v>
      </c>
      <c r="C213" s="293">
        <v>43292</v>
      </c>
      <c r="D213" s="412" t="s">
        <v>352</v>
      </c>
      <c r="E213" s="412" t="s">
        <v>55</v>
      </c>
      <c r="F213" s="412" t="s">
        <v>55</v>
      </c>
      <c r="G213" s="410" t="s">
        <v>312</v>
      </c>
      <c r="H213" s="410" t="s">
        <v>463</v>
      </c>
      <c r="I213" s="410" t="s">
        <v>466</v>
      </c>
      <c r="J213" s="410" t="s">
        <v>295</v>
      </c>
      <c r="K213" s="412"/>
    </row>
    <row r="214" spans="1:11" hidden="1">
      <c r="A214" s="295" t="s">
        <v>42</v>
      </c>
      <c r="B214" s="197" t="s">
        <v>288</v>
      </c>
      <c r="C214" s="293">
        <v>43292</v>
      </c>
      <c r="D214" s="412" t="s">
        <v>352</v>
      </c>
      <c r="E214" s="412" t="s">
        <v>55</v>
      </c>
      <c r="F214" s="412" t="s">
        <v>55</v>
      </c>
      <c r="G214" s="410" t="s">
        <v>312</v>
      </c>
      <c r="H214" s="410" t="s">
        <v>465</v>
      </c>
      <c r="I214" s="410" t="s">
        <v>468</v>
      </c>
      <c r="J214" s="410" t="s">
        <v>295</v>
      </c>
      <c r="K214" s="412"/>
    </row>
    <row r="215" spans="1:11" hidden="1">
      <c r="A215" s="295" t="s">
        <v>42</v>
      </c>
      <c r="B215" s="197" t="s">
        <v>288</v>
      </c>
      <c r="C215" s="293">
        <v>43292</v>
      </c>
      <c r="D215" s="412" t="s">
        <v>352</v>
      </c>
      <c r="E215" s="412" t="s">
        <v>55</v>
      </c>
      <c r="F215" s="412" t="s">
        <v>55</v>
      </c>
      <c r="G215" s="410" t="s">
        <v>312</v>
      </c>
      <c r="H215" s="410" t="s">
        <v>467</v>
      </c>
      <c r="I215" s="410" t="s">
        <v>388</v>
      </c>
      <c r="J215" s="410"/>
      <c r="K215" s="412"/>
    </row>
    <row r="216" spans="1:11" hidden="1">
      <c r="A216" s="295" t="s">
        <v>42</v>
      </c>
      <c r="B216" s="197" t="s">
        <v>288</v>
      </c>
      <c r="C216" s="293">
        <v>43292</v>
      </c>
      <c r="D216" s="412" t="s">
        <v>352</v>
      </c>
      <c r="E216" s="412" t="s">
        <v>55</v>
      </c>
      <c r="F216" s="412" t="s">
        <v>55</v>
      </c>
      <c r="G216" s="410" t="s">
        <v>312</v>
      </c>
      <c r="H216" s="410" t="s">
        <v>469</v>
      </c>
      <c r="I216" s="410" t="s">
        <v>394</v>
      </c>
      <c r="J216" s="410" t="s">
        <v>295</v>
      </c>
      <c r="K216" s="412"/>
    </row>
    <row r="217" spans="1:11" hidden="1">
      <c r="A217" s="295" t="s">
        <v>42</v>
      </c>
      <c r="B217" s="197" t="s">
        <v>288</v>
      </c>
      <c r="C217" s="293">
        <v>43292</v>
      </c>
      <c r="D217" s="412" t="s">
        <v>352</v>
      </c>
      <c r="E217" s="412" t="s">
        <v>55</v>
      </c>
      <c r="F217" s="412" t="s">
        <v>55</v>
      </c>
      <c r="G217" s="410" t="s">
        <v>312</v>
      </c>
      <c r="H217" s="410" t="s">
        <v>470</v>
      </c>
      <c r="I217" s="410" t="s">
        <v>472</v>
      </c>
      <c r="J217" s="410" t="s">
        <v>473</v>
      </c>
      <c r="K217" s="412"/>
    </row>
    <row r="218" spans="1:11" hidden="1">
      <c r="A218" s="295" t="s">
        <v>42</v>
      </c>
      <c r="B218" s="197" t="s">
        <v>288</v>
      </c>
      <c r="C218" s="293">
        <v>43292</v>
      </c>
      <c r="D218" s="412" t="s">
        <v>352</v>
      </c>
      <c r="E218" s="412" t="s">
        <v>55</v>
      </c>
      <c r="F218" s="412" t="s">
        <v>55</v>
      </c>
      <c r="G218" s="410" t="s">
        <v>312</v>
      </c>
      <c r="H218" s="410" t="s">
        <v>471</v>
      </c>
      <c r="I218" s="410" t="s">
        <v>475</v>
      </c>
      <c r="J218" s="410" t="s">
        <v>295</v>
      </c>
      <c r="K218" s="412"/>
    </row>
    <row r="219" spans="1:11" hidden="1">
      <c r="A219" s="295" t="s">
        <v>42</v>
      </c>
      <c r="B219" s="197" t="s">
        <v>288</v>
      </c>
      <c r="C219" s="293">
        <v>43292</v>
      </c>
      <c r="D219" s="412" t="s">
        <v>352</v>
      </c>
      <c r="E219" s="412" t="s">
        <v>55</v>
      </c>
      <c r="F219" s="412" t="s">
        <v>55</v>
      </c>
      <c r="G219" s="410" t="s">
        <v>312</v>
      </c>
      <c r="H219" s="410" t="s">
        <v>474</v>
      </c>
      <c r="I219" s="410" t="s">
        <v>477</v>
      </c>
      <c r="J219" s="410" t="s">
        <v>295</v>
      </c>
      <c r="K219" s="412"/>
    </row>
    <row r="220" spans="1:11" hidden="1">
      <c r="A220" s="295" t="s">
        <v>42</v>
      </c>
      <c r="B220" s="197" t="s">
        <v>288</v>
      </c>
      <c r="C220" s="293">
        <v>43292</v>
      </c>
      <c r="D220" s="412" t="s">
        <v>352</v>
      </c>
      <c r="E220" s="412" t="s">
        <v>55</v>
      </c>
      <c r="F220" s="412" t="s">
        <v>55</v>
      </c>
      <c r="G220" s="410" t="s">
        <v>312</v>
      </c>
      <c r="H220" s="410" t="s">
        <v>476</v>
      </c>
      <c r="I220" s="410" t="s">
        <v>479</v>
      </c>
      <c r="J220" s="410" t="s">
        <v>295</v>
      </c>
      <c r="K220" s="412"/>
    </row>
    <row r="221" spans="1:11" ht="39.6" hidden="1">
      <c r="A221" s="295" t="s">
        <v>42</v>
      </c>
      <c r="B221" s="197" t="s">
        <v>288</v>
      </c>
      <c r="C221" s="293">
        <v>43292</v>
      </c>
      <c r="D221" s="412" t="s">
        <v>352</v>
      </c>
      <c r="E221" s="412" t="s">
        <v>55</v>
      </c>
      <c r="F221" s="412" t="s">
        <v>55</v>
      </c>
      <c r="G221" s="410" t="s">
        <v>312</v>
      </c>
      <c r="H221" s="410" t="s">
        <v>478</v>
      </c>
      <c r="I221" s="410" t="s">
        <v>481</v>
      </c>
      <c r="J221" s="410" t="s">
        <v>482</v>
      </c>
      <c r="K221" s="412"/>
    </row>
    <row r="222" spans="1:11" ht="26.4" hidden="1">
      <c r="A222" s="295" t="s">
        <v>42</v>
      </c>
      <c r="B222" s="197" t="s">
        <v>288</v>
      </c>
      <c r="C222" s="293">
        <v>43292</v>
      </c>
      <c r="D222" s="412" t="s">
        <v>352</v>
      </c>
      <c r="E222" s="412" t="s">
        <v>55</v>
      </c>
      <c r="F222" s="412" t="s">
        <v>55</v>
      </c>
      <c r="G222" s="410" t="s">
        <v>312</v>
      </c>
      <c r="H222" s="410" t="s">
        <v>480</v>
      </c>
      <c r="I222" s="410" t="s">
        <v>484</v>
      </c>
      <c r="J222" s="410" t="s">
        <v>485</v>
      </c>
      <c r="K222" s="412"/>
    </row>
    <row r="223" spans="1:11" hidden="1">
      <c r="A223" s="295" t="s">
        <v>42</v>
      </c>
      <c r="B223" s="197" t="s">
        <v>288</v>
      </c>
      <c r="C223" s="293">
        <v>43292</v>
      </c>
      <c r="D223" s="412" t="s">
        <v>352</v>
      </c>
      <c r="E223" s="412" t="s">
        <v>55</v>
      </c>
      <c r="F223" s="412" t="s">
        <v>55</v>
      </c>
      <c r="G223" s="410" t="s">
        <v>312</v>
      </c>
      <c r="H223" s="410" t="s">
        <v>483</v>
      </c>
      <c r="I223" s="410" t="s">
        <v>354</v>
      </c>
      <c r="J223" s="410"/>
      <c r="K223" s="412"/>
    </row>
    <row r="224" spans="1:11" ht="26.4" hidden="1">
      <c r="A224" s="295" t="s">
        <v>42</v>
      </c>
      <c r="B224" s="197" t="s">
        <v>288</v>
      </c>
      <c r="C224" s="293">
        <v>43292</v>
      </c>
      <c r="D224" s="412" t="s">
        <v>352</v>
      </c>
      <c r="E224" s="412" t="s">
        <v>55</v>
      </c>
      <c r="F224" s="412" t="s">
        <v>55</v>
      </c>
      <c r="G224" s="410" t="s">
        <v>312</v>
      </c>
      <c r="H224" s="410" t="s">
        <v>486</v>
      </c>
      <c r="I224" s="410" t="s">
        <v>487</v>
      </c>
      <c r="J224" s="410" t="s">
        <v>295</v>
      </c>
      <c r="K224" s="412"/>
    </row>
    <row r="225" spans="1:11" hidden="1">
      <c r="A225" s="295" t="s">
        <v>42</v>
      </c>
      <c r="B225" s="197" t="s">
        <v>288</v>
      </c>
      <c r="C225" s="293">
        <v>43292</v>
      </c>
      <c r="D225" s="412" t="s">
        <v>352</v>
      </c>
      <c r="E225" s="412" t="s">
        <v>55</v>
      </c>
      <c r="F225" s="412" t="s">
        <v>55</v>
      </c>
      <c r="G225" s="410" t="s">
        <v>312</v>
      </c>
      <c r="H225" s="410" t="s">
        <v>361</v>
      </c>
      <c r="I225" s="410" t="s">
        <v>489</v>
      </c>
      <c r="J225" s="410" t="s">
        <v>295</v>
      </c>
      <c r="K225" s="412" t="s">
        <v>490</v>
      </c>
    </row>
    <row r="226" spans="1:11" hidden="1">
      <c r="A226" s="295" t="s">
        <v>42</v>
      </c>
      <c r="B226" s="197" t="s">
        <v>288</v>
      </c>
      <c r="C226" s="293">
        <v>43319</v>
      </c>
      <c r="D226" s="412" t="s">
        <v>55</v>
      </c>
      <c r="E226" s="412" t="s">
        <v>55</v>
      </c>
      <c r="F226" s="412" t="s">
        <v>55</v>
      </c>
      <c r="G226" s="410" t="s">
        <v>69</v>
      </c>
      <c r="H226" s="410" t="s">
        <v>488</v>
      </c>
      <c r="I226" s="410" t="s">
        <v>492</v>
      </c>
      <c r="J226" s="410" t="s">
        <v>295</v>
      </c>
      <c r="K226" s="412" t="s">
        <v>490</v>
      </c>
    </row>
    <row r="227" spans="1:11" ht="26.4" hidden="1">
      <c r="A227" s="295" t="s">
        <v>42</v>
      </c>
      <c r="B227" s="197" t="s">
        <v>288</v>
      </c>
      <c r="C227" s="293">
        <v>43319</v>
      </c>
      <c r="D227" s="412" t="s">
        <v>55</v>
      </c>
      <c r="E227" s="412" t="s">
        <v>55</v>
      </c>
      <c r="F227" s="412" t="s">
        <v>55</v>
      </c>
      <c r="G227" s="410" t="s">
        <v>69</v>
      </c>
      <c r="H227" s="410" t="s">
        <v>491</v>
      </c>
      <c r="I227" s="410" t="s">
        <v>494</v>
      </c>
      <c r="J227" s="410" t="s">
        <v>295</v>
      </c>
      <c r="K227" s="297" t="s">
        <v>495</v>
      </c>
    </row>
    <row r="228" spans="1:11" hidden="1">
      <c r="A228" s="295" t="s">
        <v>42</v>
      </c>
      <c r="B228" s="197" t="s">
        <v>288</v>
      </c>
      <c r="C228" s="293">
        <v>43319</v>
      </c>
      <c r="D228" s="412" t="s">
        <v>55</v>
      </c>
      <c r="E228" s="412" t="s">
        <v>55</v>
      </c>
      <c r="F228" s="412" t="s">
        <v>55</v>
      </c>
      <c r="G228" s="410" t="s">
        <v>57</v>
      </c>
      <c r="H228" s="410" t="s">
        <v>493</v>
      </c>
      <c r="I228" s="410" t="s">
        <v>497</v>
      </c>
      <c r="J228" s="410" t="s">
        <v>295</v>
      </c>
      <c r="K228" s="297" t="s">
        <v>495</v>
      </c>
    </row>
    <row r="229" spans="1:11" hidden="1">
      <c r="A229" s="295" t="s">
        <v>42</v>
      </c>
      <c r="B229" s="197" t="s">
        <v>288</v>
      </c>
      <c r="C229" s="293">
        <v>43319</v>
      </c>
      <c r="D229" s="412" t="s">
        <v>55</v>
      </c>
      <c r="E229" s="412" t="s">
        <v>55</v>
      </c>
      <c r="F229" s="412" t="s">
        <v>55</v>
      </c>
      <c r="G229" s="410" t="s">
        <v>57</v>
      </c>
      <c r="H229" s="410" t="s">
        <v>496</v>
      </c>
      <c r="I229" s="410" t="s">
        <v>497</v>
      </c>
      <c r="J229" s="410" t="s">
        <v>295</v>
      </c>
      <c r="K229" s="297" t="s">
        <v>495</v>
      </c>
    </row>
    <row r="230" spans="1:11" ht="26.4" hidden="1">
      <c r="A230" s="295" t="s">
        <v>42</v>
      </c>
      <c r="B230" s="197" t="s">
        <v>288</v>
      </c>
      <c r="C230" s="293">
        <v>43319</v>
      </c>
      <c r="D230" s="412" t="s">
        <v>55</v>
      </c>
      <c r="E230" s="412" t="s">
        <v>55</v>
      </c>
      <c r="F230" s="412" t="s">
        <v>55</v>
      </c>
      <c r="G230" s="410" t="s">
        <v>57</v>
      </c>
      <c r="H230" s="410" t="s">
        <v>498</v>
      </c>
      <c r="I230" s="410" t="s">
        <v>500</v>
      </c>
      <c r="J230" s="410" t="s">
        <v>295</v>
      </c>
      <c r="K230" s="297" t="s">
        <v>495</v>
      </c>
    </row>
    <row r="231" spans="1:11" ht="26.4" hidden="1">
      <c r="A231" s="295" t="s">
        <v>42</v>
      </c>
      <c r="B231" s="197" t="s">
        <v>288</v>
      </c>
      <c r="C231" s="293">
        <v>43319</v>
      </c>
      <c r="D231" s="412" t="s">
        <v>55</v>
      </c>
      <c r="E231" s="412" t="s">
        <v>55</v>
      </c>
      <c r="F231" s="412" t="s">
        <v>55</v>
      </c>
      <c r="G231" s="410" t="s">
        <v>57</v>
      </c>
      <c r="H231" s="410" t="s">
        <v>499</v>
      </c>
      <c r="I231" s="410" t="s">
        <v>502</v>
      </c>
      <c r="J231" s="410" t="s">
        <v>295</v>
      </c>
      <c r="K231" s="297" t="s">
        <v>503</v>
      </c>
    </row>
    <row r="232" spans="1:11" ht="26.4" hidden="1">
      <c r="A232" s="295" t="s">
        <v>42</v>
      </c>
      <c r="B232" s="197" t="s">
        <v>288</v>
      </c>
      <c r="C232" s="293">
        <v>43319</v>
      </c>
      <c r="D232" s="412" t="s">
        <v>55</v>
      </c>
      <c r="E232" s="412" t="s">
        <v>55</v>
      </c>
      <c r="F232" s="412" t="s">
        <v>55</v>
      </c>
      <c r="G232" s="410" t="s">
        <v>312</v>
      </c>
      <c r="H232" s="410" t="s">
        <v>501</v>
      </c>
      <c r="I232" s="410" t="s">
        <v>505</v>
      </c>
      <c r="J232" s="410" t="s">
        <v>295</v>
      </c>
      <c r="K232" s="297" t="s">
        <v>503</v>
      </c>
    </row>
    <row r="233" spans="1:11" ht="26.4" hidden="1">
      <c r="A233" s="295" t="s">
        <v>42</v>
      </c>
      <c r="B233" s="197" t="s">
        <v>288</v>
      </c>
      <c r="C233" s="293">
        <v>43319</v>
      </c>
      <c r="D233" s="412" t="s">
        <v>55</v>
      </c>
      <c r="E233" s="412" t="s">
        <v>55</v>
      </c>
      <c r="F233" s="412" t="s">
        <v>55</v>
      </c>
      <c r="G233" s="410" t="s">
        <v>312</v>
      </c>
      <c r="H233" s="410" t="s">
        <v>504</v>
      </c>
      <c r="I233" s="410" t="s">
        <v>507</v>
      </c>
      <c r="J233" s="410" t="s">
        <v>295</v>
      </c>
      <c r="K233" s="297" t="s">
        <v>503</v>
      </c>
    </row>
    <row r="234" spans="1:11" ht="26.4" hidden="1">
      <c r="A234" s="295" t="s">
        <v>42</v>
      </c>
      <c r="B234" s="197" t="s">
        <v>288</v>
      </c>
      <c r="C234" s="293">
        <v>43319</v>
      </c>
      <c r="D234" s="412" t="s">
        <v>55</v>
      </c>
      <c r="E234" s="412" t="s">
        <v>55</v>
      </c>
      <c r="F234" s="412" t="s">
        <v>55</v>
      </c>
      <c r="G234" s="410" t="s">
        <v>312</v>
      </c>
      <c r="H234" s="410" t="s">
        <v>506</v>
      </c>
      <c r="I234" s="410" t="s">
        <v>509</v>
      </c>
      <c r="J234" s="410" t="s">
        <v>295</v>
      </c>
      <c r="K234" s="297" t="s">
        <v>503</v>
      </c>
    </row>
    <row r="235" spans="1:11" ht="26.4" hidden="1">
      <c r="A235" s="295" t="s">
        <v>42</v>
      </c>
      <c r="B235" s="197" t="s">
        <v>288</v>
      </c>
      <c r="C235" s="293">
        <v>43319</v>
      </c>
      <c r="D235" s="412" t="s">
        <v>55</v>
      </c>
      <c r="E235" s="412" t="s">
        <v>55</v>
      </c>
      <c r="F235" s="412" t="s">
        <v>55</v>
      </c>
      <c r="G235" s="410" t="s">
        <v>312</v>
      </c>
      <c r="H235" s="410" t="s">
        <v>508</v>
      </c>
      <c r="I235" s="410" t="s">
        <v>511</v>
      </c>
      <c r="J235" s="410" t="s">
        <v>295</v>
      </c>
      <c r="K235" s="297" t="s">
        <v>503</v>
      </c>
    </row>
    <row r="236" spans="1:11" ht="26.4" hidden="1">
      <c r="A236" s="295" t="s">
        <v>42</v>
      </c>
      <c r="B236" s="197" t="s">
        <v>288</v>
      </c>
      <c r="C236" s="293">
        <v>43319</v>
      </c>
      <c r="D236" s="412" t="s">
        <v>55</v>
      </c>
      <c r="E236" s="412" t="s">
        <v>55</v>
      </c>
      <c r="F236" s="412" t="s">
        <v>55</v>
      </c>
      <c r="G236" s="410" t="s">
        <v>312</v>
      </c>
      <c r="H236" s="410" t="s">
        <v>510</v>
      </c>
      <c r="I236" s="410" t="s">
        <v>513</v>
      </c>
      <c r="J236" s="410" t="s">
        <v>295</v>
      </c>
      <c r="K236" s="297" t="s">
        <v>503</v>
      </c>
    </row>
    <row r="237" spans="1:11" ht="26.4" hidden="1">
      <c r="A237" s="295" t="s">
        <v>42</v>
      </c>
      <c r="B237" s="197" t="s">
        <v>288</v>
      </c>
      <c r="C237" s="293">
        <v>43319</v>
      </c>
      <c r="D237" s="412" t="s">
        <v>55</v>
      </c>
      <c r="E237" s="412" t="s">
        <v>55</v>
      </c>
      <c r="F237" s="412" t="s">
        <v>55</v>
      </c>
      <c r="G237" s="410" t="s">
        <v>312</v>
      </c>
      <c r="H237" s="410" t="s">
        <v>512</v>
      </c>
      <c r="I237" s="410" t="s">
        <v>515</v>
      </c>
      <c r="J237" s="410" t="s">
        <v>295</v>
      </c>
      <c r="K237" s="297" t="s">
        <v>503</v>
      </c>
    </row>
    <row r="238" spans="1:11" ht="26.4" hidden="1">
      <c r="A238" s="295" t="s">
        <v>42</v>
      </c>
      <c r="B238" s="197" t="s">
        <v>288</v>
      </c>
      <c r="C238" s="293">
        <v>43319</v>
      </c>
      <c r="D238" s="412" t="s">
        <v>55</v>
      </c>
      <c r="E238" s="412" t="s">
        <v>55</v>
      </c>
      <c r="F238" s="412" t="s">
        <v>55</v>
      </c>
      <c r="G238" s="410" t="s">
        <v>312</v>
      </c>
      <c r="H238" s="410" t="s">
        <v>514</v>
      </c>
      <c r="I238" s="410" t="s">
        <v>517</v>
      </c>
      <c r="J238" s="410" t="s">
        <v>295</v>
      </c>
      <c r="K238" s="297" t="s">
        <v>503</v>
      </c>
    </row>
    <row r="239" spans="1:11" hidden="1">
      <c r="A239" s="295" t="s">
        <v>42</v>
      </c>
      <c r="B239" s="197" t="s">
        <v>288</v>
      </c>
      <c r="C239" s="293">
        <v>43319</v>
      </c>
      <c r="D239" s="412" t="s">
        <v>55</v>
      </c>
      <c r="E239" s="412" t="s">
        <v>55</v>
      </c>
      <c r="F239" s="412" t="s">
        <v>55</v>
      </c>
      <c r="G239" s="410" t="s">
        <v>312</v>
      </c>
      <c r="H239" s="410" t="s">
        <v>516</v>
      </c>
      <c r="I239" s="410" t="s">
        <v>519</v>
      </c>
      <c r="J239" s="410" t="s">
        <v>520</v>
      </c>
      <c r="K239" s="297"/>
    </row>
    <row r="240" spans="1:11" hidden="1">
      <c r="A240" s="295" t="s">
        <v>42</v>
      </c>
      <c r="B240" s="197" t="s">
        <v>521</v>
      </c>
      <c r="C240" s="293">
        <v>43355</v>
      </c>
      <c r="D240" s="412" t="s">
        <v>55</v>
      </c>
      <c r="E240" s="412" t="s">
        <v>352</v>
      </c>
      <c r="F240" s="412" t="s">
        <v>55</v>
      </c>
      <c r="G240" s="410" t="s">
        <v>312</v>
      </c>
      <c r="H240" s="410" t="s">
        <v>518</v>
      </c>
      <c r="I240" s="412">
        <v>1</v>
      </c>
      <c r="J240" s="412" t="s">
        <v>524</v>
      </c>
      <c r="K240" s="293" t="s">
        <v>525</v>
      </c>
    </row>
    <row r="241" spans="1:11" ht="26.4" hidden="1">
      <c r="A241" s="295" t="s">
        <v>42</v>
      </c>
      <c r="B241" s="197" t="s">
        <v>521</v>
      </c>
      <c r="C241" s="293">
        <v>43735</v>
      </c>
      <c r="D241" s="293" t="s">
        <v>56</v>
      </c>
      <c r="E241" s="293" t="s">
        <v>55</v>
      </c>
      <c r="F241" s="293" t="s">
        <v>55</v>
      </c>
      <c r="G241" s="293" t="s">
        <v>522</v>
      </c>
      <c r="H241" s="293" t="s">
        <v>523</v>
      </c>
      <c r="I241" s="412" t="s">
        <v>527</v>
      </c>
      <c r="J241" s="412"/>
      <c r="K241" s="293" t="s">
        <v>528</v>
      </c>
    </row>
    <row r="242" spans="1:11" ht="26.4" hidden="1">
      <c r="A242" s="295" t="s">
        <v>42</v>
      </c>
      <c r="B242" s="197" t="s">
        <v>521</v>
      </c>
      <c r="C242" s="293">
        <v>43735</v>
      </c>
      <c r="D242" s="293" t="s">
        <v>56</v>
      </c>
      <c r="E242" s="293" t="s">
        <v>55</v>
      </c>
      <c r="F242" s="293" t="s">
        <v>55</v>
      </c>
      <c r="G242" s="293" t="s">
        <v>57</v>
      </c>
      <c r="H242" s="293" t="s">
        <v>526</v>
      </c>
      <c r="I242" s="412" t="s">
        <v>530</v>
      </c>
      <c r="J242" s="412" t="s">
        <v>531</v>
      </c>
      <c r="K242" s="293" t="s">
        <v>532</v>
      </c>
    </row>
    <row r="243" spans="1:11" ht="26.4" hidden="1">
      <c r="A243" s="295" t="s">
        <v>42</v>
      </c>
      <c r="B243" s="197" t="s">
        <v>521</v>
      </c>
      <c r="C243" s="293">
        <v>43735</v>
      </c>
      <c r="D243" s="293" t="s">
        <v>56</v>
      </c>
      <c r="E243" s="293" t="s">
        <v>55</v>
      </c>
      <c r="F243" s="293" t="s">
        <v>55</v>
      </c>
      <c r="G243" s="293" t="s">
        <v>57</v>
      </c>
      <c r="H243" s="293" t="s">
        <v>529</v>
      </c>
      <c r="I243" s="412" t="s">
        <v>527</v>
      </c>
      <c r="J243" s="412"/>
      <c r="K243" s="293" t="s">
        <v>532</v>
      </c>
    </row>
    <row r="244" spans="1:11" ht="39.6" hidden="1">
      <c r="A244" s="295" t="s">
        <v>42</v>
      </c>
      <c r="B244" s="197" t="s">
        <v>521</v>
      </c>
      <c r="C244" s="293">
        <v>43735</v>
      </c>
      <c r="D244" s="293" t="s">
        <v>56</v>
      </c>
      <c r="E244" s="293" t="s">
        <v>55</v>
      </c>
      <c r="F244" s="293" t="s">
        <v>55</v>
      </c>
      <c r="G244" s="293" t="s">
        <v>57</v>
      </c>
      <c r="H244" s="293" t="s">
        <v>533</v>
      </c>
      <c r="I244" s="410" t="s">
        <v>534</v>
      </c>
      <c r="J244" s="410" t="s">
        <v>535</v>
      </c>
      <c r="K244" s="412" t="s">
        <v>536</v>
      </c>
    </row>
    <row r="245" spans="1:11" ht="39.6" hidden="1">
      <c r="A245" s="295" t="s">
        <v>42</v>
      </c>
      <c r="B245" s="197" t="s">
        <v>521</v>
      </c>
      <c r="C245" s="293">
        <v>43738</v>
      </c>
      <c r="D245" s="293" t="s">
        <v>56</v>
      </c>
      <c r="E245" s="293" t="s">
        <v>55</v>
      </c>
      <c r="F245" s="293" t="s">
        <v>55</v>
      </c>
      <c r="G245" s="410" t="s">
        <v>69</v>
      </c>
      <c r="H245" s="410" t="s">
        <v>89</v>
      </c>
      <c r="I245" s="410" t="s">
        <v>537</v>
      </c>
      <c r="J245" s="410" t="s">
        <v>538</v>
      </c>
      <c r="K245" s="412" t="s">
        <v>539</v>
      </c>
    </row>
    <row r="246" spans="1:11" ht="39.6" hidden="1">
      <c r="A246" s="295" t="s">
        <v>42</v>
      </c>
      <c r="B246" s="197" t="s">
        <v>521</v>
      </c>
      <c r="C246" s="293">
        <v>43738</v>
      </c>
      <c r="D246" s="293" t="s">
        <v>56</v>
      </c>
      <c r="E246" s="293" t="s">
        <v>55</v>
      </c>
      <c r="F246" s="293" t="s">
        <v>55</v>
      </c>
      <c r="G246" s="410" t="s">
        <v>69</v>
      </c>
      <c r="H246" s="410" t="s">
        <v>100</v>
      </c>
      <c r="I246" s="410" t="s">
        <v>540</v>
      </c>
      <c r="J246" s="410" t="s">
        <v>541</v>
      </c>
      <c r="K246" s="412" t="s">
        <v>542</v>
      </c>
    </row>
    <row r="247" spans="1:11" ht="39.6" hidden="1">
      <c r="A247" s="295" t="s">
        <v>42</v>
      </c>
      <c r="B247" s="197" t="s">
        <v>521</v>
      </c>
      <c r="C247" s="293">
        <v>43738</v>
      </c>
      <c r="D247" s="293" t="s">
        <v>56</v>
      </c>
      <c r="E247" s="293" t="s">
        <v>55</v>
      </c>
      <c r="F247" s="293" t="s">
        <v>55</v>
      </c>
      <c r="G247" s="410" t="s">
        <v>69</v>
      </c>
      <c r="H247" s="410" t="s">
        <v>110</v>
      </c>
      <c r="I247" s="410" t="s">
        <v>543</v>
      </c>
      <c r="J247" s="410" t="s">
        <v>544</v>
      </c>
      <c r="K247" s="412" t="s">
        <v>545</v>
      </c>
    </row>
    <row r="248" spans="1:11" ht="39.6" hidden="1">
      <c r="A248" s="295" t="s">
        <v>42</v>
      </c>
      <c r="B248" s="197" t="s">
        <v>521</v>
      </c>
      <c r="C248" s="293">
        <v>43738</v>
      </c>
      <c r="D248" s="293" t="s">
        <v>56</v>
      </c>
      <c r="E248" s="293" t="s">
        <v>55</v>
      </c>
      <c r="F248" s="293" t="s">
        <v>55</v>
      </c>
      <c r="G248" s="410" t="s">
        <v>69</v>
      </c>
      <c r="H248" s="410" t="s">
        <v>119</v>
      </c>
      <c r="I248" s="410" t="s">
        <v>546</v>
      </c>
      <c r="J248" s="410" t="s">
        <v>547</v>
      </c>
      <c r="K248" s="412" t="s">
        <v>548</v>
      </c>
    </row>
    <row r="249" spans="1:11" ht="39.6" hidden="1">
      <c r="A249" s="295" t="s">
        <v>42</v>
      </c>
      <c r="B249" s="197" t="s">
        <v>521</v>
      </c>
      <c r="C249" s="293">
        <v>43738</v>
      </c>
      <c r="D249" s="293" t="s">
        <v>56</v>
      </c>
      <c r="E249" s="293" t="s">
        <v>55</v>
      </c>
      <c r="F249" s="293" t="s">
        <v>55</v>
      </c>
      <c r="G249" s="410" t="s">
        <v>69</v>
      </c>
      <c r="H249" s="410" t="s">
        <v>129</v>
      </c>
      <c r="I249" s="410" t="s">
        <v>550</v>
      </c>
      <c r="J249" s="410" t="s">
        <v>551</v>
      </c>
      <c r="K249" s="412" t="s">
        <v>552</v>
      </c>
    </row>
    <row r="250" spans="1:11" ht="39.6" hidden="1">
      <c r="A250" s="295" t="s">
        <v>42</v>
      </c>
      <c r="B250" s="197" t="s">
        <v>521</v>
      </c>
      <c r="C250" s="293">
        <v>43738</v>
      </c>
      <c r="D250" s="412" t="s">
        <v>56</v>
      </c>
      <c r="E250" s="293" t="s">
        <v>55</v>
      </c>
      <c r="F250" s="293" t="s">
        <v>55</v>
      </c>
      <c r="G250" s="410" t="s">
        <v>312</v>
      </c>
      <c r="H250" s="410" t="s">
        <v>549</v>
      </c>
      <c r="I250" s="410" t="s">
        <v>553</v>
      </c>
      <c r="J250" s="410" t="s">
        <v>554</v>
      </c>
      <c r="K250" s="412" t="s">
        <v>555</v>
      </c>
    </row>
    <row r="251" spans="1:11" ht="26.4" hidden="1">
      <c r="A251" s="295" t="s">
        <v>42</v>
      </c>
      <c r="B251" s="197" t="s">
        <v>521</v>
      </c>
      <c r="C251" s="293">
        <v>43738</v>
      </c>
      <c r="D251" s="412" t="s">
        <v>56</v>
      </c>
      <c r="E251" s="293" t="s">
        <v>55</v>
      </c>
      <c r="F251" s="293" t="s">
        <v>55</v>
      </c>
      <c r="G251" s="410" t="s">
        <v>312</v>
      </c>
      <c r="H251" s="410" t="s">
        <v>340</v>
      </c>
      <c r="I251" s="410" t="s">
        <v>556</v>
      </c>
      <c r="J251" s="410" t="s">
        <v>557</v>
      </c>
      <c r="K251" s="412" t="s">
        <v>558</v>
      </c>
    </row>
    <row r="252" spans="1:11" ht="26.4" hidden="1">
      <c r="A252" s="295" t="s">
        <v>42</v>
      </c>
      <c r="B252" s="197" t="s">
        <v>521</v>
      </c>
      <c r="C252" s="293">
        <v>43738</v>
      </c>
      <c r="D252" s="412" t="s">
        <v>56</v>
      </c>
      <c r="E252" s="293" t="s">
        <v>55</v>
      </c>
      <c r="F252" s="293" t="s">
        <v>55</v>
      </c>
      <c r="G252" s="410" t="s">
        <v>312</v>
      </c>
      <c r="H252" s="410" t="s">
        <v>342</v>
      </c>
      <c r="I252" s="410" t="s">
        <v>559</v>
      </c>
      <c r="J252" s="410" t="s">
        <v>560</v>
      </c>
      <c r="K252" s="412" t="s">
        <v>561</v>
      </c>
    </row>
    <row r="253" spans="1:11" ht="26.4" hidden="1">
      <c r="A253" s="295" t="s">
        <v>42</v>
      </c>
      <c r="B253" s="197" t="s">
        <v>521</v>
      </c>
      <c r="C253" s="293">
        <v>43738</v>
      </c>
      <c r="D253" s="412" t="s">
        <v>56</v>
      </c>
      <c r="E253" s="293" t="s">
        <v>55</v>
      </c>
      <c r="F253" s="293" t="s">
        <v>55</v>
      </c>
      <c r="G253" s="410" t="s">
        <v>312</v>
      </c>
      <c r="H253" s="410" t="s">
        <v>344</v>
      </c>
      <c r="I253" s="410" t="s">
        <v>563</v>
      </c>
      <c r="J253" s="410" t="s">
        <v>564</v>
      </c>
      <c r="K253" s="412" t="s">
        <v>565</v>
      </c>
    </row>
    <row r="254" spans="1:11" ht="39.6" hidden="1">
      <c r="A254" s="295" t="s">
        <v>42</v>
      </c>
      <c r="B254" s="197" t="s">
        <v>566</v>
      </c>
      <c r="C254" s="293">
        <v>43738</v>
      </c>
      <c r="D254" s="412" t="s">
        <v>56</v>
      </c>
      <c r="E254" s="293" t="s">
        <v>55</v>
      </c>
      <c r="F254" s="293" t="s">
        <v>55</v>
      </c>
      <c r="G254" s="410" t="s">
        <v>312</v>
      </c>
      <c r="H254" s="410" t="s">
        <v>562</v>
      </c>
      <c r="I254" s="198" t="s">
        <v>568</v>
      </c>
      <c r="J254" s="410" t="s">
        <v>569</v>
      </c>
      <c r="K254" s="412" t="s">
        <v>570</v>
      </c>
    </row>
    <row r="255" spans="1:11" ht="39.6" hidden="1">
      <c r="A255" s="295" t="s">
        <v>42</v>
      </c>
      <c r="B255" s="197" t="s">
        <v>566</v>
      </c>
      <c r="C255" s="293">
        <v>43783</v>
      </c>
      <c r="D255" s="412" t="s">
        <v>56</v>
      </c>
      <c r="E255" s="293" t="s">
        <v>55</v>
      </c>
      <c r="F255" s="293" t="s">
        <v>55</v>
      </c>
      <c r="G255" s="410" t="s">
        <v>69</v>
      </c>
      <c r="H255" s="410" t="s">
        <v>567</v>
      </c>
      <c r="I255" s="198" t="s">
        <v>572</v>
      </c>
      <c r="J255" s="410" t="s">
        <v>573</v>
      </c>
      <c r="K255" s="412" t="s">
        <v>570</v>
      </c>
    </row>
    <row r="256" spans="1:11" hidden="1">
      <c r="A256" s="295" t="s">
        <v>42</v>
      </c>
      <c r="B256" s="197" t="s">
        <v>566</v>
      </c>
      <c r="C256" s="293">
        <v>43783</v>
      </c>
      <c r="D256" s="412" t="s">
        <v>56</v>
      </c>
      <c r="E256" s="293" t="s">
        <v>55</v>
      </c>
      <c r="F256" s="293" t="s">
        <v>55</v>
      </c>
      <c r="G256" s="410" t="s">
        <v>69</v>
      </c>
      <c r="H256" s="410" t="s">
        <v>571</v>
      </c>
      <c r="I256" s="410" t="s">
        <v>575</v>
      </c>
      <c r="J256" s="410" t="s">
        <v>295</v>
      </c>
      <c r="K256" s="412" t="s">
        <v>576</v>
      </c>
    </row>
    <row r="257" spans="1:11" ht="26.4" hidden="1">
      <c r="A257" s="295" t="s">
        <v>42</v>
      </c>
      <c r="B257" s="197" t="s">
        <v>566</v>
      </c>
      <c r="C257" s="293">
        <v>43783</v>
      </c>
      <c r="D257" s="412" t="s">
        <v>56</v>
      </c>
      <c r="E257" s="293" t="s">
        <v>55</v>
      </c>
      <c r="F257" s="293" t="s">
        <v>55</v>
      </c>
      <c r="G257" s="410" t="s">
        <v>69</v>
      </c>
      <c r="H257" s="410" t="s">
        <v>574</v>
      </c>
      <c r="I257" s="410" t="s">
        <v>158</v>
      </c>
      <c r="J257" s="410" t="s">
        <v>295</v>
      </c>
      <c r="K257" s="412" t="s">
        <v>576</v>
      </c>
    </row>
    <row r="258" spans="1:11" hidden="1">
      <c r="A258" s="295" t="s">
        <v>42</v>
      </c>
      <c r="B258" s="197" t="s">
        <v>566</v>
      </c>
      <c r="C258" s="293">
        <v>43783</v>
      </c>
      <c r="D258" s="412" t="s">
        <v>56</v>
      </c>
      <c r="E258" s="293" t="s">
        <v>55</v>
      </c>
      <c r="F258" s="293" t="s">
        <v>55</v>
      </c>
      <c r="G258" s="410" t="s">
        <v>69</v>
      </c>
      <c r="H258" s="410" t="s">
        <v>577</v>
      </c>
      <c r="I258" s="410" t="s">
        <v>579</v>
      </c>
      <c r="J258" s="410" t="s">
        <v>295</v>
      </c>
      <c r="K258" s="412" t="s">
        <v>576</v>
      </c>
    </row>
    <row r="259" spans="1:11" hidden="1">
      <c r="A259" s="295" t="s">
        <v>42</v>
      </c>
      <c r="B259" s="197" t="s">
        <v>566</v>
      </c>
      <c r="C259" s="293">
        <v>43783</v>
      </c>
      <c r="D259" s="412" t="s">
        <v>56</v>
      </c>
      <c r="E259" s="293" t="s">
        <v>55</v>
      </c>
      <c r="F259" s="293" t="s">
        <v>55</v>
      </c>
      <c r="G259" s="410" t="s">
        <v>69</v>
      </c>
      <c r="H259" s="410" t="s">
        <v>578</v>
      </c>
      <c r="I259" s="410" t="s">
        <v>581</v>
      </c>
      <c r="J259" s="410" t="s">
        <v>295</v>
      </c>
      <c r="K259" s="412" t="s">
        <v>576</v>
      </c>
    </row>
    <row r="260" spans="1:11" hidden="1">
      <c r="A260" s="295" t="s">
        <v>42</v>
      </c>
      <c r="B260" s="197" t="s">
        <v>566</v>
      </c>
      <c r="C260" s="293">
        <v>43783</v>
      </c>
      <c r="D260" s="412" t="s">
        <v>56</v>
      </c>
      <c r="E260" s="293" t="s">
        <v>55</v>
      </c>
      <c r="F260" s="293" t="s">
        <v>55</v>
      </c>
      <c r="G260" s="410" t="s">
        <v>69</v>
      </c>
      <c r="H260" s="410" t="s">
        <v>580</v>
      </c>
      <c r="I260" s="410" t="s">
        <v>583</v>
      </c>
      <c r="J260" s="410" t="s">
        <v>295</v>
      </c>
      <c r="K260" s="412" t="s">
        <v>576</v>
      </c>
    </row>
    <row r="261" spans="1:11" hidden="1">
      <c r="A261" s="295" t="s">
        <v>42</v>
      </c>
      <c r="B261" s="197" t="s">
        <v>566</v>
      </c>
      <c r="C261" s="293">
        <v>43783</v>
      </c>
      <c r="D261" s="412" t="s">
        <v>56</v>
      </c>
      <c r="E261" s="293" t="s">
        <v>55</v>
      </c>
      <c r="F261" s="293" t="s">
        <v>55</v>
      </c>
      <c r="G261" s="410" t="s">
        <v>69</v>
      </c>
      <c r="H261" s="410" t="s">
        <v>582</v>
      </c>
      <c r="I261" s="410" t="s">
        <v>585</v>
      </c>
      <c r="J261" s="410" t="s">
        <v>295</v>
      </c>
      <c r="K261" s="412" t="s">
        <v>576</v>
      </c>
    </row>
    <row r="262" spans="1:11" hidden="1">
      <c r="A262" s="295" t="s">
        <v>42</v>
      </c>
      <c r="B262" s="197" t="s">
        <v>566</v>
      </c>
      <c r="C262" s="293">
        <v>43783</v>
      </c>
      <c r="D262" s="412" t="s">
        <v>56</v>
      </c>
      <c r="E262" s="293" t="s">
        <v>55</v>
      </c>
      <c r="F262" s="293" t="s">
        <v>55</v>
      </c>
      <c r="G262" s="410" t="s">
        <v>69</v>
      </c>
      <c r="H262" s="410" t="s">
        <v>584</v>
      </c>
      <c r="I262" s="410" t="s">
        <v>587</v>
      </c>
      <c r="J262" s="410" t="s">
        <v>295</v>
      </c>
      <c r="K262" s="412" t="s">
        <v>576</v>
      </c>
    </row>
    <row r="263" spans="1:11" hidden="1">
      <c r="A263" s="295" t="s">
        <v>42</v>
      </c>
      <c r="B263" s="197" t="s">
        <v>566</v>
      </c>
      <c r="C263" s="293">
        <v>43783</v>
      </c>
      <c r="D263" s="412" t="s">
        <v>56</v>
      </c>
      <c r="E263" s="293" t="s">
        <v>55</v>
      </c>
      <c r="F263" s="293" t="s">
        <v>55</v>
      </c>
      <c r="G263" s="410" t="s">
        <v>69</v>
      </c>
      <c r="H263" s="410" t="s">
        <v>586</v>
      </c>
      <c r="I263" s="410" t="s">
        <v>589</v>
      </c>
      <c r="J263" s="410" t="s">
        <v>295</v>
      </c>
      <c r="K263" s="412" t="s">
        <v>576</v>
      </c>
    </row>
    <row r="264" spans="1:11" hidden="1">
      <c r="A264" s="295" t="s">
        <v>42</v>
      </c>
      <c r="B264" s="197" t="s">
        <v>566</v>
      </c>
      <c r="C264" s="293">
        <v>43783</v>
      </c>
      <c r="D264" s="412" t="s">
        <v>56</v>
      </c>
      <c r="E264" s="293" t="s">
        <v>55</v>
      </c>
      <c r="F264" s="293" t="s">
        <v>55</v>
      </c>
      <c r="G264" s="410" t="s">
        <v>69</v>
      </c>
      <c r="H264" s="410" t="s">
        <v>588</v>
      </c>
      <c r="I264" s="410" t="s">
        <v>591</v>
      </c>
      <c r="J264" s="410" t="s">
        <v>295</v>
      </c>
      <c r="K264" s="412" t="s">
        <v>576</v>
      </c>
    </row>
    <row r="265" spans="1:11" hidden="1">
      <c r="A265" s="295" t="s">
        <v>42</v>
      </c>
      <c r="B265" s="197" t="s">
        <v>566</v>
      </c>
      <c r="C265" s="293">
        <v>43783</v>
      </c>
      <c r="D265" s="412" t="s">
        <v>56</v>
      </c>
      <c r="E265" s="293" t="s">
        <v>55</v>
      </c>
      <c r="F265" s="293" t="s">
        <v>55</v>
      </c>
      <c r="G265" s="410" t="s">
        <v>69</v>
      </c>
      <c r="H265" s="410" t="s">
        <v>590</v>
      </c>
      <c r="I265" s="410" t="s">
        <v>593</v>
      </c>
      <c r="J265" s="410" t="s">
        <v>295</v>
      </c>
      <c r="K265" s="412" t="s">
        <v>576</v>
      </c>
    </row>
    <row r="266" spans="1:11" hidden="1">
      <c r="A266" s="295" t="s">
        <v>42</v>
      </c>
      <c r="B266" s="197" t="s">
        <v>566</v>
      </c>
      <c r="C266" s="293">
        <v>43783</v>
      </c>
      <c r="D266" s="412" t="s">
        <v>56</v>
      </c>
      <c r="E266" s="293" t="s">
        <v>55</v>
      </c>
      <c r="F266" s="293" t="s">
        <v>55</v>
      </c>
      <c r="G266" s="410" t="s">
        <v>69</v>
      </c>
      <c r="H266" s="410" t="s">
        <v>592</v>
      </c>
      <c r="I266" s="410" t="s">
        <v>595</v>
      </c>
      <c r="J266" s="410" t="s">
        <v>295</v>
      </c>
      <c r="K266" s="412" t="s">
        <v>576</v>
      </c>
    </row>
    <row r="267" spans="1:11" hidden="1">
      <c r="A267" s="295" t="s">
        <v>42</v>
      </c>
      <c r="B267" s="197" t="s">
        <v>566</v>
      </c>
      <c r="C267" s="293">
        <v>43783</v>
      </c>
      <c r="D267" s="412" t="s">
        <v>56</v>
      </c>
      <c r="E267" s="293" t="s">
        <v>55</v>
      </c>
      <c r="F267" s="293" t="s">
        <v>55</v>
      </c>
      <c r="G267" s="410" t="s">
        <v>69</v>
      </c>
      <c r="H267" s="410" t="s">
        <v>594</v>
      </c>
      <c r="I267" s="410" t="s">
        <v>597</v>
      </c>
      <c r="J267" s="410" t="s">
        <v>295</v>
      </c>
      <c r="K267" s="412" t="s">
        <v>576</v>
      </c>
    </row>
    <row r="268" spans="1:11" hidden="1">
      <c r="A268" s="295" t="s">
        <v>42</v>
      </c>
      <c r="B268" s="197" t="s">
        <v>566</v>
      </c>
      <c r="C268" s="293">
        <v>43783</v>
      </c>
      <c r="D268" s="412" t="s">
        <v>56</v>
      </c>
      <c r="E268" s="293" t="s">
        <v>55</v>
      </c>
      <c r="F268" s="293" t="s">
        <v>55</v>
      </c>
      <c r="G268" s="410" t="s">
        <v>69</v>
      </c>
      <c r="H268" s="410" t="s">
        <v>596</v>
      </c>
      <c r="I268" s="410" t="s">
        <v>599</v>
      </c>
      <c r="J268" s="410" t="s">
        <v>295</v>
      </c>
      <c r="K268" s="412" t="s">
        <v>576</v>
      </c>
    </row>
    <row r="269" spans="1:11" hidden="1">
      <c r="A269" s="295" t="s">
        <v>42</v>
      </c>
      <c r="B269" s="197" t="s">
        <v>566</v>
      </c>
      <c r="C269" s="293">
        <v>43783</v>
      </c>
      <c r="D269" s="412" t="s">
        <v>56</v>
      </c>
      <c r="E269" s="293" t="s">
        <v>55</v>
      </c>
      <c r="F269" s="293" t="s">
        <v>55</v>
      </c>
      <c r="G269" s="410" t="s">
        <v>69</v>
      </c>
      <c r="H269" s="410" t="s">
        <v>598</v>
      </c>
      <c r="I269" s="410" t="s">
        <v>601</v>
      </c>
      <c r="J269" s="410" t="s">
        <v>295</v>
      </c>
      <c r="K269" s="412" t="s">
        <v>576</v>
      </c>
    </row>
    <row r="270" spans="1:11" hidden="1">
      <c r="A270" s="295" t="s">
        <v>42</v>
      </c>
      <c r="B270" s="197" t="s">
        <v>566</v>
      </c>
      <c r="C270" s="293">
        <v>43783</v>
      </c>
      <c r="D270" s="412" t="s">
        <v>56</v>
      </c>
      <c r="E270" s="293" t="s">
        <v>55</v>
      </c>
      <c r="F270" s="293" t="s">
        <v>55</v>
      </c>
      <c r="G270" s="410" t="s">
        <v>69</v>
      </c>
      <c r="H270" s="410" t="s">
        <v>600</v>
      </c>
      <c r="I270" s="410" t="s">
        <v>603</v>
      </c>
      <c r="J270" s="410" t="s">
        <v>295</v>
      </c>
      <c r="K270" s="412" t="s">
        <v>576</v>
      </c>
    </row>
    <row r="271" spans="1:11" hidden="1">
      <c r="A271" s="295" t="s">
        <v>42</v>
      </c>
      <c r="B271" s="197" t="s">
        <v>566</v>
      </c>
      <c r="C271" s="293">
        <v>43783</v>
      </c>
      <c r="D271" s="412" t="s">
        <v>56</v>
      </c>
      <c r="E271" s="293" t="s">
        <v>55</v>
      </c>
      <c r="F271" s="293" t="s">
        <v>55</v>
      </c>
      <c r="G271" s="410" t="s">
        <v>69</v>
      </c>
      <c r="H271" s="410" t="s">
        <v>602</v>
      </c>
      <c r="I271" s="410" t="s">
        <v>589</v>
      </c>
      <c r="J271" s="410" t="s">
        <v>295</v>
      </c>
      <c r="K271" s="412" t="s">
        <v>576</v>
      </c>
    </row>
    <row r="272" spans="1:11" hidden="1">
      <c r="A272" s="295" t="s">
        <v>42</v>
      </c>
      <c r="B272" s="197" t="s">
        <v>566</v>
      </c>
      <c r="C272" s="293">
        <v>43783</v>
      </c>
      <c r="D272" s="412" t="s">
        <v>56</v>
      </c>
      <c r="E272" s="293" t="s">
        <v>55</v>
      </c>
      <c r="F272" s="293" t="s">
        <v>55</v>
      </c>
      <c r="G272" s="410" t="s">
        <v>69</v>
      </c>
      <c r="H272" s="410" t="s">
        <v>604</v>
      </c>
      <c r="I272" s="410" t="s">
        <v>606</v>
      </c>
      <c r="J272" s="410" t="s">
        <v>295</v>
      </c>
      <c r="K272" s="412" t="s">
        <v>576</v>
      </c>
    </row>
    <row r="273" spans="1:11" hidden="1">
      <c r="A273" s="295" t="s">
        <v>42</v>
      </c>
      <c r="B273" s="197" t="s">
        <v>566</v>
      </c>
      <c r="C273" s="293">
        <v>43783</v>
      </c>
      <c r="D273" s="412" t="s">
        <v>56</v>
      </c>
      <c r="E273" s="293" t="s">
        <v>55</v>
      </c>
      <c r="F273" s="293" t="s">
        <v>55</v>
      </c>
      <c r="G273" s="410" t="s">
        <v>69</v>
      </c>
      <c r="H273" s="410" t="s">
        <v>605</v>
      </c>
      <c r="I273" s="410" t="s">
        <v>608</v>
      </c>
      <c r="J273" s="410" t="s">
        <v>295</v>
      </c>
      <c r="K273" s="412" t="s">
        <v>576</v>
      </c>
    </row>
    <row r="274" spans="1:11" hidden="1">
      <c r="A274" s="295" t="s">
        <v>42</v>
      </c>
      <c r="B274" s="197" t="s">
        <v>566</v>
      </c>
      <c r="C274" s="293">
        <v>43783</v>
      </c>
      <c r="D274" s="412" t="s">
        <v>56</v>
      </c>
      <c r="E274" s="293" t="s">
        <v>55</v>
      </c>
      <c r="F274" s="293" t="s">
        <v>55</v>
      </c>
      <c r="G274" s="410" t="s">
        <v>69</v>
      </c>
      <c r="H274" s="410" t="s">
        <v>607</v>
      </c>
      <c r="I274" s="410" t="s">
        <v>610</v>
      </c>
      <c r="J274" s="410" t="s">
        <v>295</v>
      </c>
      <c r="K274" s="412" t="s">
        <v>576</v>
      </c>
    </row>
    <row r="275" spans="1:11" ht="39.6" hidden="1">
      <c r="A275" s="295" t="s">
        <v>42</v>
      </c>
      <c r="B275" s="197" t="s">
        <v>566</v>
      </c>
      <c r="C275" s="293">
        <v>43783</v>
      </c>
      <c r="D275" s="412" t="s">
        <v>56</v>
      </c>
      <c r="E275" s="293" t="s">
        <v>55</v>
      </c>
      <c r="F275" s="293" t="s">
        <v>55</v>
      </c>
      <c r="G275" s="410" t="s">
        <v>69</v>
      </c>
      <c r="H275" s="410" t="s">
        <v>609</v>
      </c>
      <c r="I275" s="410" t="s">
        <v>612</v>
      </c>
      <c r="J275" s="410" t="s">
        <v>295</v>
      </c>
      <c r="K275" s="412" t="s">
        <v>576</v>
      </c>
    </row>
    <row r="276" spans="1:11" hidden="1">
      <c r="A276" s="295" t="s">
        <v>42</v>
      </c>
      <c r="B276" s="197" t="s">
        <v>566</v>
      </c>
      <c r="C276" s="293">
        <v>43783</v>
      </c>
      <c r="D276" s="412" t="s">
        <v>56</v>
      </c>
      <c r="E276" s="293" t="s">
        <v>55</v>
      </c>
      <c r="F276" s="293" t="s">
        <v>55</v>
      </c>
      <c r="G276" s="410" t="s">
        <v>69</v>
      </c>
      <c r="H276" s="410" t="s">
        <v>611</v>
      </c>
      <c r="I276" s="410" t="s">
        <v>614</v>
      </c>
      <c r="J276" s="410" t="s">
        <v>295</v>
      </c>
      <c r="K276" s="412" t="s">
        <v>576</v>
      </c>
    </row>
    <row r="277" spans="1:11" hidden="1">
      <c r="A277" s="295" t="s">
        <v>42</v>
      </c>
      <c r="B277" s="197" t="s">
        <v>566</v>
      </c>
      <c r="C277" s="293">
        <v>43783</v>
      </c>
      <c r="D277" s="412" t="s">
        <v>56</v>
      </c>
      <c r="E277" s="293" t="s">
        <v>55</v>
      </c>
      <c r="F277" s="293" t="s">
        <v>55</v>
      </c>
      <c r="G277" s="410" t="s">
        <v>69</v>
      </c>
      <c r="H277" s="410" t="s">
        <v>613</v>
      </c>
      <c r="I277" s="410" t="s">
        <v>610</v>
      </c>
      <c r="J277" s="410" t="s">
        <v>295</v>
      </c>
      <c r="K277" s="412" t="s">
        <v>576</v>
      </c>
    </row>
    <row r="278" spans="1:11" ht="39.6" hidden="1">
      <c r="A278" s="295" t="s">
        <v>42</v>
      </c>
      <c r="B278" s="197" t="s">
        <v>566</v>
      </c>
      <c r="C278" s="293">
        <v>43783</v>
      </c>
      <c r="D278" s="412" t="s">
        <v>56</v>
      </c>
      <c r="E278" s="293" t="s">
        <v>55</v>
      </c>
      <c r="F278" s="293" t="s">
        <v>55</v>
      </c>
      <c r="G278" s="410" t="s">
        <v>69</v>
      </c>
      <c r="H278" s="410" t="s">
        <v>615</v>
      </c>
      <c r="I278" s="410" t="s">
        <v>617</v>
      </c>
      <c r="J278" s="410" t="s">
        <v>295</v>
      </c>
      <c r="K278" s="412" t="s">
        <v>576</v>
      </c>
    </row>
    <row r="279" spans="1:11" hidden="1">
      <c r="A279" s="295" t="s">
        <v>42</v>
      </c>
      <c r="B279" s="197" t="s">
        <v>566</v>
      </c>
      <c r="C279" s="293">
        <v>43783</v>
      </c>
      <c r="D279" s="412" t="s">
        <v>56</v>
      </c>
      <c r="E279" s="293" t="s">
        <v>55</v>
      </c>
      <c r="F279" s="293" t="s">
        <v>55</v>
      </c>
      <c r="G279" s="410" t="s">
        <v>69</v>
      </c>
      <c r="H279" s="410" t="s">
        <v>616</v>
      </c>
      <c r="I279" s="410" t="s">
        <v>619</v>
      </c>
      <c r="J279" s="410" t="s">
        <v>295</v>
      </c>
      <c r="K279" s="412" t="s">
        <v>576</v>
      </c>
    </row>
    <row r="280" spans="1:11" hidden="1">
      <c r="A280" s="295" t="s">
        <v>42</v>
      </c>
      <c r="B280" s="197" t="s">
        <v>566</v>
      </c>
      <c r="C280" s="293">
        <v>43783</v>
      </c>
      <c r="D280" s="412" t="s">
        <v>56</v>
      </c>
      <c r="E280" s="293" t="s">
        <v>55</v>
      </c>
      <c r="F280" s="293" t="s">
        <v>55</v>
      </c>
      <c r="G280" s="410" t="s">
        <v>69</v>
      </c>
      <c r="H280" s="410" t="s">
        <v>618</v>
      </c>
      <c r="I280" s="410" t="s">
        <v>610</v>
      </c>
      <c r="J280" s="410" t="s">
        <v>295</v>
      </c>
      <c r="K280" s="412" t="s">
        <v>576</v>
      </c>
    </row>
    <row r="281" spans="1:11" ht="39.6" hidden="1">
      <c r="A281" s="295" t="s">
        <v>42</v>
      </c>
      <c r="B281" s="197" t="s">
        <v>566</v>
      </c>
      <c r="C281" s="293">
        <v>43783</v>
      </c>
      <c r="D281" s="412" t="s">
        <v>56</v>
      </c>
      <c r="E281" s="293" t="s">
        <v>55</v>
      </c>
      <c r="F281" s="293" t="s">
        <v>55</v>
      </c>
      <c r="G281" s="410" t="s">
        <v>69</v>
      </c>
      <c r="H281" s="410" t="s">
        <v>620</v>
      </c>
      <c r="I281" s="410" t="s">
        <v>622</v>
      </c>
      <c r="J281" s="410" t="s">
        <v>295</v>
      </c>
      <c r="K281" s="412" t="s">
        <v>576</v>
      </c>
    </row>
    <row r="282" spans="1:11" hidden="1">
      <c r="A282" s="295" t="s">
        <v>42</v>
      </c>
      <c r="B282" s="197" t="s">
        <v>566</v>
      </c>
      <c r="C282" s="293">
        <v>43783</v>
      </c>
      <c r="D282" s="412" t="s">
        <v>56</v>
      </c>
      <c r="E282" s="293" t="s">
        <v>55</v>
      </c>
      <c r="F282" s="293" t="s">
        <v>55</v>
      </c>
      <c r="G282" s="410" t="s">
        <v>69</v>
      </c>
      <c r="H282" s="410" t="s">
        <v>621</v>
      </c>
      <c r="I282" s="410" t="s">
        <v>624</v>
      </c>
      <c r="J282" s="410" t="s">
        <v>295</v>
      </c>
      <c r="K282" s="412" t="s">
        <v>576</v>
      </c>
    </row>
    <row r="283" spans="1:11" hidden="1">
      <c r="A283" s="295" t="s">
        <v>42</v>
      </c>
      <c r="B283" s="197" t="s">
        <v>566</v>
      </c>
      <c r="C283" s="293">
        <v>43783</v>
      </c>
      <c r="D283" s="412" t="s">
        <v>56</v>
      </c>
      <c r="E283" s="293" t="s">
        <v>55</v>
      </c>
      <c r="F283" s="293" t="s">
        <v>55</v>
      </c>
      <c r="G283" s="410" t="s">
        <v>69</v>
      </c>
      <c r="H283" s="410" t="s">
        <v>623</v>
      </c>
      <c r="I283" s="410" t="s">
        <v>610</v>
      </c>
      <c r="J283" s="410" t="s">
        <v>295</v>
      </c>
      <c r="K283" s="412" t="s">
        <v>576</v>
      </c>
    </row>
    <row r="284" spans="1:11" ht="39.6" hidden="1">
      <c r="A284" s="295" t="s">
        <v>42</v>
      </c>
      <c r="B284" s="197" t="s">
        <v>566</v>
      </c>
      <c r="C284" s="293">
        <v>43783</v>
      </c>
      <c r="D284" s="412" t="s">
        <v>56</v>
      </c>
      <c r="E284" s="293" t="s">
        <v>55</v>
      </c>
      <c r="F284" s="293" t="s">
        <v>55</v>
      </c>
      <c r="G284" s="410" t="s">
        <v>69</v>
      </c>
      <c r="H284" s="410" t="s">
        <v>625</v>
      </c>
      <c r="I284" s="410" t="s">
        <v>627</v>
      </c>
      <c r="J284" s="410" t="s">
        <v>295</v>
      </c>
      <c r="K284" s="412" t="s">
        <v>576</v>
      </c>
    </row>
    <row r="285" spans="1:11" hidden="1">
      <c r="A285" s="295" t="s">
        <v>42</v>
      </c>
      <c r="B285" s="197" t="s">
        <v>566</v>
      </c>
      <c r="C285" s="293">
        <v>43783</v>
      </c>
      <c r="D285" s="412" t="s">
        <v>56</v>
      </c>
      <c r="E285" s="293" t="s">
        <v>55</v>
      </c>
      <c r="F285" s="293" t="s">
        <v>55</v>
      </c>
      <c r="G285" s="410" t="s">
        <v>69</v>
      </c>
      <c r="H285" s="410" t="s">
        <v>626</v>
      </c>
      <c r="I285" s="410" t="s">
        <v>629</v>
      </c>
      <c r="J285" s="410" t="s">
        <v>295</v>
      </c>
      <c r="K285" s="412" t="s">
        <v>576</v>
      </c>
    </row>
    <row r="286" spans="1:11" hidden="1">
      <c r="A286" s="295" t="s">
        <v>42</v>
      </c>
      <c r="B286" s="197" t="s">
        <v>566</v>
      </c>
      <c r="C286" s="293">
        <v>43783</v>
      </c>
      <c r="D286" s="412" t="s">
        <v>56</v>
      </c>
      <c r="E286" s="293" t="s">
        <v>55</v>
      </c>
      <c r="F286" s="293" t="s">
        <v>55</v>
      </c>
      <c r="G286" s="410" t="s">
        <v>69</v>
      </c>
      <c r="H286" s="410" t="s">
        <v>628</v>
      </c>
      <c r="I286" s="410" t="s">
        <v>610</v>
      </c>
      <c r="J286" s="410" t="s">
        <v>295</v>
      </c>
      <c r="K286" s="412" t="s">
        <v>576</v>
      </c>
    </row>
    <row r="287" spans="1:11" ht="39.6" hidden="1">
      <c r="A287" s="295" t="s">
        <v>42</v>
      </c>
      <c r="B287" s="197" t="s">
        <v>566</v>
      </c>
      <c r="C287" s="293">
        <v>43783</v>
      </c>
      <c r="D287" s="412" t="s">
        <v>56</v>
      </c>
      <c r="E287" s="293" t="s">
        <v>55</v>
      </c>
      <c r="F287" s="293" t="s">
        <v>55</v>
      </c>
      <c r="G287" s="410" t="s">
        <v>69</v>
      </c>
      <c r="H287" s="410" t="s">
        <v>630</v>
      </c>
      <c r="I287" s="410" t="s">
        <v>632</v>
      </c>
      <c r="J287" s="410" t="s">
        <v>295</v>
      </c>
      <c r="K287" s="412" t="s">
        <v>576</v>
      </c>
    </row>
    <row r="288" spans="1:11" hidden="1">
      <c r="A288" s="295" t="s">
        <v>42</v>
      </c>
      <c r="B288" s="197" t="s">
        <v>566</v>
      </c>
      <c r="C288" s="293">
        <v>43783</v>
      </c>
      <c r="D288" s="412" t="s">
        <v>56</v>
      </c>
      <c r="E288" s="293" t="s">
        <v>55</v>
      </c>
      <c r="F288" s="293" t="s">
        <v>55</v>
      </c>
      <c r="G288" s="410" t="s">
        <v>69</v>
      </c>
      <c r="H288" s="410" t="s">
        <v>631</v>
      </c>
      <c r="I288" s="410" t="s">
        <v>634</v>
      </c>
      <c r="J288" s="410" t="s">
        <v>295</v>
      </c>
      <c r="K288" s="412" t="s">
        <v>576</v>
      </c>
    </row>
    <row r="289" spans="1:11" hidden="1">
      <c r="A289" s="295" t="s">
        <v>42</v>
      </c>
      <c r="B289" s="197" t="s">
        <v>566</v>
      </c>
      <c r="C289" s="293">
        <v>43783</v>
      </c>
      <c r="D289" s="412" t="s">
        <v>56</v>
      </c>
      <c r="E289" s="293" t="s">
        <v>55</v>
      </c>
      <c r="F289" s="293" t="s">
        <v>55</v>
      </c>
      <c r="G289" s="410" t="s">
        <v>69</v>
      </c>
      <c r="H289" s="410" t="s">
        <v>633</v>
      </c>
      <c r="I289" s="410" t="s">
        <v>610</v>
      </c>
      <c r="J289" s="410" t="s">
        <v>295</v>
      </c>
      <c r="K289" s="412" t="s">
        <v>576</v>
      </c>
    </row>
    <row r="290" spans="1:11" ht="39.6" hidden="1">
      <c r="A290" s="295" t="s">
        <v>42</v>
      </c>
      <c r="B290" s="197" t="s">
        <v>566</v>
      </c>
      <c r="C290" s="293">
        <v>43783</v>
      </c>
      <c r="D290" s="412" t="s">
        <v>56</v>
      </c>
      <c r="E290" s="293" t="s">
        <v>55</v>
      </c>
      <c r="F290" s="293" t="s">
        <v>55</v>
      </c>
      <c r="G290" s="410" t="s">
        <v>69</v>
      </c>
      <c r="H290" s="410" t="s">
        <v>635</v>
      </c>
      <c r="I290" s="410" t="s">
        <v>637</v>
      </c>
      <c r="J290" s="410" t="s">
        <v>295</v>
      </c>
      <c r="K290" s="412" t="s">
        <v>576</v>
      </c>
    </row>
    <row r="291" spans="1:11" hidden="1">
      <c r="A291" s="295" t="s">
        <v>42</v>
      </c>
      <c r="B291" s="197" t="s">
        <v>566</v>
      </c>
      <c r="C291" s="293">
        <v>43783</v>
      </c>
      <c r="D291" s="412" t="s">
        <v>56</v>
      </c>
      <c r="E291" s="293" t="s">
        <v>55</v>
      </c>
      <c r="F291" s="293" t="s">
        <v>55</v>
      </c>
      <c r="G291" s="410" t="s">
        <v>69</v>
      </c>
      <c r="H291" s="410" t="s">
        <v>636</v>
      </c>
      <c r="I291" s="410" t="s">
        <v>639</v>
      </c>
      <c r="J291" s="410" t="s">
        <v>295</v>
      </c>
      <c r="K291" s="412" t="s">
        <v>576</v>
      </c>
    </row>
    <row r="292" spans="1:11" hidden="1">
      <c r="A292" s="295" t="s">
        <v>42</v>
      </c>
      <c r="B292" s="197" t="s">
        <v>566</v>
      </c>
      <c r="C292" s="293">
        <v>43783</v>
      </c>
      <c r="D292" s="412" t="s">
        <v>56</v>
      </c>
      <c r="E292" s="293" t="s">
        <v>55</v>
      </c>
      <c r="F292" s="293" t="s">
        <v>55</v>
      </c>
      <c r="G292" s="410" t="s">
        <v>69</v>
      </c>
      <c r="H292" s="410" t="s">
        <v>638</v>
      </c>
      <c r="I292" s="410" t="s">
        <v>610</v>
      </c>
      <c r="J292" s="410" t="s">
        <v>295</v>
      </c>
      <c r="K292" s="412" t="s">
        <v>576</v>
      </c>
    </row>
    <row r="293" spans="1:11" ht="39.6" hidden="1">
      <c r="A293" s="295" t="s">
        <v>42</v>
      </c>
      <c r="B293" s="197" t="s">
        <v>566</v>
      </c>
      <c r="C293" s="293">
        <v>43783</v>
      </c>
      <c r="D293" s="412" t="s">
        <v>56</v>
      </c>
      <c r="E293" s="293" t="s">
        <v>55</v>
      </c>
      <c r="F293" s="293" t="s">
        <v>55</v>
      </c>
      <c r="G293" s="410" t="s">
        <v>69</v>
      </c>
      <c r="H293" s="410" t="s">
        <v>640</v>
      </c>
      <c r="I293" s="410" t="s">
        <v>642</v>
      </c>
      <c r="J293" s="410" t="s">
        <v>295</v>
      </c>
      <c r="K293" s="412" t="s">
        <v>576</v>
      </c>
    </row>
    <row r="294" spans="1:11" hidden="1">
      <c r="A294" s="295" t="s">
        <v>42</v>
      </c>
      <c r="B294" s="197" t="s">
        <v>566</v>
      </c>
      <c r="C294" s="293">
        <v>43783</v>
      </c>
      <c r="D294" s="412" t="s">
        <v>56</v>
      </c>
      <c r="E294" s="293" t="s">
        <v>55</v>
      </c>
      <c r="F294" s="293" t="s">
        <v>55</v>
      </c>
      <c r="G294" s="410" t="s">
        <v>69</v>
      </c>
      <c r="H294" s="410" t="s">
        <v>641</v>
      </c>
      <c r="I294" s="410" t="s">
        <v>644</v>
      </c>
      <c r="J294" s="410" t="s">
        <v>295</v>
      </c>
      <c r="K294" s="412" t="s">
        <v>576</v>
      </c>
    </row>
    <row r="295" spans="1:11" hidden="1">
      <c r="A295" s="295" t="s">
        <v>42</v>
      </c>
      <c r="B295" s="197" t="s">
        <v>566</v>
      </c>
      <c r="C295" s="293">
        <v>43783</v>
      </c>
      <c r="D295" s="412" t="s">
        <v>56</v>
      </c>
      <c r="E295" s="293" t="s">
        <v>55</v>
      </c>
      <c r="F295" s="293" t="s">
        <v>55</v>
      </c>
      <c r="G295" s="410" t="s">
        <v>69</v>
      </c>
      <c r="H295" s="410" t="s">
        <v>643</v>
      </c>
      <c r="I295" s="410" t="s">
        <v>610</v>
      </c>
      <c r="J295" s="410" t="s">
        <v>295</v>
      </c>
      <c r="K295" s="412" t="s">
        <v>576</v>
      </c>
    </row>
    <row r="296" spans="1:11" ht="39.6" hidden="1">
      <c r="A296" s="295" t="s">
        <v>42</v>
      </c>
      <c r="B296" s="197" t="s">
        <v>566</v>
      </c>
      <c r="C296" s="293">
        <v>43783</v>
      </c>
      <c r="D296" s="412" t="s">
        <v>56</v>
      </c>
      <c r="E296" s="293" t="s">
        <v>55</v>
      </c>
      <c r="F296" s="293" t="s">
        <v>55</v>
      </c>
      <c r="G296" s="410" t="s">
        <v>69</v>
      </c>
      <c r="H296" s="410" t="s">
        <v>645</v>
      </c>
      <c r="I296" s="410" t="s">
        <v>647</v>
      </c>
      <c r="J296" s="410" t="s">
        <v>295</v>
      </c>
      <c r="K296" s="412" t="s">
        <v>576</v>
      </c>
    </row>
    <row r="297" spans="1:11" hidden="1">
      <c r="A297" s="295" t="s">
        <v>42</v>
      </c>
      <c r="B297" s="197" t="s">
        <v>566</v>
      </c>
      <c r="C297" s="293">
        <v>43783</v>
      </c>
      <c r="D297" s="412" t="s">
        <v>56</v>
      </c>
      <c r="E297" s="293" t="s">
        <v>55</v>
      </c>
      <c r="F297" s="293" t="s">
        <v>55</v>
      </c>
      <c r="G297" s="410" t="s">
        <v>69</v>
      </c>
      <c r="H297" s="410" t="s">
        <v>646</v>
      </c>
      <c r="I297" s="410" t="s">
        <v>649</v>
      </c>
      <c r="J297" s="410" t="s">
        <v>295</v>
      </c>
      <c r="K297" s="412" t="s">
        <v>576</v>
      </c>
    </row>
    <row r="298" spans="1:11" hidden="1">
      <c r="A298" s="295" t="s">
        <v>42</v>
      </c>
      <c r="B298" s="197" t="s">
        <v>566</v>
      </c>
      <c r="C298" s="293">
        <v>43783</v>
      </c>
      <c r="D298" s="412" t="s">
        <v>56</v>
      </c>
      <c r="E298" s="293" t="s">
        <v>55</v>
      </c>
      <c r="F298" s="293" t="s">
        <v>55</v>
      </c>
      <c r="G298" s="410" t="s">
        <v>69</v>
      </c>
      <c r="H298" s="410" t="s">
        <v>648</v>
      </c>
      <c r="I298" s="410" t="s">
        <v>610</v>
      </c>
      <c r="J298" s="410" t="s">
        <v>295</v>
      </c>
      <c r="K298" s="412" t="s">
        <v>576</v>
      </c>
    </row>
    <row r="299" spans="1:11" ht="39.6" hidden="1">
      <c r="A299" s="295" t="s">
        <v>42</v>
      </c>
      <c r="B299" s="197" t="s">
        <v>566</v>
      </c>
      <c r="C299" s="293">
        <v>43783</v>
      </c>
      <c r="D299" s="412" t="s">
        <v>56</v>
      </c>
      <c r="E299" s="293" t="s">
        <v>55</v>
      </c>
      <c r="F299" s="293" t="s">
        <v>55</v>
      </c>
      <c r="G299" s="410" t="s">
        <v>69</v>
      </c>
      <c r="H299" s="410" t="s">
        <v>650</v>
      </c>
      <c r="I299" s="410" t="s">
        <v>652</v>
      </c>
      <c r="J299" s="410" t="s">
        <v>295</v>
      </c>
      <c r="K299" s="412" t="s">
        <v>576</v>
      </c>
    </row>
    <row r="300" spans="1:11" hidden="1">
      <c r="A300" s="295" t="s">
        <v>42</v>
      </c>
      <c r="B300" s="197" t="s">
        <v>566</v>
      </c>
      <c r="C300" s="293">
        <v>43783</v>
      </c>
      <c r="D300" s="412" t="s">
        <v>56</v>
      </c>
      <c r="E300" s="293" t="s">
        <v>55</v>
      </c>
      <c r="F300" s="293" t="s">
        <v>55</v>
      </c>
      <c r="G300" s="410" t="s">
        <v>69</v>
      </c>
      <c r="H300" s="410" t="s">
        <v>651</v>
      </c>
      <c r="I300" s="410" t="s">
        <v>654</v>
      </c>
      <c r="J300" s="410" t="s">
        <v>295</v>
      </c>
      <c r="K300" s="412" t="s">
        <v>576</v>
      </c>
    </row>
    <row r="301" spans="1:11" hidden="1">
      <c r="A301" s="295" t="s">
        <v>42</v>
      </c>
      <c r="B301" s="197" t="s">
        <v>566</v>
      </c>
      <c r="C301" s="293">
        <v>43783</v>
      </c>
      <c r="D301" s="412" t="s">
        <v>56</v>
      </c>
      <c r="E301" s="293" t="s">
        <v>55</v>
      </c>
      <c r="F301" s="293" t="s">
        <v>55</v>
      </c>
      <c r="G301" s="410" t="s">
        <v>69</v>
      </c>
      <c r="H301" s="410" t="s">
        <v>653</v>
      </c>
      <c r="I301" s="410" t="s">
        <v>610</v>
      </c>
      <c r="J301" s="410" t="s">
        <v>295</v>
      </c>
      <c r="K301" s="412" t="s">
        <v>576</v>
      </c>
    </row>
    <row r="302" spans="1:11" ht="39.6" hidden="1">
      <c r="A302" s="295" t="s">
        <v>42</v>
      </c>
      <c r="B302" s="197" t="s">
        <v>566</v>
      </c>
      <c r="C302" s="293">
        <v>43783</v>
      </c>
      <c r="D302" s="412" t="s">
        <v>56</v>
      </c>
      <c r="E302" s="293" t="s">
        <v>55</v>
      </c>
      <c r="F302" s="293" t="s">
        <v>55</v>
      </c>
      <c r="G302" s="410" t="s">
        <v>69</v>
      </c>
      <c r="H302" s="410" t="s">
        <v>655</v>
      </c>
      <c r="I302" s="410" t="s">
        <v>657</v>
      </c>
      <c r="J302" s="410" t="s">
        <v>295</v>
      </c>
      <c r="K302" s="412" t="s">
        <v>576</v>
      </c>
    </row>
    <row r="303" spans="1:11" hidden="1">
      <c r="A303" s="295" t="s">
        <v>42</v>
      </c>
      <c r="B303" s="197" t="s">
        <v>566</v>
      </c>
      <c r="C303" s="293">
        <v>43783</v>
      </c>
      <c r="D303" s="412" t="s">
        <v>56</v>
      </c>
      <c r="E303" s="293" t="s">
        <v>55</v>
      </c>
      <c r="F303" s="293" t="s">
        <v>55</v>
      </c>
      <c r="G303" s="410" t="s">
        <v>69</v>
      </c>
      <c r="H303" s="410" t="s">
        <v>656</v>
      </c>
      <c r="I303" s="410" t="s">
        <v>659</v>
      </c>
      <c r="J303" s="410" t="s">
        <v>295</v>
      </c>
      <c r="K303" s="412" t="s">
        <v>576</v>
      </c>
    </row>
    <row r="304" spans="1:11" hidden="1">
      <c r="A304" s="295" t="s">
        <v>42</v>
      </c>
      <c r="B304" s="197" t="s">
        <v>566</v>
      </c>
      <c r="C304" s="293">
        <v>43783</v>
      </c>
      <c r="D304" s="412" t="s">
        <v>56</v>
      </c>
      <c r="E304" s="293" t="s">
        <v>55</v>
      </c>
      <c r="F304" s="293" t="s">
        <v>55</v>
      </c>
      <c r="G304" s="410" t="s">
        <v>69</v>
      </c>
      <c r="H304" s="410" t="s">
        <v>658</v>
      </c>
      <c r="I304" s="410" t="s">
        <v>610</v>
      </c>
      <c r="J304" s="410" t="s">
        <v>295</v>
      </c>
      <c r="K304" s="412" t="s">
        <v>576</v>
      </c>
    </row>
    <row r="305" spans="1:11" ht="39.6" hidden="1">
      <c r="A305" s="295" t="s">
        <v>42</v>
      </c>
      <c r="B305" s="197" t="s">
        <v>566</v>
      </c>
      <c r="C305" s="293">
        <v>43783</v>
      </c>
      <c r="D305" s="412" t="s">
        <v>56</v>
      </c>
      <c r="E305" s="293" t="s">
        <v>55</v>
      </c>
      <c r="F305" s="293" t="s">
        <v>55</v>
      </c>
      <c r="G305" s="410" t="s">
        <v>69</v>
      </c>
      <c r="H305" s="410" t="s">
        <v>660</v>
      </c>
      <c r="I305" s="410" t="s">
        <v>662</v>
      </c>
      <c r="J305" s="410" t="s">
        <v>295</v>
      </c>
      <c r="K305" s="412" t="s">
        <v>576</v>
      </c>
    </row>
    <row r="306" spans="1:11" hidden="1">
      <c r="A306" s="295" t="s">
        <v>42</v>
      </c>
      <c r="B306" s="197" t="s">
        <v>566</v>
      </c>
      <c r="C306" s="293">
        <v>43783</v>
      </c>
      <c r="D306" s="412" t="s">
        <v>56</v>
      </c>
      <c r="E306" s="293" t="s">
        <v>55</v>
      </c>
      <c r="F306" s="293" t="s">
        <v>55</v>
      </c>
      <c r="G306" s="410" t="s">
        <v>69</v>
      </c>
      <c r="H306" s="410" t="s">
        <v>661</v>
      </c>
      <c r="I306" s="410" t="s">
        <v>664</v>
      </c>
      <c r="J306" s="410" t="s">
        <v>295</v>
      </c>
      <c r="K306" s="412" t="s">
        <v>576</v>
      </c>
    </row>
    <row r="307" spans="1:11" hidden="1">
      <c r="A307" s="295" t="s">
        <v>42</v>
      </c>
      <c r="B307" s="197" t="s">
        <v>566</v>
      </c>
      <c r="C307" s="293">
        <v>43783</v>
      </c>
      <c r="D307" s="412" t="s">
        <v>56</v>
      </c>
      <c r="E307" s="293" t="s">
        <v>55</v>
      </c>
      <c r="F307" s="293" t="s">
        <v>55</v>
      </c>
      <c r="G307" s="410" t="s">
        <v>69</v>
      </c>
      <c r="H307" s="410" t="s">
        <v>663</v>
      </c>
      <c r="I307" s="410" t="s">
        <v>610</v>
      </c>
      <c r="J307" s="410" t="s">
        <v>295</v>
      </c>
      <c r="K307" s="412" t="s">
        <v>576</v>
      </c>
    </row>
    <row r="308" spans="1:11" ht="39.6" hidden="1">
      <c r="A308" s="295" t="s">
        <v>42</v>
      </c>
      <c r="B308" s="197" t="s">
        <v>566</v>
      </c>
      <c r="C308" s="293">
        <v>43783</v>
      </c>
      <c r="D308" s="412" t="s">
        <v>56</v>
      </c>
      <c r="E308" s="293" t="s">
        <v>55</v>
      </c>
      <c r="F308" s="293" t="s">
        <v>55</v>
      </c>
      <c r="G308" s="410" t="s">
        <v>69</v>
      </c>
      <c r="H308" s="410" t="s">
        <v>665</v>
      </c>
      <c r="I308" s="410" t="s">
        <v>667</v>
      </c>
      <c r="J308" s="410" t="s">
        <v>295</v>
      </c>
      <c r="K308" s="412" t="s">
        <v>576</v>
      </c>
    </row>
    <row r="309" spans="1:11" ht="39.6" hidden="1">
      <c r="A309" s="295" t="s">
        <v>42</v>
      </c>
      <c r="B309" s="197" t="s">
        <v>566</v>
      </c>
      <c r="C309" s="293">
        <v>43783</v>
      </c>
      <c r="D309" s="412" t="s">
        <v>56</v>
      </c>
      <c r="E309" s="293" t="s">
        <v>55</v>
      </c>
      <c r="F309" s="293" t="s">
        <v>55</v>
      </c>
      <c r="G309" s="410" t="s">
        <v>69</v>
      </c>
      <c r="H309" s="410" t="s">
        <v>666</v>
      </c>
      <c r="I309" s="410" t="s">
        <v>669</v>
      </c>
      <c r="J309" s="410" t="s">
        <v>295</v>
      </c>
      <c r="K309" s="412" t="s">
        <v>576</v>
      </c>
    </row>
    <row r="310" spans="1:11" ht="26.4" hidden="1">
      <c r="A310" s="295" t="s">
        <v>42</v>
      </c>
      <c r="B310" s="197" t="s">
        <v>566</v>
      </c>
      <c r="C310" s="293">
        <v>43783</v>
      </c>
      <c r="D310" s="412" t="s">
        <v>56</v>
      </c>
      <c r="E310" s="296" t="s">
        <v>55</v>
      </c>
      <c r="F310" s="293" t="s">
        <v>55</v>
      </c>
      <c r="G310" s="410" t="s">
        <v>69</v>
      </c>
      <c r="H310" s="410" t="s">
        <v>668</v>
      </c>
      <c r="I310" s="410" t="s">
        <v>671</v>
      </c>
      <c r="J310" s="410" t="s">
        <v>295</v>
      </c>
      <c r="K310" s="412" t="s">
        <v>576</v>
      </c>
    </row>
    <row r="311" spans="1:11" hidden="1">
      <c r="A311" s="295" t="s">
        <v>42</v>
      </c>
      <c r="B311" s="197" t="s">
        <v>566</v>
      </c>
      <c r="C311" s="293">
        <v>43783</v>
      </c>
      <c r="D311" s="412" t="s">
        <v>56</v>
      </c>
      <c r="E311" s="293" t="s">
        <v>55</v>
      </c>
      <c r="F311" s="293" t="s">
        <v>55</v>
      </c>
      <c r="G311" s="410" t="s">
        <v>69</v>
      </c>
      <c r="H311" s="410" t="s">
        <v>670</v>
      </c>
      <c r="I311" s="410" t="s">
        <v>673</v>
      </c>
      <c r="J311" s="410" t="s">
        <v>295</v>
      </c>
      <c r="K311" s="412" t="s">
        <v>576</v>
      </c>
    </row>
    <row r="312" spans="1:11" hidden="1">
      <c r="A312" s="295" t="s">
        <v>42</v>
      </c>
      <c r="B312" s="197" t="s">
        <v>566</v>
      </c>
      <c r="C312" s="293">
        <v>43783</v>
      </c>
      <c r="D312" s="412" t="s">
        <v>56</v>
      </c>
      <c r="E312" s="293" t="s">
        <v>55</v>
      </c>
      <c r="F312" s="293" t="s">
        <v>55</v>
      </c>
      <c r="G312" s="410" t="s">
        <v>69</v>
      </c>
      <c r="H312" s="410" t="s">
        <v>672</v>
      </c>
      <c r="I312" s="410" t="s">
        <v>81</v>
      </c>
      <c r="J312" s="410" t="s">
        <v>295</v>
      </c>
      <c r="K312" s="412" t="s">
        <v>576</v>
      </c>
    </row>
    <row r="313" spans="1:11" hidden="1">
      <c r="A313" s="295" t="s">
        <v>42</v>
      </c>
      <c r="B313" s="197" t="s">
        <v>566</v>
      </c>
      <c r="C313" s="293">
        <v>43783</v>
      </c>
      <c r="D313" s="412" t="s">
        <v>56</v>
      </c>
      <c r="E313" s="293" t="s">
        <v>55</v>
      </c>
      <c r="F313" s="293" t="s">
        <v>55</v>
      </c>
      <c r="G313" s="410" t="s">
        <v>69</v>
      </c>
      <c r="H313" s="410" t="s">
        <v>674</v>
      </c>
      <c r="I313" s="410" t="s">
        <v>87</v>
      </c>
      <c r="J313" s="410" t="s">
        <v>295</v>
      </c>
      <c r="K313" s="412" t="s">
        <v>576</v>
      </c>
    </row>
    <row r="314" spans="1:11" hidden="1">
      <c r="A314" s="295" t="s">
        <v>42</v>
      </c>
      <c r="B314" s="197" t="s">
        <v>566</v>
      </c>
      <c r="C314" s="293">
        <v>43783</v>
      </c>
      <c r="D314" s="412" t="s">
        <v>56</v>
      </c>
      <c r="E314" s="293" t="s">
        <v>55</v>
      </c>
      <c r="F314" s="293" t="s">
        <v>55</v>
      </c>
      <c r="G314" s="410" t="s">
        <v>69</v>
      </c>
      <c r="H314" s="410" t="s">
        <v>675</v>
      </c>
      <c r="I314" s="410">
        <v>3.5999999999999999E-3</v>
      </c>
      <c r="J314" s="410" t="s">
        <v>295</v>
      </c>
      <c r="K314" s="412" t="s">
        <v>576</v>
      </c>
    </row>
    <row r="315" spans="1:11" ht="39.6" hidden="1">
      <c r="A315" s="295" t="s">
        <v>42</v>
      </c>
      <c r="B315" s="197" t="s">
        <v>566</v>
      </c>
      <c r="C315" s="293">
        <v>43783</v>
      </c>
      <c r="D315" s="412" t="s">
        <v>56</v>
      </c>
      <c r="E315" s="293" t="s">
        <v>55</v>
      </c>
      <c r="F315" s="293" t="s">
        <v>55</v>
      </c>
      <c r="G315" s="410" t="s">
        <v>69</v>
      </c>
      <c r="H315" s="410" t="s">
        <v>676</v>
      </c>
      <c r="I315" s="410" t="s">
        <v>534</v>
      </c>
      <c r="J315" s="410" t="s">
        <v>295</v>
      </c>
      <c r="K315" s="412" t="s">
        <v>576</v>
      </c>
    </row>
    <row r="316" spans="1:11" hidden="1">
      <c r="A316" s="295" t="s">
        <v>42</v>
      </c>
      <c r="B316" s="197" t="s">
        <v>566</v>
      </c>
      <c r="C316" s="293">
        <v>43783</v>
      </c>
      <c r="D316" s="412" t="s">
        <v>56</v>
      </c>
      <c r="E316" s="293" t="s">
        <v>55</v>
      </c>
      <c r="F316" s="293" t="s">
        <v>55</v>
      </c>
      <c r="G316" s="410" t="s">
        <v>69</v>
      </c>
      <c r="H316" s="410" t="s">
        <v>677</v>
      </c>
      <c r="I316" s="410" t="s">
        <v>679</v>
      </c>
      <c r="J316" s="410" t="s">
        <v>295</v>
      </c>
      <c r="K316" s="412" t="s">
        <v>576</v>
      </c>
    </row>
    <row r="317" spans="1:11" ht="26.4" hidden="1">
      <c r="A317" s="295" t="s">
        <v>42</v>
      </c>
      <c r="B317" s="197" t="s">
        <v>566</v>
      </c>
      <c r="C317" s="293">
        <v>43783</v>
      </c>
      <c r="D317" s="412" t="s">
        <v>56</v>
      </c>
      <c r="E317" s="293" t="s">
        <v>55</v>
      </c>
      <c r="F317" s="293" t="s">
        <v>55</v>
      </c>
      <c r="G317" s="410" t="s">
        <v>69</v>
      </c>
      <c r="H317" s="410" t="s">
        <v>678</v>
      </c>
      <c r="I317" s="410"/>
      <c r="J317" s="410"/>
      <c r="K317" s="412" t="s">
        <v>681</v>
      </c>
    </row>
    <row r="318" spans="1:11" ht="26.4" hidden="1">
      <c r="A318" s="295" t="s">
        <v>42</v>
      </c>
      <c r="B318" s="197" t="s">
        <v>566</v>
      </c>
      <c r="C318" s="293">
        <v>43783</v>
      </c>
      <c r="D318" s="412" t="s">
        <v>56</v>
      </c>
      <c r="E318" s="293" t="s">
        <v>55</v>
      </c>
      <c r="F318" s="293" t="s">
        <v>55</v>
      </c>
      <c r="G318" s="410" t="s">
        <v>69</v>
      </c>
      <c r="H318" s="410" t="s">
        <v>680</v>
      </c>
      <c r="I318" s="410" t="s">
        <v>683</v>
      </c>
      <c r="J318" s="410" t="s">
        <v>295</v>
      </c>
      <c r="K318" s="412" t="s">
        <v>681</v>
      </c>
    </row>
    <row r="319" spans="1:11" ht="26.4" hidden="1">
      <c r="A319" s="295" t="s">
        <v>42</v>
      </c>
      <c r="B319" s="197" t="s">
        <v>566</v>
      </c>
      <c r="C319" s="293">
        <v>43783</v>
      </c>
      <c r="D319" s="412" t="s">
        <v>56</v>
      </c>
      <c r="E319" s="293" t="s">
        <v>55</v>
      </c>
      <c r="F319" s="293" t="s">
        <v>55</v>
      </c>
      <c r="G319" s="410" t="s">
        <v>69</v>
      </c>
      <c r="H319" s="410" t="s">
        <v>682</v>
      </c>
      <c r="I319" s="198" t="s">
        <v>685</v>
      </c>
      <c r="J319" s="410" t="s">
        <v>295</v>
      </c>
      <c r="K319" s="412" t="s">
        <v>686</v>
      </c>
    </row>
    <row r="320" spans="1:11" ht="26.4" hidden="1">
      <c r="A320" s="295" t="s">
        <v>42</v>
      </c>
      <c r="B320" s="197" t="s">
        <v>566</v>
      </c>
      <c r="C320" s="293">
        <v>43783</v>
      </c>
      <c r="D320" s="412" t="s">
        <v>56</v>
      </c>
      <c r="E320" s="296" t="s">
        <v>55</v>
      </c>
      <c r="F320" s="293" t="s">
        <v>55</v>
      </c>
      <c r="G320" s="410" t="s">
        <v>69</v>
      </c>
      <c r="H320" s="410" t="s">
        <v>684</v>
      </c>
      <c r="I320" s="410" t="s">
        <v>688</v>
      </c>
      <c r="J320" s="410" t="s">
        <v>295</v>
      </c>
      <c r="K320" s="412" t="s">
        <v>681</v>
      </c>
    </row>
    <row r="321" spans="1:11" ht="26.4" hidden="1">
      <c r="A321" s="295" t="s">
        <v>42</v>
      </c>
      <c r="B321" s="197" t="s">
        <v>566</v>
      </c>
      <c r="C321" s="293">
        <v>43783</v>
      </c>
      <c r="D321" s="412" t="s">
        <v>56</v>
      </c>
      <c r="E321" s="293" t="s">
        <v>55</v>
      </c>
      <c r="F321" s="293" t="s">
        <v>55</v>
      </c>
      <c r="G321" s="410" t="s">
        <v>69</v>
      </c>
      <c r="H321" s="410" t="s">
        <v>687</v>
      </c>
      <c r="I321" s="410" t="s">
        <v>690</v>
      </c>
      <c r="J321" s="410" t="s">
        <v>295</v>
      </c>
      <c r="K321" s="412" t="s">
        <v>681</v>
      </c>
    </row>
    <row r="322" spans="1:11" ht="26.4" hidden="1">
      <c r="A322" s="295" t="s">
        <v>42</v>
      </c>
      <c r="B322" s="197" t="s">
        <v>566</v>
      </c>
      <c r="C322" s="293">
        <v>43783</v>
      </c>
      <c r="D322" s="412" t="s">
        <v>56</v>
      </c>
      <c r="E322" s="296" t="s">
        <v>55</v>
      </c>
      <c r="F322" s="293" t="s">
        <v>55</v>
      </c>
      <c r="G322" s="410" t="s">
        <v>69</v>
      </c>
      <c r="H322" s="410" t="s">
        <v>689</v>
      </c>
      <c r="I322" s="410"/>
      <c r="J322" s="410"/>
      <c r="K322" s="412" t="s">
        <v>681</v>
      </c>
    </row>
    <row r="323" spans="1:11" ht="26.4" hidden="1">
      <c r="A323" s="295" t="s">
        <v>42</v>
      </c>
      <c r="B323" s="197" t="s">
        <v>566</v>
      </c>
      <c r="C323" s="293">
        <v>43783</v>
      </c>
      <c r="D323" s="412" t="s">
        <v>56</v>
      </c>
      <c r="E323" s="293" t="s">
        <v>55</v>
      </c>
      <c r="F323" s="293" t="s">
        <v>55</v>
      </c>
      <c r="G323" s="410" t="s">
        <v>159</v>
      </c>
      <c r="H323" s="410" t="s">
        <v>691</v>
      </c>
      <c r="I323" s="410" t="s">
        <v>693</v>
      </c>
      <c r="J323" s="410" t="s">
        <v>295</v>
      </c>
      <c r="K323" s="412" t="s">
        <v>681</v>
      </c>
    </row>
    <row r="324" spans="1:11" ht="26.4" hidden="1">
      <c r="A324" s="295" t="s">
        <v>42</v>
      </c>
      <c r="B324" s="197" t="s">
        <v>566</v>
      </c>
      <c r="C324" s="293">
        <v>43783</v>
      </c>
      <c r="D324" s="412" t="s">
        <v>56</v>
      </c>
      <c r="E324" s="293" t="s">
        <v>55</v>
      </c>
      <c r="F324" s="293" t="s">
        <v>55</v>
      </c>
      <c r="G324" s="410" t="s">
        <v>159</v>
      </c>
      <c r="H324" s="410" t="s">
        <v>692</v>
      </c>
      <c r="I324" s="410" t="s">
        <v>694</v>
      </c>
      <c r="J324" s="410" t="s">
        <v>295</v>
      </c>
      <c r="K324" s="412" t="s">
        <v>681</v>
      </c>
    </row>
    <row r="325" spans="1:11" ht="26.4" hidden="1">
      <c r="A325" s="295" t="s">
        <v>42</v>
      </c>
      <c r="B325" s="197" t="s">
        <v>566</v>
      </c>
      <c r="C325" s="293">
        <v>43783</v>
      </c>
      <c r="D325" s="412" t="s">
        <v>56</v>
      </c>
      <c r="E325" s="293" t="s">
        <v>55</v>
      </c>
      <c r="F325" s="293" t="s">
        <v>55</v>
      </c>
      <c r="G325" s="410" t="s">
        <v>159</v>
      </c>
      <c r="H325" s="410" t="s">
        <v>131</v>
      </c>
      <c r="I325" s="410" t="s">
        <v>695</v>
      </c>
      <c r="J325" s="410" t="s">
        <v>295</v>
      </c>
      <c r="K325" s="412" t="s">
        <v>681</v>
      </c>
    </row>
    <row r="326" spans="1:11" ht="26.4" hidden="1">
      <c r="A326" s="295" t="s">
        <v>42</v>
      </c>
      <c r="B326" s="197" t="s">
        <v>566</v>
      </c>
      <c r="C326" s="293">
        <v>43783</v>
      </c>
      <c r="D326" s="412" t="s">
        <v>56</v>
      </c>
      <c r="E326" s="293" t="s">
        <v>55</v>
      </c>
      <c r="F326" s="293" t="s">
        <v>55</v>
      </c>
      <c r="G326" s="410" t="s">
        <v>159</v>
      </c>
      <c r="H326" s="410" t="s">
        <v>320</v>
      </c>
      <c r="I326" s="410" t="s">
        <v>697</v>
      </c>
      <c r="J326" s="410" t="s">
        <v>295</v>
      </c>
      <c r="K326" s="412" t="s">
        <v>681</v>
      </c>
    </row>
    <row r="327" spans="1:11" ht="39.6" hidden="1">
      <c r="A327" s="295" t="s">
        <v>42</v>
      </c>
      <c r="B327" s="197" t="s">
        <v>566</v>
      </c>
      <c r="C327" s="293">
        <v>43783</v>
      </c>
      <c r="D327" s="412" t="s">
        <v>56</v>
      </c>
      <c r="E327" s="296" t="s">
        <v>55</v>
      </c>
      <c r="F327" s="293" t="s">
        <v>55</v>
      </c>
      <c r="G327" s="410" t="s">
        <v>159</v>
      </c>
      <c r="H327" s="410" t="s">
        <v>696</v>
      </c>
      <c r="I327" s="410" t="s">
        <v>699</v>
      </c>
      <c r="J327" s="410" t="s">
        <v>700</v>
      </c>
      <c r="K327" s="412" t="s">
        <v>570</v>
      </c>
    </row>
    <row r="328" spans="1:11" ht="26.4" hidden="1">
      <c r="A328" s="295" t="s">
        <v>42</v>
      </c>
      <c r="B328" s="197" t="s">
        <v>566</v>
      </c>
      <c r="C328" s="293">
        <v>43783</v>
      </c>
      <c r="D328" s="412" t="s">
        <v>56</v>
      </c>
      <c r="E328" s="293" t="s">
        <v>55</v>
      </c>
      <c r="F328" s="293" t="s">
        <v>55</v>
      </c>
      <c r="G328" s="410" t="s">
        <v>159</v>
      </c>
      <c r="H328" s="410" t="s">
        <v>698</v>
      </c>
      <c r="I328" s="410" t="s">
        <v>702</v>
      </c>
      <c r="J328" s="410" t="s">
        <v>295</v>
      </c>
      <c r="K328" s="412" t="s">
        <v>681</v>
      </c>
    </row>
    <row r="329" spans="1:11" ht="39.6" hidden="1">
      <c r="A329" s="295" t="s">
        <v>42</v>
      </c>
      <c r="B329" s="197" t="s">
        <v>566</v>
      </c>
      <c r="C329" s="293">
        <v>43783</v>
      </c>
      <c r="D329" s="412" t="s">
        <v>56</v>
      </c>
      <c r="E329" s="293" t="s">
        <v>55</v>
      </c>
      <c r="F329" s="293" t="s">
        <v>55</v>
      </c>
      <c r="G329" s="410" t="s">
        <v>159</v>
      </c>
      <c r="H329" s="410" t="s">
        <v>701</v>
      </c>
      <c r="I329" s="410" t="s">
        <v>704</v>
      </c>
      <c r="J329" s="410" t="s">
        <v>705</v>
      </c>
      <c r="K329" s="412" t="s">
        <v>706</v>
      </c>
    </row>
    <row r="330" spans="1:11" ht="39.6" hidden="1">
      <c r="A330" s="295" t="s">
        <v>42</v>
      </c>
      <c r="B330" s="197" t="s">
        <v>566</v>
      </c>
      <c r="C330" s="293">
        <v>43783</v>
      </c>
      <c r="D330" s="412" t="s">
        <v>56</v>
      </c>
      <c r="E330" s="293" t="s">
        <v>55</v>
      </c>
      <c r="F330" s="293" t="s">
        <v>55</v>
      </c>
      <c r="G330" s="410" t="s">
        <v>159</v>
      </c>
      <c r="H330" s="410" t="s">
        <v>703</v>
      </c>
      <c r="I330" s="410" t="s">
        <v>708</v>
      </c>
      <c r="J330" s="410" t="s">
        <v>709</v>
      </c>
      <c r="K330" s="412" t="s">
        <v>706</v>
      </c>
    </row>
    <row r="331" spans="1:11" ht="39.6" hidden="1">
      <c r="A331" s="295" t="s">
        <v>42</v>
      </c>
      <c r="B331" s="197" t="s">
        <v>566</v>
      </c>
      <c r="C331" s="293">
        <v>43783</v>
      </c>
      <c r="D331" s="412" t="s">
        <v>56</v>
      </c>
      <c r="E331" s="293" t="s">
        <v>55</v>
      </c>
      <c r="F331" s="293" t="s">
        <v>55</v>
      </c>
      <c r="G331" s="410" t="s">
        <v>159</v>
      </c>
      <c r="H331" s="410" t="s">
        <v>707</v>
      </c>
      <c r="I331" s="198" t="s">
        <v>711</v>
      </c>
      <c r="J331" s="410" t="s">
        <v>712</v>
      </c>
      <c r="K331" s="412" t="s">
        <v>570</v>
      </c>
    </row>
    <row r="332" spans="1:11" ht="39.6" hidden="1">
      <c r="A332" s="295" t="s">
        <v>42</v>
      </c>
      <c r="B332" s="197" t="s">
        <v>566</v>
      </c>
      <c r="C332" s="293">
        <v>43783</v>
      </c>
      <c r="D332" s="412" t="s">
        <v>56</v>
      </c>
      <c r="E332" s="293" t="s">
        <v>55</v>
      </c>
      <c r="F332" s="293" t="s">
        <v>55</v>
      </c>
      <c r="G332" s="410" t="s">
        <v>159</v>
      </c>
      <c r="H332" s="410" t="s">
        <v>710</v>
      </c>
      <c r="I332" s="198" t="s">
        <v>714</v>
      </c>
      <c r="J332" s="410" t="s">
        <v>715</v>
      </c>
      <c r="K332" s="412" t="s">
        <v>570</v>
      </c>
    </row>
    <row r="333" spans="1:11" ht="39.6" hidden="1">
      <c r="A333" s="295" t="s">
        <v>42</v>
      </c>
      <c r="B333" s="197" t="s">
        <v>566</v>
      </c>
      <c r="C333" s="293">
        <v>43783</v>
      </c>
      <c r="D333" s="412" t="s">
        <v>56</v>
      </c>
      <c r="E333" s="293" t="s">
        <v>55</v>
      </c>
      <c r="F333" s="293" t="s">
        <v>55</v>
      </c>
      <c r="G333" s="410" t="s">
        <v>159</v>
      </c>
      <c r="H333" s="410" t="s">
        <v>713</v>
      </c>
      <c r="I333" s="198" t="s">
        <v>716</v>
      </c>
      <c r="J333" s="410" t="s">
        <v>717</v>
      </c>
      <c r="K333" s="412" t="s">
        <v>570</v>
      </c>
    </row>
    <row r="334" spans="1:11" ht="39.6" hidden="1">
      <c r="A334" s="295" t="s">
        <v>42</v>
      </c>
      <c r="B334" s="197" t="s">
        <v>566</v>
      </c>
      <c r="C334" s="293">
        <v>43783</v>
      </c>
      <c r="D334" s="412" t="s">
        <v>56</v>
      </c>
      <c r="E334" s="293" t="s">
        <v>55</v>
      </c>
      <c r="F334" s="293" t="s">
        <v>55</v>
      </c>
      <c r="G334" s="410" t="s">
        <v>159</v>
      </c>
      <c r="H334" s="410" t="s">
        <v>322</v>
      </c>
      <c r="I334" s="410" t="s">
        <v>719</v>
      </c>
      <c r="J334" s="410" t="s">
        <v>295</v>
      </c>
      <c r="K334" s="412" t="s">
        <v>720</v>
      </c>
    </row>
    <row r="335" spans="1:11" ht="66" hidden="1">
      <c r="A335" s="295" t="s">
        <v>42</v>
      </c>
      <c r="B335" s="197" t="s">
        <v>566</v>
      </c>
      <c r="C335" s="293">
        <v>43783</v>
      </c>
      <c r="D335" s="412" t="s">
        <v>56</v>
      </c>
      <c r="E335" s="293" t="s">
        <v>55</v>
      </c>
      <c r="F335" s="293" t="s">
        <v>55</v>
      </c>
      <c r="G335" s="410" t="s">
        <v>159</v>
      </c>
      <c r="H335" s="410" t="s">
        <v>718</v>
      </c>
      <c r="I335" s="410" t="s">
        <v>722</v>
      </c>
      <c r="J335" s="410" t="s">
        <v>295</v>
      </c>
      <c r="K335" s="412" t="s">
        <v>720</v>
      </c>
    </row>
    <row r="336" spans="1:11" ht="26.4" hidden="1">
      <c r="A336" s="295" t="s">
        <v>42</v>
      </c>
      <c r="B336" s="197" t="s">
        <v>566</v>
      </c>
      <c r="C336" s="293">
        <v>43783</v>
      </c>
      <c r="D336" s="412" t="s">
        <v>56</v>
      </c>
      <c r="E336" s="293" t="s">
        <v>55</v>
      </c>
      <c r="F336" s="293" t="s">
        <v>55</v>
      </c>
      <c r="G336" s="410" t="s">
        <v>159</v>
      </c>
      <c r="H336" s="410" t="s">
        <v>721</v>
      </c>
      <c r="I336" s="410" t="s">
        <v>724</v>
      </c>
      <c r="J336" s="410" t="s">
        <v>725</v>
      </c>
      <c r="K336" s="412" t="s">
        <v>726</v>
      </c>
    </row>
    <row r="337" spans="1:11" ht="26.4" hidden="1">
      <c r="A337" s="295" t="s">
        <v>42</v>
      </c>
      <c r="B337" s="197" t="s">
        <v>566</v>
      </c>
      <c r="C337" s="293">
        <v>43783</v>
      </c>
      <c r="D337" s="412" t="s">
        <v>56</v>
      </c>
      <c r="E337" s="293" t="s">
        <v>55</v>
      </c>
      <c r="F337" s="293" t="s">
        <v>55</v>
      </c>
      <c r="G337" s="410" t="s">
        <v>159</v>
      </c>
      <c r="H337" s="410" t="s">
        <v>723</v>
      </c>
      <c r="I337" s="198" t="s">
        <v>728</v>
      </c>
      <c r="J337" s="410" t="s">
        <v>729</v>
      </c>
      <c r="K337" s="412" t="s">
        <v>730</v>
      </c>
    </row>
    <row r="338" spans="1:11" hidden="1">
      <c r="A338" s="295" t="s">
        <v>42</v>
      </c>
      <c r="B338" s="197" t="s">
        <v>566</v>
      </c>
      <c r="C338" s="293">
        <v>43783</v>
      </c>
      <c r="D338" s="412" t="s">
        <v>56</v>
      </c>
      <c r="E338" s="296" t="s">
        <v>55</v>
      </c>
      <c r="F338" s="293" t="s">
        <v>55</v>
      </c>
      <c r="G338" s="410" t="s">
        <v>159</v>
      </c>
      <c r="H338" s="410" t="s">
        <v>727</v>
      </c>
      <c r="I338" s="410"/>
      <c r="J338" s="410"/>
      <c r="K338" s="412" t="s">
        <v>732</v>
      </c>
    </row>
    <row r="339" spans="1:11" ht="39.6" hidden="1">
      <c r="A339" s="295" t="s">
        <v>42</v>
      </c>
      <c r="B339" s="197" t="s">
        <v>566</v>
      </c>
      <c r="C339" s="293">
        <v>43783</v>
      </c>
      <c r="D339" s="412" t="s">
        <v>56</v>
      </c>
      <c r="E339" s="293" t="s">
        <v>55</v>
      </c>
      <c r="F339" s="293" t="s">
        <v>55</v>
      </c>
      <c r="G339" s="410" t="s">
        <v>159</v>
      </c>
      <c r="H339" s="410" t="s">
        <v>731</v>
      </c>
      <c r="I339" s="410" t="s">
        <v>734</v>
      </c>
      <c r="J339" s="410" t="s">
        <v>295</v>
      </c>
      <c r="K339" s="412" t="s">
        <v>732</v>
      </c>
    </row>
    <row r="340" spans="1:11" ht="39.6" hidden="1">
      <c r="A340" s="295" t="s">
        <v>42</v>
      </c>
      <c r="B340" s="197" t="s">
        <v>566</v>
      </c>
      <c r="C340" s="293">
        <v>43791</v>
      </c>
      <c r="D340" s="412" t="s">
        <v>56</v>
      </c>
      <c r="E340" s="293" t="s">
        <v>55</v>
      </c>
      <c r="F340" s="293" t="s">
        <v>55</v>
      </c>
      <c r="G340" s="410" t="s">
        <v>159</v>
      </c>
      <c r="H340" s="410" t="s">
        <v>733</v>
      </c>
      <c r="I340" s="410" t="s">
        <v>736</v>
      </c>
      <c r="J340" s="410" t="s">
        <v>737</v>
      </c>
      <c r="K340" s="412" t="s">
        <v>732</v>
      </c>
    </row>
    <row r="341" spans="1:11" ht="66" hidden="1">
      <c r="A341" s="295" t="s">
        <v>42</v>
      </c>
      <c r="B341" s="197" t="s">
        <v>566</v>
      </c>
      <c r="C341" s="293">
        <v>43791</v>
      </c>
      <c r="D341" s="412" t="s">
        <v>56</v>
      </c>
      <c r="E341" s="293" t="s">
        <v>55</v>
      </c>
      <c r="F341" s="293" t="s">
        <v>55</v>
      </c>
      <c r="G341" s="410" t="s">
        <v>159</v>
      </c>
      <c r="H341" s="410" t="s">
        <v>735</v>
      </c>
      <c r="I341" s="410" t="s">
        <v>739</v>
      </c>
      <c r="J341" s="410" t="s">
        <v>740</v>
      </c>
      <c r="K341" s="412" t="s">
        <v>732</v>
      </c>
    </row>
    <row r="342" spans="1:11" ht="26.4" hidden="1">
      <c r="A342" s="295" t="s">
        <v>42</v>
      </c>
      <c r="B342" s="197" t="s">
        <v>566</v>
      </c>
      <c r="C342" s="293">
        <v>43791</v>
      </c>
      <c r="D342" s="412" t="s">
        <v>56</v>
      </c>
      <c r="E342" s="293" t="s">
        <v>55</v>
      </c>
      <c r="F342" s="293" t="s">
        <v>55</v>
      </c>
      <c r="G342" s="410" t="s">
        <v>159</v>
      </c>
      <c r="H342" s="410" t="s">
        <v>738</v>
      </c>
      <c r="I342" s="197" t="s">
        <v>742</v>
      </c>
      <c r="J342" s="197" t="s">
        <v>295</v>
      </c>
      <c r="K342" s="197" t="s">
        <v>743</v>
      </c>
    </row>
    <row r="343" spans="1:11" ht="26.4" hidden="1">
      <c r="A343" s="295" t="s">
        <v>42</v>
      </c>
      <c r="B343" s="197" t="s">
        <v>566</v>
      </c>
      <c r="C343" s="197">
        <v>43798</v>
      </c>
      <c r="D343" s="197" t="s">
        <v>56</v>
      </c>
      <c r="E343" s="293" t="s">
        <v>55</v>
      </c>
      <c r="F343" s="293" t="s">
        <v>55</v>
      </c>
      <c r="G343" s="197" t="s">
        <v>312</v>
      </c>
      <c r="H343" s="197" t="s">
        <v>741</v>
      </c>
      <c r="I343" s="197" t="s">
        <v>745</v>
      </c>
      <c r="J343" s="197" t="s">
        <v>295</v>
      </c>
      <c r="K343" s="197" t="s">
        <v>743</v>
      </c>
    </row>
    <row r="344" spans="1:11" ht="26.4" hidden="1">
      <c r="A344" s="295" t="s">
        <v>42</v>
      </c>
      <c r="B344" s="197" t="s">
        <v>566</v>
      </c>
      <c r="C344" s="197">
        <v>43798</v>
      </c>
      <c r="D344" s="197" t="s">
        <v>56</v>
      </c>
      <c r="E344" s="293" t="s">
        <v>55</v>
      </c>
      <c r="F344" s="293" t="s">
        <v>55</v>
      </c>
      <c r="G344" s="197" t="s">
        <v>312</v>
      </c>
      <c r="H344" s="197" t="s">
        <v>744</v>
      </c>
      <c r="I344" s="197" t="s">
        <v>81</v>
      </c>
      <c r="J344" s="197" t="s">
        <v>295</v>
      </c>
      <c r="K344" s="197" t="s">
        <v>743</v>
      </c>
    </row>
    <row r="345" spans="1:11" ht="26.4" hidden="1">
      <c r="A345" s="295" t="s">
        <v>42</v>
      </c>
      <c r="B345" s="197" t="s">
        <v>566</v>
      </c>
      <c r="C345" s="197">
        <v>43798</v>
      </c>
      <c r="D345" s="197" t="s">
        <v>56</v>
      </c>
      <c r="E345" s="293" t="s">
        <v>55</v>
      </c>
      <c r="F345" s="293" t="s">
        <v>55</v>
      </c>
      <c r="G345" s="197" t="s">
        <v>312</v>
      </c>
      <c r="H345" s="197" t="s">
        <v>746</v>
      </c>
      <c r="I345" s="197">
        <v>0</v>
      </c>
      <c r="J345" s="197" t="s">
        <v>295</v>
      </c>
      <c r="K345" s="197" t="s">
        <v>743</v>
      </c>
    </row>
    <row r="346" spans="1:11" ht="26.4" hidden="1">
      <c r="A346" s="295" t="s">
        <v>42</v>
      </c>
      <c r="B346" s="197" t="s">
        <v>566</v>
      </c>
      <c r="C346" s="197">
        <v>43798</v>
      </c>
      <c r="D346" s="197" t="s">
        <v>56</v>
      </c>
      <c r="E346" s="293" t="s">
        <v>55</v>
      </c>
      <c r="F346" s="293" t="s">
        <v>55</v>
      </c>
      <c r="G346" s="197" t="s">
        <v>312</v>
      </c>
      <c r="H346" s="197" t="s">
        <v>491</v>
      </c>
      <c r="I346" s="197" t="s">
        <v>748</v>
      </c>
      <c r="J346" s="197" t="s">
        <v>295</v>
      </c>
      <c r="K346" s="197" t="s">
        <v>743</v>
      </c>
    </row>
    <row r="347" spans="1:11" ht="26.4" hidden="1">
      <c r="A347" s="295" t="s">
        <v>42</v>
      </c>
      <c r="B347" s="197" t="s">
        <v>566</v>
      </c>
      <c r="C347" s="197">
        <v>43798</v>
      </c>
      <c r="D347" s="197" t="s">
        <v>56</v>
      </c>
      <c r="E347" s="293" t="s">
        <v>55</v>
      </c>
      <c r="F347" s="293" t="s">
        <v>55</v>
      </c>
      <c r="G347" s="197" t="s">
        <v>312</v>
      </c>
      <c r="H347" s="197" t="s">
        <v>747</v>
      </c>
      <c r="I347" s="197" t="s">
        <v>750</v>
      </c>
      <c r="J347" s="197" t="s">
        <v>295</v>
      </c>
      <c r="K347" s="197" t="s">
        <v>743</v>
      </c>
    </row>
    <row r="348" spans="1:11" ht="26.4" hidden="1">
      <c r="A348" s="295" t="s">
        <v>42</v>
      </c>
      <c r="B348" s="197" t="s">
        <v>566</v>
      </c>
      <c r="C348" s="197">
        <v>43798</v>
      </c>
      <c r="D348" s="197" t="s">
        <v>56</v>
      </c>
      <c r="E348" s="293" t="s">
        <v>55</v>
      </c>
      <c r="F348" s="293" t="s">
        <v>55</v>
      </c>
      <c r="G348" s="197" t="s">
        <v>312</v>
      </c>
      <c r="H348" s="197" t="s">
        <v>749</v>
      </c>
      <c r="I348" s="197" t="s">
        <v>752</v>
      </c>
      <c r="J348" s="197" t="s">
        <v>295</v>
      </c>
      <c r="K348" s="197" t="s">
        <v>743</v>
      </c>
    </row>
    <row r="349" spans="1:11" ht="26.4" hidden="1">
      <c r="A349" s="295" t="s">
        <v>42</v>
      </c>
      <c r="B349" s="197" t="s">
        <v>566</v>
      </c>
      <c r="C349" s="197">
        <v>43798</v>
      </c>
      <c r="D349" s="197" t="s">
        <v>56</v>
      </c>
      <c r="E349" s="293" t="s">
        <v>55</v>
      </c>
      <c r="F349" s="293" t="s">
        <v>55</v>
      </c>
      <c r="G349" s="197" t="s">
        <v>312</v>
      </c>
      <c r="H349" s="197" t="s">
        <v>751</v>
      </c>
      <c r="I349" s="197" t="s">
        <v>754</v>
      </c>
      <c r="J349" s="197" t="s">
        <v>367</v>
      </c>
      <c r="K349" s="197" t="s">
        <v>743</v>
      </c>
    </row>
    <row r="350" spans="1:11" ht="26.4" hidden="1">
      <c r="A350" s="295" t="s">
        <v>42</v>
      </c>
      <c r="B350" s="197" t="s">
        <v>566</v>
      </c>
      <c r="C350" s="197">
        <v>43798</v>
      </c>
      <c r="D350" s="197" t="s">
        <v>56</v>
      </c>
      <c r="E350" s="293" t="s">
        <v>55</v>
      </c>
      <c r="F350" s="293" t="s">
        <v>55</v>
      </c>
      <c r="G350" s="197" t="s">
        <v>312</v>
      </c>
      <c r="H350" s="197" t="s">
        <v>753</v>
      </c>
      <c r="I350" s="197" t="s">
        <v>756</v>
      </c>
      <c r="J350" s="197" t="s">
        <v>370</v>
      </c>
      <c r="K350" s="197" t="s">
        <v>743</v>
      </c>
    </row>
    <row r="351" spans="1:11" hidden="1">
      <c r="A351" s="295" t="s">
        <v>42</v>
      </c>
      <c r="B351" s="197" t="s">
        <v>757</v>
      </c>
      <c r="C351" s="197">
        <v>43798</v>
      </c>
      <c r="D351" s="197" t="s">
        <v>56</v>
      </c>
      <c r="E351" s="293" t="s">
        <v>55</v>
      </c>
      <c r="F351" s="293" t="s">
        <v>55</v>
      </c>
      <c r="G351" s="197" t="s">
        <v>312</v>
      </c>
      <c r="H351" s="197" t="s">
        <v>755</v>
      </c>
      <c r="I351" s="197" t="s">
        <v>762</v>
      </c>
      <c r="J351" s="197" t="s">
        <v>763</v>
      </c>
      <c r="K351" s="197" t="s">
        <v>764</v>
      </c>
    </row>
    <row r="352" spans="1:11" ht="25.5" hidden="1" customHeight="1">
      <c r="A352" s="295" t="s">
        <v>42</v>
      </c>
      <c r="B352" s="197" t="s">
        <v>765</v>
      </c>
      <c r="C352" s="197">
        <v>43901</v>
      </c>
      <c r="D352" s="197" t="s">
        <v>758</v>
      </c>
      <c r="E352" s="293" t="s">
        <v>759</v>
      </c>
      <c r="F352" s="293" t="s">
        <v>759</v>
      </c>
      <c r="G352" s="197" t="s">
        <v>760</v>
      </c>
      <c r="H352" s="197" t="s">
        <v>761</v>
      </c>
      <c r="I352" s="410"/>
      <c r="J352" s="200"/>
      <c r="K352" s="540" t="s">
        <v>767</v>
      </c>
    </row>
    <row r="353" spans="1:11" hidden="1">
      <c r="A353" s="295" t="s">
        <v>42</v>
      </c>
      <c r="B353" s="197" t="s">
        <v>765</v>
      </c>
      <c r="C353" s="294">
        <v>43983</v>
      </c>
      <c r="D353" s="197" t="s">
        <v>56</v>
      </c>
      <c r="E353" s="293" t="s">
        <v>55</v>
      </c>
      <c r="F353" s="293" t="s">
        <v>55</v>
      </c>
      <c r="G353" s="200" t="s">
        <v>69</v>
      </c>
      <c r="H353" s="200" t="s">
        <v>766</v>
      </c>
      <c r="I353" s="410" t="s">
        <v>769</v>
      </c>
      <c r="J353" s="200" t="s">
        <v>295</v>
      </c>
      <c r="K353" s="542"/>
    </row>
    <row r="354" spans="1:11" ht="25.5" hidden="1" customHeight="1">
      <c r="A354" s="295" t="s">
        <v>42</v>
      </c>
      <c r="B354" s="197" t="s">
        <v>765</v>
      </c>
      <c r="C354" s="294">
        <v>43983</v>
      </c>
      <c r="D354" s="197" t="s">
        <v>56</v>
      </c>
      <c r="E354" s="293" t="s">
        <v>55</v>
      </c>
      <c r="F354" s="293" t="s">
        <v>55</v>
      </c>
      <c r="G354" s="200" t="s">
        <v>69</v>
      </c>
      <c r="H354" s="200" t="s">
        <v>768</v>
      </c>
      <c r="I354" s="410" t="s">
        <v>771</v>
      </c>
      <c r="J354" s="200" t="s">
        <v>295</v>
      </c>
      <c r="K354" s="540" t="s">
        <v>772</v>
      </c>
    </row>
    <row r="355" spans="1:11" hidden="1">
      <c r="A355" s="295" t="s">
        <v>42</v>
      </c>
      <c r="B355" s="197" t="s">
        <v>765</v>
      </c>
      <c r="C355" s="294">
        <v>43983</v>
      </c>
      <c r="D355" s="197" t="s">
        <v>56</v>
      </c>
      <c r="E355" s="293" t="s">
        <v>55</v>
      </c>
      <c r="F355" s="293" t="s">
        <v>55</v>
      </c>
      <c r="G355" s="200" t="s">
        <v>69</v>
      </c>
      <c r="H355" s="200" t="s">
        <v>770</v>
      </c>
      <c r="I355" s="410" t="s">
        <v>774</v>
      </c>
      <c r="J355" s="200" t="s">
        <v>295</v>
      </c>
      <c r="K355" s="541"/>
    </row>
    <row r="356" spans="1:11" hidden="1">
      <c r="A356" s="295" t="s">
        <v>42</v>
      </c>
      <c r="B356" s="197" t="s">
        <v>765</v>
      </c>
      <c r="C356" s="294">
        <v>43983</v>
      </c>
      <c r="D356" s="197" t="s">
        <v>56</v>
      </c>
      <c r="E356" s="293" t="s">
        <v>55</v>
      </c>
      <c r="F356" s="293" t="s">
        <v>55</v>
      </c>
      <c r="G356" s="200" t="s">
        <v>69</v>
      </c>
      <c r="H356" s="200" t="s">
        <v>773</v>
      </c>
      <c r="I356" s="410" t="s">
        <v>776</v>
      </c>
      <c r="J356" s="200" t="s">
        <v>295</v>
      </c>
      <c r="K356" s="541"/>
    </row>
    <row r="357" spans="1:11" hidden="1">
      <c r="A357" s="295" t="s">
        <v>42</v>
      </c>
      <c r="B357" s="197" t="s">
        <v>765</v>
      </c>
      <c r="C357" s="294">
        <v>43983</v>
      </c>
      <c r="D357" s="197" t="s">
        <v>56</v>
      </c>
      <c r="E357" s="293" t="s">
        <v>55</v>
      </c>
      <c r="F357" s="293" t="s">
        <v>55</v>
      </c>
      <c r="G357" s="200" t="s">
        <v>69</v>
      </c>
      <c r="H357" s="200" t="s">
        <v>775</v>
      </c>
      <c r="I357" s="410" t="s">
        <v>778</v>
      </c>
      <c r="J357" s="200" t="s">
        <v>295</v>
      </c>
      <c r="K357" s="541"/>
    </row>
    <row r="358" spans="1:11" hidden="1">
      <c r="A358" s="295" t="s">
        <v>42</v>
      </c>
      <c r="B358" s="197" t="s">
        <v>765</v>
      </c>
      <c r="C358" s="294">
        <v>43983</v>
      </c>
      <c r="D358" s="197" t="s">
        <v>56</v>
      </c>
      <c r="E358" s="293" t="s">
        <v>55</v>
      </c>
      <c r="F358" s="293" t="s">
        <v>55</v>
      </c>
      <c r="G358" s="200" t="s">
        <v>69</v>
      </c>
      <c r="H358" s="200" t="s">
        <v>777</v>
      </c>
      <c r="I358" s="410" t="s">
        <v>780</v>
      </c>
      <c r="J358" s="200" t="s">
        <v>295</v>
      </c>
      <c r="K358" s="541"/>
    </row>
    <row r="359" spans="1:11" hidden="1">
      <c r="A359" s="295" t="s">
        <v>42</v>
      </c>
      <c r="B359" s="197" t="s">
        <v>765</v>
      </c>
      <c r="C359" s="294">
        <v>43983</v>
      </c>
      <c r="D359" s="197" t="s">
        <v>56</v>
      </c>
      <c r="E359" s="293" t="s">
        <v>55</v>
      </c>
      <c r="F359" s="293" t="s">
        <v>55</v>
      </c>
      <c r="G359" s="200" t="s">
        <v>69</v>
      </c>
      <c r="H359" s="200" t="s">
        <v>779</v>
      </c>
      <c r="I359" s="410" t="s">
        <v>782</v>
      </c>
      <c r="J359" s="200" t="s">
        <v>295</v>
      </c>
      <c r="K359" s="541"/>
    </row>
    <row r="360" spans="1:11" hidden="1">
      <c r="A360" s="295" t="s">
        <v>42</v>
      </c>
      <c r="B360" s="197" t="s">
        <v>765</v>
      </c>
      <c r="C360" s="294">
        <v>43983</v>
      </c>
      <c r="D360" s="197" t="s">
        <v>56</v>
      </c>
      <c r="E360" s="293" t="s">
        <v>55</v>
      </c>
      <c r="F360" s="293" t="s">
        <v>55</v>
      </c>
      <c r="G360" s="200" t="s">
        <v>69</v>
      </c>
      <c r="H360" s="200" t="s">
        <v>781</v>
      </c>
      <c r="I360" s="410" t="s">
        <v>784</v>
      </c>
      <c r="J360" s="200" t="s">
        <v>295</v>
      </c>
      <c r="K360" s="541"/>
    </row>
    <row r="361" spans="1:11" hidden="1">
      <c r="A361" s="295" t="s">
        <v>42</v>
      </c>
      <c r="B361" s="197" t="s">
        <v>765</v>
      </c>
      <c r="C361" s="294">
        <v>43983</v>
      </c>
      <c r="D361" s="197" t="s">
        <v>56</v>
      </c>
      <c r="E361" s="293" t="s">
        <v>55</v>
      </c>
      <c r="F361" s="293" t="s">
        <v>55</v>
      </c>
      <c r="G361" s="200" t="s">
        <v>69</v>
      </c>
      <c r="H361" s="200" t="s">
        <v>783</v>
      </c>
      <c r="I361" s="410" t="s">
        <v>786</v>
      </c>
      <c r="J361" s="200" t="s">
        <v>295</v>
      </c>
      <c r="K361" s="542"/>
    </row>
    <row r="362" spans="1:11" ht="25.5" hidden="1" customHeight="1">
      <c r="A362" s="295" t="s">
        <v>42</v>
      </c>
      <c r="B362" s="197" t="s">
        <v>765</v>
      </c>
      <c r="C362" s="294">
        <v>43983</v>
      </c>
      <c r="D362" s="197" t="s">
        <v>56</v>
      </c>
      <c r="E362" s="293" t="s">
        <v>55</v>
      </c>
      <c r="F362" s="293" t="s">
        <v>55</v>
      </c>
      <c r="G362" s="200" t="s">
        <v>69</v>
      </c>
      <c r="H362" s="200" t="s">
        <v>785</v>
      </c>
      <c r="I362" s="410" t="s">
        <v>788</v>
      </c>
      <c r="J362" s="200" t="s">
        <v>295</v>
      </c>
      <c r="K362" s="540" t="s">
        <v>789</v>
      </c>
    </row>
    <row r="363" spans="1:11" hidden="1">
      <c r="A363" s="295" t="s">
        <v>42</v>
      </c>
      <c r="B363" s="197" t="s">
        <v>765</v>
      </c>
      <c r="C363" s="294">
        <v>43983</v>
      </c>
      <c r="D363" s="197" t="s">
        <v>56</v>
      </c>
      <c r="E363" s="293" t="s">
        <v>55</v>
      </c>
      <c r="F363" s="293" t="s">
        <v>55</v>
      </c>
      <c r="G363" s="200" t="s">
        <v>159</v>
      </c>
      <c r="H363" s="200" t="s">
        <v>787</v>
      </c>
      <c r="I363" s="410" t="s">
        <v>791</v>
      </c>
      <c r="J363" s="200" t="s">
        <v>295</v>
      </c>
      <c r="K363" s="541"/>
    </row>
    <row r="364" spans="1:11" hidden="1">
      <c r="A364" s="295" t="s">
        <v>42</v>
      </c>
      <c r="B364" s="197" t="s">
        <v>765</v>
      </c>
      <c r="C364" s="294">
        <v>43983</v>
      </c>
      <c r="D364" s="197" t="s">
        <v>56</v>
      </c>
      <c r="E364" s="293" t="s">
        <v>55</v>
      </c>
      <c r="F364" s="293" t="s">
        <v>55</v>
      </c>
      <c r="G364" s="200" t="s">
        <v>159</v>
      </c>
      <c r="H364" s="200" t="s">
        <v>790</v>
      </c>
      <c r="I364" s="410" t="s">
        <v>793</v>
      </c>
      <c r="J364" s="200" t="s">
        <v>295</v>
      </c>
      <c r="K364" s="541"/>
    </row>
    <row r="365" spans="1:11" hidden="1">
      <c r="A365" s="295" t="s">
        <v>42</v>
      </c>
      <c r="B365" s="197" t="s">
        <v>765</v>
      </c>
      <c r="C365" s="294">
        <v>43983</v>
      </c>
      <c r="D365" s="197" t="s">
        <v>56</v>
      </c>
      <c r="E365" s="293" t="s">
        <v>55</v>
      </c>
      <c r="F365" s="293" t="s">
        <v>55</v>
      </c>
      <c r="G365" s="200" t="s">
        <v>159</v>
      </c>
      <c r="H365" s="200" t="s">
        <v>792</v>
      </c>
      <c r="I365" s="410" t="s">
        <v>795</v>
      </c>
      <c r="J365" s="200" t="s">
        <v>295</v>
      </c>
      <c r="K365" s="541"/>
    </row>
    <row r="366" spans="1:11" hidden="1">
      <c r="A366" s="295" t="s">
        <v>42</v>
      </c>
      <c r="B366" s="197" t="s">
        <v>765</v>
      </c>
      <c r="C366" s="294">
        <v>43983</v>
      </c>
      <c r="D366" s="197" t="s">
        <v>56</v>
      </c>
      <c r="E366" s="293" t="s">
        <v>55</v>
      </c>
      <c r="F366" s="293" t="s">
        <v>55</v>
      </c>
      <c r="G366" s="200" t="s">
        <v>159</v>
      </c>
      <c r="H366" s="200" t="s">
        <v>794</v>
      </c>
      <c r="I366" s="410" t="s">
        <v>797</v>
      </c>
      <c r="J366" s="200" t="s">
        <v>295</v>
      </c>
      <c r="K366" s="541"/>
    </row>
    <row r="367" spans="1:11" ht="26.4" hidden="1">
      <c r="A367" s="295" t="s">
        <v>42</v>
      </c>
      <c r="B367" s="197" t="s">
        <v>765</v>
      </c>
      <c r="C367" s="294">
        <v>43983</v>
      </c>
      <c r="D367" s="197" t="s">
        <v>56</v>
      </c>
      <c r="E367" s="293" t="s">
        <v>55</v>
      </c>
      <c r="F367" s="293" t="s">
        <v>55</v>
      </c>
      <c r="G367" s="200" t="s">
        <v>159</v>
      </c>
      <c r="H367" s="200" t="s">
        <v>796</v>
      </c>
      <c r="I367" s="410" t="s">
        <v>799</v>
      </c>
      <c r="J367" s="200" t="s">
        <v>295</v>
      </c>
      <c r="K367" s="541"/>
    </row>
    <row r="368" spans="1:11" hidden="1">
      <c r="A368" s="295" t="s">
        <v>42</v>
      </c>
      <c r="B368" s="197" t="s">
        <v>765</v>
      </c>
      <c r="C368" s="294">
        <v>43983</v>
      </c>
      <c r="D368" s="197" t="s">
        <v>56</v>
      </c>
      <c r="E368" s="293" t="s">
        <v>55</v>
      </c>
      <c r="F368" s="293" t="s">
        <v>55</v>
      </c>
      <c r="G368" s="200" t="s">
        <v>159</v>
      </c>
      <c r="H368" s="200" t="s">
        <v>798</v>
      </c>
      <c r="I368" s="410" t="s">
        <v>801</v>
      </c>
      <c r="J368" s="200" t="s">
        <v>295</v>
      </c>
      <c r="K368" s="541"/>
    </row>
    <row r="369" spans="1:11" hidden="1">
      <c r="A369" s="295" t="s">
        <v>42</v>
      </c>
      <c r="B369" s="197" t="s">
        <v>765</v>
      </c>
      <c r="C369" s="294">
        <v>43983</v>
      </c>
      <c r="D369" s="197" t="s">
        <v>56</v>
      </c>
      <c r="E369" s="293" t="s">
        <v>55</v>
      </c>
      <c r="F369" s="293" t="s">
        <v>55</v>
      </c>
      <c r="G369" s="200" t="s">
        <v>159</v>
      </c>
      <c r="H369" s="200" t="s">
        <v>800</v>
      </c>
      <c r="I369" s="410" t="s">
        <v>771</v>
      </c>
      <c r="J369" s="200" t="s">
        <v>295</v>
      </c>
      <c r="K369" s="541"/>
    </row>
    <row r="370" spans="1:11" hidden="1">
      <c r="A370" s="295" t="s">
        <v>42</v>
      </c>
      <c r="B370" s="197" t="s">
        <v>765</v>
      </c>
      <c r="C370" s="294">
        <v>43983</v>
      </c>
      <c r="D370" s="197" t="s">
        <v>56</v>
      </c>
      <c r="E370" s="293" t="s">
        <v>55</v>
      </c>
      <c r="F370" s="293" t="s">
        <v>55</v>
      </c>
      <c r="G370" s="200" t="s">
        <v>159</v>
      </c>
      <c r="H370" s="200" t="s">
        <v>802</v>
      </c>
      <c r="I370" s="410" t="s">
        <v>774</v>
      </c>
      <c r="J370" s="200" t="s">
        <v>295</v>
      </c>
      <c r="K370" s="541"/>
    </row>
    <row r="371" spans="1:11" hidden="1">
      <c r="A371" s="295" t="s">
        <v>42</v>
      </c>
      <c r="B371" s="197" t="s">
        <v>765</v>
      </c>
      <c r="C371" s="294">
        <v>43983</v>
      </c>
      <c r="D371" s="197" t="s">
        <v>56</v>
      </c>
      <c r="E371" s="293" t="s">
        <v>55</v>
      </c>
      <c r="F371" s="293" t="s">
        <v>55</v>
      </c>
      <c r="G371" s="200" t="s">
        <v>159</v>
      </c>
      <c r="H371" s="200" t="s">
        <v>803</v>
      </c>
      <c r="I371" s="410" t="s">
        <v>776</v>
      </c>
      <c r="J371" s="200" t="s">
        <v>295</v>
      </c>
      <c r="K371" s="541"/>
    </row>
    <row r="372" spans="1:11" hidden="1">
      <c r="A372" s="295" t="s">
        <v>42</v>
      </c>
      <c r="B372" s="197" t="s">
        <v>765</v>
      </c>
      <c r="C372" s="294">
        <v>43983</v>
      </c>
      <c r="D372" s="197" t="s">
        <v>56</v>
      </c>
      <c r="E372" s="293" t="s">
        <v>55</v>
      </c>
      <c r="F372" s="293" t="s">
        <v>55</v>
      </c>
      <c r="G372" s="200" t="s">
        <v>159</v>
      </c>
      <c r="H372" s="200" t="s">
        <v>804</v>
      </c>
      <c r="I372" s="410" t="s">
        <v>778</v>
      </c>
      <c r="J372" s="200" t="s">
        <v>295</v>
      </c>
      <c r="K372" s="541"/>
    </row>
    <row r="373" spans="1:11" hidden="1">
      <c r="A373" s="295" t="s">
        <v>42</v>
      </c>
      <c r="B373" s="197" t="s">
        <v>765</v>
      </c>
      <c r="C373" s="294">
        <v>43983</v>
      </c>
      <c r="D373" s="197" t="s">
        <v>56</v>
      </c>
      <c r="E373" s="293" t="s">
        <v>55</v>
      </c>
      <c r="F373" s="293" t="s">
        <v>55</v>
      </c>
      <c r="G373" s="200" t="s">
        <v>159</v>
      </c>
      <c r="H373" s="200" t="s">
        <v>805</v>
      </c>
      <c r="I373" s="410" t="s">
        <v>780</v>
      </c>
      <c r="J373" s="200" t="s">
        <v>295</v>
      </c>
      <c r="K373" s="541"/>
    </row>
    <row r="374" spans="1:11" hidden="1">
      <c r="A374" s="295" t="s">
        <v>42</v>
      </c>
      <c r="B374" s="197" t="s">
        <v>765</v>
      </c>
      <c r="C374" s="294">
        <v>43983</v>
      </c>
      <c r="D374" s="197" t="s">
        <v>56</v>
      </c>
      <c r="E374" s="293" t="s">
        <v>55</v>
      </c>
      <c r="F374" s="293" t="s">
        <v>55</v>
      </c>
      <c r="G374" s="200" t="s">
        <v>159</v>
      </c>
      <c r="H374" s="200" t="s">
        <v>806</v>
      </c>
      <c r="I374" s="410" t="s">
        <v>782</v>
      </c>
      <c r="J374" s="200" t="s">
        <v>295</v>
      </c>
      <c r="K374" s="541"/>
    </row>
    <row r="375" spans="1:11" hidden="1">
      <c r="A375" s="295" t="s">
        <v>42</v>
      </c>
      <c r="B375" s="197" t="s">
        <v>765</v>
      </c>
      <c r="C375" s="294">
        <v>43983</v>
      </c>
      <c r="D375" s="197" t="s">
        <v>56</v>
      </c>
      <c r="E375" s="293" t="s">
        <v>55</v>
      </c>
      <c r="F375" s="293" t="s">
        <v>55</v>
      </c>
      <c r="G375" s="200" t="s">
        <v>159</v>
      </c>
      <c r="H375" s="200" t="s">
        <v>807</v>
      </c>
      <c r="I375" s="410" t="s">
        <v>784</v>
      </c>
      <c r="J375" s="200" t="s">
        <v>295</v>
      </c>
      <c r="K375" s="541"/>
    </row>
    <row r="376" spans="1:11" hidden="1">
      <c r="A376" s="295" t="s">
        <v>42</v>
      </c>
      <c r="B376" s="197" t="s">
        <v>765</v>
      </c>
      <c r="C376" s="294">
        <v>43983</v>
      </c>
      <c r="D376" s="197" t="s">
        <v>56</v>
      </c>
      <c r="E376" s="293" t="s">
        <v>55</v>
      </c>
      <c r="F376" s="293" t="s">
        <v>55</v>
      </c>
      <c r="G376" s="200" t="s">
        <v>159</v>
      </c>
      <c r="H376" s="200" t="s">
        <v>808</v>
      </c>
      <c r="I376" s="410" t="s">
        <v>786</v>
      </c>
      <c r="J376" s="200" t="s">
        <v>295</v>
      </c>
      <c r="K376" s="542"/>
    </row>
    <row r="377" spans="1:11" ht="105.6" hidden="1">
      <c r="A377" s="295" t="s">
        <v>42</v>
      </c>
      <c r="B377" s="197" t="s">
        <v>765</v>
      </c>
      <c r="C377" s="294">
        <v>43983</v>
      </c>
      <c r="D377" s="197" t="s">
        <v>56</v>
      </c>
      <c r="E377" s="293" t="s">
        <v>55</v>
      </c>
      <c r="F377" s="293" t="s">
        <v>55</v>
      </c>
      <c r="G377" s="200" t="s">
        <v>159</v>
      </c>
      <c r="H377" s="200" t="s">
        <v>809</v>
      </c>
      <c r="I377" s="198" t="s">
        <v>811</v>
      </c>
      <c r="J377" s="410" t="s">
        <v>812</v>
      </c>
      <c r="K377" s="410" t="s">
        <v>813</v>
      </c>
    </row>
    <row r="378" spans="1:11" ht="26.4" hidden="1">
      <c r="A378" s="295" t="s">
        <v>42</v>
      </c>
      <c r="B378" s="197" t="s">
        <v>765</v>
      </c>
      <c r="C378" s="294">
        <v>43983</v>
      </c>
      <c r="D378" s="197" t="s">
        <v>56</v>
      </c>
      <c r="E378" s="293" t="s">
        <v>55</v>
      </c>
      <c r="F378" s="293" t="s">
        <v>55</v>
      </c>
      <c r="G378" s="200" t="s">
        <v>159</v>
      </c>
      <c r="H378" s="200" t="s">
        <v>810</v>
      </c>
      <c r="I378" s="198" t="s">
        <v>815</v>
      </c>
      <c r="J378" s="410" t="s">
        <v>295</v>
      </c>
      <c r="K378" s="410" t="s">
        <v>816</v>
      </c>
    </row>
    <row r="379" spans="1:11" ht="26.4" hidden="1">
      <c r="A379" s="295" t="s">
        <v>42</v>
      </c>
      <c r="B379" s="197" t="s">
        <v>817</v>
      </c>
      <c r="C379" s="294">
        <v>43983</v>
      </c>
      <c r="D379" s="197" t="s">
        <v>56</v>
      </c>
      <c r="E379" s="293" t="s">
        <v>55</v>
      </c>
      <c r="F379" s="293" t="s">
        <v>55</v>
      </c>
      <c r="G379" s="200" t="s">
        <v>159</v>
      </c>
      <c r="H379" s="200" t="s">
        <v>814</v>
      </c>
      <c r="I379" s="198" t="s">
        <v>820</v>
      </c>
      <c r="J379" s="410" t="s">
        <v>530</v>
      </c>
      <c r="K379" s="414" t="s">
        <v>821</v>
      </c>
    </row>
    <row r="380" spans="1:11" hidden="1">
      <c r="A380" s="295" t="s">
        <v>42</v>
      </c>
      <c r="B380" s="197" t="s">
        <v>817</v>
      </c>
      <c r="C380" s="294">
        <v>44236</v>
      </c>
      <c r="D380" s="197" t="s">
        <v>758</v>
      </c>
      <c r="E380" s="293" t="s">
        <v>56</v>
      </c>
      <c r="F380" s="293" t="s">
        <v>818</v>
      </c>
      <c r="G380" s="200" t="s">
        <v>57</v>
      </c>
      <c r="H380" s="200" t="s">
        <v>819</v>
      </c>
      <c r="I380" s="198" t="s">
        <v>823</v>
      </c>
      <c r="J380" s="410" t="s">
        <v>824</v>
      </c>
      <c r="K380" s="540" t="s">
        <v>825</v>
      </c>
    </row>
    <row r="381" spans="1:11" hidden="1">
      <c r="A381" s="295" t="s">
        <v>42</v>
      </c>
      <c r="B381" s="197" t="s">
        <v>817</v>
      </c>
      <c r="C381" s="294">
        <v>44236</v>
      </c>
      <c r="D381" s="197" t="s">
        <v>758</v>
      </c>
      <c r="E381" s="293" t="s">
        <v>56</v>
      </c>
      <c r="F381" s="293" t="s">
        <v>818</v>
      </c>
      <c r="G381" s="200" t="s">
        <v>57</v>
      </c>
      <c r="H381" s="200" t="s">
        <v>822</v>
      </c>
      <c r="I381" s="198">
        <v>0.2</v>
      </c>
      <c r="J381" s="410">
        <v>0.1</v>
      </c>
      <c r="K381" s="541"/>
    </row>
    <row r="382" spans="1:11" hidden="1">
      <c r="A382" s="295" t="s">
        <v>42</v>
      </c>
      <c r="B382" s="197" t="s">
        <v>817</v>
      </c>
      <c r="C382" s="294">
        <v>44236</v>
      </c>
      <c r="D382" s="197" t="s">
        <v>758</v>
      </c>
      <c r="E382" s="293" t="s">
        <v>56</v>
      </c>
      <c r="F382" s="293" t="s">
        <v>818</v>
      </c>
      <c r="G382" s="200" t="s">
        <v>57</v>
      </c>
      <c r="H382" s="200" t="s">
        <v>826</v>
      </c>
      <c r="I382" s="198" t="s">
        <v>828</v>
      </c>
      <c r="J382" s="410" t="s">
        <v>829</v>
      </c>
      <c r="K382" s="541"/>
    </row>
    <row r="383" spans="1:11" ht="26.4" hidden="1">
      <c r="A383" s="295" t="s">
        <v>42</v>
      </c>
      <c r="B383" s="197" t="s">
        <v>817</v>
      </c>
      <c r="C383" s="294">
        <v>44236</v>
      </c>
      <c r="D383" s="197" t="s">
        <v>758</v>
      </c>
      <c r="E383" s="293" t="s">
        <v>56</v>
      </c>
      <c r="F383" s="293" t="s">
        <v>818</v>
      </c>
      <c r="G383" s="200" t="s">
        <v>57</v>
      </c>
      <c r="H383" s="200" t="s">
        <v>827</v>
      </c>
      <c r="I383" s="198" t="s">
        <v>828</v>
      </c>
      <c r="J383" s="410" t="s">
        <v>831</v>
      </c>
      <c r="K383" s="541"/>
    </row>
    <row r="384" spans="1:11" ht="26.4" hidden="1">
      <c r="A384" s="295" t="s">
        <v>42</v>
      </c>
      <c r="B384" s="197" t="s">
        <v>817</v>
      </c>
      <c r="C384" s="294">
        <v>44236</v>
      </c>
      <c r="D384" s="197" t="s">
        <v>758</v>
      </c>
      <c r="E384" s="293" t="s">
        <v>56</v>
      </c>
      <c r="F384" s="293" t="s">
        <v>818</v>
      </c>
      <c r="G384" s="200" t="s">
        <v>57</v>
      </c>
      <c r="H384" s="200" t="s">
        <v>830</v>
      </c>
      <c r="I384" s="198" t="s">
        <v>828</v>
      </c>
      <c r="J384" s="410" t="s">
        <v>831</v>
      </c>
      <c r="K384" s="541"/>
    </row>
    <row r="385" spans="1:11" hidden="1">
      <c r="A385" s="295" t="s">
        <v>42</v>
      </c>
      <c r="B385" s="197" t="s">
        <v>817</v>
      </c>
      <c r="C385" s="294">
        <v>44236</v>
      </c>
      <c r="D385" s="197" t="s">
        <v>758</v>
      </c>
      <c r="E385" s="293" t="s">
        <v>56</v>
      </c>
      <c r="F385" s="293" t="s">
        <v>818</v>
      </c>
      <c r="G385" s="200" t="s">
        <v>57</v>
      </c>
      <c r="H385" s="200" t="s">
        <v>832</v>
      </c>
      <c r="I385" s="198" t="s">
        <v>834</v>
      </c>
      <c r="J385" s="410" t="s">
        <v>835</v>
      </c>
      <c r="K385" s="541"/>
    </row>
    <row r="386" spans="1:11" hidden="1">
      <c r="A386" s="295" t="s">
        <v>42</v>
      </c>
      <c r="B386" s="197" t="s">
        <v>817</v>
      </c>
      <c r="C386" s="294">
        <v>44236</v>
      </c>
      <c r="D386" s="197" t="s">
        <v>758</v>
      </c>
      <c r="E386" s="293" t="s">
        <v>56</v>
      </c>
      <c r="F386" s="293" t="s">
        <v>818</v>
      </c>
      <c r="G386" s="200" t="s">
        <v>57</v>
      </c>
      <c r="H386" s="200" t="s">
        <v>833</v>
      </c>
      <c r="I386" s="198" t="s">
        <v>834</v>
      </c>
      <c r="J386" s="410" t="s">
        <v>835</v>
      </c>
      <c r="K386" s="542"/>
    </row>
    <row r="387" spans="1:11" hidden="1">
      <c r="A387" s="295" t="s">
        <v>42</v>
      </c>
      <c r="B387" s="197" t="s">
        <v>817</v>
      </c>
      <c r="C387" s="294">
        <v>44236</v>
      </c>
      <c r="D387" s="197" t="s">
        <v>758</v>
      </c>
      <c r="E387" s="293" t="s">
        <v>56</v>
      </c>
      <c r="F387" s="293" t="s">
        <v>818</v>
      </c>
      <c r="G387" s="200" t="s">
        <v>57</v>
      </c>
      <c r="H387" s="200" t="s">
        <v>836</v>
      </c>
      <c r="I387" s="198" t="s">
        <v>838</v>
      </c>
      <c r="J387" s="410" t="s">
        <v>839</v>
      </c>
      <c r="K387" s="540" t="s">
        <v>840</v>
      </c>
    </row>
    <row r="388" spans="1:11" hidden="1">
      <c r="A388" s="295" t="s">
        <v>42</v>
      </c>
      <c r="B388" s="197" t="s">
        <v>817</v>
      </c>
      <c r="C388" s="294">
        <v>44236</v>
      </c>
      <c r="D388" s="197" t="s">
        <v>758</v>
      </c>
      <c r="E388" s="293" t="s">
        <v>56</v>
      </c>
      <c r="F388" s="293" t="s">
        <v>818</v>
      </c>
      <c r="G388" s="200" t="s">
        <v>57</v>
      </c>
      <c r="H388" s="200" t="s">
        <v>837</v>
      </c>
      <c r="I388" s="198" t="s">
        <v>838</v>
      </c>
      <c r="J388" s="410" t="s">
        <v>839</v>
      </c>
      <c r="K388" s="541"/>
    </row>
    <row r="389" spans="1:11" hidden="1">
      <c r="A389" s="295" t="s">
        <v>42</v>
      </c>
      <c r="B389" s="197" t="s">
        <v>817</v>
      </c>
      <c r="C389" s="294">
        <v>44236</v>
      </c>
      <c r="D389" s="197" t="s">
        <v>758</v>
      </c>
      <c r="E389" s="293" t="s">
        <v>56</v>
      </c>
      <c r="F389" s="293" t="s">
        <v>818</v>
      </c>
      <c r="G389" s="200" t="s">
        <v>57</v>
      </c>
      <c r="H389" s="200" t="s">
        <v>841</v>
      </c>
      <c r="I389" s="198" t="s">
        <v>838</v>
      </c>
      <c r="J389" s="410" t="s">
        <v>839</v>
      </c>
      <c r="K389" s="541"/>
    </row>
    <row r="390" spans="1:11" hidden="1">
      <c r="A390" s="295" t="s">
        <v>42</v>
      </c>
      <c r="B390" s="197" t="s">
        <v>817</v>
      </c>
      <c r="C390" s="294">
        <v>44236</v>
      </c>
      <c r="D390" s="197" t="s">
        <v>758</v>
      </c>
      <c r="E390" s="293" t="s">
        <v>56</v>
      </c>
      <c r="F390" s="293" t="s">
        <v>818</v>
      </c>
      <c r="G390" s="200" t="s">
        <v>57</v>
      </c>
      <c r="H390" s="200" t="s">
        <v>842</v>
      </c>
      <c r="I390" s="198" t="s">
        <v>844</v>
      </c>
      <c r="J390" s="410" t="s">
        <v>845</v>
      </c>
      <c r="K390" s="541"/>
    </row>
    <row r="391" spans="1:11" hidden="1">
      <c r="A391" s="295" t="s">
        <v>42</v>
      </c>
      <c r="B391" s="197" t="s">
        <v>817</v>
      </c>
      <c r="C391" s="294">
        <v>44236</v>
      </c>
      <c r="D391" s="197" t="s">
        <v>758</v>
      </c>
      <c r="E391" s="293" t="s">
        <v>56</v>
      </c>
      <c r="F391" s="293" t="s">
        <v>818</v>
      </c>
      <c r="G391" s="200" t="s">
        <v>57</v>
      </c>
      <c r="H391" s="200" t="s">
        <v>843</v>
      </c>
      <c r="I391" s="198" t="s">
        <v>844</v>
      </c>
      <c r="J391" s="410" t="s">
        <v>845</v>
      </c>
      <c r="K391" s="542"/>
    </row>
    <row r="392" spans="1:11" ht="14.25" hidden="1" customHeight="1">
      <c r="A392" s="295" t="s">
        <v>42</v>
      </c>
      <c r="B392" s="197" t="s">
        <v>817</v>
      </c>
      <c r="C392" s="294">
        <v>44236</v>
      </c>
      <c r="D392" s="197" t="s">
        <v>758</v>
      </c>
      <c r="E392" s="293" t="s">
        <v>56</v>
      </c>
      <c r="F392" s="293" t="s">
        <v>818</v>
      </c>
      <c r="G392" s="200" t="s">
        <v>57</v>
      </c>
      <c r="H392" s="200" t="s">
        <v>846</v>
      </c>
      <c r="I392" s="198">
        <v>0.81</v>
      </c>
      <c r="J392" s="410">
        <v>0.82</v>
      </c>
      <c r="K392" s="540" t="s">
        <v>848</v>
      </c>
    </row>
    <row r="393" spans="1:11" hidden="1">
      <c r="A393" s="295" t="s">
        <v>42</v>
      </c>
      <c r="B393" s="197" t="s">
        <v>817</v>
      </c>
      <c r="C393" s="294">
        <v>44236</v>
      </c>
      <c r="D393" s="197" t="s">
        <v>758</v>
      </c>
      <c r="E393" s="293" t="s">
        <v>56</v>
      </c>
      <c r="F393" s="293" t="s">
        <v>818</v>
      </c>
      <c r="G393" s="200" t="s">
        <v>57</v>
      </c>
      <c r="H393" s="200" t="s">
        <v>847</v>
      </c>
      <c r="I393" s="198" t="s">
        <v>850</v>
      </c>
      <c r="J393" s="410" t="s">
        <v>851</v>
      </c>
      <c r="K393" s="541"/>
    </row>
    <row r="394" spans="1:11" hidden="1">
      <c r="A394" s="295" t="s">
        <v>42</v>
      </c>
      <c r="B394" s="197" t="s">
        <v>817</v>
      </c>
      <c r="C394" s="294">
        <v>44236</v>
      </c>
      <c r="D394" s="197" t="s">
        <v>758</v>
      </c>
      <c r="E394" s="293" t="s">
        <v>56</v>
      </c>
      <c r="F394" s="293" t="s">
        <v>818</v>
      </c>
      <c r="G394" s="200" t="s">
        <v>57</v>
      </c>
      <c r="H394" s="200" t="s">
        <v>849</v>
      </c>
      <c r="I394" s="198">
        <v>0.81</v>
      </c>
      <c r="J394" s="410">
        <v>0.82</v>
      </c>
      <c r="K394" s="541"/>
    </row>
    <row r="395" spans="1:11" hidden="1">
      <c r="A395" s="295" t="s">
        <v>42</v>
      </c>
      <c r="B395" s="197" t="s">
        <v>817</v>
      </c>
      <c r="C395" s="294">
        <v>44236</v>
      </c>
      <c r="D395" s="197" t="s">
        <v>758</v>
      </c>
      <c r="E395" s="293" t="s">
        <v>56</v>
      </c>
      <c r="F395" s="293" t="s">
        <v>818</v>
      </c>
      <c r="G395" s="200" t="s">
        <v>57</v>
      </c>
      <c r="H395" s="200" t="s">
        <v>852</v>
      </c>
      <c r="I395" s="198" t="s">
        <v>850</v>
      </c>
      <c r="J395" s="410" t="s">
        <v>851</v>
      </c>
      <c r="K395" s="541"/>
    </row>
    <row r="396" spans="1:11" hidden="1">
      <c r="A396" s="295" t="s">
        <v>42</v>
      </c>
      <c r="B396" s="197" t="s">
        <v>817</v>
      </c>
      <c r="C396" s="294">
        <v>44236</v>
      </c>
      <c r="D396" s="197" t="s">
        <v>758</v>
      </c>
      <c r="E396" s="293" t="s">
        <v>56</v>
      </c>
      <c r="F396" s="293" t="s">
        <v>818</v>
      </c>
      <c r="G396" s="200" t="s">
        <v>57</v>
      </c>
      <c r="H396" s="200" t="s">
        <v>853</v>
      </c>
      <c r="I396" s="198">
        <v>1.02</v>
      </c>
      <c r="J396" s="410">
        <v>1.07</v>
      </c>
      <c r="K396" s="541"/>
    </row>
    <row r="397" spans="1:11" hidden="1">
      <c r="A397" s="295" t="s">
        <v>42</v>
      </c>
      <c r="B397" s="197" t="s">
        <v>817</v>
      </c>
      <c r="C397" s="294">
        <v>44236</v>
      </c>
      <c r="D397" s="197" t="s">
        <v>758</v>
      </c>
      <c r="E397" s="293" t="s">
        <v>56</v>
      </c>
      <c r="F397" s="293" t="s">
        <v>818</v>
      </c>
      <c r="G397" s="200" t="s">
        <v>57</v>
      </c>
      <c r="H397" s="200" t="s">
        <v>854</v>
      </c>
      <c r="I397" s="198" t="s">
        <v>850</v>
      </c>
      <c r="J397" s="410" t="s">
        <v>851</v>
      </c>
      <c r="K397" s="541"/>
    </row>
    <row r="398" spans="1:11" hidden="1">
      <c r="A398" s="295" t="s">
        <v>42</v>
      </c>
      <c r="B398" s="197" t="s">
        <v>817</v>
      </c>
      <c r="C398" s="294">
        <v>44236</v>
      </c>
      <c r="D398" s="197" t="s">
        <v>758</v>
      </c>
      <c r="E398" s="293" t="s">
        <v>56</v>
      </c>
      <c r="F398" s="293" t="s">
        <v>818</v>
      </c>
      <c r="G398" s="200" t="s">
        <v>57</v>
      </c>
      <c r="H398" s="200" t="s">
        <v>855</v>
      </c>
      <c r="I398" s="198">
        <v>0.81</v>
      </c>
      <c r="J398" s="410">
        <v>0.8</v>
      </c>
      <c r="K398" s="541"/>
    </row>
    <row r="399" spans="1:11" hidden="1">
      <c r="A399" s="295" t="s">
        <v>42</v>
      </c>
      <c r="B399" s="197" t="s">
        <v>817</v>
      </c>
      <c r="C399" s="294">
        <v>44236</v>
      </c>
      <c r="D399" s="197" t="s">
        <v>758</v>
      </c>
      <c r="E399" s="293" t="s">
        <v>56</v>
      </c>
      <c r="F399" s="293" t="s">
        <v>818</v>
      </c>
      <c r="G399" s="200" t="s">
        <v>57</v>
      </c>
      <c r="H399" s="200" t="s">
        <v>856</v>
      </c>
      <c r="I399" s="198" t="s">
        <v>850</v>
      </c>
      <c r="J399" s="410" t="s">
        <v>851</v>
      </c>
      <c r="K399" s="541"/>
    </row>
    <row r="400" spans="1:11" hidden="1">
      <c r="A400" s="295" t="s">
        <v>42</v>
      </c>
      <c r="B400" s="197" t="s">
        <v>817</v>
      </c>
      <c r="C400" s="294">
        <v>44236</v>
      </c>
      <c r="D400" s="197" t="s">
        <v>758</v>
      </c>
      <c r="E400" s="293" t="s">
        <v>56</v>
      </c>
      <c r="F400" s="293" t="s">
        <v>818</v>
      </c>
      <c r="G400" s="200" t="s">
        <v>57</v>
      </c>
      <c r="H400" s="200" t="s">
        <v>857</v>
      </c>
      <c r="I400" s="198">
        <v>0.44</v>
      </c>
      <c r="J400" s="410">
        <v>0.51</v>
      </c>
      <c r="K400" s="541"/>
    </row>
    <row r="401" spans="1:11" hidden="1">
      <c r="A401" s="295" t="s">
        <v>42</v>
      </c>
      <c r="B401" s="197" t="s">
        <v>817</v>
      </c>
      <c r="C401" s="294">
        <v>44236</v>
      </c>
      <c r="D401" s="197" t="s">
        <v>758</v>
      </c>
      <c r="E401" s="293" t="s">
        <v>56</v>
      </c>
      <c r="F401" s="293" t="s">
        <v>818</v>
      </c>
      <c r="G401" s="200" t="s">
        <v>57</v>
      </c>
      <c r="H401" s="200" t="s">
        <v>457</v>
      </c>
      <c r="I401" s="198" t="s">
        <v>850</v>
      </c>
      <c r="J401" s="410" t="s">
        <v>851</v>
      </c>
      <c r="K401" s="541"/>
    </row>
    <row r="402" spans="1:11" hidden="1">
      <c r="A402" s="295" t="s">
        <v>42</v>
      </c>
      <c r="B402" s="197" t="s">
        <v>817</v>
      </c>
      <c r="C402" s="294">
        <v>44236</v>
      </c>
      <c r="D402" s="197" t="s">
        <v>758</v>
      </c>
      <c r="E402" s="293" t="s">
        <v>56</v>
      </c>
      <c r="F402" s="293" t="s">
        <v>818</v>
      </c>
      <c r="G402" s="200" t="s">
        <v>57</v>
      </c>
      <c r="H402" s="200" t="s">
        <v>858</v>
      </c>
      <c r="I402" s="198">
        <v>0.69</v>
      </c>
      <c r="J402" s="410">
        <v>0.7</v>
      </c>
      <c r="K402" s="541"/>
    </row>
    <row r="403" spans="1:11" hidden="1">
      <c r="A403" s="295" t="s">
        <v>42</v>
      </c>
      <c r="B403" s="197" t="s">
        <v>817</v>
      </c>
      <c r="C403" s="294">
        <v>44236</v>
      </c>
      <c r="D403" s="197" t="s">
        <v>758</v>
      </c>
      <c r="E403" s="293" t="s">
        <v>56</v>
      </c>
      <c r="F403" s="293" t="s">
        <v>818</v>
      </c>
      <c r="G403" s="200" t="s">
        <v>57</v>
      </c>
      <c r="H403" s="200" t="s">
        <v>859</v>
      </c>
      <c r="I403" s="198" t="s">
        <v>850</v>
      </c>
      <c r="J403" s="410" t="s">
        <v>851</v>
      </c>
      <c r="K403" s="541"/>
    </row>
    <row r="404" spans="1:11" hidden="1">
      <c r="A404" s="295" t="s">
        <v>42</v>
      </c>
      <c r="B404" s="197" t="s">
        <v>817</v>
      </c>
      <c r="C404" s="294">
        <v>44236</v>
      </c>
      <c r="D404" s="197" t="s">
        <v>758</v>
      </c>
      <c r="E404" s="293" t="s">
        <v>56</v>
      </c>
      <c r="F404" s="293" t="s">
        <v>818</v>
      </c>
      <c r="G404" s="200" t="s">
        <v>57</v>
      </c>
      <c r="H404" s="200" t="s">
        <v>860</v>
      </c>
      <c r="I404" s="198">
        <v>0.59</v>
      </c>
      <c r="J404" s="410">
        <v>0.6</v>
      </c>
      <c r="K404" s="541"/>
    </row>
    <row r="405" spans="1:11" hidden="1">
      <c r="A405" s="295" t="s">
        <v>42</v>
      </c>
      <c r="B405" s="197" t="s">
        <v>817</v>
      </c>
      <c r="C405" s="294">
        <v>44236</v>
      </c>
      <c r="D405" s="197" t="s">
        <v>758</v>
      </c>
      <c r="E405" s="293" t="s">
        <v>56</v>
      </c>
      <c r="F405" s="293" t="s">
        <v>818</v>
      </c>
      <c r="G405" s="200" t="s">
        <v>57</v>
      </c>
      <c r="H405" s="200" t="s">
        <v>861</v>
      </c>
      <c r="I405" s="198" t="s">
        <v>850</v>
      </c>
      <c r="J405" s="410" t="s">
        <v>851</v>
      </c>
      <c r="K405" s="541"/>
    </row>
    <row r="406" spans="1:11" hidden="1">
      <c r="A406" s="295" t="s">
        <v>42</v>
      </c>
      <c r="B406" s="197" t="s">
        <v>817</v>
      </c>
      <c r="C406" s="294">
        <v>44236</v>
      </c>
      <c r="D406" s="197" t="s">
        <v>758</v>
      </c>
      <c r="E406" s="293" t="s">
        <v>56</v>
      </c>
      <c r="F406" s="293" t="s">
        <v>818</v>
      </c>
      <c r="G406" s="200" t="s">
        <v>57</v>
      </c>
      <c r="H406" s="200" t="s">
        <v>862</v>
      </c>
      <c r="I406" s="198">
        <v>0.55000000000000004</v>
      </c>
      <c r="J406" s="410">
        <v>0.56000000000000005</v>
      </c>
      <c r="K406" s="541"/>
    </row>
    <row r="407" spans="1:11" hidden="1">
      <c r="A407" s="295" t="s">
        <v>42</v>
      </c>
      <c r="B407" s="197" t="s">
        <v>817</v>
      </c>
      <c r="C407" s="294">
        <v>44236</v>
      </c>
      <c r="D407" s="197" t="s">
        <v>758</v>
      </c>
      <c r="E407" s="293" t="s">
        <v>56</v>
      </c>
      <c r="F407" s="293" t="s">
        <v>818</v>
      </c>
      <c r="G407" s="200" t="s">
        <v>57</v>
      </c>
      <c r="H407" s="200" t="s">
        <v>863</v>
      </c>
      <c r="I407" s="198" t="s">
        <v>850</v>
      </c>
      <c r="J407" s="410" t="s">
        <v>851</v>
      </c>
      <c r="K407" s="541"/>
    </row>
    <row r="408" spans="1:11" hidden="1">
      <c r="A408" s="295" t="s">
        <v>42</v>
      </c>
      <c r="B408" s="197" t="s">
        <v>817</v>
      </c>
      <c r="C408" s="294">
        <v>44236</v>
      </c>
      <c r="D408" s="197" t="s">
        <v>758</v>
      </c>
      <c r="E408" s="293" t="s">
        <v>56</v>
      </c>
      <c r="F408" s="293" t="s">
        <v>818</v>
      </c>
      <c r="G408" s="200" t="s">
        <v>57</v>
      </c>
      <c r="H408" s="200" t="s">
        <v>864</v>
      </c>
      <c r="I408" s="198">
        <v>0.63</v>
      </c>
      <c r="J408" s="410">
        <v>0.64</v>
      </c>
      <c r="K408" s="541"/>
    </row>
    <row r="409" spans="1:11" hidden="1">
      <c r="A409" s="295" t="s">
        <v>42</v>
      </c>
      <c r="B409" s="197" t="s">
        <v>817</v>
      </c>
      <c r="C409" s="294">
        <v>44236</v>
      </c>
      <c r="D409" s="197" t="s">
        <v>758</v>
      </c>
      <c r="E409" s="293" t="s">
        <v>56</v>
      </c>
      <c r="F409" s="293" t="s">
        <v>818</v>
      </c>
      <c r="G409" s="200" t="s">
        <v>57</v>
      </c>
      <c r="H409" s="200" t="s">
        <v>865</v>
      </c>
      <c r="I409" s="198" t="s">
        <v>850</v>
      </c>
      <c r="J409" s="410" t="s">
        <v>851</v>
      </c>
      <c r="K409" s="541"/>
    </row>
    <row r="410" spans="1:11" hidden="1">
      <c r="A410" s="295" t="s">
        <v>42</v>
      </c>
      <c r="B410" s="197" t="s">
        <v>817</v>
      </c>
      <c r="C410" s="294">
        <v>44236</v>
      </c>
      <c r="D410" s="197" t="s">
        <v>758</v>
      </c>
      <c r="E410" s="293" t="s">
        <v>56</v>
      </c>
      <c r="F410" s="293" t="s">
        <v>818</v>
      </c>
      <c r="G410" s="200" t="s">
        <v>57</v>
      </c>
      <c r="H410" s="200" t="s">
        <v>866</v>
      </c>
      <c r="I410" s="198">
        <v>0.15</v>
      </c>
      <c r="J410" s="410">
        <v>0.19</v>
      </c>
      <c r="K410" s="541"/>
    </row>
    <row r="411" spans="1:11" hidden="1">
      <c r="A411" s="295" t="s">
        <v>42</v>
      </c>
      <c r="B411" s="197" t="s">
        <v>817</v>
      </c>
      <c r="C411" s="294">
        <v>44236</v>
      </c>
      <c r="D411" s="197" t="s">
        <v>758</v>
      </c>
      <c r="E411" s="293" t="s">
        <v>56</v>
      </c>
      <c r="F411" s="293" t="s">
        <v>818</v>
      </c>
      <c r="G411" s="200" t="s">
        <v>57</v>
      </c>
      <c r="H411" s="200" t="s">
        <v>867</v>
      </c>
      <c r="I411" s="198" t="s">
        <v>850</v>
      </c>
      <c r="J411" s="410" t="s">
        <v>851</v>
      </c>
      <c r="K411" s="542"/>
    </row>
    <row r="412" spans="1:11" hidden="1">
      <c r="A412" s="295" t="s">
        <v>42</v>
      </c>
      <c r="B412" s="197" t="s">
        <v>817</v>
      </c>
      <c r="C412" s="294">
        <v>44236</v>
      </c>
      <c r="D412" s="197" t="s">
        <v>758</v>
      </c>
      <c r="E412" s="293" t="s">
        <v>56</v>
      </c>
      <c r="F412" s="293" t="s">
        <v>818</v>
      </c>
      <c r="G412" s="200" t="s">
        <v>57</v>
      </c>
      <c r="H412" s="200" t="s">
        <v>868</v>
      </c>
      <c r="I412" s="198">
        <v>25</v>
      </c>
      <c r="J412" s="410">
        <v>28</v>
      </c>
      <c r="K412" s="543" t="s">
        <v>870</v>
      </c>
    </row>
    <row r="413" spans="1:11" hidden="1">
      <c r="A413" s="295" t="s">
        <v>42</v>
      </c>
      <c r="B413" s="197" t="s">
        <v>817</v>
      </c>
      <c r="C413" s="294">
        <v>44236</v>
      </c>
      <c r="D413" s="197" t="s">
        <v>758</v>
      </c>
      <c r="E413" s="293" t="s">
        <v>56</v>
      </c>
      <c r="F413" s="293" t="s">
        <v>818</v>
      </c>
      <c r="G413" s="200" t="s">
        <v>57</v>
      </c>
      <c r="H413" s="200" t="s">
        <v>869</v>
      </c>
      <c r="I413" s="198" t="s">
        <v>872</v>
      </c>
      <c r="J413" s="410" t="s">
        <v>873</v>
      </c>
      <c r="K413" s="544"/>
    </row>
    <row r="414" spans="1:11" hidden="1">
      <c r="A414" s="295" t="s">
        <v>42</v>
      </c>
      <c r="B414" s="197" t="s">
        <v>817</v>
      </c>
      <c r="C414" s="294">
        <v>44236</v>
      </c>
      <c r="D414" s="197" t="s">
        <v>758</v>
      </c>
      <c r="E414" s="293" t="s">
        <v>56</v>
      </c>
      <c r="F414" s="293" t="s">
        <v>818</v>
      </c>
      <c r="G414" s="200" t="s">
        <v>57</v>
      </c>
      <c r="H414" s="200" t="s">
        <v>871</v>
      </c>
      <c r="I414" s="198">
        <v>25</v>
      </c>
      <c r="J414" s="410">
        <v>28</v>
      </c>
      <c r="K414" s="544"/>
    </row>
    <row r="415" spans="1:11" hidden="1">
      <c r="A415" s="295" t="s">
        <v>42</v>
      </c>
      <c r="B415" s="197" t="s">
        <v>817</v>
      </c>
      <c r="C415" s="294">
        <v>44236</v>
      </c>
      <c r="D415" s="197" t="s">
        <v>758</v>
      </c>
      <c r="E415" s="293" t="s">
        <v>56</v>
      </c>
      <c r="F415" s="293" t="s">
        <v>818</v>
      </c>
      <c r="G415" s="200" t="s">
        <v>57</v>
      </c>
      <c r="H415" s="200" t="s">
        <v>874</v>
      </c>
      <c r="I415" s="198" t="s">
        <v>872</v>
      </c>
      <c r="J415" s="410" t="s">
        <v>873</v>
      </c>
      <c r="K415" s="544"/>
    </row>
    <row r="416" spans="1:11" hidden="1">
      <c r="A416" s="295" t="s">
        <v>42</v>
      </c>
      <c r="B416" s="197" t="s">
        <v>817</v>
      </c>
      <c r="C416" s="294">
        <v>44236</v>
      </c>
      <c r="D416" s="197" t="s">
        <v>758</v>
      </c>
      <c r="E416" s="293" t="s">
        <v>56</v>
      </c>
      <c r="F416" s="293" t="s">
        <v>818</v>
      </c>
      <c r="G416" s="200" t="s">
        <v>57</v>
      </c>
      <c r="H416" s="200" t="s">
        <v>875</v>
      </c>
      <c r="I416" s="198">
        <v>29</v>
      </c>
      <c r="J416" s="410">
        <v>27</v>
      </c>
      <c r="K416" s="544"/>
    </row>
    <row r="417" spans="1:11" hidden="1">
      <c r="A417" s="295" t="s">
        <v>42</v>
      </c>
      <c r="B417" s="197" t="s">
        <v>817</v>
      </c>
      <c r="C417" s="294">
        <v>44236</v>
      </c>
      <c r="D417" s="197" t="s">
        <v>758</v>
      </c>
      <c r="E417" s="293" t="s">
        <v>56</v>
      </c>
      <c r="F417" s="293" t="s">
        <v>818</v>
      </c>
      <c r="G417" s="200" t="s">
        <v>57</v>
      </c>
      <c r="H417" s="200" t="s">
        <v>876</v>
      </c>
      <c r="I417" s="198" t="s">
        <v>872</v>
      </c>
      <c r="J417" s="410" t="s">
        <v>873</v>
      </c>
      <c r="K417" s="544"/>
    </row>
    <row r="418" spans="1:11" hidden="1">
      <c r="A418" s="295" t="s">
        <v>42</v>
      </c>
      <c r="B418" s="197" t="s">
        <v>817</v>
      </c>
      <c r="C418" s="294">
        <v>44236</v>
      </c>
      <c r="D418" s="197" t="s">
        <v>758</v>
      </c>
      <c r="E418" s="293" t="s">
        <v>56</v>
      </c>
      <c r="F418" s="293" t="s">
        <v>818</v>
      </c>
      <c r="G418" s="200" t="s">
        <v>57</v>
      </c>
      <c r="H418" s="200" t="s">
        <v>877</v>
      </c>
      <c r="I418" s="198">
        <v>33</v>
      </c>
      <c r="J418" s="410">
        <v>35</v>
      </c>
      <c r="K418" s="544"/>
    </row>
    <row r="419" spans="1:11" hidden="1">
      <c r="A419" s="295" t="s">
        <v>42</v>
      </c>
      <c r="B419" s="197" t="s">
        <v>817</v>
      </c>
      <c r="C419" s="294">
        <v>44236</v>
      </c>
      <c r="D419" s="197" t="s">
        <v>758</v>
      </c>
      <c r="E419" s="293" t="s">
        <v>56</v>
      </c>
      <c r="F419" s="293" t="s">
        <v>818</v>
      </c>
      <c r="G419" s="200" t="s">
        <v>57</v>
      </c>
      <c r="H419" s="200" t="s">
        <v>878</v>
      </c>
      <c r="I419" s="198" t="s">
        <v>872</v>
      </c>
      <c r="J419" s="410" t="s">
        <v>873</v>
      </c>
      <c r="K419" s="544"/>
    </row>
    <row r="420" spans="1:11" hidden="1">
      <c r="A420" s="295" t="s">
        <v>42</v>
      </c>
      <c r="B420" s="197" t="s">
        <v>817</v>
      </c>
      <c r="C420" s="294">
        <v>44236</v>
      </c>
      <c r="D420" s="197" t="s">
        <v>758</v>
      </c>
      <c r="E420" s="293" t="s">
        <v>56</v>
      </c>
      <c r="F420" s="293" t="s">
        <v>818</v>
      </c>
      <c r="G420" s="200" t="s">
        <v>57</v>
      </c>
      <c r="H420" s="200" t="s">
        <v>879</v>
      </c>
      <c r="I420" s="198">
        <v>27</v>
      </c>
      <c r="J420" s="410">
        <v>28</v>
      </c>
      <c r="K420" s="544"/>
    </row>
    <row r="421" spans="1:11" hidden="1">
      <c r="A421" s="295" t="s">
        <v>42</v>
      </c>
      <c r="B421" s="197" t="s">
        <v>817</v>
      </c>
      <c r="C421" s="294">
        <v>44236</v>
      </c>
      <c r="D421" s="197" t="s">
        <v>758</v>
      </c>
      <c r="E421" s="293" t="s">
        <v>56</v>
      </c>
      <c r="F421" s="293" t="s">
        <v>818</v>
      </c>
      <c r="G421" s="200" t="s">
        <v>57</v>
      </c>
      <c r="H421" s="200" t="s">
        <v>880</v>
      </c>
      <c r="I421" s="198" t="s">
        <v>872</v>
      </c>
      <c r="J421" s="410" t="s">
        <v>873</v>
      </c>
      <c r="K421" s="544"/>
    </row>
    <row r="422" spans="1:11" hidden="1">
      <c r="A422" s="295" t="s">
        <v>42</v>
      </c>
      <c r="B422" s="197" t="s">
        <v>817</v>
      </c>
      <c r="C422" s="294">
        <v>44236</v>
      </c>
      <c r="D422" s="197" t="s">
        <v>758</v>
      </c>
      <c r="E422" s="293" t="s">
        <v>56</v>
      </c>
      <c r="F422" s="293" t="s">
        <v>818</v>
      </c>
      <c r="G422" s="200" t="s">
        <v>57</v>
      </c>
      <c r="H422" s="200" t="s">
        <v>881</v>
      </c>
      <c r="I422" s="198">
        <v>12</v>
      </c>
      <c r="J422" s="410">
        <v>13</v>
      </c>
      <c r="K422" s="544"/>
    </row>
    <row r="423" spans="1:11" hidden="1">
      <c r="A423" s="295" t="s">
        <v>42</v>
      </c>
      <c r="B423" s="197" t="s">
        <v>817</v>
      </c>
      <c r="C423" s="294">
        <v>44236</v>
      </c>
      <c r="D423" s="197" t="s">
        <v>758</v>
      </c>
      <c r="E423" s="293" t="s">
        <v>56</v>
      </c>
      <c r="F423" s="293" t="s">
        <v>818</v>
      </c>
      <c r="G423" s="200" t="s">
        <v>57</v>
      </c>
      <c r="H423" s="200" t="s">
        <v>882</v>
      </c>
      <c r="I423" s="198" t="s">
        <v>872</v>
      </c>
      <c r="J423" s="410" t="s">
        <v>873</v>
      </c>
      <c r="K423" s="544"/>
    </row>
    <row r="424" spans="1:11" hidden="1">
      <c r="A424" s="295" t="s">
        <v>42</v>
      </c>
      <c r="B424" s="197" t="s">
        <v>817</v>
      </c>
      <c r="C424" s="294">
        <v>44236</v>
      </c>
      <c r="D424" s="197" t="s">
        <v>758</v>
      </c>
      <c r="E424" s="293" t="s">
        <v>56</v>
      </c>
      <c r="F424" s="293" t="s">
        <v>818</v>
      </c>
      <c r="G424" s="200" t="s">
        <v>57</v>
      </c>
      <c r="H424" s="200" t="s">
        <v>883</v>
      </c>
      <c r="I424" s="198">
        <v>23</v>
      </c>
      <c r="J424" s="410">
        <v>25</v>
      </c>
      <c r="K424" s="544"/>
    </row>
    <row r="425" spans="1:11" hidden="1">
      <c r="A425" s="295" t="s">
        <v>42</v>
      </c>
      <c r="B425" s="197" t="s">
        <v>817</v>
      </c>
      <c r="C425" s="294">
        <v>44236</v>
      </c>
      <c r="D425" s="197" t="s">
        <v>758</v>
      </c>
      <c r="E425" s="293" t="s">
        <v>56</v>
      </c>
      <c r="F425" s="293" t="s">
        <v>818</v>
      </c>
      <c r="G425" s="200" t="s">
        <v>57</v>
      </c>
      <c r="H425" s="200" t="s">
        <v>884</v>
      </c>
      <c r="I425" s="198" t="s">
        <v>872</v>
      </c>
      <c r="J425" s="410" t="s">
        <v>873</v>
      </c>
      <c r="K425" s="544"/>
    </row>
    <row r="426" spans="1:11" hidden="1">
      <c r="A426" s="295" t="s">
        <v>42</v>
      </c>
      <c r="B426" s="197" t="s">
        <v>817</v>
      </c>
      <c r="C426" s="294">
        <v>44236</v>
      </c>
      <c r="D426" s="197" t="s">
        <v>758</v>
      </c>
      <c r="E426" s="293" t="s">
        <v>56</v>
      </c>
      <c r="F426" s="293" t="s">
        <v>818</v>
      </c>
      <c r="G426" s="200" t="s">
        <v>57</v>
      </c>
      <c r="H426" s="200" t="s">
        <v>885</v>
      </c>
      <c r="I426" s="198">
        <v>6</v>
      </c>
      <c r="J426" s="410">
        <v>8</v>
      </c>
      <c r="K426" s="544"/>
    </row>
    <row r="427" spans="1:11" hidden="1">
      <c r="A427" s="295" t="s">
        <v>42</v>
      </c>
      <c r="B427" s="197" t="s">
        <v>817</v>
      </c>
      <c r="C427" s="294">
        <v>44236</v>
      </c>
      <c r="D427" s="197" t="s">
        <v>758</v>
      </c>
      <c r="E427" s="293" t="s">
        <v>56</v>
      </c>
      <c r="F427" s="293" t="s">
        <v>818</v>
      </c>
      <c r="G427" s="200" t="s">
        <v>57</v>
      </c>
      <c r="H427" s="200" t="s">
        <v>886</v>
      </c>
      <c r="I427" s="198" t="s">
        <v>872</v>
      </c>
      <c r="J427" s="410" t="s">
        <v>873</v>
      </c>
      <c r="K427" s="545"/>
    </row>
    <row r="428" spans="1:11" hidden="1">
      <c r="A428" s="295" t="s">
        <v>42</v>
      </c>
      <c r="B428" s="197" t="s">
        <v>817</v>
      </c>
      <c r="C428" s="294">
        <v>44236</v>
      </c>
      <c r="D428" s="197" t="s">
        <v>758</v>
      </c>
      <c r="E428" s="293" t="s">
        <v>56</v>
      </c>
      <c r="F428" s="293" t="s">
        <v>818</v>
      </c>
      <c r="G428" s="200" t="s">
        <v>57</v>
      </c>
      <c r="H428" s="200" t="s">
        <v>887</v>
      </c>
      <c r="I428" s="198" t="s">
        <v>889</v>
      </c>
      <c r="J428" s="410" t="s">
        <v>890</v>
      </c>
      <c r="K428" s="540" t="s">
        <v>891</v>
      </c>
    </row>
    <row r="429" spans="1:11" hidden="1">
      <c r="A429" s="295" t="s">
        <v>42</v>
      </c>
      <c r="B429" s="197" t="s">
        <v>817</v>
      </c>
      <c r="C429" s="294">
        <v>44236</v>
      </c>
      <c r="D429" s="197" t="s">
        <v>758</v>
      </c>
      <c r="E429" s="293" t="s">
        <v>56</v>
      </c>
      <c r="F429" s="293" t="s">
        <v>818</v>
      </c>
      <c r="G429" s="200" t="s">
        <v>57</v>
      </c>
      <c r="H429" s="200" t="s">
        <v>888</v>
      </c>
      <c r="I429" s="198" t="s">
        <v>889</v>
      </c>
      <c r="J429" s="410" t="s">
        <v>890</v>
      </c>
      <c r="K429" s="541"/>
    </row>
    <row r="430" spans="1:11" hidden="1">
      <c r="A430" s="295" t="s">
        <v>42</v>
      </c>
      <c r="B430" s="197" t="s">
        <v>817</v>
      </c>
      <c r="C430" s="294">
        <v>44236</v>
      </c>
      <c r="D430" s="197" t="s">
        <v>758</v>
      </c>
      <c r="E430" s="293" t="s">
        <v>56</v>
      </c>
      <c r="F430" s="293" t="s">
        <v>818</v>
      </c>
      <c r="G430" s="200" t="s">
        <v>57</v>
      </c>
      <c r="H430" s="200" t="s">
        <v>892</v>
      </c>
      <c r="I430" s="198" t="s">
        <v>889</v>
      </c>
      <c r="J430" s="410" t="s">
        <v>890</v>
      </c>
      <c r="K430" s="541"/>
    </row>
    <row r="431" spans="1:11" hidden="1">
      <c r="A431" s="295" t="s">
        <v>42</v>
      </c>
      <c r="B431" s="197" t="s">
        <v>817</v>
      </c>
      <c r="C431" s="294">
        <v>44236</v>
      </c>
      <c r="D431" s="197" t="s">
        <v>758</v>
      </c>
      <c r="E431" s="293" t="s">
        <v>56</v>
      </c>
      <c r="F431" s="293" t="s">
        <v>818</v>
      </c>
      <c r="G431" s="200" t="s">
        <v>57</v>
      </c>
      <c r="H431" s="200" t="s">
        <v>893</v>
      </c>
      <c r="I431" s="198" t="s">
        <v>889</v>
      </c>
      <c r="J431" s="410" t="s">
        <v>890</v>
      </c>
      <c r="K431" s="541"/>
    </row>
    <row r="432" spans="1:11" hidden="1">
      <c r="A432" s="295" t="s">
        <v>42</v>
      </c>
      <c r="B432" s="197" t="s">
        <v>817</v>
      </c>
      <c r="C432" s="294">
        <v>44236</v>
      </c>
      <c r="D432" s="197" t="s">
        <v>758</v>
      </c>
      <c r="E432" s="293" t="s">
        <v>56</v>
      </c>
      <c r="F432" s="293" t="s">
        <v>818</v>
      </c>
      <c r="G432" s="200" t="s">
        <v>57</v>
      </c>
      <c r="H432" s="200" t="s">
        <v>894</v>
      </c>
      <c r="I432" s="198" t="s">
        <v>895</v>
      </c>
      <c r="J432" s="410" t="s">
        <v>896</v>
      </c>
      <c r="K432" s="542"/>
    </row>
    <row r="433" spans="1:11" hidden="1">
      <c r="A433" s="295" t="s">
        <v>42</v>
      </c>
      <c r="B433" s="197" t="s">
        <v>817</v>
      </c>
      <c r="C433" s="294">
        <v>44236</v>
      </c>
      <c r="D433" s="197" t="s">
        <v>758</v>
      </c>
      <c r="E433" s="293" t="s">
        <v>56</v>
      </c>
      <c r="F433" s="293" t="s">
        <v>818</v>
      </c>
      <c r="G433" s="200" t="s">
        <v>57</v>
      </c>
      <c r="H433" s="200" t="s">
        <v>467</v>
      </c>
      <c r="I433" s="198" t="s">
        <v>898</v>
      </c>
      <c r="J433" s="410" t="s">
        <v>823</v>
      </c>
      <c r="K433" s="540" t="s">
        <v>899</v>
      </c>
    </row>
    <row r="434" spans="1:11" hidden="1">
      <c r="A434" s="295" t="s">
        <v>42</v>
      </c>
      <c r="B434" s="197" t="s">
        <v>817</v>
      </c>
      <c r="C434" s="294">
        <v>44236</v>
      </c>
      <c r="D434" s="197" t="s">
        <v>758</v>
      </c>
      <c r="E434" s="293" t="s">
        <v>56</v>
      </c>
      <c r="F434" s="293" t="s">
        <v>818</v>
      </c>
      <c r="G434" s="200" t="s">
        <v>57</v>
      </c>
      <c r="H434" s="200" t="s">
        <v>897</v>
      </c>
      <c r="I434" s="198">
        <v>0.1</v>
      </c>
      <c r="J434" s="410">
        <v>0.2</v>
      </c>
      <c r="K434" s="541"/>
    </row>
    <row r="435" spans="1:11" hidden="1">
      <c r="A435" s="295" t="s">
        <v>42</v>
      </c>
      <c r="B435" s="197" t="s">
        <v>817</v>
      </c>
      <c r="C435" s="294">
        <v>44236</v>
      </c>
      <c r="D435" s="197" t="s">
        <v>758</v>
      </c>
      <c r="E435" s="293" t="s">
        <v>56</v>
      </c>
      <c r="F435" s="293" t="s">
        <v>818</v>
      </c>
      <c r="G435" s="200" t="s">
        <v>57</v>
      </c>
      <c r="H435" s="200" t="s">
        <v>900</v>
      </c>
      <c r="I435" s="198" t="s">
        <v>902</v>
      </c>
      <c r="J435" s="410" t="s">
        <v>828</v>
      </c>
      <c r="K435" s="541"/>
    </row>
    <row r="436" spans="1:11" hidden="1">
      <c r="A436" s="295" t="s">
        <v>42</v>
      </c>
      <c r="B436" s="197" t="s">
        <v>817</v>
      </c>
      <c r="C436" s="294">
        <v>44236</v>
      </c>
      <c r="D436" s="197" t="s">
        <v>758</v>
      </c>
      <c r="E436" s="293" t="s">
        <v>56</v>
      </c>
      <c r="F436" s="293" t="s">
        <v>818</v>
      </c>
      <c r="G436" s="200" t="s">
        <v>57</v>
      </c>
      <c r="H436" s="200" t="s">
        <v>901</v>
      </c>
      <c r="I436" s="198" t="s">
        <v>902</v>
      </c>
      <c r="J436" s="410" t="s">
        <v>828</v>
      </c>
      <c r="K436" s="541"/>
    </row>
    <row r="437" spans="1:11" hidden="1">
      <c r="A437" s="295" t="s">
        <v>42</v>
      </c>
      <c r="B437" s="197" t="s">
        <v>817</v>
      </c>
      <c r="C437" s="294">
        <v>44236</v>
      </c>
      <c r="D437" s="197" t="s">
        <v>758</v>
      </c>
      <c r="E437" s="293" t="s">
        <v>56</v>
      </c>
      <c r="F437" s="293" t="s">
        <v>818</v>
      </c>
      <c r="G437" s="200" t="s">
        <v>57</v>
      </c>
      <c r="H437" s="200" t="s">
        <v>903</v>
      </c>
      <c r="I437" s="198" t="s">
        <v>902</v>
      </c>
      <c r="J437" s="410" t="s">
        <v>828</v>
      </c>
      <c r="K437" s="541"/>
    </row>
    <row r="438" spans="1:11" hidden="1">
      <c r="A438" s="295" t="s">
        <v>42</v>
      </c>
      <c r="B438" s="197" t="s">
        <v>817</v>
      </c>
      <c r="C438" s="294">
        <v>44236</v>
      </c>
      <c r="D438" s="197" t="s">
        <v>758</v>
      </c>
      <c r="E438" s="293" t="s">
        <v>56</v>
      </c>
      <c r="F438" s="293" t="s">
        <v>818</v>
      </c>
      <c r="G438" s="200" t="s">
        <v>57</v>
      </c>
      <c r="H438" s="200" t="s">
        <v>904</v>
      </c>
      <c r="I438" s="198">
        <v>0.04</v>
      </c>
      <c r="J438" s="410">
        <v>0.03</v>
      </c>
      <c r="K438" s="541"/>
    </row>
    <row r="439" spans="1:11" hidden="1">
      <c r="A439" s="295" t="s">
        <v>42</v>
      </c>
      <c r="B439" s="197" t="s">
        <v>817</v>
      </c>
      <c r="C439" s="294">
        <v>44236</v>
      </c>
      <c r="D439" s="197" t="s">
        <v>758</v>
      </c>
      <c r="E439" s="293" t="s">
        <v>56</v>
      </c>
      <c r="F439" s="293" t="s">
        <v>818</v>
      </c>
      <c r="G439" s="200" t="s">
        <v>57</v>
      </c>
      <c r="H439" s="200" t="s">
        <v>905</v>
      </c>
      <c r="I439" s="198" t="s">
        <v>907</v>
      </c>
      <c r="J439" s="410" t="s">
        <v>834</v>
      </c>
      <c r="K439" s="541"/>
    </row>
    <row r="440" spans="1:11" hidden="1">
      <c r="A440" s="295" t="s">
        <v>42</v>
      </c>
      <c r="B440" s="197" t="s">
        <v>817</v>
      </c>
      <c r="C440" s="294">
        <v>44236</v>
      </c>
      <c r="D440" s="197" t="s">
        <v>758</v>
      </c>
      <c r="E440" s="293" t="s">
        <v>56</v>
      </c>
      <c r="F440" s="293" t="s">
        <v>818</v>
      </c>
      <c r="G440" s="200" t="s">
        <v>57</v>
      </c>
      <c r="H440" s="200" t="s">
        <v>906</v>
      </c>
      <c r="I440" s="198">
        <v>0.04</v>
      </c>
      <c r="J440" s="410">
        <v>0.03</v>
      </c>
      <c r="K440" s="541"/>
    </row>
    <row r="441" spans="1:11" hidden="1">
      <c r="A441" s="295" t="s">
        <v>42</v>
      </c>
      <c r="B441" s="197" t="s">
        <v>817</v>
      </c>
      <c r="C441" s="294">
        <v>44236</v>
      </c>
      <c r="D441" s="197" t="s">
        <v>758</v>
      </c>
      <c r="E441" s="293" t="s">
        <v>56</v>
      </c>
      <c r="F441" s="293" t="s">
        <v>818</v>
      </c>
      <c r="G441" s="200" t="s">
        <v>57</v>
      </c>
      <c r="H441" s="200" t="s">
        <v>70</v>
      </c>
      <c r="I441" s="198" t="s">
        <v>907</v>
      </c>
      <c r="J441" s="410" t="s">
        <v>834</v>
      </c>
      <c r="K441" s="542"/>
    </row>
    <row r="442" spans="1:11" hidden="1">
      <c r="A442" s="295" t="s">
        <v>42</v>
      </c>
      <c r="B442" s="197" t="s">
        <v>817</v>
      </c>
      <c r="C442" s="294">
        <v>44236</v>
      </c>
      <c r="D442" s="197" t="s">
        <v>758</v>
      </c>
      <c r="E442" s="293" t="s">
        <v>56</v>
      </c>
      <c r="F442" s="293" t="s">
        <v>818</v>
      </c>
      <c r="G442" s="200" t="s">
        <v>57</v>
      </c>
      <c r="H442" s="200" t="s">
        <v>908</v>
      </c>
      <c r="I442" s="198" t="s">
        <v>910</v>
      </c>
      <c r="J442" s="410" t="s">
        <v>838</v>
      </c>
      <c r="K442" s="540" t="s">
        <v>911</v>
      </c>
    </row>
    <row r="443" spans="1:11" hidden="1">
      <c r="A443" s="295" t="s">
        <v>42</v>
      </c>
      <c r="B443" s="197" t="s">
        <v>817</v>
      </c>
      <c r="C443" s="294">
        <v>44236</v>
      </c>
      <c r="D443" s="197" t="s">
        <v>758</v>
      </c>
      <c r="E443" s="293" t="s">
        <v>56</v>
      </c>
      <c r="F443" s="293" t="s">
        <v>818</v>
      </c>
      <c r="G443" s="200" t="s">
        <v>57</v>
      </c>
      <c r="H443" s="200" t="s">
        <v>909</v>
      </c>
      <c r="I443" s="198" t="s">
        <v>910</v>
      </c>
      <c r="J443" s="410" t="s">
        <v>838</v>
      </c>
      <c r="K443" s="541"/>
    </row>
    <row r="444" spans="1:11" hidden="1">
      <c r="A444" s="295" t="s">
        <v>42</v>
      </c>
      <c r="B444" s="197" t="s">
        <v>817</v>
      </c>
      <c r="C444" s="294">
        <v>44236</v>
      </c>
      <c r="D444" s="197" t="s">
        <v>758</v>
      </c>
      <c r="E444" s="293" t="s">
        <v>56</v>
      </c>
      <c r="F444" s="293" t="s">
        <v>818</v>
      </c>
      <c r="G444" s="200" t="s">
        <v>57</v>
      </c>
      <c r="H444" s="200" t="s">
        <v>912</v>
      </c>
      <c r="I444" s="198" t="s">
        <v>910</v>
      </c>
      <c r="J444" s="410" t="s">
        <v>838</v>
      </c>
      <c r="K444" s="541"/>
    </row>
    <row r="445" spans="1:11" hidden="1">
      <c r="A445" s="295" t="s">
        <v>42</v>
      </c>
      <c r="B445" s="197" t="s">
        <v>817</v>
      </c>
      <c r="C445" s="294">
        <v>44236</v>
      </c>
      <c r="D445" s="197" t="s">
        <v>758</v>
      </c>
      <c r="E445" s="293" t="s">
        <v>56</v>
      </c>
      <c r="F445" s="293" t="s">
        <v>818</v>
      </c>
      <c r="G445" s="200" t="s">
        <v>57</v>
      </c>
      <c r="H445" s="200" t="s">
        <v>913</v>
      </c>
      <c r="I445" s="198" t="s">
        <v>915</v>
      </c>
      <c r="J445" s="410" t="s">
        <v>844</v>
      </c>
      <c r="K445" s="541"/>
    </row>
    <row r="446" spans="1:11" hidden="1">
      <c r="A446" s="295" t="s">
        <v>42</v>
      </c>
      <c r="B446" s="197" t="s">
        <v>817</v>
      </c>
      <c r="C446" s="294">
        <v>44236</v>
      </c>
      <c r="D446" s="197" t="s">
        <v>758</v>
      </c>
      <c r="E446" s="293" t="s">
        <v>56</v>
      </c>
      <c r="F446" s="293" t="s">
        <v>818</v>
      </c>
      <c r="G446" s="200" t="s">
        <v>57</v>
      </c>
      <c r="H446" s="200" t="s">
        <v>914</v>
      </c>
      <c r="I446" s="198" t="s">
        <v>915</v>
      </c>
      <c r="J446" s="410" t="s">
        <v>844</v>
      </c>
      <c r="K446" s="542"/>
    </row>
    <row r="447" spans="1:11" hidden="1">
      <c r="A447" s="295" t="s">
        <v>42</v>
      </c>
      <c r="B447" s="197" t="s">
        <v>817</v>
      </c>
      <c r="C447" s="294">
        <v>44236</v>
      </c>
      <c r="D447" s="197" t="s">
        <v>758</v>
      </c>
      <c r="E447" s="293" t="s">
        <v>56</v>
      </c>
      <c r="F447" s="293" t="s">
        <v>818</v>
      </c>
      <c r="G447" s="200" t="s">
        <v>57</v>
      </c>
      <c r="H447" s="200" t="s">
        <v>916</v>
      </c>
      <c r="I447" s="198" t="s">
        <v>918</v>
      </c>
      <c r="J447" s="410" t="s">
        <v>850</v>
      </c>
      <c r="K447" s="540" t="s">
        <v>919</v>
      </c>
    </row>
    <row r="448" spans="1:11" hidden="1">
      <c r="A448" s="295" t="s">
        <v>42</v>
      </c>
      <c r="B448" s="197" t="s">
        <v>817</v>
      </c>
      <c r="C448" s="294">
        <v>44236</v>
      </c>
      <c r="D448" s="197" t="s">
        <v>758</v>
      </c>
      <c r="E448" s="293" t="s">
        <v>56</v>
      </c>
      <c r="F448" s="293" t="s">
        <v>818</v>
      </c>
      <c r="G448" s="200" t="s">
        <v>57</v>
      </c>
      <c r="H448" s="200" t="s">
        <v>917</v>
      </c>
      <c r="I448" s="198" t="s">
        <v>918</v>
      </c>
      <c r="J448" s="410" t="s">
        <v>850</v>
      </c>
      <c r="K448" s="541"/>
    </row>
    <row r="449" spans="1:11" hidden="1">
      <c r="A449" s="295" t="s">
        <v>42</v>
      </c>
      <c r="B449" s="197" t="s">
        <v>817</v>
      </c>
      <c r="C449" s="294">
        <v>44236</v>
      </c>
      <c r="D449" s="197" t="s">
        <v>758</v>
      </c>
      <c r="E449" s="293" t="s">
        <v>56</v>
      </c>
      <c r="F449" s="293" t="s">
        <v>818</v>
      </c>
      <c r="G449" s="200" t="s">
        <v>57</v>
      </c>
      <c r="H449" s="200" t="s">
        <v>920</v>
      </c>
      <c r="I449" s="198">
        <v>0.98</v>
      </c>
      <c r="J449" s="410">
        <v>1.02</v>
      </c>
      <c r="K449" s="541"/>
    </row>
    <row r="450" spans="1:11" hidden="1">
      <c r="A450" s="295" t="s">
        <v>42</v>
      </c>
      <c r="B450" s="197" t="s">
        <v>817</v>
      </c>
      <c r="C450" s="294">
        <v>44236</v>
      </c>
      <c r="D450" s="197" t="s">
        <v>758</v>
      </c>
      <c r="E450" s="293" t="s">
        <v>56</v>
      </c>
      <c r="F450" s="293" t="s">
        <v>818</v>
      </c>
      <c r="G450" s="200" t="s">
        <v>57</v>
      </c>
      <c r="H450" s="200" t="s">
        <v>921</v>
      </c>
      <c r="I450" s="198" t="s">
        <v>918</v>
      </c>
      <c r="J450" s="410" t="s">
        <v>850</v>
      </c>
      <c r="K450" s="541"/>
    </row>
    <row r="451" spans="1:11" hidden="1">
      <c r="A451" s="295" t="s">
        <v>42</v>
      </c>
      <c r="B451" s="197" t="s">
        <v>817</v>
      </c>
      <c r="C451" s="294">
        <v>44236</v>
      </c>
      <c r="D451" s="197" t="s">
        <v>758</v>
      </c>
      <c r="E451" s="293" t="s">
        <v>56</v>
      </c>
      <c r="F451" s="293" t="s">
        <v>818</v>
      </c>
      <c r="G451" s="200" t="s">
        <v>57</v>
      </c>
      <c r="H451" s="200" t="s">
        <v>922</v>
      </c>
      <c r="I451" s="198" t="s">
        <v>918</v>
      </c>
      <c r="J451" s="410" t="s">
        <v>850</v>
      </c>
      <c r="K451" s="541"/>
    </row>
    <row r="452" spans="1:11" hidden="1">
      <c r="A452" s="295" t="s">
        <v>42</v>
      </c>
      <c r="B452" s="197" t="s">
        <v>817</v>
      </c>
      <c r="C452" s="294">
        <v>44236</v>
      </c>
      <c r="D452" s="197" t="s">
        <v>758</v>
      </c>
      <c r="E452" s="293" t="s">
        <v>56</v>
      </c>
      <c r="F452" s="293" t="s">
        <v>818</v>
      </c>
      <c r="G452" s="200" t="s">
        <v>57</v>
      </c>
      <c r="H452" s="200" t="s">
        <v>923</v>
      </c>
      <c r="I452" s="198">
        <v>0.43</v>
      </c>
      <c r="J452" s="410">
        <v>0.44</v>
      </c>
      <c r="K452" s="541"/>
    </row>
    <row r="453" spans="1:11" hidden="1">
      <c r="A453" s="295" t="s">
        <v>42</v>
      </c>
      <c r="B453" s="197" t="s">
        <v>817</v>
      </c>
      <c r="C453" s="294">
        <v>44236</v>
      </c>
      <c r="D453" s="197" t="s">
        <v>758</v>
      </c>
      <c r="E453" s="293" t="s">
        <v>56</v>
      </c>
      <c r="F453" s="293" t="s">
        <v>818</v>
      </c>
      <c r="G453" s="200" t="s">
        <v>57</v>
      </c>
      <c r="H453" s="200" t="s">
        <v>924</v>
      </c>
      <c r="I453" s="198" t="s">
        <v>918</v>
      </c>
      <c r="J453" s="410" t="s">
        <v>850</v>
      </c>
      <c r="K453" s="541"/>
    </row>
    <row r="454" spans="1:11" hidden="1">
      <c r="A454" s="295" t="s">
        <v>42</v>
      </c>
      <c r="B454" s="197" t="s">
        <v>817</v>
      </c>
      <c r="C454" s="294">
        <v>44236</v>
      </c>
      <c r="D454" s="197" t="s">
        <v>758</v>
      </c>
      <c r="E454" s="293" t="s">
        <v>56</v>
      </c>
      <c r="F454" s="293" t="s">
        <v>818</v>
      </c>
      <c r="G454" s="200" t="s">
        <v>57</v>
      </c>
      <c r="H454" s="200" t="s">
        <v>925</v>
      </c>
      <c r="I454" s="198">
        <v>0.68</v>
      </c>
      <c r="J454" s="410">
        <v>0.69</v>
      </c>
      <c r="K454" s="541"/>
    </row>
    <row r="455" spans="1:11" hidden="1">
      <c r="A455" s="295" t="s">
        <v>42</v>
      </c>
      <c r="B455" s="197" t="s">
        <v>817</v>
      </c>
      <c r="C455" s="294">
        <v>44236</v>
      </c>
      <c r="D455" s="197" t="s">
        <v>758</v>
      </c>
      <c r="E455" s="293" t="s">
        <v>56</v>
      </c>
      <c r="F455" s="293" t="s">
        <v>818</v>
      </c>
      <c r="G455" s="200" t="s">
        <v>57</v>
      </c>
      <c r="H455" s="200" t="s">
        <v>926</v>
      </c>
      <c r="I455" s="198" t="s">
        <v>918</v>
      </c>
      <c r="J455" s="410" t="s">
        <v>850</v>
      </c>
      <c r="K455" s="541"/>
    </row>
    <row r="456" spans="1:11" hidden="1">
      <c r="A456" s="295" t="s">
        <v>42</v>
      </c>
      <c r="B456" s="197" t="s">
        <v>817</v>
      </c>
      <c r="C456" s="294">
        <v>44236</v>
      </c>
      <c r="D456" s="197" t="s">
        <v>758</v>
      </c>
      <c r="E456" s="293" t="s">
        <v>56</v>
      </c>
      <c r="F456" s="293" t="s">
        <v>818</v>
      </c>
      <c r="G456" s="200" t="s">
        <v>57</v>
      </c>
      <c r="H456" s="200" t="s">
        <v>927</v>
      </c>
      <c r="I456" s="198">
        <v>0.57999999999999996</v>
      </c>
      <c r="J456" s="410">
        <v>0.59</v>
      </c>
      <c r="K456" s="541"/>
    </row>
    <row r="457" spans="1:11" hidden="1">
      <c r="A457" s="295" t="s">
        <v>42</v>
      </c>
      <c r="B457" s="197" t="s">
        <v>817</v>
      </c>
      <c r="C457" s="294">
        <v>44236</v>
      </c>
      <c r="D457" s="197" t="s">
        <v>758</v>
      </c>
      <c r="E457" s="293" t="s">
        <v>56</v>
      </c>
      <c r="F457" s="293" t="s">
        <v>818</v>
      </c>
      <c r="G457" s="200" t="s">
        <v>57</v>
      </c>
      <c r="H457" s="200" t="s">
        <v>751</v>
      </c>
      <c r="I457" s="198" t="s">
        <v>918</v>
      </c>
      <c r="J457" s="410" t="s">
        <v>850</v>
      </c>
      <c r="K457" s="541"/>
    </row>
    <row r="458" spans="1:11" hidden="1">
      <c r="A458" s="295" t="s">
        <v>42</v>
      </c>
      <c r="B458" s="197" t="s">
        <v>817</v>
      </c>
      <c r="C458" s="294">
        <v>44236</v>
      </c>
      <c r="D458" s="197" t="s">
        <v>758</v>
      </c>
      <c r="E458" s="293" t="s">
        <v>56</v>
      </c>
      <c r="F458" s="293" t="s">
        <v>818</v>
      </c>
      <c r="G458" s="200" t="s">
        <v>57</v>
      </c>
      <c r="H458" s="200" t="s">
        <v>928</v>
      </c>
      <c r="I458" s="198">
        <v>0.53</v>
      </c>
      <c r="J458" s="410">
        <v>0.55000000000000004</v>
      </c>
      <c r="K458" s="541"/>
    </row>
    <row r="459" spans="1:11" hidden="1">
      <c r="A459" s="295" t="s">
        <v>42</v>
      </c>
      <c r="B459" s="197" t="s">
        <v>817</v>
      </c>
      <c r="C459" s="294">
        <v>44236</v>
      </c>
      <c r="D459" s="197" t="s">
        <v>758</v>
      </c>
      <c r="E459" s="293" t="s">
        <v>56</v>
      </c>
      <c r="F459" s="293" t="s">
        <v>818</v>
      </c>
      <c r="G459" s="200" t="s">
        <v>57</v>
      </c>
      <c r="H459" s="200" t="s">
        <v>929</v>
      </c>
      <c r="I459" s="198" t="s">
        <v>918</v>
      </c>
      <c r="J459" s="410" t="s">
        <v>850</v>
      </c>
      <c r="K459" s="541"/>
    </row>
    <row r="460" spans="1:11" hidden="1">
      <c r="A460" s="295" t="s">
        <v>42</v>
      </c>
      <c r="B460" s="197" t="s">
        <v>817</v>
      </c>
      <c r="C460" s="294">
        <v>44236</v>
      </c>
      <c r="D460" s="197" t="s">
        <v>758</v>
      </c>
      <c r="E460" s="293" t="s">
        <v>56</v>
      </c>
      <c r="F460" s="293" t="s">
        <v>818</v>
      </c>
      <c r="G460" s="200" t="s">
        <v>57</v>
      </c>
      <c r="H460" s="200" t="s">
        <v>930</v>
      </c>
      <c r="I460" s="198">
        <v>0.62</v>
      </c>
      <c r="J460" s="410">
        <v>0.63</v>
      </c>
      <c r="K460" s="541"/>
    </row>
    <row r="461" spans="1:11" hidden="1">
      <c r="A461" s="295" t="s">
        <v>42</v>
      </c>
      <c r="B461" s="197" t="s">
        <v>817</v>
      </c>
      <c r="C461" s="294">
        <v>44236</v>
      </c>
      <c r="D461" s="197" t="s">
        <v>758</v>
      </c>
      <c r="E461" s="293" t="s">
        <v>56</v>
      </c>
      <c r="F461" s="293" t="s">
        <v>818</v>
      </c>
      <c r="G461" s="200" t="s">
        <v>57</v>
      </c>
      <c r="H461" s="200" t="s">
        <v>931</v>
      </c>
      <c r="I461" s="198" t="s">
        <v>918</v>
      </c>
      <c r="J461" s="410" t="s">
        <v>850</v>
      </c>
      <c r="K461" s="541"/>
    </row>
    <row r="462" spans="1:11" hidden="1">
      <c r="A462" s="295" t="s">
        <v>42</v>
      </c>
      <c r="B462" s="197" t="s">
        <v>817</v>
      </c>
      <c r="C462" s="294">
        <v>44236</v>
      </c>
      <c r="D462" s="197" t="s">
        <v>758</v>
      </c>
      <c r="E462" s="293" t="s">
        <v>56</v>
      </c>
      <c r="F462" s="293" t="s">
        <v>818</v>
      </c>
      <c r="G462" s="200" t="s">
        <v>57</v>
      </c>
      <c r="H462" s="200" t="s">
        <v>932</v>
      </c>
      <c r="I462" s="198">
        <v>0.17</v>
      </c>
      <c r="J462" s="410">
        <v>0.15</v>
      </c>
      <c r="K462" s="541"/>
    </row>
    <row r="463" spans="1:11" hidden="1">
      <c r="A463" s="295" t="s">
        <v>42</v>
      </c>
      <c r="B463" s="197" t="s">
        <v>817</v>
      </c>
      <c r="C463" s="294">
        <v>44236</v>
      </c>
      <c r="D463" s="197" t="s">
        <v>758</v>
      </c>
      <c r="E463" s="293" t="s">
        <v>56</v>
      </c>
      <c r="F463" s="293" t="s">
        <v>818</v>
      </c>
      <c r="G463" s="200" t="s">
        <v>57</v>
      </c>
      <c r="H463" s="200" t="s">
        <v>933</v>
      </c>
      <c r="I463" s="198" t="s">
        <v>918</v>
      </c>
      <c r="J463" s="410" t="s">
        <v>850</v>
      </c>
      <c r="K463" s="542"/>
    </row>
    <row r="464" spans="1:11" hidden="1">
      <c r="A464" s="295" t="s">
        <v>42</v>
      </c>
      <c r="B464" s="197" t="s">
        <v>817</v>
      </c>
      <c r="C464" s="294">
        <v>44236</v>
      </c>
      <c r="D464" s="197" t="s">
        <v>758</v>
      </c>
      <c r="E464" s="293" t="s">
        <v>56</v>
      </c>
      <c r="F464" s="293" t="s">
        <v>818</v>
      </c>
      <c r="G464" s="200" t="s">
        <v>57</v>
      </c>
      <c r="H464" s="200" t="s">
        <v>934</v>
      </c>
      <c r="I464" s="198">
        <v>24</v>
      </c>
      <c r="J464" s="410">
        <v>25</v>
      </c>
      <c r="K464" s="540" t="s">
        <v>936</v>
      </c>
    </row>
    <row r="465" spans="1:11" hidden="1">
      <c r="A465" s="295" t="s">
        <v>42</v>
      </c>
      <c r="B465" s="197" t="s">
        <v>817</v>
      </c>
      <c r="C465" s="294">
        <v>44236</v>
      </c>
      <c r="D465" s="197" t="s">
        <v>758</v>
      </c>
      <c r="E465" s="293" t="s">
        <v>56</v>
      </c>
      <c r="F465" s="293" t="s">
        <v>818</v>
      </c>
      <c r="G465" s="200" t="s">
        <v>57</v>
      </c>
      <c r="H465" s="200" t="s">
        <v>935</v>
      </c>
      <c r="I465" s="198" t="s">
        <v>938</v>
      </c>
      <c r="J465" s="410" t="s">
        <v>872</v>
      </c>
      <c r="K465" s="541"/>
    </row>
    <row r="466" spans="1:11" hidden="1">
      <c r="A466" s="295" t="s">
        <v>42</v>
      </c>
      <c r="B466" s="197" t="s">
        <v>817</v>
      </c>
      <c r="C466" s="294">
        <v>44236</v>
      </c>
      <c r="D466" s="197" t="s">
        <v>758</v>
      </c>
      <c r="E466" s="293" t="s">
        <v>56</v>
      </c>
      <c r="F466" s="293" t="s">
        <v>818</v>
      </c>
      <c r="G466" s="200" t="s">
        <v>57</v>
      </c>
      <c r="H466" s="200" t="s">
        <v>937</v>
      </c>
      <c r="I466" s="198">
        <v>24</v>
      </c>
      <c r="J466" s="410">
        <v>25</v>
      </c>
      <c r="K466" s="541"/>
    </row>
    <row r="467" spans="1:11" hidden="1">
      <c r="A467" s="295" t="s">
        <v>42</v>
      </c>
      <c r="B467" s="197" t="s">
        <v>817</v>
      </c>
      <c r="C467" s="294">
        <v>44236</v>
      </c>
      <c r="D467" s="197" t="s">
        <v>758</v>
      </c>
      <c r="E467" s="293" t="s">
        <v>56</v>
      </c>
      <c r="F467" s="293" t="s">
        <v>818</v>
      </c>
      <c r="G467" s="200" t="s">
        <v>57</v>
      </c>
      <c r="H467" s="200" t="s">
        <v>939</v>
      </c>
      <c r="I467" s="198" t="s">
        <v>938</v>
      </c>
      <c r="J467" s="410" t="s">
        <v>872</v>
      </c>
      <c r="K467" s="541"/>
    </row>
    <row r="468" spans="1:11" hidden="1">
      <c r="A468" s="295" t="s">
        <v>42</v>
      </c>
      <c r="B468" s="197" t="s">
        <v>817</v>
      </c>
      <c r="C468" s="294">
        <v>44236</v>
      </c>
      <c r="D468" s="197" t="s">
        <v>758</v>
      </c>
      <c r="E468" s="293" t="s">
        <v>56</v>
      </c>
      <c r="F468" s="293" t="s">
        <v>818</v>
      </c>
      <c r="G468" s="200" t="s">
        <v>57</v>
      </c>
      <c r="H468" s="200" t="s">
        <v>940</v>
      </c>
      <c r="I468" s="198" t="s">
        <v>938</v>
      </c>
      <c r="J468" s="410" t="s">
        <v>872</v>
      </c>
      <c r="K468" s="541"/>
    </row>
    <row r="469" spans="1:11" hidden="1">
      <c r="A469" s="295" t="s">
        <v>42</v>
      </c>
      <c r="B469" s="197" t="s">
        <v>817</v>
      </c>
      <c r="C469" s="294">
        <v>44236</v>
      </c>
      <c r="D469" s="197" t="s">
        <v>758</v>
      </c>
      <c r="E469" s="293" t="s">
        <v>56</v>
      </c>
      <c r="F469" s="293" t="s">
        <v>818</v>
      </c>
      <c r="G469" s="200" t="s">
        <v>57</v>
      </c>
      <c r="H469" s="200" t="s">
        <v>941</v>
      </c>
      <c r="I469" s="198" t="s">
        <v>938</v>
      </c>
      <c r="J469" s="410" t="s">
        <v>872</v>
      </c>
      <c r="K469" s="541"/>
    </row>
    <row r="470" spans="1:11" hidden="1">
      <c r="A470" s="295" t="s">
        <v>42</v>
      </c>
      <c r="B470" s="197" t="s">
        <v>817</v>
      </c>
      <c r="C470" s="294">
        <v>44236</v>
      </c>
      <c r="D470" s="197" t="s">
        <v>758</v>
      </c>
      <c r="E470" s="293" t="s">
        <v>56</v>
      </c>
      <c r="F470" s="293" t="s">
        <v>818</v>
      </c>
      <c r="G470" s="200" t="s">
        <v>57</v>
      </c>
      <c r="H470" s="200" t="s">
        <v>942</v>
      </c>
      <c r="I470" s="198">
        <v>24</v>
      </c>
      <c r="J470" s="410">
        <v>27</v>
      </c>
      <c r="K470" s="541"/>
    </row>
    <row r="471" spans="1:11" hidden="1">
      <c r="A471" s="295" t="s">
        <v>42</v>
      </c>
      <c r="B471" s="197" t="s">
        <v>817</v>
      </c>
      <c r="C471" s="294">
        <v>44236</v>
      </c>
      <c r="D471" s="197" t="s">
        <v>758</v>
      </c>
      <c r="E471" s="293" t="s">
        <v>56</v>
      </c>
      <c r="F471" s="293" t="s">
        <v>818</v>
      </c>
      <c r="G471" s="200" t="s">
        <v>57</v>
      </c>
      <c r="H471" s="200" t="s">
        <v>943</v>
      </c>
      <c r="I471" s="198" t="s">
        <v>938</v>
      </c>
      <c r="J471" s="410" t="s">
        <v>872</v>
      </c>
      <c r="K471" s="541"/>
    </row>
    <row r="472" spans="1:11" hidden="1">
      <c r="A472" s="295" t="s">
        <v>42</v>
      </c>
      <c r="B472" s="197" t="s">
        <v>817</v>
      </c>
      <c r="C472" s="294">
        <v>44236</v>
      </c>
      <c r="D472" s="197" t="s">
        <v>758</v>
      </c>
      <c r="E472" s="293" t="s">
        <v>56</v>
      </c>
      <c r="F472" s="293" t="s">
        <v>818</v>
      </c>
      <c r="G472" s="200" t="s">
        <v>57</v>
      </c>
      <c r="H472" s="200" t="s">
        <v>944</v>
      </c>
      <c r="I472" s="198">
        <v>6</v>
      </c>
      <c r="J472" s="410">
        <v>12</v>
      </c>
      <c r="K472" s="541"/>
    </row>
    <row r="473" spans="1:11" hidden="1">
      <c r="A473" s="295" t="s">
        <v>42</v>
      </c>
      <c r="B473" s="197" t="s">
        <v>817</v>
      </c>
      <c r="C473" s="294">
        <v>44236</v>
      </c>
      <c r="D473" s="197" t="s">
        <v>758</v>
      </c>
      <c r="E473" s="293" t="s">
        <v>56</v>
      </c>
      <c r="F473" s="293" t="s">
        <v>818</v>
      </c>
      <c r="G473" s="200" t="s">
        <v>57</v>
      </c>
      <c r="H473" s="200" t="s">
        <v>945</v>
      </c>
      <c r="I473" s="198" t="s">
        <v>938</v>
      </c>
      <c r="J473" s="410" t="s">
        <v>872</v>
      </c>
      <c r="K473" s="541"/>
    </row>
    <row r="474" spans="1:11" hidden="1">
      <c r="A474" s="295" t="s">
        <v>42</v>
      </c>
      <c r="B474" s="197" t="s">
        <v>817</v>
      </c>
      <c r="C474" s="294">
        <v>44236</v>
      </c>
      <c r="D474" s="197" t="s">
        <v>758</v>
      </c>
      <c r="E474" s="293" t="s">
        <v>56</v>
      </c>
      <c r="F474" s="293" t="s">
        <v>818</v>
      </c>
      <c r="G474" s="200" t="s">
        <v>57</v>
      </c>
      <c r="H474" s="200" t="s">
        <v>946</v>
      </c>
      <c r="I474" s="198">
        <v>20</v>
      </c>
      <c r="J474" s="410">
        <v>23</v>
      </c>
      <c r="K474" s="541"/>
    </row>
    <row r="475" spans="1:11" hidden="1">
      <c r="A475" s="295" t="s">
        <v>42</v>
      </c>
      <c r="B475" s="197" t="s">
        <v>817</v>
      </c>
      <c r="C475" s="294">
        <v>44236</v>
      </c>
      <c r="D475" s="197" t="s">
        <v>758</v>
      </c>
      <c r="E475" s="293" t="s">
        <v>56</v>
      </c>
      <c r="F475" s="293" t="s">
        <v>818</v>
      </c>
      <c r="G475" s="200" t="s">
        <v>57</v>
      </c>
      <c r="H475" s="200" t="s">
        <v>947</v>
      </c>
      <c r="I475" s="198" t="s">
        <v>938</v>
      </c>
      <c r="J475" s="410" t="s">
        <v>872</v>
      </c>
      <c r="K475" s="541"/>
    </row>
    <row r="476" spans="1:11" hidden="1">
      <c r="A476" s="295" t="s">
        <v>42</v>
      </c>
      <c r="B476" s="197" t="s">
        <v>817</v>
      </c>
      <c r="C476" s="294">
        <v>44236</v>
      </c>
      <c r="D476" s="197" t="s">
        <v>758</v>
      </c>
      <c r="E476" s="293" t="s">
        <v>56</v>
      </c>
      <c r="F476" s="293" t="s">
        <v>818</v>
      </c>
      <c r="G476" s="200" t="s">
        <v>57</v>
      </c>
      <c r="H476" s="200" t="s">
        <v>948</v>
      </c>
      <c r="I476" s="198">
        <v>7</v>
      </c>
      <c r="J476" s="410">
        <v>6</v>
      </c>
      <c r="K476" s="541"/>
    </row>
    <row r="477" spans="1:11" hidden="1">
      <c r="A477" s="295" t="s">
        <v>42</v>
      </c>
      <c r="B477" s="197" t="s">
        <v>817</v>
      </c>
      <c r="C477" s="294">
        <v>44236</v>
      </c>
      <c r="D477" s="197" t="s">
        <v>758</v>
      </c>
      <c r="E477" s="293" t="s">
        <v>56</v>
      </c>
      <c r="F477" s="293" t="s">
        <v>818</v>
      </c>
      <c r="G477" s="200" t="s">
        <v>57</v>
      </c>
      <c r="H477" s="200" t="s">
        <v>949</v>
      </c>
      <c r="I477" s="198" t="s">
        <v>938</v>
      </c>
      <c r="J477" s="410" t="s">
        <v>872</v>
      </c>
      <c r="K477" s="542"/>
    </row>
    <row r="478" spans="1:11" hidden="1">
      <c r="A478" s="295" t="s">
        <v>42</v>
      </c>
      <c r="B478" s="197" t="s">
        <v>817</v>
      </c>
      <c r="C478" s="294">
        <v>44236</v>
      </c>
      <c r="D478" s="197" t="s">
        <v>758</v>
      </c>
      <c r="E478" s="293" t="s">
        <v>56</v>
      </c>
      <c r="F478" s="293" t="s">
        <v>818</v>
      </c>
      <c r="G478" s="200" t="s">
        <v>57</v>
      </c>
      <c r="H478" s="200" t="s">
        <v>950</v>
      </c>
      <c r="I478" s="198">
        <v>13.1</v>
      </c>
      <c r="J478" s="410">
        <v>12.8</v>
      </c>
      <c r="K478" s="540" t="s">
        <v>951</v>
      </c>
    </row>
    <row r="479" spans="1:11" hidden="1">
      <c r="A479" s="295" t="s">
        <v>42</v>
      </c>
      <c r="B479" s="197" t="s">
        <v>817</v>
      </c>
      <c r="C479" s="294">
        <v>44236</v>
      </c>
      <c r="D479" s="197" t="s">
        <v>758</v>
      </c>
      <c r="E479" s="293" t="s">
        <v>56</v>
      </c>
      <c r="F479" s="293" t="s">
        <v>818</v>
      </c>
      <c r="G479" s="200" t="s">
        <v>57</v>
      </c>
      <c r="H479" s="200" t="s">
        <v>358</v>
      </c>
      <c r="I479" s="198">
        <v>14</v>
      </c>
      <c r="J479" s="410">
        <v>13.6</v>
      </c>
      <c r="K479" s="541"/>
    </row>
    <row r="480" spans="1:11" hidden="1">
      <c r="A480" s="295" t="s">
        <v>42</v>
      </c>
      <c r="B480" s="197" t="s">
        <v>817</v>
      </c>
      <c r="C480" s="294">
        <v>44236</v>
      </c>
      <c r="D480" s="197" t="s">
        <v>758</v>
      </c>
      <c r="E480" s="293" t="s">
        <v>56</v>
      </c>
      <c r="F480" s="293" t="s">
        <v>818</v>
      </c>
      <c r="G480" s="200" t="s">
        <v>57</v>
      </c>
      <c r="H480" s="200" t="s">
        <v>361</v>
      </c>
      <c r="I480" s="198">
        <v>13.1</v>
      </c>
      <c r="J480" s="410">
        <v>12.8</v>
      </c>
      <c r="K480" s="541"/>
    </row>
    <row r="481" spans="1:11" hidden="1">
      <c r="A481" s="295" t="s">
        <v>42</v>
      </c>
      <c r="B481" s="197" t="s">
        <v>817</v>
      </c>
      <c r="C481" s="294">
        <v>44236</v>
      </c>
      <c r="D481" s="197" t="s">
        <v>758</v>
      </c>
      <c r="E481" s="293" t="s">
        <v>56</v>
      </c>
      <c r="F481" s="293" t="s">
        <v>818</v>
      </c>
      <c r="G481" s="200" t="s">
        <v>57</v>
      </c>
      <c r="H481" s="200" t="s">
        <v>952</v>
      </c>
      <c r="I481" s="198">
        <v>14</v>
      </c>
      <c r="J481" s="410">
        <v>13.6</v>
      </c>
      <c r="K481" s="541"/>
    </row>
    <row r="482" spans="1:11" hidden="1">
      <c r="A482" s="295" t="s">
        <v>42</v>
      </c>
      <c r="B482" s="197" t="s">
        <v>817</v>
      </c>
      <c r="C482" s="294">
        <v>44236</v>
      </c>
      <c r="D482" s="197" t="s">
        <v>758</v>
      </c>
      <c r="E482" s="293" t="s">
        <v>56</v>
      </c>
      <c r="F482" s="293" t="s">
        <v>818</v>
      </c>
      <c r="G482" s="200" t="s">
        <v>57</v>
      </c>
      <c r="H482" s="200" t="s">
        <v>953</v>
      </c>
      <c r="I482" s="198">
        <v>4</v>
      </c>
      <c r="J482" s="410">
        <v>3.9</v>
      </c>
      <c r="K482" s="541"/>
    </row>
    <row r="483" spans="1:11" hidden="1">
      <c r="A483" s="295" t="s">
        <v>42</v>
      </c>
      <c r="B483" s="197" t="s">
        <v>817</v>
      </c>
      <c r="C483" s="294">
        <v>44236</v>
      </c>
      <c r="D483" s="197" t="s">
        <v>758</v>
      </c>
      <c r="E483" s="293" t="s">
        <v>56</v>
      </c>
      <c r="F483" s="293" t="s">
        <v>818</v>
      </c>
      <c r="G483" s="200" t="s">
        <v>57</v>
      </c>
      <c r="H483" s="200" t="s">
        <v>954</v>
      </c>
      <c r="I483" s="198">
        <v>4</v>
      </c>
      <c r="J483" s="410">
        <v>3.9</v>
      </c>
      <c r="K483" s="541"/>
    </row>
    <row r="484" spans="1:11" hidden="1">
      <c r="A484" s="295" t="s">
        <v>42</v>
      </c>
      <c r="B484" s="197" t="s">
        <v>817</v>
      </c>
      <c r="C484" s="294">
        <v>44236</v>
      </c>
      <c r="D484" s="197" t="s">
        <v>758</v>
      </c>
      <c r="E484" s="293" t="s">
        <v>56</v>
      </c>
      <c r="F484" s="293" t="s">
        <v>818</v>
      </c>
      <c r="G484" s="200" t="s">
        <v>57</v>
      </c>
      <c r="H484" s="200" t="s">
        <v>955</v>
      </c>
      <c r="I484" s="198">
        <v>8.8000000000000007</v>
      </c>
      <c r="J484" s="410">
        <v>8.6999999999999993</v>
      </c>
      <c r="K484" s="541"/>
    </row>
    <row r="485" spans="1:11" hidden="1">
      <c r="A485" s="295" t="s">
        <v>42</v>
      </c>
      <c r="B485" s="197" t="s">
        <v>817</v>
      </c>
      <c r="C485" s="294">
        <v>44236</v>
      </c>
      <c r="D485" s="197" t="s">
        <v>758</v>
      </c>
      <c r="E485" s="293" t="s">
        <v>56</v>
      </c>
      <c r="F485" s="293" t="s">
        <v>818</v>
      </c>
      <c r="G485" s="200" t="s">
        <v>57</v>
      </c>
      <c r="H485" s="200" t="s">
        <v>375</v>
      </c>
      <c r="I485" s="198">
        <v>7.9</v>
      </c>
      <c r="J485" s="410">
        <v>7.8</v>
      </c>
      <c r="K485" s="541"/>
    </row>
    <row r="486" spans="1:11" hidden="1">
      <c r="A486" s="295" t="s">
        <v>42</v>
      </c>
      <c r="B486" s="197" t="s">
        <v>817</v>
      </c>
      <c r="C486" s="294">
        <v>44236</v>
      </c>
      <c r="D486" s="197" t="s">
        <v>758</v>
      </c>
      <c r="E486" s="293" t="s">
        <v>56</v>
      </c>
      <c r="F486" s="293" t="s">
        <v>818</v>
      </c>
      <c r="G486" s="200" t="s">
        <v>57</v>
      </c>
      <c r="H486" s="200" t="s">
        <v>380</v>
      </c>
      <c r="I486" s="198">
        <v>10.7</v>
      </c>
      <c r="J486" s="410">
        <v>10.4</v>
      </c>
      <c r="K486" s="541"/>
    </row>
    <row r="487" spans="1:11" hidden="1">
      <c r="A487" s="295" t="s">
        <v>42</v>
      </c>
      <c r="B487" s="197" t="s">
        <v>817</v>
      </c>
      <c r="C487" s="294">
        <v>44236</v>
      </c>
      <c r="D487" s="197" t="s">
        <v>758</v>
      </c>
      <c r="E487" s="293" t="s">
        <v>56</v>
      </c>
      <c r="F487" s="293" t="s">
        <v>818</v>
      </c>
      <c r="G487" s="200" t="s">
        <v>57</v>
      </c>
      <c r="H487" s="200" t="s">
        <v>383</v>
      </c>
      <c r="I487" s="198">
        <v>10.6</v>
      </c>
      <c r="J487" s="410">
        <v>10.3</v>
      </c>
      <c r="K487" s="541"/>
    </row>
    <row r="488" spans="1:11" hidden="1">
      <c r="A488" s="295" t="s">
        <v>42</v>
      </c>
      <c r="B488" s="197" t="s">
        <v>817</v>
      </c>
      <c r="C488" s="294">
        <v>44236</v>
      </c>
      <c r="D488" s="197" t="s">
        <v>758</v>
      </c>
      <c r="E488" s="293" t="s">
        <v>56</v>
      </c>
      <c r="F488" s="293" t="s">
        <v>818</v>
      </c>
      <c r="G488" s="200" t="s">
        <v>57</v>
      </c>
      <c r="H488" s="200" t="s">
        <v>385</v>
      </c>
      <c r="I488" s="198">
        <v>4.0999999999999996</v>
      </c>
      <c r="J488" s="410">
        <v>4</v>
      </c>
      <c r="K488" s="541"/>
    </row>
    <row r="489" spans="1:11" hidden="1">
      <c r="A489" s="295" t="s">
        <v>42</v>
      </c>
      <c r="B489" s="197" t="s">
        <v>817</v>
      </c>
      <c r="C489" s="294">
        <v>44236</v>
      </c>
      <c r="D489" s="197" t="s">
        <v>758</v>
      </c>
      <c r="E489" s="293" t="s">
        <v>56</v>
      </c>
      <c r="F489" s="293" t="s">
        <v>818</v>
      </c>
      <c r="G489" s="200" t="s">
        <v>57</v>
      </c>
      <c r="H489" s="200" t="s">
        <v>389</v>
      </c>
      <c r="I489" s="198">
        <v>4</v>
      </c>
      <c r="J489" s="410">
        <v>3.9</v>
      </c>
      <c r="K489" s="541"/>
    </row>
    <row r="490" spans="1:11" hidden="1">
      <c r="A490" s="295" t="s">
        <v>42</v>
      </c>
      <c r="B490" s="197" t="s">
        <v>817</v>
      </c>
      <c r="C490" s="294">
        <v>44236</v>
      </c>
      <c r="D490" s="197" t="s">
        <v>758</v>
      </c>
      <c r="E490" s="293" t="s">
        <v>56</v>
      </c>
      <c r="F490" s="293" t="s">
        <v>818</v>
      </c>
      <c r="G490" s="200" t="s">
        <v>57</v>
      </c>
      <c r="H490" s="200" t="s">
        <v>956</v>
      </c>
      <c r="I490" s="198" t="s">
        <v>889</v>
      </c>
      <c r="J490" s="410" t="s">
        <v>890</v>
      </c>
      <c r="K490" s="541"/>
    </row>
    <row r="491" spans="1:11" hidden="1">
      <c r="A491" s="295" t="s">
        <v>42</v>
      </c>
      <c r="B491" s="197" t="s">
        <v>817</v>
      </c>
      <c r="C491" s="294">
        <v>44236</v>
      </c>
      <c r="D491" s="197" t="s">
        <v>758</v>
      </c>
      <c r="E491" s="293" t="s">
        <v>56</v>
      </c>
      <c r="F491" s="293" t="s">
        <v>818</v>
      </c>
      <c r="G491" s="200" t="s">
        <v>57</v>
      </c>
      <c r="H491" s="200" t="s">
        <v>391</v>
      </c>
      <c r="I491" s="198" t="s">
        <v>889</v>
      </c>
      <c r="J491" s="410" t="s">
        <v>890</v>
      </c>
      <c r="K491" s="541"/>
    </row>
    <row r="492" spans="1:11" hidden="1">
      <c r="A492" s="295" t="s">
        <v>42</v>
      </c>
      <c r="B492" s="197" t="s">
        <v>817</v>
      </c>
      <c r="C492" s="294">
        <v>44236</v>
      </c>
      <c r="D492" s="197" t="s">
        <v>758</v>
      </c>
      <c r="E492" s="293" t="s">
        <v>56</v>
      </c>
      <c r="F492" s="293" t="s">
        <v>818</v>
      </c>
      <c r="G492" s="200" t="s">
        <v>57</v>
      </c>
      <c r="H492" s="200" t="s">
        <v>403</v>
      </c>
      <c r="I492" s="198" t="s">
        <v>889</v>
      </c>
      <c r="J492" s="410" t="s">
        <v>890</v>
      </c>
      <c r="K492" s="541"/>
    </row>
    <row r="493" spans="1:11" hidden="1">
      <c r="A493" s="295" t="s">
        <v>42</v>
      </c>
      <c r="B493" s="197" t="s">
        <v>817</v>
      </c>
      <c r="C493" s="294">
        <v>44236</v>
      </c>
      <c r="D493" s="197" t="s">
        <v>758</v>
      </c>
      <c r="E493" s="293" t="s">
        <v>56</v>
      </c>
      <c r="F493" s="293" t="s">
        <v>818</v>
      </c>
      <c r="G493" s="200" t="s">
        <v>57</v>
      </c>
      <c r="H493" s="200" t="s">
        <v>957</v>
      </c>
      <c r="I493" s="198" t="s">
        <v>889</v>
      </c>
      <c r="J493" s="410" t="s">
        <v>890</v>
      </c>
      <c r="K493" s="541"/>
    </row>
    <row r="494" spans="1:11" hidden="1">
      <c r="A494" s="295" t="s">
        <v>42</v>
      </c>
      <c r="B494" s="197" t="s">
        <v>817</v>
      </c>
      <c r="C494" s="294">
        <v>44236</v>
      </c>
      <c r="D494" s="197" t="s">
        <v>758</v>
      </c>
      <c r="E494" s="293" t="s">
        <v>56</v>
      </c>
      <c r="F494" s="293" t="s">
        <v>818</v>
      </c>
      <c r="G494" s="200" t="s">
        <v>57</v>
      </c>
      <c r="H494" s="200" t="s">
        <v>958</v>
      </c>
      <c r="I494" s="198" t="s">
        <v>959</v>
      </c>
      <c r="J494" s="410" t="s">
        <v>895</v>
      </c>
      <c r="K494" s="542"/>
    </row>
    <row r="495" spans="1:11" hidden="1">
      <c r="A495" s="295" t="s">
        <v>42</v>
      </c>
      <c r="B495" s="197" t="s">
        <v>817</v>
      </c>
      <c r="C495" s="294">
        <v>44236</v>
      </c>
      <c r="D495" s="197" t="s">
        <v>758</v>
      </c>
      <c r="E495" s="293" t="s">
        <v>56</v>
      </c>
      <c r="F495" s="293" t="s">
        <v>818</v>
      </c>
      <c r="G495" s="200" t="s">
        <v>57</v>
      </c>
      <c r="H495" s="200" t="s">
        <v>499</v>
      </c>
      <c r="I495" s="198" t="s">
        <v>961</v>
      </c>
      <c r="J495" s="410" t="s">
        <v>962</v>
      </c>
      <c r="K495" s="537" t="s">
        <v>963</v>
      </c>
    </row>
    <row r="496" spans="1:11" hidden="1">
      <c r="A496" s="295" t="s">
        <v>42</v>
      </c>
      <c r="B496" s="197" t="s">
        <v>817</v>
      </c>
      <c r="C496" s="294">
        <v>44236</v>
      </c>
      <c r="D496" s="197" t="s">
        <v>758</v>
      </c>
      <c r="E496" s="293" t="s">
        <v>56</v>
      </c>
      <c r="F496" s="293" t="s">
        <v>818</v>
      </c>
      <c r="G496" s="200" t="s">
        <v>312</v>
      </c>
      <c r="H496" s="200" t="s">
        <v>960</v>
      </c>
      <c r="I496" s="198" t="s">
        <v>964</v>
      </c>
      <c r="J496" s="410" t="s">
        <v>965</v>
      </c>
      <c r="K496" s="538"/>
    </row>
    <row r="497" spans="1:11" hidden="1">
      <c r="A497" s="295" t="s">
        <v>42</v>
      </c>
      <c r="B497" s="197" t="s">
        <v>817</v>
      </c>
      <c r="C497" s="294">
        <v>44236</v>
      </c>
      <c r="D497" s="197" t="s">
        <v>758</v>
      </c>
      <c r="E497" s="293" t="s">
        <v>56</v>
      </c>
      <c r="F497" s="293" t="s">
        <v>818</v>
      </c>
      <c r="G497" s="200" t="s">
        <v>69</v>
      </c>
      <c r="H497" s="200" t="s">
        <v>960</v>
      </c>
      <c r="I497" s="198"/>
      <c r="J497" s="410"/>
      <c r="K497" s="537" t="s">
        <v>967</v>
      </c>
    </row>
    <row r="498" spans="1:11" hidden="1">
      <c r="A498" s="295" t="s">
        <v>42</v>
      </c>
      <c r="B498" s="197" t="s">
        <v>817</v>
      </c>
      <c r="C498" s="294">
        <v>44236</v>
      </c>
      <c r="D498" s="197" t="s">
        <v>758</v>
      </c>
      <c r="E498" s="293" t="s">
        <v>56</v>
      </c>
      <c r="F498" s="293" t="s">
        <v>818</v>
      </c>
      <c r="G498" s="200" t="s">
        <v>159</v>
      </c>
      <c r="H498" s="200" t="s">
        <v>966</v>
      </c>
      <c r="I498" s="198" t="s">
        <v>969</v>
      </c>
      <c r="J498" s="410" t="s">
        <v>295</v>
      </c>
      <c r="K498" s="539"/>
    </row>
    <row r="499" spans="1:11" hidden="1">
      <c r="A499" s="295" t="s">
        <v>42</v>
      </c>
      <c r="B499" s="197" t="s">
        <v>817</v>
      </c>
      <c r="C499" s="294">
        <v>44236</v>
      </c>
      <c r="D499" s="197" t="s">
        <v>758</v>
      </c>
      <c r="E499" s="293" t="s">
        <v>56</v>
      </c>
      <c r="F499" s="293" t="s">
        <v>818</v>
      </c>
      <c r="G499" s="200" t="s">
        <v>159</v>
      </c>
      <c r="H499" s="200" t="s">
        <v>968</v>
      </c>
      <c r="I499" s="198" t="s">
        <v>971</v>
      </c>
      <c r="J499" s="410" t="s">
        <v>972</v>
      </c>
      <c r="K499" s="538"/>
    </row>
    <row r="500" spans="1:11" hidden="1">
      <c r="A500" s="295" t="s">
        <v>42</v>
      </c>
      <c r="B500" s="197" t="s">
        <v>973</v>
      </c>
      <c r="C500" s="294">
        <v>44236</v>
      </c>
      <c r="D500" s="197" t="s">
        <v>758</v>
      </c>
      <c r="E500" s="293" t="s">
        <v>56</v>
      </c>
      <c r="F500" s="293" t="s">
        <v>818</v>
      </c>
      <c r="G500" s="200" t="s">
        <v>159</v>
      </c>
      <c r="H500" s="200" t="s">
        <v>970</v>
      </c>
      <c r="I500" s="410" t="s">
        <v>974</v>
      </c>
      <c r="J500" s="410" t="s">
        <v>295</v>
      </c>
      <c r="K500" s="413" t="s">
        <v>975</v>
      </c>
    </row>
    <row r="501" spans="1:11" hidden="1">
      <c r="A501" s="295" t="s">
        <v>42</v>
      </c>
      <c r="B501" s="197" t="s">
        <v>973</v>
      </c>
      <c r="C501" s="294">
        <v>44392</v>
      </c>
      <c r="D501" s="314" t="s">
        <v>56</v>
      </c>
      <c r="E501" s="314" t="s">
        <v>758</v>
      </c>
      <c r="F501" s="314" t="s">
        <v>56</v>
      </c>
      <c r="G501" s="315" t="s">
        <v>69</v>
      </c>
      <c r="H501" s="315" t="s">
        <v>687</v>
      </c>
      <c r="I501" s="410" t="s">
        <v>976</v>
      </c>
      <c r="J501" s="410" t="s">
        <v>295</v>
      </c>
      <c r="K501" s="413" t="s">
        <v>977</v>
      </c>
    </row>
    <row r="502" spans="1:11" ht="79.2" hidden="1">
      <c r="A502" s="295" t="s">
        <v>42</v>
      </c>
      <c r="B502" s="197" t="s">
        <v>973</v>
      </c>
      <c r="C502" s="294">
        <v>44392</v>
      </c>
      <c r="D502" s="314" t="s">
        <v>56</v>
      </c>
      <c r="E502" s="314" t="s">
        <v>758</v>
      </c>
      <c r="F502" s="314" t="s">
        <v>56</v>
      </c>
      <c r="G502" s="315" t="s">
        <v>69</v>
      </c>
      <c r="H502" s="315" t="s">
        <v>567</v>
      </c>
      <c r="I502" s="410" t="s">
        <v>759</v>
      </c>
      <c r="J502" s="410" t="s">
        <v>979</v>
      </c>
      <c r="K502" s="580" t="s">
        <v>980</v>
      </c>
    </row>
    <row r="503" spans="1:11" hidden="1">
      <c r="A503" s="295" t="s">
        <v>42</v>
      </c>
      <c r="B503" s="197" t="s">
        <v>973</v>
      </c>
      <c r="C503" s="294">
        <v>44392</v>
      </c>
      <c r="D503" s="314" t="s">
        <v>56</v>
      </c>
      <c r="E503" s="314" t="s">
        <v>758</v>
      </c>
      <c r="F503" s="314" t="s">
        <v>56</v>
      </c>
      <c r="G503" s="315" t="s">
        <v>69</v>
      </c>
      <c r="H503" s="315" t="s">
        <v>978</v>
      </c>
      <c r="I503" s="410" t="s">
        <v>759</v>
      </c>
      <c r="J503" s="410" t="s">
        <v>981</v>
      </c>
      <c r="K503" s="580"/>
    </row>
    <row r="504" spans="1:11" hidden="1">
      <c r="A504" s="295" t="s">
        <v>42</v>
      </c>
      <c r="B504" s="197" t="s">
        <v>973</v>
      </c>
      <c r="C504" s="294">
        <v>44392</v>
      </c>
      <c r="D504" s="314" t="s">
        <v>56</v>
      </c>
      <c r="E504" s="314" t="s">
        <v>758</v>
      </c>
      <c r="F504" s="314" t="s">
        <v>56</v>
      </c>
      <c r="G504" s="315" t="s">
        <v>69</v>
      </c>
      <c r="H504" s="315" t="s">
        <v>483</v>
      </c>
      <c r="I504" s="410" t="s">
        <v>759</v>
      </c>
      <c r="J504" s="410" t="s">
        <v>982</v>
      </c>
      <c r="K504" s="580"/>
    </row>
    <row r="505" spans="1:11" ht="26.4" hidden="1">
      <c r="A505" s="295" t="s">
        <v>42</v>
      </c>
      <c r="B505" s="197" t="s">
        <v>973</v>
      </c>
      <c r="C505" s="294">
        <v>44392</v>
      </c>
      <c r="D505" s="314" t="s">
        <v>56</v>
      </c>
      <c r="E505" s="314" t="s">
        <v>758</v>
      </c>
      <c r="F505" s="314" t="s">
        <v>56</v>
      </c>
      <c r="G505" s="315" t="s">
        <v>69</v>
      </c>
      <c r="H505" s="315" t="s">
        <v>372</v>
      </c>
      <c r="I505" s="410" t="s">
        <v>983</v>
      </c>
      <c r="J505" s="410" t="s">
        <v>334</v>
      </c>
      <c r="K505" s="413" t="s">
        <v>984</v>
      </c>
    </row>
    <row r="506" spans="1:11" ht="26.4" hidden="1">
      <c r="A506" s="295" t="s">
        <v>42</v>
      </c>
      <c r="B506" s="197" t="s">
        <v>973</v>
      </c>
      <c r="C506" s="294">
        <v>44392</v>
      </c>
      <c r="D506" s="314" t="s">
        <v>56</v>
      </c>
      <c r="E506" s="314" t="s">
        <v>758</v>
      </c>
      <c r="F506" s="314" t="s">
        <v>56</v>
      </c>
      <c r="G506" s="315" t="s">
        <v>69</v>
      </c>
      <c r="H506" s="205" t="s">
        <v>332</v>
      </c>
      <c r="I506" s="410" t="s">
        <v>985</v>
      </c>
      <c r="J506" s="410" t="s">
        <v>295</v>
      </c>
      <c r="K506" s="571" t="s">
        <v>986</v>
      </c>
    </row>
    <row r="507" spans="1:11" hidden="1">
      <c r="A507" s="295" t="s">
        <v>42</v>
      </c>
      <c r="B507" s="197" t="s">
        <v>973</v>
      </c>
      <c r="C507" s="294">
        <v>44392</v>
      </c>
      <c r="D507" s="314" t="s">
        <v>56</v>
      </c>
      <c r="E507" s="314" t="s">
        <v>758</v>
      </c>
      <c r="F507" s="314" t="s">
        <v>56</v>
      </c>
      <c r="G507" s="315" t="s">
        <v>69</v>
      </c>
      <c r="H507" s="315" t="s">
        <v>346</v>
      </c>
      <c r="I507" s="410" t="s">
        <v>987</v>
      </c>
      <c r="J507" s="410" t="s">
        <v>295</v>
      </c>
      <c r="K507" s="572"/>
    </row>
    <row r="508" spans="1:11" ht="52.8" hidden="1">
      <c r="A508" s="295" t="s">
        <v>42</v>
      </c>
      <c r="B508" s="197" t="s">
        <v>973</v>
      </c>
      <c r="C508" s="294">
        <v>44392</v>
      </c>
      <c r="D508" s="314" t="s">
        <v>56</v>
      </c>
      <c r="E508" s="314" t="s">
        <v>758</v>
      </c>
      <c r="F508" s="314" t="s">
        <v>56</v>
      </c>
      <c r="G508" s="205" t="s">
        <v>69</v>
      </c>
      <c r="H508" s="205" t="s">
        <v>340</v>
      </c>
      <c r="I508" s="410" t="s">
        <v>989</v>
      </c>
      <c r="J508" s="410" t="s">
        <v>295</v>
      </c>
      <c r="K508" s="335" t="s">
        <v>990</v>
      </c>
    </row>
    <row r="509" spans="1:11" ht="66" hidden="1">
      <c r="A509" s="295" t="s">
        <v>42</v>
      </c>
      <c r="B509" s="197" t="s">
        <v>973</v>
      </c>
      <c r="C509" s="294">
        <v>44392</v>
      </c>
      <c r="D509" s="314" t="s">
        <v>56</v>
      </c>
      <c r="E509" s="314" t="s">
        <v>758</v>
      </c>
      <c r="F509" s="314" t="s">
        <v>56</v>
      </c>
      <c r="G509" s="315" t="s">
        <v>69</v>
      </c>
      <c r="H509" s="315" t="s">
        <v>988</v>
      </c>
      <c r="I509" s="410" t="s">
        <v>992</v>
      </c>
      <c r="J509" s="410" t="s">
        <v>295</v>
      </c>
      <c r="K509" s="335" t="s">
        <v>993</v>
      </c>
    </row>
    <row r="510" spans="1:11" ht="171.6" hidden="1">
      <c r="A510" s="295" t="s">
        <v>42</v>
      </c>
      <c r="B510" s="197" t="s">
        <v>973</v>
      </c>
      <c r="C510" s="294">
        <v>44392</v>
      </c>
      <c r="D510" s="314" t="s">
        <v>56</v>
      </c>
      <c r="E510" s="314" t="s">
        <v>758</v>
      </c>
      <c r="F510" s="314" t="s">
        <v>56</v>
      </c>
      <c r="G510" s="315" t="s">
        <v>69</v>
      </c>
      <c r="H510" s="315" t="s">
        <v>991</v>
      </c>
      <c r="I510" s="410" t="s">
        <v>995</v>
      </c>
      <c r="J510" s="410" t="s">
        <v>295</v>
      </c>
      <c r="K510" s="335" t="s">
        <v>996</v>
      </c>
    </row>
    <row r="511" spans="1:11" hidden="1">
      <c r="A511" s="295" t="s">
        <v>42</v>
      </c>
      <c r="B511" s="197" t="s">
        <v>973</v>
      </c>
      <c r="C511" s="294">
        <v>44392</v>
      </c>
      <c r="D511" s="314" t="s">
        <v>56</v>
      </c>
      <c r="E511" s="314" t="s">
        <v>758</v>
      </c>
      <c r="F511" s="314" t="s">
        <v>56</v>
      </c>
      <c r="G511" s="315" t="s">
        <v>69</v>
      </c>
      <c r="H511" s="315" t="s">
        <v>994</v>
      </c>
      <c r="I511" s="412" t="s">
        <v>998</v>
      </c>
      <c r="J511" s="412"/>
      <c r="K511" s="570" t="s">
        <v>999</v>
      </c>
    </row>
    <row r="512" spans="1:11" hidden="1">
      <c r="A512" s="295" t="s">
        <v>42</v>
      </c>
      <c r="B512" s="197" t="s">
        <v>973</v>
      </c>
      <c r="C512" s="294">
        <v>44392</v>
      </c>
      <c r="D512" s="314" t="s">
        <v>56</v>
      </c>
      <c r="E512" s="314" t="s">
        <v>758</v>
      </c>
      <c r="F512" s="314" t="s">
        <v>56</v>
      </c>
      <c r="G512" s="205" t="s">
        <v>69</v>
      </c>
      <c r="H512" s="205" t="s">
        <v>997</v>
      </c>
      <c r="I512" s="412" t="s">
        <v>998</v>
      </c>
      <c r="J512" s="412"/>
      <c r="K512" s="570"/>
    </row>
    <row r="513" spans="1:11" hidden="1">
      <c r="A513" s="295" t="s">
        <v>42</v>
      </c>
      <c r="B513" s="197" t="s">
        <v>973</v>
      </c>
      <c r="C513" s="294">
        <v>44392</v>
      </c>
      <c r="D513" s="314" t="s">
        <v>56</v>
      </c>
      <c r="E513" s="314" t="s">
        <v>758</v>
      </c>
      <c r="F513" s="314" t="s">
        <v>56</v>
      </c>
      <c r="G513" s="205" t="s">
        <v>69</v>
      </c>
      <c r="H513" s="205" t="s">
        <v>1000</v>
      </c>
      <c r="I513" s="412" t="s">
        <v>998</v>
      </c>
      <c r="J513" s="412"/>
      <c r="K513" s="570"/>
    </row>
    <row r="514" spans="1:11" hidden="1">
      <c r="A514" s="295" t="s">
        <v>42</v>
      </c>
      <c r="B514" s="197" t="s">
        <v>973</v>
      </c>
      <c r="C514" s="294">
        <v>44392</v>
      </c>
      <c r="D514" s="314" t="s">
        <v>56</v>
      </c>
      <c r="E514" s="314" t="s">
        <v>758</v>
      </c>
      <c r="F514" s="314" t="s">
        <v>56</v>
      </c>
      <c r="G514" s="205" t="s">
        <v>69</v>
      </c>
      <c r="H514" s="205" t="s">
        <v>1001</v>
      </c>
      <c r="I514" s="412" t="s">
        <v>998</v>
      </c>
      <c r="J514" s="412"/>
      <c r="K514" s="570"/>
    </row>
    <row r="515" spans="1:11" hidden="1">
      <c r="A515" s="295" t="s">
        <v>42</v>
      </c>
      <c r="B515" s="197" t="s">
        <v>973</v>
      </c>
      <c r="C515" s="294">
        <v>44392</v>
      </c>
      <c r="D515" s="314" t="s">
        <v>56</v>
      </c>
      <c r="E515" s="314" t="s">
        <v>758</v>
      </c>
      <c r="F515" s="314" t="s">
        <v>56</v>
      </c>
      <c r="G515" s="205" t="s">
        <v>69</v>
      </c>
      <c r="H515" s="205" t="s">
        <v>1002</v>
      </c>
      <c r="I515" s="412" t="s">
        <v>998</v>
      </c>
      <c r="J515" s="412"/>
      <c r="K515" s="570"/>
    </row>
    <row r="516" spans="1:11" ht="14.25" hidden="1" customHeight="1">
      <c r="A516" s="295" t="s">
        <v>42</v>
      </c>
      <c r="B516" s="197" t="s">
        <v>973</v>
      </c>
      <c r="C516" s="294">
        <v>44392</v>
      </c>
      <c r="D516" s="314" t="s">
        <v>56</v>
      </c>
      <c r="E516" s="314" t="s">
        <v>758</v>
      </c>
      <c r="F516" s="314" t="s">
        <v>56</v>
      </c>
      <c r="G516" s="205" t="s">
        <v>69</v>
      </c>
      <c r="H516" s="205" t="s">
        <v>1003</v>
      </c>
      <c r="I516" s="410" t="s">
        <v>1005</v>
      </c>
      <c r="J516" s="410" t="s">
        <v>295</v>
      </c>
      <c r="K516" s="573" t="s">
        <v>1006</v>
      </c>
    </row>
    <row r="517" spans="1:11" ht="145.19999999999999" hidden="1">
      <c r="A517" s="295" t="s">
        <v>42</v>
      </c>
      <c r="B517" s="197" t="s">
        <v>973</v>
      </c>
      <c r="C517" s="294">
        <v>44392</v>
      </c>
      <c r="D517" s="314" t="s">
        <v>56</v>
      </c>
      <c r="E517" s="314" t="s">
        <v>758</v>
      </c>
      <c r="F517" s="314" t="s">
        <v>56</v>
      </c>
      <c r="G517" s="205" t="s">
        <v>69</v>
      </c>
      <c r="H517" s="205" t="s">
        <v>1004</v>
      </c>
      <c r="I517" s="410" t="s">
        <v>1008</v>
      </c>
      <c r="J517" s="410" t="s">
        <v>295</v>
      </c>
      <c r="K517" s="574"/>
    </row>
    <row r="518" spans="1:11" hidden="1">
      <c r="A518" s="295" t="s">
        <v>42</v>
      </c>
      <c r="B518" s="197" t="s">
        <v>973</v>
      </c>
      <c r="C518" s="294">
        <v>44392</v>
      </c>
      <c r="D518" s="314" t="s">
        <v>56</v>
      </c>
      <c r="E518" s="314" t="s">
        <v>758</v>
      </c>
      <c r="F518" s="314" t="s">
        <v>56</v>
      </c>
      <c r="G518" s="315" t="s">
        <v>69</v>
      </c>
      <c r="H518" s="315" t="s">
        <v>1007</v>
      </c>
      <c r="I518" s="410" t="s">
        <v>1010</v>
      </c>
      <c r="J518" s="410" t="s">
        <v>295</v>
      </c>
      <c r="K518" s="574"/>
    </row>
    <row r="519" spans="1:11" hidden="1">
      <c r="A519" s="295" t="s">
        <v>42</v>
      </c>
      <c r="B519" s="197" t="s">
        <v>973</v>
      </c>
      <c r="C519" s="294">
        <v>44392</v>
      </c>
      <c r="D519" s="314" t="s">
        <v>56</v>
      </c>
      <c r="E519" s="314" t="s">
        <v>758</v>
      </c>
      <c r="F519" s="314" t="s">
        <v>56</v>
      </c>
      <c r="G519" s="205" t="s">
        <v>69</v>
      </c>
      <c r="H519" s="205" t="s">
        <v>1009</v>
      </c>
      <c r="I519" s="410" t="s">
        <v>587</v>
      </c>
      <c r="J519" s="410" t="s">
        <v>295</v>
      </c>
      <c r="K519" s="574"/>
    </row>
    <row r="520" spans="1:11" hidden="1">
      <c r="A520" s="295" t="s">
        <v>42</v>
      </c>
      <c r="B520" s="197" t="s">
        <v>973</v>
      </c>
      <c r="C520" s="294">
        <v>44392</v>
      </c>
      <c r="D520" s="314" t="s">
        <v>56</v>
      </c>
      <c r="E520" s="314" t="s">
        <v>758</v>
      </c>
      <c r="F520" s="314" t="s">
        <v>56</v>
      </c>
      <c r="G520" s="205" t="s">
        <v>69</v>
      </c>
      <c r="H520" s="205" t="s">
        <v>1011</v>
      </c>
      <c r="I520" s="410" t="s">
        <v>589</v>
      </c>
      <c r="J520" s="410" t="s">
        <v>295</v>
      </c>
      <c r="K520" s="574"/>
    </row>
    <row r="521" spans="1:11" hidden="1">
      <c r="A521" s="295" t="s">
        <v>42</v>
      </c>
      <c r="B521" s="197" t="s">
        <v>973</v>
      </c>
      <c r="C521" s="294">
        <v>44392</v>
      </c>
      <c r="D521" s="314" t="s">
        <v>56</v>
      </c>
      <c r="E521" s="314" t="s">
        <v>758</v>
      </c>
      <c r="F521" s="314" t="s">
        <v>56</v>
      </c>
      <c r="G521" s="205" t="s">
        <v>69</v>
      </c>
      <c r="H521" s="205" t="s">
        <v>1012</v>
      </c>
      <c r="I521" s="410" t="s">
        <v>593</v>
      </c>
      <c r="J521" s="410" t="s">
        <v>295</v>
      </c>
      <c r="K521" s="574"/>
    </row>
    <row r="522" spans="1:11" hidden="1">
      <c r="A522" s="295" t="s">
        <v>42</v>
      </c>
      <c r="B522" s="197" t="s">
        <v>973</v>
      </c>
      <c r="C522" s="294">
        <v>44392</v>
      </c>
      <c r="D522" s="314" t="s">
        <v>56</v>
      </c>
      <c r="E522" s="314" t="s">
        <v>758</v>
      </c>
      <c r="F522" s="314" t="s">
        <v>56</v>
      </c>
      <c r="G522" s="205" t="s">
        <v>69</v>
      </c>
      <c r="H522" s="205" t="s">
        <v>1013</v>
      </c>
      <c r="I522" s="410" t="s">
        <v>595</v>
      </c>
      <c r="J522" s="410" t="s">
        <v>295</v>
      </c>
      <c r="K522" s="574"/>
    </row>
    <row r="523" spans="1:11" hidden="1">
      <c r="A523" s="295" t="s">
        <v>42</v>
      </c>
      <c r="B523" s="197" t="s">
        <v>973</v>
      </c>
      <c r="C523" s="294">
        <v>44392</v>
      </c>
      <c r="D523" s="314" t="s">
        <v>56</v>
      </c>
      <c r="E523" s="314" t="s">
        <v>758</v>
      </c>
      <c r="F523" s="314" t="s">
        <v>56</v>
      </c>
      <c r="G523" s="205" t="s">
        <v>69</v>
      </c>
      <c r="H523" s="205" t="s">
        <v>1014</v>
      </c>
      <c r="I523" s="410" t="s">
        <v>1016</v>
      </c>
      <c r="J523" s="410" t="s">
        <v>295</v>
      </c>
      <c r="K523" s="574"/>
    </row>
    <row r="524" spans="1:11" hidden="1">
      <c r="A524" s="295" t="s">
        <v>42</v>
      </c>
      <c r="B524" s="197" t="s">
        <v>973</v>
      </c>
      <c r="C524" s="294">
        <v>44392</v>
      </c>
      <c r="D524" s="314" t="s">
        <v>56</v>
      </c>
      <c r="E524" s="314" t="s">
        <v>758</v>
      </c>
      <c r="F524" s="314" t="s">
        <v>56</v>
      </c>
      <c r="G524" s="205" t="s">
        <v>69</v>
      </c>
      <c r="H524" s="205" t="s">
        <v>1015</v>
      </c>
      <c r="I524" s="410" t="s">
        <v>1018</v>
      </c>
      <c r="J524" s="410" t="s">
        <v>295</v>
      </c>
      <c r="K524" s="574"/>
    </row>
    <row r="525" spans="1:11" hidden="1">
      <c r="A525" s="295" t="s">
        <v>42</v>
      </c>
      <c r="B525" s="197" t="s">
        <v>973</v>
      </c>
      <c r="C525" s="294">
        <v>44392</v>
      </c>
      <c r="D525" s="314" t="s">
        <v>56</v>
      </c>
      <c r="E525" s="314" t="s">
        <v>758</v>
      </c>
      <c r="F525" s="314" t="s">
        <v>56</v>
      </c>
      <c r="G525" s="205" t="s">
        <v>69</v>
      </c>
      <c r="H525" s="205" t="s">
        <v>1017</v>
      </c>
      <c r="I525" s="410" t="s">
        <v>1020</v>
      </c>
      <c r="J525" s="410" t="s">
        <v>295</v>
      </c>
      <c r="K525" s="574"/>
    </row>
    <row r="526" spans="1:11" hidden="1">
      <c r="A526" s="295" t="s">
        <v>42</v>
      </c>
      <c r="B526" s="197" t="s">
        <v>973</v>
      </c>
      <c r="C526" s="294">
        <v>44392</v>
      </c>
      <c r="D526" s="314" t="s">
        <v>56</v>
      </c>
      <c r="E526" s="314" t="s">
        <v>758</v>
      </c>
      <c r="F526" s="314" t="s">
        <v>56</v>
      </c>
      <c r="G526" s="205" t="s">
        <v>69</v>
      </c>
      <c r="H526" s="205" t="s">
        <v>1019</v>
      </c>
      <c r="I526" s="410" t="s">
        <v>603</v>
      </c>
      <c r="J526" s="410" t="s">
        <v>295</v>
      </c>
      <c r="K526" s="574"/>
    </row>
    <row r="527" spans="1:11" hidden="1">
      <c r="A527" s="295" t="s">
        <v>42</v>
      </c>
      <c r="B527" s="197" t="s">
        <v>973</v>
      </c>
      <c r="C527" s="294">
        <v>44392</v>
      </c>
      <c r="D527" s="314" t="s">
        <v>56</v>
      </c>
      <c r="E527" s="314" t="s">
        <v>758</v>
      </c>
      <c r="F527" s="314" t="s">
        <v>56</v>
      </c>
      <c r="G527" s="205" t="s">
        <v>69</v>
      </c>
      <c r="H527" s="205" t="s">
        <v>1021</v>
      </c>
      <c r="I527" s="410" t="s">
        <v>589</v>
      </c>
      <c r="J527" s="410" t="s">
        <v>295</v>
      </c>
      <c r="K527" s="574"/>
    </row>
    <row r="528" spans="1:11" hidden="1">
      <c r="A528" s="295" t="s">
        <v>42</v>
      </c>
      <c r="B528" s="197" t="s">
        <v>973</v>
      </c>
      <c r="C528" s="294">
        <v>44392</v>
      </c>
      <c r="D528" s="314" t="s">
        <v>56</v>
      </c>
      <c r="E528" s="314" t="s">
        <v>758</v>
      </c>
      <c r="F528" s="314" t="s">
        <v>56</v>
      </c>
      <c r="G528" s="205" t="s">
        <v>69</v>
      </c>
      <c r="H528" s="205" t="s">
        <v>1022</v>
      </c>
      <c r="I528" s="410" t="s">
        <v>606</v>
      </c>
      <c r="J528" s="410" t="s">
        <v>295</v>
      </c>
      <c r="K528" s="574"/>
    </row>
    <row r="529" spans="1:11" hidden="1">
      <c r="A529" s="295" t="s">
        <v>42</v>
      </c>
      <c r="B529" s="197" t="s">
        <v>973</v>
      </c>
      <c r="C529" s="294">
        <v>44392</v>
      </c>
      <c r="D529" s="314" t="s">
        <v>56</v>
      </c>
      <c r="E529" s="314" t="s">
        <v>758</v>
      </c>
      <c r="F529" s="314" t="s">
        <v>56</v>
      </c>
      <c r="G529" s="205" t="s">
        <v>69</v>
      </c>
      <c r="H529" s="205" t="s">
        <v>1023</v>
      </c>
      <c r="I529" s="198" t="s">
        <v>1025</v>
      </c>
      <c r="J529" s="410" t="s">
        <v>295</v>
      </c>
      <c r="K529" s="574"/>
    </row>
    <row r="530" spans="1:11" hidden="1">
      <c r="A530" s="295" t="s">
        <v>42</v>
      </c>
      <c r="B530" s="197" t="s">
        <v>973</v>
      </c>
      <c r="C530" s="294">
        <v>44392</v>
      </c>
      <c r="D530" s="314" t="s">
        <v>56</v>
      </c>
      <c r="E530" s="314" t="s">
        <v>758</v>
      </c>
      <c r="F530" s="314" t="s">
        <v>56</v>
      </c>
      <c r="G530" s="205" t="s">
        <v>69</v>
      </c>
      <c r="H530" s="205" t="s">
        <v>1024</v>
      </c>
      <c r="I530" s="198" t="s">
        <v>1027</v>
      </c>
      <c r="J530" s="410" t="s">
        <v>295</v>
      </c>
      <c r="K530" s="574"/>
    </row>
    <row r="531" spans="1:11" ht="39.6" hidden="1">
      <c r="A531" s="295" t="s">
        <v>42</v>
      </c>
      <c r="B531" s="197" t="s">
        <v>973</v>
      </c>
      <c r="C531" s="294">
        <v>44392</v>
      </c>
      <c r="D531" s="314" t="s">
        <v>56</v>
      </c>
      <c r="E531" s="314" t="s">
        <v>758</v>
      </c>
      <c r="F531" s="314" t="s">
        <v>56</v>
      </c>
      <c r="G531" s="205" t="s">
        <v>69</v>
      </c>
      <c r="H531" s="205" t="s">
        <v>1026</v>
      </c>
      <c r="I531" s="198" t="s">
        <v>1029</v>
      </c>
      <c r="J531" s="410" t="s">
        <v>295</v>
      </c>
      <c r="K531" s="575"/>
    </row>
    <row r="532" spans="1:11" ht="14.25" hidden="1" customHeight="1">
      <c r="A532" s="295" t="s">
        <v>42</v>
      </c>
      <c r="B532" s="197" t="s">
        <v>973</v>
      </c>
      <c r="C532" s="294">
        <v>44392</v>
      </c>
      <c r="D532" s="314" t="s">
        <v>56</v>
      </c>
      <c r="E532" s="314" t="s">
        <v>758</v>
      </c>
      <c r="F532" s="314" t="s">
        <v>56</v>
      </c>
      <c r="G532" s="205" t="s">
        <v>69</v>
      </c>
      <c r="H532" s="205" t="s">
        <v>1028</v>
      </c>
      <c r="I532" s="410" t="s">
        <v>1031</v>
      </c>
      <c r="J532" s="410" t="s">
        <v>295</v>
      </c>
      <c r="K532" s="573" t="s">
        <v>1032</v>
      </c>
    </row>
    <row r="533" spans="1:11" ht="52.8" hidden="1">
      <c r="A533" s="295" t="s">
        <v>42</v>
      </c>
      <c r="B533" s="197" t="s">
        <v>973</v>
      </c>
      <c r="C533" s="294">
        <v>44392</v>
      </c>
      <c r="D533" s="314" t="s">
        <v>56</v>
      </c>
      <c r="E533" s="314" t="s">
        <v>758</v>
      </c>
      <c r="F533" s="314" t="s">
        <v>56</v>
      </c>
      <c r="G533" s="205" t="s">
        <v>69</v>
      </c>
      <c r="H533" s="205" t="s">
        <v>1030</v>
      </c>
      <c r="I533" s="410" t="s">
        <v>1034</v>
      </c>
      <c r="J533" s="410" t="s">
        <v>295</v>
      </c>
      <c r="K533" s="574"/>
    </row>
    <row r="534" spans="1:11" hidden="1">
      <c r="A534" s="295" t="s">
        <v>42</v>
      </c>
      <c r="B534" s="197" t="s">
        <v>973</v>
      </c>
      <c r="C534" s="294">
        <v>44392</v>
      </c>
      <c r="D534" s="314" t="s">
        <v>56</v>
      </c>
      <c r="E534" s="314" t="s">
        <v>758</v>
      </c>
      <c r="F534" s="314" t="s">
        <v>56</v>
      </c>
      <c r="G534" s="315" t="s">
        <v>69</v>
      </c>
      <c r="H534" s="315" t="s">
        <v>1033</v>
      </c>
      <c r="I534" s="410" t="s">
        <v>1010</v>
      </c>
      <c r="J534" s="410" t="s">
        <v>295</v>
      </c>
      <c r="K534" s="574"/>
    </row>
    <row r="535" spans="1:11" hidden="1">
      <c r="A535" s="295" t="s">
        <v>42</v>
      </c>
      <c r="B535" s="197" t="s">
        <v>973</v>
      </c>
      <c r="C535" s="294">
        <v>44392</v>
      </c>
      <c r="D535" s="314" t="s">
        <v>56</v>
      </c>
      <c r="E535" s="314" t="s">
        <v>758</v>
      </c>
      <c r="F535" s="314" t="s">
        <v>56</v>
      </c>
      <c r="G535" s="205" t="s">
        <v>69</v>
      </c>
      <c r="H535" s="205" t="s">
        <v>670</v>
      </c>
      <c r="I535" s="410" t="s">
        <v>587</v>
      </c>
      <c r="J535" s="410" t="s">
        <v>295</v>
      </c>
      <c r="K535" s="574"/>
    </row>
    <row r="536" spans="1:11" hidden="1">
      <c r="A536" s="295" t="s">
        <v>42</v>
      </c>
      <c r="B536" s="197" t="s">
        <v>973</v>
      </c>
      <c r="C536" s="294">
        <v>44392</v>
      </c>
      <c r="D536" s="314" t="s">
        <v>56</v>
      </c>
      <c r="E536" s="314" t="s">
        <v>758</v>
      </c>
      <c r="F536" s="314" t="s">
        <v>56</v>
      </c>
      <c r="G536" s="205" t="s">
        <v>69</v>
      </c>
      <c r="H536" s="205" t="s">
        <v>1035</v>
      </c>
      <c r="I536" s="410" t="s">
        <v>589</v>
      </c>
      <c r="J536" s="410" t="s">
        <v>295</v>
      </c>
      <c r="K536" s="574"/>
    </row>
    <row r="537" spans="1:11" hidden="1">
      <c r="A537" s="295" t="s">
        <v>42</v>
      </c>
      <c r="B537" s="197" t="s">
        <v>973</v>
      </c>
      <c r="C537" s="294">
        <v>44392</v>
      </c>
      <c r="D537" s="314" t="s">
        <v>56</v>
      </c>
      <c r="E537" s="314" t="s">
        <v>758</v>
      </c>
      <c r="F537" s="314" t="s">
        <v>56</v>
      </c>
      <c r="G537" s="205" t="s">
        <v>69</v>
      </c>
      <c r="H537" s="205" t="s">
        <v>574</v>
      </c>
      <c r="I537" s="410" t="s">
        <v>593</v>
      </c>
      <c r="J537" s="410" t="s">
        <v>295</v>
      </c>
      <c r="K537" s="574"/>
    </row>
    <row r="538" spans="1:11" hidden="1">
      <c r="A538" s="295" t="s">
        <v>42</v>
      </c>
      <c r="B538" s="197" t="s">
        <v>973</v>
      </c>
      <c r="C538" s="294">
        <v>44392</v>
      </c>
      <c r="D538" s="314" t="s">
        <v>56</v>
      </c>
      <c r="E538" s="314" t="s">
        <v>758</v>
      </c>
      <c r="F538" s="314" t="s">
        <v>56</v>
      </c>
      <c r="G538" s="205" t="s">
        <v>69</v>
      </c>
      <c r="H538" s="205" t="s">
        <v>584</v>
      </c>
      <c r="I538" s="410" t="s">
        <v>595</v>
      </c>
      <c r="J538" s="410" t="s">
        <v>295</v>
      </c>
      <c r="K538" s="574"/>
    </row>
    <row r="539" spans="1:11" hidden="1">
      <c r="A539" s="295" t="s">
        <v>42</v>
      </c>
      <c r="B539" s="197" t="s">
        <v>973</v>
      </c>
      <c r="C539" s="294">
        <v>44392</v>
      </c>
      <c r="D539" s="314" t="s">
        <v>56</v>
      </c>
      <c r="E539" s="314" t="s">
        <v>758</v>
      </c>
      <c r="F539" s="314" t="s">
        <v>56</v>
      </c>
      <c r="G539" s="205" t="s">
        <v>69</v>
      </c>
      <c r="H539" s="205" t="s">
        <v>677</v>
      </c>
      <c r="I539" s="410" t="s">
        <v>1016</v>
      </c>
      <c r="J539" s="410" t="s">
        <v>295</v>
      </c>
      <c r="K539" s="574"/>
    </row>
    <row r="540" spans="1:11" hidden="1">
      <c r="A540" s="295" t="s">
        <v>42</v>
      </c>
      <c r="B540" s="197" t="s">
        <v>973</v>
      </c>
      <c r="C540" s="294">
        <v>44392</v>
      </c>
      <c r="D540" s="314" t="s">
        <v>56</v>
      </c>
      <c r="E540" s="314" t="s">
        <v>758</v>
      </c>
      <c r="F540" s="314" t="s">
        <v>56</v>
      </c>
      <c r="G540" s="205" t="s">
        <v>69</v>
      </c>
      <c r="H540" s="205" t="s">
        <v>1036</v>
      </c>
      <c r="I540" s="410" t="s">
        <v>1018</v>
      </c>
      <c r="J540" s="410" t="s">
        <v>295</v>
      </c>
      <c r="K540" s="574"/>
    </row>
    <row r="541" spans="1:11" hidden="1">
      <c r="A541" s="295" t="s">
        <v>42</v>
      </c>
      <c r="B541" s="197" t="s">
        <v>973</v>
      </c>
      <c r="C541" s="294">
        <v>44392</v>
      </c>
      <c r="D541" s="314" t="s">
        <v>56</v>
      </c>
      <c r="E541" s="314" t="s">
        <v>758</v>
      </c>
      <c r="F541" s="314" t="s">
        <v>56</v>
      </c>
      <c r="G541" s="205" t="s">
        <v>69</v>
      </c>
      <c r="H541" s="205" t="s">
        <v>1037</v>
      </c>
      <c r="I541" s="410" t="s">
        <v>1020</v>
      </c>
      <c r="J541" s="410" t="s">
        <v>295</v>
      </c>
      <c r="K541" s="574"/>
    </row>
    <row r="542" spans="1:11" hidden="1">
      <c r="A542" s="295" t="s">
        <v>42</v>
      </c>
      <c r="B542" s="197" t="s">
        <v>973</v>
      </c>
      <c r="C542" s="294">
        <v>44392</v>
      </c>
      <c r="D542" s="314" t="s">
        <v>56</v>
      </c>
      <c r="E542" s="314" t="s">
        <v>758</v>
      </c>
      <c r="F542" s="314" t="s">
        <v>56</v>
      </c>
      <c r="G542" s="205" t="s">
        <v>69</v>
      </c>
      <c r="H542" s="205" t="s">
        <v>1038</v>
      </c>
      <c r="I542" s="410" t="s">
        <v>603</v>
      </c>
      <c r="J542" s="410" t="s">
        <v>295</v>
      </c>
      <c r="K542" s="574"/>
    </row>
    <row r="543" spans="1:11" hidden="1">
      <c r="A543" s="295" t="s">
        <v>42</v>
      </c>
      <c r="B543" s="197" t="s">
        <v>973</v>
      </c>
      <c r="C543" s="294">
        <v>44392</v>
      </c>
      <c r="D543" s="314" t="s">
        <v>56</v>
      </c>
      <c r="E543" s="314" t="s">
        <v>758</v>
      </c>
      <c r="F543" s="314" t="s">
        <v>56</v>
      </c>
      <c r="G543" s="205" t="s">
        <v>69</v>
      </c>
      <c r="H543" s="205" t="s">
        <v>1039</v>
      </c>
      <c r="I543" s="410" t="s">
        <v>589</v>
      </c>
      <c r="J543" s="410" t="s">
        <v>295</v>
      </c>
      <c r="K543" s="574"/>
    </row>
    <row r="544" spans="1:11" hidden="1">
      <c r="A544" s="295" t="s">
        <v>42</v>
      </c>
      <c r="B544" s="197" t="s">
        <v>973</v>
      </c>
      <c r="C544" s="294">
        <v>44392</v>
      </c>
      <c r="D544" s="314" t="s">
        <v>56</v>
      </c>
      <c r="E544" s="314" t="s">
        <v>758</v>
      </c>
      <c r="F544" s="314" t="s">
        <v>56</v>
      </c>
      <c r="G544" s="205" t="s">
        <v>69</v>
      </c>
      <c r="H544" s="205" t="s">
        <v>1040</v>
      </c>
      <c r="I544" s="410" t="s">
        <v>606</v>
      </c>
      <c r="J544" s="410" t="s">
        <v>295</v>
      </c>
      <c r="K544" s="574"/>
    </row>
    <row r="545" spans="1:11" hidden="1">
      <c r="A545" s="295" t="s">
        <v>42</v>
      </c>
      <c r="B545" s="197" t="s">
        <v>973</v>
      </c>
      <c r="C545" s="294">
        <v>44392</v>
      </c>
      <c r="D545" s="314" t="s">
        <v>56</v>
      </c>
      <c r="E545" s="314" t="s">
        <v>758</v>
      </c>
      <c r="F545" s="314" t="s">
        <v>56</v>
      </c>
      <c r="G545" s="205" t="s">
        <v>69</v>
      </c>
      <c r="H545" s="205" t="s">
        <v>1041</v>
      </c>
      <c r="I545" s="198" t="s">
        <v>1043</v>
      </c>
      <c r="J545" s="410" t="s">
        <v>295</v>
      </c>
      <c r="K545" s="574"/>
    </row>
    <row r="546" spans="1:11" hidden="1">
      <c r="A546" s="295" t="s">
        <v>42</v>
      </c>
      <c r="B546" s="197" t="s">
        <v>973</v>
      </c>
      <c r="C546" s="294">
        <v>44392</v>
      </c>
      <c r="D546" s="314" t="s">
        <v>56</v>
      </c>
      <c r="E546" s="314" t="s">
        <v>758</v>
      </c>
      <c r="F546" s="314" t="s">
        <v>56</v>
      </c>
      <c r="G546" s="205" t="s">
        <v>69</v>
      </c>
      <c r="H546" s="205" t="s">
        <v>1042</v>
      </c>
      <c r="I546" s="340" t="s">
        <v>1045</v>
      </c>
      <c r="J546" s="410" t="s">
        <v>295</v>
      </c>
      <c r="K546" s="574"/>
    </row>
    <row r="547" spans="1:11" ht="39.6" hidden="1">
      <c r="A547" s="295" t="s">
        <v>42</v>
      </c>
      <c r="B547" s="197" t="s">
        <v>973</v>
      </c>
      <c r="C547" s="294">
        <v>44392</v>
      </c>
      <c r="D547" s="314" t="s">
        <v>56</v>
      </c>
      <c r="E547" s="314" t="s">
        <v>758</v>
      </c>
      <c r="F547" s="314" t="s">
        <v>56</v>
      </c>
      <c r="G547" s="205" t="s">
        <v>69</v>
      </c>
      <c r="H547" s="205" t="s">
        <v>1044</v>
      </c>
      <c r="I547" s="198" t="s">
        <v>1047</v>
      </c>
      <c r="J547" s="410" t="s">
        <v>295</v>
      </c>
      <c r="K547" s="575"/>
    </row>
    <row r="548" spans="1:11" hidden="1">
      <c r="A548" s="295" t="s">
        <v>42</v>
      </c>
      <c r="B548" s="197" t="s">
        <v>973</v>
      </c>
      <c r="C548" s="294">
        <v>44392</v>
      </c>
      <c r="D548" s="314" t="s">
        <v>56</v>
      </c>
      <c r="E548" s="314" t="s">
        <v>758</v>
      </c>
      <c r="F548" s="314" t="s">
        <v>56</v>
      </c>
      <c r="G548" s="205" t="s">
        <v>69</v>
      </c>
      <c r="H548" s="205" t="s">
        <v>1046</v>
      </c>
      <c r="I548" s="410" t="s">
        <v>1049</v>
      </c>
      <c r="J548" s="410" t="s">
        <v>295</v>
      </c>
      <c r="K548" s="573" t="s">
        <v>1050</v>
      </c>
    </row>
    <row r="549" spans="1:11" ht="52.8" hidden="1">
      <c r="A549" s="295" t="s">
        <v>42</v>
      </c>
      <c r="B549" s="197" t="s">
        <v>973</v>
      </c>
      <c r="C549" s="294">
        <v>44392</v>
      </c>
      <c r="D549" s="314" t="s">
        <v>56</v>
      </c>
      <c r="E549" s="314" t="s">
        <v>758</v>
      </c>
      <c r="F549" s="314" t="s">
        <v>56</v>
      </c>
      <c r="G549" s="205" t="s">
        <v>69</v>
      </c>
      <c r="H549" s="205" t="s">
        <v>1048</v>
      </c>
      <c r="I549" s="410" t="s">
        <v>1052</v>
      </c>
      <c r="J549" s="410" t="s">
        <v>295</v>
      </c>
      <c r="K549" s="574"/>
    </row>
    <row r="550" spans="1:11" hidden="1">
      <c r="A550" s="295" t="s">
        <v>42</v>
      </c>
      <c r="B550" s="197" t="s">
        <v>973</v>
      </c>
      <c r="C550" s="294">
        <v>44392</v>
      </c>
      <c r="D550" s="314" t="s">
        <v>56</v>
      </c>
      <c r="E550" s="314" t="s">
        <v>758</v>
      </c>
      <c r="F550" s="314" t="s">
        <v>56</v>
      </c>
      <c r="G550" s="315" t="s">
        <v>69</v>
      </c>
      <c r="H550" s="315" t="s">
        <v>1051</v>
      </c>
      <c r="I550" s="410" t="s">
        <v>1010</v>
      </c>
      <c r="J550" s="410" t="s">
        <v>295</v>
      </c>
      <c r="K550" s="574"/>
    </row>
    <row r="551" spans="1:11" hidden="1">
      <c r="A551" s="295" t="s">
        <v>42</v>
      </c>
      <c r="B551" s="197" t="s">
        <v>973</v>
      </c>
      <c r="C551" s="294">
        <v>44392</v>
      </c>
      <c r="D551" s="314" t="s">
        <v>56</v>
      </c>
      <c r="E551" s="314" t="s">
        <v>758</v>
      </c>
      <c r="F551" s="314" t="s">
        <v>56</v>
      </c>
      <c r="G551" s="315" t="s">
        <v>69</v>
      </c>
      <c r="H551" s="315" t="s">
        <v>1053</v>
      </c>
      <c r="I551" s="410" t="s">
        <v>587</v>
      </c>
      <c r="J551" s="410" t="s">
        <v>295</v>
      </c>
      <c r="K551" s="574"/>
    </row>
    <row r="552" spans="1:11" hidden="1">
      <c r="A552" s="295" t="s">
        <v>42</v>
      </c>
      <c r="B552" s="197" t="s">
        <v>973</v>
      </c>
      <c r="C552" s="294">
        <v>44392</v>
      </c>
      <c r="D552" s="314" t="s">
        <v>56</v>
      </c>
      <c r="E552" s="314" t="s">
        <v>758</v>
      </c>
      <c r="F552" s="314" t="s">
        <v>56</v>
      </c>
      <c r="G552" s="205" t="s">
        <v>69</v>
      </c>
      <c r="H552" s="205" t="s">
        <v>1054</v>
      </c>
      <c r="I552" s="410" t="s">
        <v>589</v>
      </c>
      <c r="J552" s="410" t="s">
        <v>295</v>
      </c>
      <c r="K552" s="574"/>
    </row>
    <row r="553" spans="1:11" hidden="1">
      <c r="A553" s="295" t="s">
        <v>42</v>
      </c>
      <c r="B553" s="197" t="s">
        <v>973</v>
      </c>
      <c r="C553" s="294">
        <v>44392</v>
      </c>
      <c r="D553" s="314" t="s">
        <v>56</v>
      </c>
      <c r="E553" s="314" t="s">
        <v>758</v>
      </c>
      <c r="F553" s="314" t="s">
        <v>56</v>
      </c>
      <c r="G553" s="205" t="s">
        <v>69</v>
      </c>
      <c r="H553" s="205" t="s">
        <v>1055</v>
      </c>
      <c r="I553" s="410" t="s">
        <v>593</v>
      </c>
      <c r="J553" s="410" t="s">
        <v>295</v>
      </c>
      <c r="K553" s="574"/>
    </row>
    <row r="554" spans="1:11" hidden="1">
      <c r="A554" s="295" t="s">
        <v>42</v>
      </c>
      <c r="B554" s="197" t="s">
        <v>973</v>
      </c>
      <c r="C554" s="294">
        <v>44392</v>
      </c>
      <c r="D554" s="314" t="s">
        <v>56</v>
      </c>
      <c r="E554" s="314" t="s">
        <v>758</v>
      </c>
      <c r="F554" s="314" t="s">
        <v>56</v>
      </c>
      <c r="G554" s="205" t="s">
        <v>69</v>
      </c>
      <c r="H554" s="205" t="s">
        <v>1056</v>
      </c>
      <c r="I554" s="410" t="s">
        <v>595</v>
      </c>
      <c r="J554" s="410" t="s">
        <v>295</v>
      </c>
      <c r="K554" s="574"/>
    </row>
    <row r="555" spans="1:11" hidden="1">
      <c r="A555" s="295" t="s">
        <v>42</v>
      </c>
      <c r="B555" s="197" t="s">
        <v>973</v>
      </c>
      <c r="C555" s="294">
        <v>44392</v>
      </c>
      <c r="D555" s="314" t="s">
        <v>56</v>
      </c>
      <c r="E555" s="314" t="s">
        <v>758</v>
      </c>
      <c r="F555" s="314" t="s">
        <v>56</v>
      </c>
      <c r="G555" s="205" t="s">
        <v>69</v>
      </c>
      <c r="H555" s="205" t="s">
        <v>1057</v>
      </c>
      <c r="I555" s="410" t="s">
        <v>1016</v>
      </c>
      <c r="J555" s="410" t="s">
        <v>295</v>
      </c>
      <c r="K555" s="574"/>
    </row>
    <row r="556" spans="1:11" hidden="1">
      <c r="A556" s="295" t="s">
        <v>42</v>
      </c>
      <c r="B556" s="197" t="s">
        <v>973</v>
      </c>
      <c r="C556" s="294">
        <v>44392</v>
      </c>
      <c r="D556" s="314" t="s">
        <v>56</v>
      </c>
      <c r="E556" s="314" t="s">
        <v>758</v>
      </c>
      <c r="F556" s="314" t="s">
        <v>56</v>
      </c>
      <c r="G556" s="205" t="s">
        <v>69</v>
      </c>
      <c r="H556" s="205" t="s">
        <v>1058</v>
      </c>
      <c r="I556" s="410" t="s">
        <v>1018</v>
      </c>
      <c r="J556" s="410" t="s">
        <v>295</v>
      </c>
      <c r="K556" s="574"/>
    </row>
    <row r="557" spans="1:11" hidden="1">
      <c r="A557" s="295" t="s">
        <v>42</v>
      </c>
      <c r="B557" s="197" t="s">
        <v>973</v>
      </c>
      <c r="C557" s="294">
        <v>44392</v>
      </c>
      <c r="D557" s="314" t="s">
        <v>56</v>
      </c>
      <c r="E557" s="314" t="s">
        <v>758</v>
      </c>
      <c r="F557" s="314" t="s">
        <v>56</v>
      </c>
      <c r="G557" s="205" t="s">
        <v>69</v>
      </c>
      <c r="H557" s="205" t="s">
        <v>1059</v>
      </c>
      <c r="I557" s="410" t="s">
        <v>1020</v>
      </c>
      <c r="J557" s="410" t="s">
        <v>295</v>
      </c>
      <c r="K557" s="574"/>
    </row>
    <row r="558" spans="1:11" hidden="1">
      <c r="A558" s="295" t="s">
        <v>42</v>
      </c>
      <c r="B558" s="197" t="s">
        <v>973</v>
      </c>
      <c r="C558" s="294">
        <v>44392</v>
      </c>
      <c r="D558" s="314" t="s">
        <v>56</v>
      </c>
      <c r="E558" s="314" t="s">
        <v>758</v>
      </c>
      <c r="F558" s="314" t="s">
        <v>56</v>
      </c>
      <c r="G558" s="205" t="s">
        <v>69</v>
      </c>
      <c r="H558" s="205" t="s">
        <v>1060</v>
      </c>
      <c r="I558" s="410" t="s">
        <v>603</v>
      </c>
      <c r="J558" s="410" t="s">
        <v>295</v>
      </c>
      <c r="K558" s="574"/>
    </row>
    <row r="559" spans="1:11" hidden="1">
      <c r="A559" s="295" t="s">
        <v>42</v>
      </c>
      <c r="B559" s="197" t="s">
        <v>973</v>
      </c>
      <c r="C559" s="294">
        <v>44392</v>
      </c>
      <c r="D559" s="314" t="s">
        <v>56</v>
      </c>
      <c r="E559" s="314" t="s">
        <v>758</v>
      </c>
      <c r="F559" s="314" t="s">
        <v>56</v>
      </c>
      <c r="G559" s="205" t="s">
        <v>69</v>
      </c>
      <c r="H559" s="205" t="s">
        <v>1061</v>
      </c>
      <c r="I559" s="410" t="s">
        <v>589</v>
      </c>
      <c r="J559" s="410" t="s">
        <v>295</v>
      </c>
      <c r="K559" s="574"/>
    </row>
    <row r="560" spans="1:11" hidden="1">
      <c r="A560" s="295" t="s">
        <v>42</v>
      </c>
      <c r="B560" s="197" t="s">
        <v>973</v>
      </c>
      <c r="C560" s="294">
        <v>44392</v>
      </c>
      <c r="D560" s="314" t="s">
        <v>56</v>
      </c>
      <c r="E560" s="314" t="s">
        <v>758</v>
      </c>
      <c r="F560" s="314" t="s">
        <v>56</v>
      </c>
      <c r="G560" s="205" t="s">
        <v>69</v>
      </c>
      <c r="H560" s="205" t="s">
        <v>1062</v>
      </c>
      <c r="I560" s="410" t="s">
        <v>606</v>
      </c>
      <c r="J560" s="410" t="s">
        <v>295</v>
      </c>
      <c r="K560" s="574"/>
    </row>
    <row r="561" spans="1:11" hidden="1">
      <c r="A561" s="295" t="s">
        <v>42</v>
      </c>
      <c r="B561" s="197" t="s">
        <v>973</v>
      </c>
      <c r="C561" s="294">
        <v>44392</v>
      </c>
      <c r="D561" s="314" t="s">
        <v>56</v>
      </c>
      <c r="E561" s="314" t="s">
        <v>758</v>
      </c>
      <c r="F561" s="314" t="s">
        <v>56</v>
      </c>
      <c r="G561" s="205" t="s">
        <v>69</v>
      </c>
      <c r="H561" s="205" t="s">
        <v>1063</v>
      </c>
      <c r="I561" s="198" t="s">
        <v>1065</v>
      </c>
      <c r="J561" s="410" t="s">
        <v>295</v>
      </c>
      <c r="K561" s="574"/>
    </row>
    <row r="562" spans="1:11" hidden="1">
      <c r="A562" s="295" t="s">
        <v>42</v>
      </c>
      <c r="B562" s="197" t="s">
        <v>973</v>
      </c>
      <c r="C562" s="294">
        <v>44392</v>
      </c>
      <c r="D562" s="314" t="s">
        <v>56</v>
      </c>
      <c r="E562" s="314" t="s">
        <v>758</v>
      </c>
      <c r="F562" s="314" t="s">
        <v>56</v>
      </c>
      <c r="G562" s="205" t="s">
        <v>69</v>
      </c>
      <c r="H562" s="205" t="s">
        <v>1064</v>
      </c>
      <c r="I562" s="198" t="s">
        <v>1067</v>
      </c>
      <c r="J562" s="410" t="s">
        <v>295</v>
      </c>
      <c r="K562" s="574"/>
    </row>
    <row r="563" spans="1:11" ht="39.6" hidden="1">
      <c r="A563" s="295" t="s">
        <v>42</v>
      </c>
      <c r="B563" s="197" t="s">
        <v>973</v>
      </c>
      <c r="C563" s="294">
        <v>44392</v>
      </c>
      <c r="D563" s="314" t="s">
        <v>56</v>
      </c>
      <c r="E563" s="314" t="s">
        <v>758</v>
      </c>
      <c r="F563" s="314" t="s">
        <v>56</v>
      </c>
      <c r="G563" s="205" t="s">
        <v>69</v>
      </c>
      <c r="H563" s="205" t="s">
        <v>1066</v>
      </c>
      <c r="I563" s="198" t="s">
        <v>1069</v>
      </c>
      <c r="J563" s="410" t="s">
        <v>295</v>
      </c>
      <c r="K563" s="575"/>
    </row>
    <row r="564" spans="1:11" hidden="1">
      <c r="A564" s="295" t="s">
        <v>42</v>
      </c>
      <c r="B564" s="197" t="s">
        <v>973</v>
      </c>
      <c r="C564" s="294">
        <v>44392</v>
      </c>
      <c r="D564" s="314" t="s">
        <v>56</v>
      </c>
      <c r="E564" s="314" t="s">
        <v>758</v>
      </c>
      <c r="F564" s="314" t="s">
        <v>56</v>
      </c>
      <c r="G564" s="205" t="s">
        <v>69</v>
      </c>
      <c r="H564" s="205" t="s">
        <v>1068</v>
      </c>
      <c r="I564" s="410" t="s">
        <v>1071</v>
      </c>
      <c r="J564" s="410" t="s">
        <v>295</v>
      </c>
      <c r="K564" s="573" t="s">
        <v>1072</v>
      </c>
    </row>
    <row r="565" spans="1:11" ht="52.8" hidden="1">
      <c r="A565" s="295" t="s">
        <v>42</v>
      </c>
      <c r="B565" s="197" t="s">
        <v>973</v>
      </c>
      <c r="C565" s="294">
        <v>44392</v>
      </c>
      <c r="D565" s="314" t="s">
        <v>56</v>
      </c>
      <c r="E565" s="314" t="s">
        <v>758</v>
      </c>
      <c r="F565" s="314" t="s">
        <v>56</v>
      </c>
      <c r="G565" s="205" t="s">
        <v>69</v>
      </c>
      <c r="H565" s="205" t="s">
        <v>1070</v>
      </c>
      <c r="I565" s="410" t="s">
        <v>1034</v>
      </c>
      <c r="J565" s="410" t="s">
        <v>295</v>
      </c>
      <c r="K565" s="574"/>
    </row>
    <row r="566" spans="1:11" hidden="1">
      <c r="A566" s="295" t="s">
        <v>42</v>
      </c>
      <c r="B566" s="197" t="s">
        <v>973</v>
      </c>
      <c r="C566" s="294">
        <v>44392</v>
      </c>
      <c r="D566" s="314" t="s">
        <v>56</v>
      </c>
      <c r="E566" s="314" t="s">
        <v>758</v>
      </c>
      <c r="F566" s="314" t="s">
        <v>56</v>
      </c>
      <c r="G566" s="315" t="s">
        <v>69</v>
      </c>
      <c r="H566" s="315" t="s">
        <v>1073</v>
      </c>
      <c r="I566" s="410" t="s">
        <v>1010</v>
      </c>
      <c r="J566" s="410" t="s">
        <v>575</v>
      </c>
      <c r="K566" s="574"/>
    </row>
    <row r="567" spans="1:11" hidden="1">
      <c r="A567" s="295" t="s">
        <v>42</v>
      </c>
      <c r="B567" s="197" t="s">
        <v>973</v>
      </c>
      <c r="C567" s="294">
        <v>44392</v>
      </c>
      <c r="D567" s="314" t="s">
        <v>56</v>
      </c>
      <c r="E567" s="314" t="s">
        <v>758</v>
      </c>
      <c r="F567" s="314" t="s">
        <v>56</v>
      </c>
      <c r="G567" s="205" t="s">
        <v>69</v>
      </c>
      <c r="H567" s="205" t="s">
        <v>1074</v>
      </c>
      <c r="I567" s="410" t="s">
        <v>587</v>
      </c>
      <c r="J567" s="410" t="s">
        <v>295</v>
      </c>
      <c r="K567" s="574"/>
    </row>
    <row r="568" spans="1:11" hidden="1">
      <c r="A568" s="295" t="s">
        <v>42</v>
      </c>
      <c r="B568" s="197" t="s">
        <v>973</v>
      </c>
      <c r="C568" s="294">
        <v>44392</v>
      </c>
      <c r="D568" s="314" t="s">
        <v>56</v>
      </c>
      <c r="E568" s="314" t="s">
        <v>758</v>
      </c>
      <c r="F568" s="314" t="s">
        <v>56</v>
      </c>
      <c r="G568" s="205" t="s">
        <v>69</v>
      </c>
      <c r="H568" s="205" t="s">
        <v>1075</v>
      </c>
      <c r="I568" s="410" t="s">
        <v>589</v>
      </c>
      <c r="J568" s="410" t="s">
        <v>295</v>
      </c>
      <c r="K568" s="574"/>
    </row>
    <row r="569" spans="1:11" hidden="1">
      <c r="A569" s="295" t="s">
        <v>42</v>
      </c>
      <c r="B569" s="197" t="s">
        <v>973</v>
      </c>
      <c r="C569" s="294">
        <v>44392</v>
      </c>
      <c r="D569" s="314" t="s">
        <v>56</v>
      </c>
      <c r="E569" s="314" t="s">
        <v>758</v>
      </c>
      <c r="F569" s="314" t="s">
        <v>56</v>
      </c>
      <c r="G569" s="205" t="s">
        <v>69</v>
      </c>
      <c r="H569" s="205" t="s">
        <v>1076</v>
      </c>
      <c r="I569" s="410" t="s">
        <v>593</v>
      </c>
      <c r="J569" s="410" t="s">
        <v>295</v>
      </c>
      <c r="K569" s="574"/>
    </row>
    <row r="570" spans="1:11" hidden="1">
      <c r="A570" s="295" t="s">
        <v>42</v>
      </c>
      <c r="B570" s="197" t="s">
        <v>973</v>
      </c>
      <c r="C570" s="294">
        <v>44392</v>
      </c>
      <c r="D570" s="314" t="s">
        <v>56</v>
      </c>
      <c r="E570" s="314" t="s">
        <v>758</v>
      </c>
      <c r="F570" s="314" t="s">
        <v>56</v>
      </c>
      <c r="G570" s="205" t="s">
        <v>69</v>
      </c>
      <c r="H570" s="205" t="s">
        <v>1077</v>
      </c>
      <c r="I570" s="410" t="s">
        <v>595</v>
      </c>
      <c r="J570" s="410" t="s">
        <v>295</v>
      </c>
      <c r="K570" s="574"/>
    </row>
    <row r="571" spans="1:11" hidden="1">
      <c r="A571" s="295" t="s">
        <v>42</v>
      </c>
      <c r="B571" s="197" t="s">
        <v>973</v>
      </c>
      <c r="C571" s="294">
        <v>44392</v>
      </c>
      <c r="D571" s="314" t="s">
        <v>56</v>
      </c>
      <c r="E571" s="314" t="s">
        <v>758</v>
      </c>
      <c r="F571" s="314" t="s">
        <v>56</v>
      </c>
      <c r="G571" s="205" t="s">
        <v>69</v>
      </c>
      <c r="H571" s="205" t="s">
        <v>1078</v>
      </c>
      <c r="I571" s="410" t="s">
        <v>1016</v>
      </c>
      <c r="J571" s="410" t="s">
        <v>295</v>
      </c>
      <c r="K571" s="574"/>
    </row>
    <row r="572" spans="1:11" ht="14.25" hidden="1" customHeight="1">
      <c r="A572" s="295" t="s">
        <v>42</v>
      </c>
      <c r="B572" s="197" t="s">
        <v>973</v>
      </c>
      <c r="C572" s="294">
        <v>44392</v>
      </c>
      <c r="D572" s="314" t="s">
        <v>56</v>
      </c>
      <c r="E572" s="314" t="s">
        <v>758</v>
      </c>
      <c r="F572" s="314" t="s">
        <v>56</v>
      </c>
      <c r="G572" s="205" t="s">
        <v>69</v>
      </c>
      <c r="H572" s="205" t="s">
        <v>1079</v>
      </c>
      <c r="I572" s="410" t="s">
        <v>1018</v>
      </c>
      <c r="J572" s="410" t="s">
        <v>295</v>
      </c>
      <c r="K572" s="574"/>
    </row>
    <row r="573" spans="1:11" hidden="1">
      <c r="A573" s="295" t="s">
        <v>42</v>
      </c>
      <c r="B573" s="197" t="s">
        <v>973</v>
      </c>
      <c r="C573" s="294">
        <v>44392</v>
      </c>
      <c r="D573" s="314" t="s">
        <v>56</v>
      </c>
      <c r="E573" s="314" t="s">
        <v>758</v>
      </c>
      <c r="F573" s="314" t="s">
        <v>56</v>
      </c>
      <c r="G573" s="205" t="s">
        <v>69</v>
      </c>
      <c r="H573" s="205" t="s">
        <v>1080</v>
      </c>
      <c r="I573" s="410" t="s">
        <v>1020</v>
      </c>
      <c r="J573" s="410" t="s">
        <v>295</v>
      </c>
      <c r="K573" s="574"/>
    </row>
    <row r="574" spans="1:11" hidden="1">
      <c r="A574" s="295" t="s">
        <v>42</v>
      </c>
      <c r="B574" s="197" t="s">
        <v>973</v>
      </c>
      <c r="C574" s="294">
        <v>44392</v>
      </c>
      <c r="D574" s="314" t="s">
        <v>56</v>
      </c>
      <c r="E574" s="314" t="s">
        <v>758</v>
      </c>
      <c r="F574" s="314" t="s">
        <v>56</v>
      </c>
      <c r="G574" s="205" t="s">
        <v>69</v>
      </c>
      <c r="H574" s="205" t="s">
        <v>1081</v>
      </c>
      <c r="I574" s="410" t="s">
        <v>603</v>
      </c>
      <c r="J574" s="410" t="s">
        <v>295</v>
      </c>
      <c r="K574" s="574"/>
    </row>
    <row r="575" spans="1:11" hidden="1">
      <c r="A575" s="295" t="s">
        <v>42</v>
      </c>
      <c r="B575" s="197" t="s">
        <v>973</v>
      </c>
      <c r="C575" s="294">
        <v>44392</v>
      </c>
      <c r="D575" s="314" t="s">
        <v>56</v>
      </c>
      <c r="E575" s="314" t="s">
        <v>758</v>
      </c>
      <c r="F575" s="314" t="s">
        <v>56</v>
      </c>
      <c r="G575" s="205" t="s">
        <v>69</v>
      </c>
      <c r="H575" s="205" t="s">
        <v>1082</v>
      </c>
      <c r="I575" s="410" t="s">
        <v>589</v>
      </c>
      <c r="J575" s="410" t="s">
        <v>295</v>
      </c>
      <c r="K575" s="574"/>
    </row>
    <row r="576" spans="1:11" hidden="1">
      <c r="A576" s="295" t="s">
        <v>42</v>
      </c>
      <c r="B576" s="197" t="s">
        <v>973</v>
      </c>
      <c r="C576" s="294">
        <v>44392</v>
      </c>
      <c r="D576" s="314" t="s">
        <v>56</v>
      </c>
      <c r="E576" s="314" t="s">
        <v>758</v>
      </c>
      <c r="F576" s="314" t="s">
        <v>56</v>
      </c>
      <c r="G576" s="205" t="s">
        <v>69</v>
      </c>
      <c r="H576" s="205" t="s">
        <v>1083</v>
      </c>
      <c r="I576" s="410" t="s">
        <v>606</v>
      </c>
      <c r="J576" s="410" t="s">
        <v>295</v>
      </c>
      <c r="K576" s="574"/>
    </row>
    <row r="577" spans="1:11" hidden="1">
      <c r="A577" s="295" t="s">
        <v>42</v>
      </c>
      <c r="B577" s="197" t="s">
        <v>973</v>
      </c>
      <c r="C577" s="294">
        <v>44392</v>
      </c>
      <c r="D577" s="314" t="s">
        <v>56</v>
      </c>
      <c r="E577" s="314" t="s">
        <v>758</v>
      </c>
      <c r="F577" s="314" t="s">
        <v>56</v>
      </c>
      <c r="G577" s="205" t="s">
        <v>69</v>
      </c>
      <c r="H577" s="205" t="s">
        <v>1084</v>
      </c>
      <c r="I577" s="198" t="s">
        <v>1086</v>
      </c>
      <c r="J577" s="410" t="s">
        <v>295</v>
      </c>
      <c r="K577" s="574"/>
    </row>
    <row r="578" spans="1:11" hidden="1">
      <c r="A578" s="295" t="s">
        <v>42</v>
      </c>
      <c r="B578" s="197" t="s">
        <v>973</v>
      </c>
      <c r="C578" s="294">
        <v>44392</v>
      </c>
      <c r="D578" s="314" t="s">
        <v>56</v>
      </c>
      <c r="E578" s="314" t="s">
        <v>758</v>
      </c>
      <c r="F578" s="314" t="s">
        <v>56</v>
      </c>
      <c r="G578" s="205" t="s">
        <v>69</v>
      </c>
      <c r="H578" s="205" t="s">
        <v>1085</v>
      </c>
      <c r="I578" s="198" t="s">
        <v>1088</v>
      </c>
      <c r="J578" s="410" t="s">
        <v>295</v>
      </c>
      <c r="K578" s="574"/>
    </row>
    <row r="579" spans="1:11" ht="39.6" hidden="1">
      <c r="A579" s="295" t="s">
        <v>42</v>
      </c>
      <c r="B579" s="197" t="s">
        <v>973</v>
      </c>
      <c r="C579" s="294">
        <v>44392</v>
      </c>
      <c r="D579" s="314" t="s">
        <v>56</v>
      </c>
      <c r="E579" s="314" t="s">
        <v>758</v>
      </c>
      <c r="F579" s="314" t="s">
        <v>56</v>
      </c>
      <c r="G579" s="205" t="s">
        <v>69</v>
      </c>
      <c r="H579" s="205" t="s">
        <v>1087</v>
      </c>
      <c r="I579" s="198" t="s">
        <v>1090</v>
      </c>
      <c r="J579" s="410" t="s">
        <v>295</v>
      </c>
      <c r="K579" s="575"/>
    </row>
    <row r="580" spans="1:11" ht="66" hidden="1">
      <c r="A580" s="295" t="s">
        <v>42</v>
      </c>
      <c r="B580" s="197" t="s">
        <v>973</v>
      </c>
      <c r="C580" s="294">
        <v>44392</v>
      </c>
      <c r="D580" s="314" t="s">
        <v>56</v>
      </c>
      <c r="E580" s="314" t="s">
        <v>758</v>
      </c>
      <c r="F580" s="314" t="s">
        <v>56</v>
      </c>
      <c r="G580" s="205" t="s">
        <v>69</v>
      </c>
      <c r="H580" s="205" t="s">
        <v>1089</v>
      </c>
      <c r="I580" s="410" t="s">
        <v>1092</v>
      </c>
      <c r="J580" s="410" t="s">
        <v>1093</v>
      </c>
      <c r="K580" s="570" t="s">
        <v>1094</v>
      </c>
    </row>
    <row r="581" spans="1:11" ht="66" hidden="1">
      <c r="A581" s="295" t="s">
        <v>42</v>
      </c>
      <c r="B581" s="197" t="s">
        <v>973</v>
      </c>
      <c r="C581" s="294">
        <v>44392</v>
      </c>
      <c r="D581" s="314" t="s">
        <v>56</v>
      </c>
      <c r="E581" s="314" t="s">
        <v>758</v>
      </c>
      <c r="F581" s="314" t="s">
        <v>56</v>
      </c>
      <c r="G581" s="315" t="s">
        <v>69</v>
      </c>
      <c r="H581" s="315" t="s">
        <v>1091</v>
      </c>
      <c r="I581" s="410" t="s">
        <v>1092</v>
      </c>
      <c r="J581" s="410" t="s">
        <v>1096</v>
      </c>
      <c r="K581" s="570"/>
    </row>
    <row r="582" spans="1:11" ht="66" hidden="1">
      <c r="A582" s="295" t="s">
        <v>42</v>
      </c>
      <c r="B582" s="197" t="s">
        <v>973</v>
      </c>
      <c r="C582" s="294">
        <v>44392</v>
      </c>
      <c r="D582" s="314" t="s">
        <v>56</v>
      </c>
      <c r="E582" s="314" t="s">
        <v>758</v>
      </c>
      <c r="F582" s="314" t="s">
        <v>56</v>
      </c>
      <c r="G582" s="315" t="s">
        <v>69</v>
      </c>
      <c r="H582" s="315" t="s">
        <v>1095</v>
      </c>
      <c r="I582" s="410" t="s">
        <v>1092</v>
      </c>
      <c r="J582" s="410" t="s">
        <v>1098</v>
      </c>
      <c r="K582" s="570"/>
    </row>
    <row r="583" spans="1:11" ht="66" hidden="1">
      <c r="A583" s="295" t="s">
        <v>42</v>
      </c>
      <c r="B583" s="197" t="s">
        <v>973</v>
      </c>
      <c r="C583" s="294">
        <v>44392</v>
      </c>
      <c r="D583" s="314" t="s">
        <v>56</v>
      </c>
      <c r="E583" s="314" t="s">
        <v>758</v>
      </c>
      <c r="F583" s="314" t="s">
        <v>56</v>
      </c>
      <c r="G583" s="315" t="s">
        <v>69</v>
      </c>
      <c r="H583" s="315" t="s">
        <v>1097</v>
      </c>
      <c r="I583" s="410" t="s">
        <v>1092</v>
      </c>
      <c r="J583" s="410" t="s">
        <v>1100</v>
      </c>
      <c r="K583" s="570"/>
    </row>
    <row r="584" spans="1:11" ht="39.6" hidden="1">
      <c r="A584" s="295" t="s">
        <v>42</v>
      </c>
      <c r="B584" s="197" t="s">
        <v>973</v>
      </c>
      <c r="C584" s="294">
        <v>44392</v>
      </c>
      <c r="D584" s="314" t="s">
        <v>56</v>
      </c>
      <c r="E584" s="314" t="s">
        <v>758</v>
      </c>
      <c r="F584" s="314" t="s">
        <v>56</v>
      </c>
      <c r="G584" s="315" t="s">
        <v>69</v>
      </c>
      <c r="H584" s="315" t="s">
        <v>1099</v>
      </c>
      <c r="I584" s="410" t="s">
        <v>1102</v>
      </c>
      <c r="J584" s="410" t="s">
        <v>295</v>
      </c>
      <c r="K584" s="570"/>
    </row>
    <row r="585" spans="1:11" ht="26.4" hidden="1">
      <c r="A585" s="295" t="s">
        <v>42</v>
      </c>
      <c r="B585" s="197" t="s">
        <v>973</v>
      </c>
      <c r="C585" s="294">
        <v>44392</v>
      </c>
      <c r="D585" s="314" t="s">
        <v>56</v>
      </c>
      <c r="E585" s="314" t="s">
        <v>758</v>
      </c>
      <c r="F585" s="314" t="s">
        <v>56</v>
      </c>
      <c r="G585" s="315" t="s">
        <v>69</v>
      </c>
      <c r="H585" s="315" t="s">
        <v>1101</v>
      </c>
      <c r="I585" s="410" t="s">
        <v>1104</v>
      </c>
      <c r="J585" s="410" t="s">
        <v>295</v>
      </c>
      <c r="K585" s="570" t="s">
        <v>1105</v>
      </c>
    </row>
    <row r="586" spans="1:11" ht="92.4" hidden="1">
      <c r="A586" s="295" t="s">
        <v>42</v>
      </c>
      <c r="B586" s="197" t="s">
        <v>973</v>
      </c>
      <c r="C586" s="294">
        <v>44392</v>
      </c>
      <c r="D586" s="314" t="s">
        <v>56</v>
      </c>
      <c r="E586" s="314" t="s">
        <v>758</v>
      </c>
      <c r="F586" s="314" t="s">
        <v>56</v>
      </c>
      <c r="G586" s="315" t="s">
        <v>69</v>
      </c>
      <c r="H586" s="315" t="s">
        <v>1103</v>
      </c>
      <c r="I586" s="410" t="s">
        <v>1107</v>
      </c>
      <c r="J586" s="410" t="s">
        <v>295</v>
      </c>
      <c r="K586" s="570"/>
    </row>
    <row r="587" spans="1:11" hidden="1">
      <c r="A587" s="295" t="s">
        <v>42</v>
      </c>
      <c r="B587" s="197" t="s">
        <v>973</v>
      </c>
      <c r="C587" s="294">
        <v>44392</v>
      </c>
      <c r="D587" s="314" t="s">
        <v>56</v>
      </c>
      <c r="E587" s="314" t="s">
        <v>758</v>
      </c>
      <c r="F587" s="314" t="s">
        <v>56</v>
      </c>
      <c r="G587" s="315" t="s">
        <v>69</v>
      </c>
      <c r="H587" s="315" t="s">
        <v>1106</v>
      </c>
      <c r="I587" s="410" t="s">
        <v>1010</v>
      </c>
      <c r="J587" s="410" t="s">
        <v>295</v>
      </c>
      <c r="K587" s="570"/>
    </row>
    <row r="588" spans="1:11" hidden="1">
      <c r="A588" s="295" t="s">
        <v>42</v>
      </c>
      <c r="B588" s="197" t="s">
        <v>973</v>
      </c>
      <c r="C588" s="294">
        <v>44392</v>
      </c>
      <c r="D588" s="314" t="s">
        <v>56</v>
      </c>
      <c r="E588" s="314" t="s">
        <v>758</v>
      </c>
      <c r="F588" s="314" t="s">
        <v>56</v>
      </c>
      <c r="G588" s="315" t="s">
        <v>69</v>
      </c>
      <c r="H588" s="315" t="s">
        <v>1108</v>
      </c>
      <c r="I588" s="410" t="s">
        <v>1110</v>
      </c>
      <c r="J588" s="410" t="s">
        <v>295</v>
      </c>
      <c r="K588" s="570"/>
    </row>
    <row r="589" spans="1:11" hidden="1">
      <c r="A589" s="295" t="s">
        <v>42</v>
      </c>
      <c r="B589" s="197" t="s">
        <v>973</v>
      </c>
      <c r="C589" s="294">
        <v>44392</v>
      </c>
      <c r="D589" s="314" t="s">
        <v>56</v>
      </c>
      <c r="E589" s="314" t="s">
        <v>758</v>
      </c>
      <c r="F589" s="314" t="s">
        <v>56</v>
      </c>
      <c r="G589" s="315" t="s">
        <v>69</v>
      </c>
      <c r="H589" s="315" t="s">
        <v>1109</v>
      </c>
      <c r="I589" s="410" t="s">
        <v>581</v>
      </c>
      <c r="J589" s="410" t="s">
        <v>295</v>
      </c>
      <c r="K589" s="570"/>
    </row>
    <row r="590" spans="1:11" hidden="1">
      <c r="A590" s="295" t="s">
        <v>42</v>
      </c>
      <c r="B590" s="197" t="s">
        <v>973</v>
      </c>
      <c r="C590" s="294">
        <v>44392</v>
      </c>
      <c r="D590" s="314" t="s">
        <v>56</v>
      </c>
      <c r="E590" s="314" t="s">
        <v>758</v>
      </c>
      <c r="F590" s="314" t="s">
        <v>56</v>
      </c>
      <c r="G590" s="315" t="s">
        <v>69</v>
      </c>
      <c r="H590" s="315" t="s">
        <v>1111</v>
      </c>
      <c r="I590" s="410" t="s">
        <v>81</v>
      </c>
      <c r="J590" s="410" t="s">
        <v>295</v>
      </c>
      <c r="K590" s="570"/>
    </row>
    <row r="591" spans="1:11" ht="39.6" hidden="1">
      <c r="A591" s="295" t="s">
        <v>42</v>
      </c>
      <c r="B591" s="197" t="s">
        <v>973</v>
      </c>
      <c r="C591" s="294">
        <v>44392</v>
      </c>
      <c r="D591" s="314" t="s">
        <v>56</v>
      </c>
      <c r="E591" s="314" t="s">
        <v>758</v>
      </c>
      <c r="F591" s="314" t="s">
        <v>56</v>
      </c>
      <c r="G591" s="315" t="s">
        <v>69</v>
      </c>
      <c r="H591" s="315" t="s">
        <v>1112</v>
      </c>
      <c r="I591" s="410" t="s">
        <v>587</v>
      </c>
      <c r="J591" s="410" t="s">
        <v>669</v>
      </c>
      <c r="K591" s="570"/>
    </row>
    <row r="592" spans="1:11" hidden="1">
      <c r="A592" s="295" t="s">
        <v>42</v>
      </c>
      <c r="B592" s="197" t="s">
        <v>973</v>
      </c>
      <c r="C592" s="294">
        <v>44392</v>
      </c>
      <c r="D592" s="314" t="s">
        <v>56</v>
      </c>
      <c r="E592" s="314" t="s">
        <v>758</v>
      </c>
      <c r="F592" s="314" t="s">
        <v>56</v>
      </c>
      <c r="G592" s="315" t="s">
        <v>69</v>
      </c>
      <c r="H592" s="315" t="s">
        <v>1113</v>
      </c>
      <c r="I592" s="410" t="s">
        <v>1115</v>
      </c>
      <c r="J592" s="410" t="s">
        <v>295</v>
      </c>
      <c r="K592" s="570"/>
    </row>
    <row r="593" spans="1:11" hidden="1">
      <c r="A593" s="295" t="s">
        <v>42</v>
      </c>
      <c r="B593" s="197" t="s">
        <v>973</v>
      </c>
      <c r="C593" s="294">
        <v>44392</v>
      </c>
      <c r="D593" s="314" t="s">
        <v>56</v>
      </c>
      <c r="E593" s="314" t="s">
        <v>758</v>
      </c>
      <c r="F593" s="314" t="s">
        <v>56</v>
      </c>
      <c r="G593" s="315" t="s">
        <v>69</v>
      </c>
      <c r="H593" s="315" t="s">
        <v>1114</v>
      </c>
      <c r="I593" s="410" t="s">
        <v>589</v>
      </c>
      <c r="J593" s="410" t="s">
        <v>295</v>
      </c>
      <c r="K593" s="570"/>
    </row>
    <row r="594" spans="1:11" hidden="1">
      <c r="A594" s="295" t="s">
        <v>42</v>
      </c>
      <c r="B594" s="197" t="s">
        <v>973</v>
      </c>
      <c r="C594" s="294">
        <v>44392</v>
      </c>
      <c r="D594" s="314" t="s">
        <v>56</v>
      </c>
      <c r="E594" s="314" t="s">
        <v>758</v>
      </c>
      <c r="F594" s="314" t="s">
        <v>56</v>
      </c>
      <c r="G594" s="315" t="s">
        <v>69</v>
      </c>
      <c r="H594" s="315" t="s">
        <v>1116</v>
      </c>
      <c r="I594" s="410">
        <v>3.6</v>
      </c>
      <c r="J594" s="410" t="s">
        <v>295</v>
      </c>
      <c r="K594" s="570"/>
    </row>
    <row r="595" spans="1:11" hidden="1">
      <c r="A595" s="295" t="s">
        <v>42</v>
      </c>
      <c r="B595" s="197" t="s">
        <v>973</v>
      </c>
      <c r="C595" s="294">
        <v>44392</v>
      </c>
      <c r="D595" s="314" t="s">
        <v>56</v>
      </c>
      <c r="E595" s="314" t="s">
        <v>758</v>
      </c>
      <c r="F595" s="314" t="s">
        <v>56</v>
      </c>
      <c r="G595" s="315" t="s">
        <v>69</v>
      </c>
      <c r="H595" s="315" t="s">
        <v>1117</v>
      </c>
      <c r="I595" s="410" t="s">
        <v>1119</v>
      </c>
      <c r="J595" s="410" t="s">
        <v>295</v>
      </c>
      <c r="K595" s="570"/>
    </row>
    <row r="596" spans="1:11" hidden="1">
      <c r="A596" s="295" t="s">
        <v>42</v>
      </c>
      <c r="B596" s="197" t="s">
        <v>973</v>
      </c>
      <c r="C596" s="294">
        <v>44392</v>
      </c>
      <c r="D596" s="314" t="s">
        <v>56</v>
      </c>
      <c r="E596" s="314" t="s">
        <v>758</v>
      </c>
      <c r="F596" s="314" t="s">
        <v>56</v>
      </c>
      <c r="G596" s="315" t="s">
        <v>69</v>
      </c>
      <c r="H596" s="315" t="s">
        <v>1118</v>
      </c>
      <c r="I596" s="410" t="s">
        <v>1121</v>
      </c>
      <c r="J596" s="410" t="s">
        <v>295</v>
      </c>
      <c r="K596" s="570"/>
    </row>
    <row r="597" spans="1:11" hidden="1">
      <c r="A597" s="295" t="s">
        <v>42</v>
      </c>
      <c r="B597" s="197" t="s">
        <v>973</v>
      </c>
      <c r="C597" s="294">
        <v>44392</v>
      </c>
      <c r="D597" s="314" t="s">
        <v>56</v>
      </c>
      <c r="E597" s="314" t="s">
        <v>758</v>
      </c>
      <c r="F597" s="314" t="s">
        <v>56</v>
      </c>
      <c r="G597" s="315" t="s">
        <v>69</v>
      </c>
      <c r="H597" s="315" t="s">
        <v>1120</v>
      </c>
      <c r="I597" s="198" t="s">
        <v>1123</v>
      </c>
      <c r="J597" s="410" t="s">
        <v>295</v>
      </c>
      <c r="K597" s="570"/>
    </row>
    <row r="598" spans="1:11" hidden="1">
      <c r="A598" s="295" t="s">
        <v>42</v>
      </c>
      <c r="B598" s="197" t="s">
        <v>973</v>
      </c>
      <c r="C598" s="294">
        <v>44392</v>
      </c>
      <c r="D598" s="314" t="s">
        <v>56</v>
      </c>
      <c r="E598" s="314" t="s">
        <v>758</v>
      </c>
      <c r="F598" s="314" t="s">
        <v>56</v>
      </c>
      <c r="G598" s="315" t="s">
        <v>69</v>
      </c>
      <c r="H598" s="315" t="s">
        <v>1122</v>
      </c>
      <c r="I598" s="198" t="s">
        <v>1125</v>
      </c>
      <c r="J598" s="410" t="s">
        <v>1126</v>
      </c>
      <c r="K598" s="580" t="s">
        <v>1127</v>
      </c>
    </row>
    <row r="599" spans="1:11" hidden="1">
      <c r="A599" s="295" t="s">
        <v>42</v>
      </c>
      <c r="B599" s="197" t="s">
        <v>973</v>
      </c>
      <c r="C599" s="294">
        <v>44392</v>
      </c>
      <c r="D599" s="314" t="s">
        <v>56</v>
      </c>
      <c r="E599" s="314" t="s">
        <v>758</v>
      </c>
      <c r="F599" s="314" t="s">
        <v>56</v>
      </c>
      <c r="G599" s="315" t="s">
        <v>159</v>
      </c>
      <c r="H599" s="315" t="s">
        <v>1124</v>
      </c>
      <c r="I599" s="198" t="s">
        <v>1128</v>
      </c>
      <c r="J599" s="410" t="s">
        <v>295</v>
      </c>
      <c r="K599" s="580"/>
    </row>
    <row r="600" spans="1:11" hidden="1">
      <c r="A600" s="295" t="s">
        <v>42</v>
      </c>
      <c r="B600" s="197" t="s">
        <v>973</v>
      </c>
      <c r="C600" s="294">
        <v>44392</v>
      </c>
      <c r="D600" s="314" t="s">
        <v>56</v>
      </c>
      <c r="E600" s="314" t="s">
        <v>758</v>
      </c>
      <c r="F600" s="314" t="s">
        <v>56</v>
      </c>
      <c r="G600" s="315" t="s">
        <v>159</v>
      </c>
      <c r="H600" s="315" t="s">
        <v>692</v>
      </c>
      <c r="I600" s="410" t="s">
        <v>1129</v>
      </c>
      <c r="J600" s="410" t="s">
        <v>1130</v>
      </c>
      <c r="K600" s="580"/>
    </row>
    <row r="601" spans="1:11" ht="26.4" hidden="1">
      <c r="A601" s="295" t="s">
        <v>42</v>
      </c>
      <c r="B601" s="197" t="s">
        <v>973</v>
      </c>
      <c r="C601" s="294">
        <v>44392</v>
      </c>
      <c r="D601" s="314" t="s">
        <v>56</v>
      </c>
      <c r="E601" s="314" t="s">
        <v>758</v>
      </c>
      <c r="F601" s="314" t="s">
        <v>56</v>
      </c>
      <c r="G601" s="315" t="s">
        <v>159</v>
      </c>
      <c r="H601" s="315" t="s">
        <v>134</v>
      </c>
      <c r="I601" s="198" t="s">
        <v>1131</v>
      </c>
      <c r="J601" s="410" t="s">
        <v>1132</v>
      </c>
      <c r="K601" s="580"/>
    </row>
    <row r="602" spans="1:11" hidden="1">
      <c r="A602" s="295" t="s">
        <v>42</v>
      </c>
      <c r="B602" s="197" t="s">
        <v>973</v>
      </c>
      <c r="C602" s="294">
        <v>44392</v>
      </c>
      <c r="D602" s="314" t="s">
        <v>56</v>
      </c>
      <c r="E602" s="314" t="s">
        <v>758</v>
      </c>
      <c r="F602" s="314" t="s">
        <v>56</v>
      </c>
      <c r="G602" s="315" t="s">
        <v>159</v>
      </c>
      <c r="H602" s="315" t="s">
        <v>322</v>
      </c>
      <c r="I602" s="410" t="s">
        <v>759</v>
      </c>
      <c r="J602" s="410" t="s">
        <v>1133</v>
      </c>
      <c r="K602" s="580"/>
    </row>
    <row r="603" spans="1:11" hidden="1">
      <c r="A603" s="295" t="s">
        <v>42</v>
      </c>
      <c r="B603" s="197" t="s">
        <v>973</v>
      </c>
      <c r="C603" s="294">
        <v>44392</v>
      </c>
      <c r="D603" s="314" t="s">
        <v>56</v>
      </c>
      <c r="E603" s="314" t="s">
        <v>758</v>
      </c>
      <c r="F603" s="314" t="s">
        <v>56</v>
      </c>
      <c r="G603" s="315" t="s">
        <v>159</v>
      </c>
      <c r="H603" s="315" t="s">
        <v>713</v>
      </c>
      <c r="I603" s="410" t="s">
        <v>759</v>
      </c>
      <c r="J603" s="410" t="s">
        <v>1134</v>
      </c>
      <c r="K603" s="580"/>
    </row>
    <row r="604" spans="1:11" hidden="1">
      <c r="A604" s="295" t="s">
        <v>42</v>
      </c>
      <c r="B604" s="197" t="s">
        <v>973</v>
      </c>
      <c r="C604" s="294">
        <v>44392</v>
      </c>
      <c r="D604" s="314" t="s">
        <v>56</v>
      </c>
      <c r="E604" s="314" t="s">
        <v>758</v>
      </c>
      <c r="F604" s="314" t="s">
        <v>56</v>
      </c>
      <c r="G604" s="315" t="s">
        <v>159</v>
      </c>
      <c r="H604" s="315" t="s">
        <v>710</v>
      </c>
      <c r="I604" s="410" t="s">
        <v>998</v>
      </c>
      <c r="J604" s="410" t="s">
        <v>295</v>
      </c>
      <c r="K604" s="579" t="s">
        <v>1136</v>
      </c>
    </row>
    <row r="605" spans="1:11" hidden="1">
      <c r="A605" s="295" t="s">
        <v>42</v>
      </c>
      <c r="B605" s="197" t="s">
        <v>973</v>
      </c>
      <c r="C605" s="294">
        <v>44392</v>
      </c>
      <c r="D605" s="314" t="s">
        <v>56</v>
      </c>
      <c r="E605" s="314" t="s">
        <v>758</v>
      </c>
      <c r="F605" s="314" t="s">
        <v>56</v>
      </c>
      <c r="G605" s="315" t="s">
        <v>159</v>
      </c>
      <c r="H605" s="315" t="s">
        <v>1135</v>
      </c>
      <c r="I605" s="410" t="s">
        <v>1138</v>
      </c>
      <c r="J605" s="410"/>
      <c r="K605" s="579"/>
    </row>
    <row r="606" spans="1:11" hidden="1">
      <c r="A606" s="295" t="s">
        <v>42</v>
      </c>
      <c r="B606" s="197" t="s">
        <v>973</v>
      </c>
      <c r="C606" s="294">
        <v>44392</v>
      </c>
      <c r="D606" s="314" t="s">
        <v>56</v>
      </c>
      <c r="E606" s="314" t="s">
        <v>758</v>
      </c>
      <c r="F606" s="314" t="s">
        <v>56</v>
      </c>
      <c r="G606" s="315" t="s">
        <v>159</v>
      </c>
      <c r="H606" s="315" t="s">
        <v>1137</v>
      </c>
      <c r="I606" s="410" t="s">
        <v>1139</v>
      </c>
      <c r="J606" s="410"/>
      <c r="K606" s="579"/>
    </row>
    <row r="607" spans="1:11" hidden="1">
      <c r="A607" s="295" t="s">
        <v>42</v>
      </c>
      <c r="B607" s="197" t="s">
        <v>973</v>
      </c>
      <c r="C607" s="294">
        <v>44392</v>
      </c>
      <c r="D607" s="314" t="s">
        <v>56</v>
      </c>
      <c r="E607" s="314" t="s">
        <v>758</v>
      </c>
      <c r="F607" s="314" t="s">
        <v>56</v>
      </c>
      <c r="G607" s="315" t="s">
        <v>159</v>
      </c>
      <c r="H607" s="315" t="s">
        <v>326</v>
      </c>
      <c r="I607" s="198" t="s">
        <v>1140</v>
      </c>
      <c r="J607" s="410" t="s">
        <v>1141</v>
      </c>
      <c r="K607" s="579"/>
    </row>
    <row r="608" spans="1:11" hidden="1">
      <c r="A608" s="295" t="s">
        <v>42</v>
      </c>
      <c r="B608" s="197" t="s">
        <v>973</v>
      </c>
      <c r="C608" s="294">
        <v>44392</v>
      </c>
      <c r="D608" s="314" t="s">
        <v>56</v>
      </c>
      <c r="E608" s="314" t="s">
        <v>758</v>
      </c>
      <c r="F608" s="314" t="s">
        <v>56</v>
      </c>
      <c r="G608" s="315" t="s">
        <v>159</v>
      </c>
      <c r="H608" s="315" t="s">
        <v>328</v>
      </c>
      <c r="I608" s="410" t="s">
        <v>1143</v>
      </c>
      <c r="J608" s="410" t="s">
        <v>295</v>
      </c>
      <c r="K608" s="579"/>
    </row>
    <row r="609" spans="1:11" hidden="1">
      <c r="A609" s="295" t="s">
        <v>42</v>
      </c>
      <c r="B609" s="197" t="s">
        <v>973</v>
      </c>
      <c r="C609" s="294">
        <v>44392</v>
      </c>
      <c r="D609" s="314" t="s">
        <v>56</v>
      </c>
      <c r="E609" s="314" t="s">
        <v>758</v>
      </c>
      <c r="F609" s="314" t="s">
        <v>56</v>
      </c>
      <c r="G609" s="315" t="s">
        <v>159</v>
      </c>
      <c r="H609" s="315" t="s">
        <v>1142</v>
      </c>
      <c r="I609" s="198" t="s">
        <v>1145</v>
      </c>
      <c r="J609" s="410" t="s">
        <v>1146</v>
      </c>
      <c r="K609" s="579"/>
    </row>
    <row r="610" spans="1:11" hidden="1">
      <c r="A610" s="295" t="s">
        <v>42</v>
      </c>
      <c r="B610" s="197" t="s">
        <v>973</v>
      </c>
      <c r="C610" s="294">
        <v>44392</v>
      </c>
      <c r="D610" s="314" t="s">
        <v>56</v>
      </c>
      <c r="E610" s="314" t="s">
        <v>758</v>
      </c>
      <c r="F610" s="314" t="s">
        <v>56</v>
      </c>
      <c r="G610" s="315" t="s">
        <v>159</v>
      </c>
      <c r="H610" s="315" t="s">
        <v>1144</v>
      </c>
      <c r="I610" s="410" t="s">
        <v>1148</v>
      </c>
      <c r="J610" s="410" t="s">
        <v>1149</v>
      </c>
      <c r="K610" s="579"/>
    </row>
    <row r="611" spans="1:11" hidden="1">
      <c r="A611" s="295" t="s">
        <v>42</v>
      </c>
      <c r="B611" s="197" t="s">
        <v>973</v>
      </c>
      <c r="C611" s="294">
        <v>44392</v>
      </c>
      <c r="D611" s="314" t="s">
        <v>56</v>
      </c>
      <c r="E611" s="314" t="s">
        <v>758</v>
      </c>
      <c r="F611" s="314" t="s">
        <v>56</v>
      </c>
      <c r="G611" s="315" t="s">
        <v>159</v>
      </c>
      <c r="H611" s="315" t="s">
        <v>1147</v>
      </c>
      <c r="I611" s="410" t="s">
        <v>1150</v>
      </c>
      <c r="J611" s="410" t="s">
        <v>1151</v>
      </c>
      <c r="K611" s="579"/>
    </row>
    <row r="612" spans="1:11" hidden="1">
      <c r="A612" s="295" t="s">
        <v>42</v>
      </c>
      <c r="B612" s="197" t="s">
        <v>973</v>
      </c>
      <c r="C612" s="294">
        <v>44392</v>
      </c>
      <c r="D612" s="314" t="s">
        <v>56</v>
      </c>
      <c r="E612" s="314" t="s">
        <v>758</v>
      </c>
      <c r="F612" s="314" t="s">
        <v>56</v>
      </c>
      <c r="G612" s="315" t="s">
        <v>159</v>
      </c>
      <c r="H612" s="315" t="s">
        <v>330</v>
      </c>
      <c r="I612" s="410" t="s">
        <v>295</v>
      </c>
      <c r="J612" s="410" t="s">
        <v>1152</v>
      </c>
      <c r="K612" s="579"/>
    </row>
    <row r="613" spans="1:11" hidden="1">
      <c r="A613" s="295" t="s">
        <v>42</v>
      </c>
      <c r="B613" s="197" t="s">
        <v>973</v>
      </c>
      <c r="C613" s="294">
        <v>44392</v>
      </c>
      <c r="D613" s="314" t="s">
        <v>56</v>
      </c>
      <c r="E613" s="314" t="s">
        <v>758</v>
      </c>
      <c r="F613" s="314" t="s">
        <v>56</v>
      </c>
      <c r="G613" s="315" t="s">
        <v>159</v>
      </c>
      <c r="H613" s="315" t="s">
        <v>488</v>
      </c>
      <c r="I613" s="410" t="s">
        <v>295</v>
      </c>
      <c r="J613" s="410" t="s">
        <v>1153</v>
      </c>
      <c r="K613" s="579"/>
    </row>
    <row r="614" spans="1:11" ht="26.4" hidden="1">
      <c r="A614" s="295" t="s">
        <v>42</v>
      </c>
      <c r="B614" s="197" t="s">
        <v>973</v>
      </c>
      <c r="C614" s="294">
        <v>44392</v>
      </c>
      <c r="D614" s="314" t="s">
        <v>56</v>
      </c>
      <c r="E614" s="314" t="s">
        <v>758</v>
      </c>
      <c r="F614" s="314" t="s">
        <v>56</v>
      </c>
      <c r="G614" s="315" t="s">
        <v>159</v>
      </c>
      <c r="H614" s="315" t="s">
        <v>926</v>
      </c>
      <c r="I614" s="410" t="s">
        <v>1154</v>
      </c>
      <c r="J614" s="410" t="s">
        <v>295</v>
      </c>
      <c r="K614" s="570" t="s">
        <v>1155</v>
      </c>
    </row>
    <row r="615" spans="1:11" hidden="1">
      <c r="A615" s="295" t="s">
        <v>42</v>
      </c>
      <c r="B615" s="197" t="s">
        <v>973</v>
      </c>
      <c r="C615" s="294">
        <v>44392</v>
      </c>
      <c r="D615" s="314" t="s">
        <v>56</v>
      </c>
      <c r="E615" s="314" t="s">
        <v>758</v>
      </c>
      <c r="F615" s="314" t="s">
        <v>56</v>
      </c>
      <c r="G615" s="315" t="s">
        <v>159</v>
      </c>
      <c r="H615" s="315" t="s">
        <v>894</v>
      </c>
      <c r="I615" s="410" t="s">
        <v>1157</v>
      </c>
      <c r="J615" s="410" t="s">
        <v>295</v>
      </c>
      <c r="K615" s="570"/>
    </row>
    <row r="616" spans="1:11" hidden="1">
      <c r="A616" s="295" t="s">
        <v>42</v>
      </c>
      <c r="B616" s="197" t="s">
        <v>973</v>
      </c>
      <c r="C616" s="294">
        <v>44392</v>
      </c>
      <c r="D616" s="314" t="s">
        <v>56</v>
      </c>
      <c r="E616" s="314" t="s">
        <v>758</v>
      </c>
      <c r="F616" s="314" t="s">
        <v>56</v>
      </c>
      <c r="G616" s="315" t="s">
        <v>159</v>
      </c>
      <c r="H616" s="315" t="s">
        <v>1156</v>
      </c>
      <c r="I616" s="410" t="s">
        <v>1159</v>
      </c>
      <c r="J616" s="410" t="s">
        <v>295</v>
      </c>
      <c r="K616" s="570"/>
    </row>
    <row r="617" spans="1:11" hidden="1">
      <c r="A617" s="295" t="s">
        <v>42</v>
      </c>
      <c r="B617" s="197" t="s">
        <v>973</v>
      </c>
      <c r="C617" s="294">
        <v>44392</v>
      </c>
      <c r="D617" s="314" t="s">
        <v>56</v>
      </c>
      <c r="E617" s="314" t="s">
        <v>758</v>
      </c>
      <c r="F617" s="314" t="s">
        <v>56</v>
      </c>
      <c r="G617" s="315" t="s">
        <v>159</v>
      </c>
      <c r="H617" s="315" t="s">
        <v>1158</v>
      </c>
      <c r="I617" s="410" t="s">
        <v>1161</v>
      </c>
      <c r="J617" s="410" t="s">
        <v>295</v>
      </c>
      <c r="K617" s="570"/>
    </row>
    <row r="618" spans="1:11" hidden="1">
      <c r="A618" s="295" t="s">
        <v>42</v>
      </c>
      <c r="B618" s="197" t="s">
        <v>973</v>
      </c>
      <c r="C618" s="294">
        <v>44392</v>
      </c>
      <c r="D618" s="314" t="s">
        <v>56</v>
      </c>
      <c r="E618" s="314" t="s">
        <v>758</v>
      </c>
      <c r="F618" s="314" t="s">
        <v>56</v>
      </c>
      <c r="G618" s="315" t="s">
        <v>159</v>
      </c>
      <c r="H618" s="315" t="s">
        <v>1160</v>
      </c>
      <c r="I618" s="410" t="s">
        <v>1163</v>
      </c>
      <c r="J618" s="410" t="s">
        <v>295</v>
      </c>
      <c r="K618" s="570"/>
    </row>
    <row r="619" spans="1:11" hidden="1">
      <c r="A619" s="295" t="s">
        <v>42</v>
      </c>
      <c r="B619" s="197" t="s">
        <v>973</v>
      </c>
      <c r="C619" s="294">
        <v>44392</v>
      </c>
      <c r="D619" s="314" t="s">
        <v>56</v>
      </c>
      <c r="E619" s="314" t="s">
        <v>758</v>
      </c>
      <c r="F619" s="314" t="s">
        <v>56</v>
      </c>
      <c r="G619" s="315" t="s">
        <v>159</v>
      </c>
      <c r="H619" s="315" t="s">
        <v>1162</v>
      </c>
      <c r="I619" s="410" t="s">
        <v>1165</v>
      </c>
      <c r="J619" s="410" t="s">
        <v>295</v>
      </c>
      <c r="K619" s="570"/>
    </row>
    <row r="620" spans="1:11" hidden="1">
      <c r="A620" s="295" t="s">
        <v>42</v>
      </c>
      <c r="B620" s="197" t="s">
        <v>973</v>
      </c>
      <c r="C620" s="294">
        <v>44392</v>
      </c>
      <c r="D620" s="314" t="s">
        <v>56</v>
      </c>
      <c r="E620" s="314" t="s">
        <v>758</v>
      </c>
      <c r="F620" s="314" t="s">
        <v>56</v>
      </c>
      <c r="G620" s="315" t="s">
        <v>159</v>
      </c>
      <c r="H620" s="315" t="s">
        <v>1164</v>
      </c>
      <c r="I620" s="410" t="s">
        <v>1167</v>
      </c>
      <c r="J620" s="410" t="s">
        <v>295</v>
      </c>
      <c r="K620" s="570"/>
    </row>
    <row r="621" spans="1:11" hidden="1">
      <c r="A621" s="295" t="s">
        <v>42</v>
      </c>
      <c r="B621" s="197" t="s">
        <v>973</v>
      </c>
      <c r="C621" s="294">
        <v>44392</v>
      </c>
      <c r="D621" s="314" t="s">
        <v>56</v>
      </c>
      <c r="E621" s="314" t="s">
        <v>758</v>
      </c>
      <c r="F621" s="314" t="s">
        <v>56</v>
      </c>
      <c r="G621" s="315" t="s">
        <v>159</v>
      </c>
      <c r="H621" s="315" t="s">
        <v>1166</v>
      </c>
      <c r="I621" s="410" t="s">
        <v>1169</v>
      </c>
      <c r="J621" s="410" t="s">
        <v>295</v>
      </c>
      <c r="K621" s="570"/>
    </row>
    <row r="622" spans="1:11" hidden="1">
      <c r="A622" s="295" t="s">
        <v>42</v>
      </c>
      <c r="B622" s="197" t="s">
        <v>973</v>
      </c>
      <c r="C622" s="294">
        <v>44392</v>
      </c>
      <c r="D622" s="314" t="s">
        <v>56</v>
      </c>
      <c r="E622" s="314" t="s">
        <v>758</v>
      </c>
      <c r="F622" s="314" t="s">
        <v>56</v>
      </c>
      <c r="G622" s="315" t="s">
        <v>159</v>
      </c>
      <c r="H622" s="315" t="s">
        <v>1168</v>
      </c>
      <c r="I622" s="410" t="s">
        <v>1171</v>
      </c>
      <c r="J622" s="410" t="s">
        <v>295</v>
      </c>
      <c r="K622" s="570"/>
    </row>
    <row r="623" spans="1:11" hidden="1">
      <c r="A623" s="295" t="s">
        <v>42</v>
      </c>
      <c r="B623" s="197" t="s">
        <v>973</v>
      </c>
      <c r="C623" s="294">
        <v>44392</v>
      </c>
      <c r="D623" s="314" t="s">
        <v>56</v>
      </c>
      <c r="E623" s="314" t="s">
        <v>758</v>
      </c>
      <c r="F623" s="314" t="s">
        <v>56</v>
      </c>
      <c r="G623" s="315" t="s">
        <v>159</v>
      </c>
      <c r="H623" s="315" t="s">
        <v>1170</v>
      </c>
      <c r="I623" s="410" t="s">
        <v>1173</v>
      </c>
      <c r="J623" s="410" t="s">
        <v>295</v>
      </c>
      <c r="K623" s="570"/>
    </row>
    <row r="624" spans="1:11" hidden="1">
      <c r="A624" s="295" t="s">
        <v>42</v>
      </c>
      <c r="B624" s="197" t="s">
        <v>973</v>
      </c>
      <c r="C624" s="294">
        <v>44392</v>
      </c>
      <c r="D624" s="314" t="s">
        <v>56</v>
      </c>
      <c r="E624" s="314" t="s">
        <v>758</v>
      </c>
      <c r="F624" s="314" t="s">
        <v>56</v>
      </c>
      <c r="G624" s="315" t="s">
        <v>159</v>
      </c>
      <c r="H624" s="315" t="s">
        <v>1172</v>
      </c>
      <c r="I624" s="410" t="s">
        <v>1175</v>
      </c>
      <c r="J624" s="410" t="s">
        <v>295</v>
      </c>
      <c r="K624" s="570"/>
    </row>
    <row r="625" spans="1:11" hidden="1">
      <c r="A625" s="295" t="s">
        <v>42</v>
      </c>
      <c r="B625" s="197" t="s">
        <v>973</v>
      </c>
      <c r="C625" s="294">
        <v>44392</v>
      </c>
      <c r="D625" s="314" t="s">
        <v>56</v>
      </c>
      <c r="E625" s="314" t="s">
        <v>758</v>
      </c>
      <c r="F625" s="314" t="s">
        <v>56</v>
      </c>
      <c r="G625" s="315" t="s">
        <v>159</v>
      </c>
      <c r="H625" s="315" t="s">
        <v>1174</v>
      </c>
      <c r="I625" s="410" t="s">
        <v>1177</v>
      </c>
      <c r="J625" s="410" t="s">
        <v>295</v>
      </c>
      <c r="K625" s="570"/>
    </row>
    <row r="626" spans="1:11" hidden="1">
      <c r="A626" s="295" t="s">
        <v>42</v>
      </c>
      <c r="B626" s="197" t="s">
        <v>973</v>
      </c>
      <c r="C626" s="294">
        <v>44392</v>
      </c>
      <c r="D626" s="314" t="s">
        <v>56</v>
      </c>
      <c r="E626" s="314" t="s">
        <v>758</v>
      </c>
      <c r="F626" s="314" t="s">
        <v>56</v>
      </c>
      <c r="G626" s="315" t="s">
        <v>159</v>
      </c>
      <c r="H626" s="315" t="s">
        <v>1176</v>
      </c>
      <c r="I626" s="410" t="s">
        <v>1179</v>
      </c>
      <c r="J626" s="410" t="s">
        <v>295</v>
      </c>
      <c r="K626" s="570"/>
    </row>
    <row r="627" spans="1:11" hidden="1">
      <c r="A627" s="295" t="s">
        <v>42</v>
      </c>
      <c r="B627" s="197" t="s">
        <v>973</v>
      </c>
      <c r="C627" s="294">
        <v>44392</v>
      </c>
      <c r="D627" s="314" t="s">
        <v>56</v>
      </c>
      <c r="E627" s="314" t="s">
        <v>758</v>
      </c>
      <c r="F627" s="314" t="s">
        <v>56</v>
      </c>
      <c r="G627" s="315" t="s">
        <v>159</v>
      </c>
      <c r="H627" s="315" t="s">
        <v>1178</v>
      </c>
      <c r="I627" s="410" t="s">
        <v>1181</v>
      </c>
      <c r="J627" s="410" t="s">
        <v>295</v>
      </c>
      <c r="K627" s="570"/>
    </row>
    <row r="628" spans="1:11" hidden="1">
      <c r="A628" s="295" t="s">
        <v>42</v>
      </c>
      <c r="B628" s="197" t="s">
        <v>973</v>
      </c>
      <c r="C628" s="294">
        <v>44392</v>
      </c>
      <c r="D628" s="314" t="s">
        <v>56</v>
      </c>
      <c r="E628" s="314" t="s">
        <v>758</v>
      </c>
      <c r="F628" s="314" t="s">
        <v>56</v>
      </c>
      <c r="G628" s="315" t="s">
        <v>159</v>
      </c>
      <c r="H628" s="315" t="s">
        <v>1180</v>
      </c>
      <c r="I628" s="410" t="s">
        <v>1182</v>
      </c>
      <c r="J628" s="410" t="s">
        <v>1183</v>
      </c>
      <c r="K628" s="579" t="s">
        <v>1184</v>
      </c>
    </row>
    <row r="629" spans="1:11" hidden="1">
      <c r="A629" s="295" t="s">
        <v>42</v>
      </c>
      <c r="B629" s="197" t="s">
        <v>973</v>
      </c>
      <c r="C629" s="294">
        <v>44392</v>
      </c>
      <c r="D629" s="314" t="s">
        <v>56</v>
      </c>
      <c r="E629" s="314" t="s">
        <v>758</v>
      </c>
      <c r="F629" s="314" t="s">
        <v>56</v>
      </c>
      <c r="G629" s="315" t="s">
        <v>159</v>
      </c>
      <c r="H629" s="315" t="s">
        <v>733</v>
      </c>
      <c r="I629" s="410" t="s">
        <v>1185</v>
      </c>
      <c r="J629" s="410" t="s">
        <v>1186</v>
      </c>
      <c r="K629" s="579"/>
    </row>
    <row r="630" spans="1:11" ht="26.4" hidden="1">
      <c r="A630" s="295" t="s">
        <v>42</v>
      </c>
      <c r="B630" s="197" t="s">
        <v>973</v>
      </c>
      <c r="C630" s="294">
        <v>44392</v>
      </c>
      <c r="D630" s="314" t="s">
        <v>56</v>
      </c>
      <c r="E630" s="314" t="s">
        <v>758</v>
      </c>
      <c r="F630" s="314" t="s">
        <v>56</v>
      </c>
      <c r="G630" s="315" t="s">
        <v>159</v>
      </c>
      <c r="H630" s="315" t="s">
        <v>723</v>
      </c>
      <c r="I630" s="410" t="s">
        <v>1188</v>
      </c>
      <c r="J630" s="410" t="s">
        <v>295</v>
      </c>
      <c r="K630" s="579"/>
    </row>
    <row r="631" spans="1:11" hidden="1">
      <c r="A631" s="295" t="s">
        <v>42</v>
      </c>
      <c r="B631" s="197" t="s">
        <v>973</v>
      </c>
      <c r="C631" s="294">
        <v>44392</v>
      </c>
      <c r="D631" s="314" t="s">
        <v>56</v>
      </c>
      <c r="E631" s="314" t="s">
        <v>758</v>
      </c>
      <c r="F631" s="314" t="s">
        <v>56</v>
      </c>
      <c r="G631" s="315" t="s">
        <v>159</v>
      </c>
      <c r="H631" s="315" t="s">
        <v>1187</v>
      </c>
      <c r="I631" s="198" t="s">
        <v>1190</v>
      </c>
      <c r="J631" s="410" t="s">
        <v>295</v>
      </c>
      <c r="K631" s="579"/>
    </row>
    <row r="632" spans="1:11" hidden="1">
      <c r="A632" s="295" t="s">
        <v>42</v>
      </c>
      <c r="B632" s="197" t="s">
        <v>973</v>
      </c>
      <c r="C632" s="294">
        <v>44392</v>
      </c>
      <c r="D632" s="314" t="s">
        <v>56</v>
      </c>
      <c r="E632" s="314" t="s">
        <v>758</v>
      </c>
      <c r="F632" s="314" t="s">
        <v>56</v>
      </c>
      <c r="G632" s="315" t="s">
        <v>159</v>
      </c>
      <c r="H632" s="315" t="s">
        <v>1189</v>
      </c>
      <c r="I632" s="410" t="s">
        <v>1186</v>
      </c>
      <c r="J632" s="410" t="s">
        <v>295</v>
      </c>
      <c r="K632" s="579"/>
    </row>
    <row r="633" spans="1:11" hidden="1">
      <c r="A633" s="295" t="s">
        <v>42</v>
      </c>
      <c r="B633" s="197" t="s">
        <v>973</v>
      </c>
      <c r="C633" s="294">
        <v>44392</v>
      </c>
      <c r="D633" s="314" t="s">
        <v>56</v>
      </c>
      <c r="E633" s="314" t="s">
        <v>758</v>
      </c>
      <c r="F633" s="314" t="s">
        <v>56</v>
      </c>
      <c r="G633" s="315" t="s">
        <v>159</v>
      </c>
      <c r="H633" s="315" t="s">
        <v>1191</v>
      </c>
      <c r="I633" s="410" t="s">
        <v>1193</v>
      </c>
      <c r="J633" s="410" t="s">
        <v>295</v>
      </c>
      <c r="K633" s="579"/>
    </row>
    <row r="634" spans="1:11" hidden="1">
      <c r="A634" s="295" t="s">
        <v>42</v>
      </c>
      <c r="B634" s="197" t="s">
        <v>973</v>
      </c>
      <c r="C634" s="294">
        <v>44392</v>
      </c>
      <c r="D634" s="314" t="s">
        <v>56</v>
      </c>
      <c r="E634" s="314" t="s">
        <v>758</v>
      </c>
      <c r="F634" s="314" t="s">
        <v>56</v>
      </c>
      <c r="G634" s="315" t="s">
        <v>159</v>
      </c>
      <c r="H634" s="315" t="s">
        <v>1192</v>
      </c>
      <c r="I634" s="410" t="s">
        <v>1194</v>
      </c>
      <c r="J634" s="410" t="s">
        <v>295</v>
      </c>
      <c r="K634" s="579"/>
    </row>
    <row r="635" spans="1:11" ht="26.4" hidden="1">
      <c r="A635" s="295" t="s">
        <v>42</v>
      </c>
      <c r="B635" s="197" t="s">
        <v>973</v>
      </c>
      <c r="C635" s="294">
        <v>44392</v>
      </c>
      <c r="D635" s="314" t="s">
        <v>56</v>
      </c>
      <c r="E635" s="314" t="s">
        <v>758</v>
      </c>
      <c r="F635" s="314" t="s">
        <v>56</v>
      </c>
      <c r="G635" s="315" t="s">
        <v>159</v>
      </c>
      <c r="H635" s="315" t="s">
        <v>735</v>
      </c>
      <c r="I635" s="198" t="s">
        <v>1196</v>
      </c>
      <c r="J635" s="410" t="s">
        <v>1197</v>
      </c>
      <c r="K635" s="579"/>
    </row>
    <row r="636" spans="1:11" hidden="1">
      <c r="A636" s="295" t="s">
        <v>42</v>
      </c>
      <c r="B636" s="197" t="s">
        <v>973</v>
      </c>
      <c r="C636" s="294">
        <v>44392</v>
      </c>
      <c r="D636" s="314" t="s">
        <v>56</v>
      </c>
      <c r="E636" s="314" t="s">
        <v>758</v>
      </c>
      <c r="F636" s="314" t="s">
        <v>56</v>
      </c>
      <c r="G636" s="315" t="s">
        <v>159</v>
      </c>
      <c r="H636" s="315" t="s">
        <v>1195</v>
      </c>
      <c r="I636" s="410" t="s">
        <v>1199</v>
      </c>
      <c r="J636" s="410" t="s">
        <v>295</v>
      </c>
      <c r="K636" s="579"/>
    </row>
    <row r="637" spans="1:11" hidden="1">
      <c r="A637" s="295" t="s">
        <v>42</v>
      </c>
      <c r="B637" s="197" t="s">
        <v>973</v>
      </c>
      <c r="C637" s="294">
        <v>44392</v>
      </c>
      <c r="D637" s="314" t="s">
        <v>56</v>
      </c>
      <c r="E637" s="314" t="s">
        <v>758</v>
      </c>
      <c r="F637" s="314" t="s">
        <v>56</v>
      </c>
      <c r="G637" s="315" t="s">
        <v>159</v>
      </c>
      <c r="H637" s="315" t="s">
        <v>1198</v>
      </c>
      <c r="I637" s="198" t="s">
        <v>1201</v>
      </c>
      <c r="J637" s="410" t="s">
        <v>1202</v>
      </c>
      <c r="K637" s="579"/>
    </row>
    <row r="638" spans="1:11" hidden="1">
      <c r="A638" s="295" t="s">
        <v>42</v>
      </c>
      <c r="B638" s="197" t="s">
        <v>973</v>
      </c>
      <c r="C638" s="294">
        <v>44392</v>
      </c>
      <c r="D638" s="314" t="s">
        <v>56</v>
      </c>
      <c r="E638" s="314" t="s">
        <v>758</v>
      </c>
      <c r="F638" s="314" t="s">
        <v>56</v>
      </c>
      <c r="G638" s="315" t="s">
        <v>159</v>
      </c>
      <c r="H638" s="315" t="s">
        <v>1200</v>
      </c>
      <c r="I638" s="410" t="s">
        <v>1205</v>
      </c>
      <c r="J638" s="410"/>
      <c r="K638" s="579" t="s">
        <v>1206</v>
      </c>
    </row>
    <row r="639" spans="1:11" hidden="1">
      <c r="A639" s="295" t="s">
        <v>42</v>
      </c>
      <c r="B639" s="197" t="s">
        <v>973</v>
      </c>
      <c r="C639" s="294">
        <v>44392</v>
      </c>
      <c r="D639" s="314" t="s">
        <v>56</v>
      </c>
      <c r="E639" s="314" t="s">
        <v>758</v>
      </c>
      <c r="F639" s="314" t="s">
        <v>56</v>
      </c>
      <c r="G639" s="200" t="s">
        <v>1203</v>
      </c>
      <c r="H639" s="200" t="s">
        <v>1204</v>
      </c>
      <c r="I639" s="410" t="s">
        <v>1208</v>
      </c>
      <c r="J639" s="410" t="s">
        <v>295</v>
      </c>
      <c r="K639" s="579"/>
    </row>
    <row r="640" spans="1:11" hidden="1">
      <c r="A640" s="295" t="s">
        <v>42</v>
      </c>
      <c r="B640" s="197" t="s">
        <v>973</v>
      </c>
      <c r="C640" s="294">
        <v>44392</v>
      </c>
      <c r="D640" s="314" t="s">
        <v>56</v>
      </c>
      <c r="E640" s="314" t="s">
        <v>758</v>
      </c>
      <c r="F640" s="314" t="s">
        <v>56</v>
      </c>
      <c r="G640" s="200" t="s">
        <v>1203</v>
      </c>
      <c r="H640" s="200" t="s">
        <v>1207</v>
      </c>
      <c r="I640" s="410" t="s">
        <v>1210</v>
      </c>
      <c r="J640" s="410" t="s">
        <v>295</v>
      </c>
      <c r="K640" s="579"/>
    </row>
    <row r="641" spans="1:11" hidden="1">
      <c r="A641" s="295" t="s">
        <v>42</v>
      </c>
      <c r="B641" s="197" t="s">
        <v>973</v>
      </c>
      <c r="C641" s="294">
        <v>44392</v>
      </c>
      <c r="D641" s="314" t="s">
        <v>56</v>
      </c>
      <c r="E641" s="314" t="s">
        <v>758</v>
      </c>
      <c r="F641" s="314" t="s">
        <v>56</v>
      </c>
      <c r="G641" s="200" t="s">
        <v>1203</v>
      </c>
      <c r="H641" s="200" t="s">
        <v>1209</v>
      </c>
      <c r="I641" s="410" t="s">
        <v>1010</v>
      </c>
      <c r="J641" s="410" t="s">
        <v>295</v>
      </c>
      <c r="K641" s="579"/>
    </row>
    <row r="642" spans="1:11" hidden="1">
      <c r="A642" s="295" t="s">
        <v>42</v>
      </c>
      <c r="B642" s="197" t="s">
        <v>973</v>
      </c>
      <c r="C642" s="294">
        <v>44392</v>
      </c>
      <c r="D642" s="314" t="s">
        <v>56</v>
      </c>
      <c r="E642" s="314" t="s">
        <v>758</v>
      </c>
      <c r="F642" s="314" t="s">
        <v>56</v>
      </c>
      <c r="G642" s="200" t="s">
        <v>1203</v>
      </c>
      <c r="H642" s="200" t="s">
        <v>1211</v>
      </c>
      <c r="I642" s="410" t="s">
        <v>1213</v>
      </c>
      <c r="J642" s="410" t="s">
        <v>295</v>
      </c>
      <c r="K642" s="579"/>
    </row>
    <row r="643" spans="1:11" hidden="1">
      <c r="A643" s="295" t="s">
        <v>42</v>
      </c>
      <c r="B643" s="197" t="s">
        <v>973</v>
      </c>
      <c r="C643" s="294">
        <v>44392</v>
      </c>
      <c r="D643" s="314" t="s">
        <v>56</v>
      </c>
      <c r="E643" s="314" t="s">
        <v>758</v>
      </c>
      <c r="F643" s="314" t="s">
        <v>56</v>
      </c>
      <c r="G643" s="200" t="s">
        <v>1203</v>
      </c>
      <c r="H643" s="200" t="s">
        <v>1212</v>
      </c>
      <c r="I643" s="410" t="s">
        <v>1215</v>
      </c>
      <c r="J643" s="410" t="s">
        <v>295</v>
      </c>
      <c r="K643" s="579"/>
    </row>
    <row r="644" spans="1:11" hidden="1">
      <c r="A644" s="295" t="s">
        <v>42</v>
      </c>
      <c r="B644" s="197" t="s">
        <v>973</v>
      </c>
      <c r="C644" s="294">
        <v>44392</v>
      </c>
      <c r="D644" s="314" t="s">
        <v>56</v>
      </c>
      <c r="E644" s="314" t="s">
        <v>758</v>
      </c>
      <c r="F644" s="314" t="s">
        <v>56</v>
      </c>
      <c r="G644" s="200" t="s">
        <v>1203</v>
      </c>
      <c r="H644" s="200" t="s">
        <v>1214</v>
      </c>
      <c r="I644" s="410" t="s">
        <v>1217</v>
      </c>
      <c r="J644" s="410" t="s">
        <v>295</v>
      </c>
      <c r="K644" s="579"/>
    </row>
    <row r="645" spans="1:11" hidden="1">
      <c r="A645" s="295" t="s">
        <v>42</v>
      </c>
      <c r="B645" s="197" t="s">
        <v>973</v>
      </c>
      <c r="C645" s="294">
        <v>44392</v>
      </c>
      <c r="D645" s="314" t="s">
        <v>56</v>
      </c>
      <c r="E645" s="314" t="s">
        <v>758</v>
      </c>
      <c r="F645" s="314" t="s">
        <v>56</v>
      </c>
      <c r="G645" s="200" t="s">
        <v>1203</v>
      </c>
      <c r="H645" s="200" t="s">
        <v>1216</v>
      </c>
      <c r="I645" s="410" t="s">
        <v>92</v>
      </c>
      <c r="J645" s="410" t="s">
        <v>295</v>
      </c>
      <c r="K645" s="579"/>
    </row>
    <row r="646" spans="1:11" hidden="1">
      <c r="A646" s="295" t="s">
        <v>42</v>
      </c>
      <c r="B646" s="197" t="s">
        <v>973</v>
      </c>
      <c r="C646" s="294">
        <v>44392</v>
      </c>
      <c r="D646" s="314" t="s">
        <v>56</v>
      </c>
      <c r="E646" s="314" t="s">
        <v>758</v>
      </c>
      <c r="F646" s="314" t="s">
        <v>56</v>
      </c>
      <c r="G646" s="200" t="s">
        <v>1203</v>
      </c>
      <c r="H646" s="200" t="s">
        <v>1218</v>
      </c>
      <c r="I646" s="410" t="s">
        <v>81</v>
      </c>
      <c r="J646" s="410" t="s">
        <v>295</v>
      </c>
      <c r="K646" s="579"/>
    </row>
    <row r="647" spans="1:11" hidden="1">
      <c r="A647" s="295" t="s">
        <v>42</v>
      </c>
      <c r="B647" s="197" t="s">
        <v>973</v>
      </c>
      <c r="C647" s="294">
        <v>44392</v>
      </c>
      <c r="D647" s="314" t="s">
        <v>56</v>
      </c>
      <c r="E647" s="314" t="s">
        <v>758</v>
      </c>
      <c r="F647" s="314" t="s">
        <v>56</v>
      </c>
      <c r="G647" s="200" t="s">
        <v>1203</v>
      </c>
      <c r="H647" s="200" t="s">
        <v>1219</v>
      </c>
      <c r="I647" s="410" t="s">
        <v>1221</v>
      </c>
      <c r="J647" s="410" t="s">
        <v>295</v>
      </c>
      <c r="K647" s="579"/>
    </row>
    <row r="648" spans="1:11" hidden="1">
      <c r="A648" s="295" t="s">
        <v>42</v>
      </c>
      <c r="B648" s="197" t="s">
        <v>973</v>
      </c>
      <c r="C648" s="294">
        <v>44392</v>
      </c>
      <c r="D648" s="314" t="s">
        <v>56</v>
      </c>
      <c r="E648" s="314" t="s">
        <v>758</v>
      </c>
      <c r="F648" s="314" t="s">
        <v>56</v>
      </c>
      <c r="G648" s="200" t="s">
        <v>1203</v>
      </c>
      <c r="H648" s="200" t="s">
        <v>1220</v>
      </c>
      <c r="I648" s="410" t="s">
        <v>92</v>
      </c>
      <c r="J648" s="410" t="s">
        <v>295</v>
      </c>
      <c r="K648" s="579"/>
    </row>
    <row r="649" spans="1:11" hidden="1">
      <c r="A649" s="295" t="s">
        <v>42</v>
      </c>
      <c r="B649" s="197" t="s">
        <v>973</v>
      </c>
      <c r="C649" s="294">
        <v>44392</v>
      </c>
      <c r="D649" s="314" t="s">
        <v>56</v>
      </c>
      <c r="E649" s="314" t="s">
        <v>758</v>
      </c>
      <c r="F649" s="314" t="s">
        <v>56</v>
      </c>
      <c r="G649" s="200" t="s">
        <v>1203</v>
      </c>
      <c r="H649" s="200" t="s">
        <v>1222</v>
      </c>
      <c r="I649" s="410" t="s">
        <v>81</v>
      </c>
      <c r="J649" s="410" t="s">
        <v>295</v>
      </c>
      <c r="K649" s="579"/>
    </row>
    <row r="650" spans="1:11" hidden="1">
      <c r="A650" s="295" t="s">
        <v>42</v>
      </c>
      <c r="B650" s="197" t="s">
        <v>973</v>
      </c>
      <c r="C650" s="294">
        <v>44392</v>
      </c>
      <c r="D650" s="314" t="s">
        <v>56</v>
      </c>
      <c r="E650" s="314" t="s">
        <v>758</v>
      </c>
      <c r="F650" s="314" t="s">
        <v>56</v>
      </c>
      <c r="G650" s="200" t="s">
        <v>1203</v>
      </c>
      <c r="H650" s="200" t="s">
        <v>1223</v>
      </c>
      <c r="I650" s="410" t="s">
        <v>1221</v>
      </c>
      <c r="J650" s="410" t="s">
        <v>295</v>
      </c>
      <c r="K650" s="579"/>
    </row>
    <row r="651" spans="1:11" hidden="1">
      <c r="A651" s="295" t="s">
        <v>42</v>
      </c>
      <c r="B651" s="197" t="s">
        <v>973</v>
      </c>
      <c r="C651" s="294">
        <v>44392</v>
      </c>
      <c r="D651" s="314" t="s">
        <v>56</v>
      </c>
      <c r="E651" s="314" t="s">
        <v>758</v>
      </c>
      <c r="F651" s="314" t="s">
        <v>56</v>
      </c>
      <c r="G651" s="200" t="s">
        <v>1203</v>
      </c>
      <c r="H651" s="200" t="s">
        <v>1224</v>
      </c>
      <c r="I651" s="410" t="s">
        <v>1226</v>
      </c>
      <c r="J651" s="410" t="s">
        <v>295</v>
      </c>
      <c r="K651" s="579"/>
    </row>
    <row r="652" spans="1:11" hidden="1">
      <c r="A652" s="295" t="s">
        <v>42</v>
      </c>
      <c r="B652" s="197" t="s">
        <v>973</v>
      </c>
      <c r="C652" s="294">
        <v>44392</v>
      </c>
      <c r="D652" s="314" t="s">
        <v>56</v>
      </c>
      <c r="E652" s="314" t="s">
        <v>758</v>
      </c>
      <c r="F652" s="314" t="s">
        <v>56</v>
      </c>
      <c r="G652" s="200" t="s">
        <v>1203</v>
      </c>
      <c r="H652" s="200" t="s">
        <v>1225</v>
      </c>
      <c r="I652" s="410">
        <v>1</v>
      </c>
      <c r="J652" s="410" t="s">
        <v>295</v>
      </c>
      <c r="K652" s="579"/>
    </row>
    <row r="653" spans="1:11" hidden="1">
      <c r="A653" s="295" t="s">
        <v>42</v>
      </c>
      <c r="B653" s="197" t="s">
        <v>973</v>
      </c>
      <c r="C653" s="294">
        <v>44392</v>
      </c>
      <c r="D653" s="314" t="s">
        <v>56</v>
      </c>
      <c r="E653" s="314" t="s">
        <v>758</v>
      </c>
      <c r="F653" s="314" t="s">
        <v>56</v>
      </c>
      <c r="G653" s="200" t="s">
        <v>1203</v>
      </c>
      <c r="H653" s="200" t="s">
        <v>1227</v>
      </c>
      <c r="I653" s="410">
        <v>2</v>
      </c>
      <c r="J653" s="410" t="s">
        <v>295</v>
      </c>
      <c r="K653" s="579"/>
    </row>
    <row r="654" spans="1:11" hidden="1">
      <c r="A654" s="295" t="s">
        <v>42</v>
      </c>
      <c r="B654" s="197" t="s">
        <v>973</v>
      </c>
      <c r="C654" s="294">
        <v>44392</v>
      </c>
      <c r="D654" s="314" t="s">
        <v>56</v>
      </c>
      <c r="E654" s="314" t="s">
        <v>758</v>
      </c>
      <c r="F654" s="314" t="s">
        <v>56</v>
      </c>
      <c r="G654" s="200" t="s">
        <v>1203</v>
      </c>
      <c r="H654" s="200" t="s">
        <v>960</v>
      </c>
      <c r="I654" s="410">
        <v>7</v>
      </c>
      <c r="J654" s="410" t="s">
        <v>295</v>
      </c>
      <c r="K654" s="579"/>
    </row>
    <row r="655" spans="1:11" hidden="1">
      <c r="A655" s="295" t="s">
        <v>42</v>
      </c>
      <c r="B655" s="197" t="s">
        <v>973</v>
      </c>
      <c r="C655" s="294">
        <v>44392</v>
      </c>
      <c r="D655" s="314" t="s">
        <v>56</v>
      </c>
      <c r="E655" s="314" t="s">
        <v>758</v>
      </c>
      <c r="F655" s="314" t="s">
        <v>56</v>
      </c>
      <c r="G655" s="200" t="s">
        <v>1203</v>
      </c>
      <c r="H655" s="200" t="s">
        <v>768</v>
      </c>
      <c r="I655" s="410">
        <v>8</v>
      </c>
      <c r="J655" s="410" t="s">
        <v>295</v>
      </c>
      <c r="K655" s="579"/>
    </row>
    <row r="656" spans="1:11" hidden="1">
      <c r="A656" s="295" t="s">
        <v>42</v>
      </c>
      <c r="B656" s="197" t="s">
        <v>973</v>
      </c>
      <c r="C656" s="294">
        <v>44392</v>
      </c>
      <c r="D656" s="314" t="s">
        <v>56</v>
      </c>
      <c r="E656" s="314" t="s">
        <v>758</v>
      </c>
      <c r="F656" s="314" t="s">
        <v>56</v>
      </c>
      <c r="G656" s="200" t="s">
        <v>1203</v>
      </c>
      <c r="H656" s="200" t="s">
        <v>1228</v>
      </c>
      <c r="I656" s="410" t="s">
        <v>1230</v>
      </c>
      <c r="J656" s="410" t="s">
        <v>295</v>
      </c>
      <c r="K656" s="579"/>
    </row>
    <row r="657" spans="1:11" hidden="1">
      <c r="A657" s="295" t="s">
        <v>42</v>
      </c>
      <c r="B657" s="197" t="s">
        <v>973</v>
      </c>
      <c r="C657" s="294">
        <v>44392</v>
      </c>
      <c r="D657" s="314" t="s">
        <v>56</v>
      </c>
      <c r="E657" s="314" t="s">
        <v>758</v>
      </c>
      <c r="F657" s="314" t="s">
        <v>56</v>
      </c>
      <c r="G657" s="200" t="s">
        <v>1203</v>
      </c>
      <c r="H657" s="200" t="s">
        <v>1229</v>
      </c>
      <c r="I657" s="410">
        <v>9</v>
      </c>
      <c r="J657" s="410" t="s">
        <v>295</v>
      </c>
      <c r="K657" s="579"/>
    </row>
    <row r="658" spans="1:11" hidden="1">
      <c r="A658" s="295" t="s">
        <v>42</v>
      </c>
      <c r="B658" s="197" t="s">
        <v>973</v>
      </c>
      <c r="C658" s="294">
        <v>44392</v>
      </c>
      <c r="D658" s="314" t="s">
        <v>56</v>
      </c>
      <c r="E658" s="314" t="s">
        <v>758</v>
      </c>
      <c r="F658" s="314" t="s">
        <v>56</v>
      </c>
      <c r="G658" s="200" t="s">
        <v>1203</v>
      </c>
      <c r="H658" s="200" t="s">
        <v>1231</v>
      </c>
      <c r="I658" s="410">
        <v>10</v>
      </c>
      <c r="J658" s="410" t="s">
        <v>295</v>
      </c>
      <c r="K658" s="579"/>
    </row>
    <row r="659" spans="1:11" hidden="1">
      <c r="A659" s="295" t="s">
        <v>42</v>
      </c>
      <c r="B659" s="197" t="s">
        <v>973</v>
      </c>
      <c r="C659" s="294">
        <v>44392</v>
      </c>
      <c r="D659" s="314" t="s">
        <v>56</v>
      </c>
      <c r="E659" s="314" t="s">
        <v>758</v>
      </c>
      <c r="F659" s="314" t="s">
        <v>56</v>
      </c>
      <c r="G659" s="200" t="s">
        <v>1203</v>
      </c>
      <c r="H659" s="200" t="s">
        <v>1232</v>
      </c>
      <c r="I659" s="410">
        <v>11</v>
      </c>
      <c r="J659" s="410" t="s">
        <v>295</v>
      </c>
      <c r="K659" s="579"/>
    </row>
    <row r="660" spans="1:11" hidden="1">
      <c r="A660" s="295" t="s">
        <v>42</v>
      </c>
      <c r="B660" s="197" t="s">
        <v>973</v>
      </c>
      <c r="C660" s="294">
        <v>44392</v>
      </c>
      <c r="D660" s="314" t="s">
        <v>56</v>
      </c>
      <c r="E660" s="314" t="s">
        <v>758</v>
      </c>
      <c r="F660" s="314" t="s">
        <v>56</v>
      </c>
      <c r="G660" s="200" t="s">
        <v>1203</v>
      </c>
      <c r="H660" s="200" t="s">
        <v>1233</v>
      </c>
      <c r="I660" s="410">
        <v>12</v>
      </c>
      <c r="J660" s="410" t="s">
        <v>295</v>
      </c>
      <c r="K660" s="579"/>
    </row>
    <row r="661" spans="1:11" hidden="1">
      <c r="A661" s="295" t="s">
        <v>42</v>
      </c>
      <c r="B661" s="197" t="s">
        <v>973</v>
      </c>
      <c r="C661" s="294">
        <v>44392</v>
      </c>
      <c r="D661" s="314" t="s">
        <v>56</v>
      </c>
      <c r="E661" s="314" t="s">
        <v>758</v>
      </c>
      <c r="F661" s="314" t="s">
        <v>56</v>
      </c>
      <c r="G661" s="200" t="s">
        <v>1203</v>
      </c>
      <c r="H661" s="200" t="s">
        <v>1234</v>
      </c>
      <c r="I661" s="410" t="s">
        <v>1236</v>
      </c>
      <c r="J661" s="410" t="s">
        <v>295</v>
      </c>
      <c r="K661" s="579"/>
    </row>
    <row r="662" spans="1:11" hidden="1">
      <c r="A662" s="295" t="s">
        <v>42</v>
      </c>
      <c r="B662" s="197" t="s">
        <v>973</v>
      </c>
      <c r="C662" s="294">
        <v>44392</v>
      </c>
      <c r="D662" s="314" t="s">
        <v>56</v>
      </c>
      <c r="E662" s="314" t="s">
        <v>758</v>
      </c>
      <c r="F662" s="314" t="s">
        <v>56</v>
      </c>
      <c r="G662" s="200" t="s">
        <v>1203</v>
      </c>
      <c r="H662" s="200" t="s">
        <v>1235</v>
      </c>
      <c r="I662" s="410">
        <v>3</v>
      </c>
      <c r="J662" s="410" t="s">
        <v>295</v>
      </c>
      <c r="K662" s="579"/>
    </row>
    <row r="663" spans="1:11" hidden="1">
      <c r="A663" s="295" t="s">
        <v>42</v>
      </c>
      <c r="B663" s="197" t="s">
        <v>973</v>
      </c>
      <c r="C663" s="294">
        <v>44392</v>
      </c>
      <c r="D663" s="314" t="s">
        <v>56</v>
      </c>
      <c r="E663" s="314" t="s">
        <v>758</v>
      </c>
      <c r="F663" s="314" t="s">
        <v>56</v>
      </c>
      <c r="G663" s="200" t="s">
        <v>1203</v>
      </c>
      <c r="H663" s="200" t="s">
        <v>1237</v>
      </c>
      <c r="I663" s="410">
        <v>4</v>
      </c>
      <c r="J663" s="410" t="s">
        <v>295</v>
      </c>
      <c r="K663" s="579"/>
    </row>
    <row r="664" spans="1:11" hidden="1">
      <c r="A664" s="295" t="s">
        <v>42</v>
      </c>
      <c r="B664" s="197" t="s">
        <v>973</v>
      </c>
      <c r="C664" s="294">
        <v>44392</v>
      </c>
      <c r="D664" s="314" t="s">
        <v>56</v>
      </c>
      <c r="E664" s="314" t="s">
        <v>758</v>
      </c>
      <c r="F664" s="314" t="s">
        <v>56</v>
      </c>
      <c r="G664" s="200" t="s">
        <v>1203</v>
      </c>
      <c r="H664" s="200" t="s">
        <v>1238</v>
      </c>
      <c r="I664" s="410">
        <v>5</v>
      </c>
      <c r="J664" s="410" t="s">
        <v>295</v>
      </c>
      <c r="K664" s="579"/>
    </row>
    <row r="665" spans="1:11" hidden="1">
      <c r="A665" s="295" t="s">
        <v>42</v>
      </c>
      <c r="B665" s="197" t="s">
        <v>973</v>
      </c>
      <c r="C665" s="294">
        <v>44392</v>
      </c>
      <c r="D665" s="314" t="s">
        <v>56</v>
      </c>
      <c r="E665" s="314" t="s">
        <v>758</v>
      </c>
      <c r="F665" s="314" t="s">
        <v>56</v>
      </c>
      <c r="G665" s="200" t="s">
        <v>1203</v>
      </c>
      <c r="H665" s="200" t="s">
        <v>1239</v>
      </c>
      <c r="I665" s="410">
        <v>6</v>
      </c>
      <c r="J665" s="410" t="s">
        <v>295</v>
      </c>
      <c r="K665" s="579"/>
    </row>
    <row r="666" spans="1:11" hidden="1">
      <c r="A666" s="295" t="s">
        <v>42</v>
      </c>
      <c r="B666" s="197" t="s">
        <v>973</v>
      </c>
      <c r="C666" s="294">
        <v>44392</v>
      </c>
      <c r="D666" s="314" t="s">
        <v>56</v>
      </c>
      <c r="E666" s="314" t="s">
        <v>758</v>
      </c>
      <c r="F666" s="314" t="s">
        <v>56</v>
      </c>
      <c r="G666" s="200" t="s">
        <v>1203</v>
      </c>
      <c r="H666" s="200" t="s">
        <v>1240</v>
      </c>
      <c r="I666" s="198" t="s">
        <v>1242</v>
      </c>
      <c r="J666" s="410" t="s">
        <v>295</v>
      </c>
      <c r="K666" s="579"/>
    </row>
    <row r="667" spans="1:11" hidden="1">
      <c r="A667" s="295" t="s">
        <v>42</v>
      </c>
      <c r="B667" s="197" t="s">
        <v>973</v>
      </c>
      <c r="C667" s="294">
        <v>44392</v>
      </c>
      <c r="D667" s="314" t="s">
        <v>56</v>
      </c>
      <c r="E667" s="314" t="s">
        <v>758</v>
      </c>
      <c r="F667" s="314" t="s">
        <v>56</v>
      </c>
      <c r="G667" s="200" t="s">
        <v>1203</v>
      </c>
      <c r="H667" s="200" t="s">
        <v>1241</v>
      </c>
      <c r="I667" s="198" t="s">
        <v>1244</v>
      </c>
      <c r="J667" s="410" t="s">
        <v>295</v>
      </c>
      <c r="K667" s="579"/>
    </row>
    <row r="668" spans="1:11" hidden="1">
      <c r="A668" s="295" t="s">
        <v>42</v>
      </c>
      <c r="B668" s="197" t="s">
        <v>973</v>
      </c>
      <c r="C668" s="294">
        <v>44392</v>
      </c>
      <c r="D668" s="314" t="s">
        <v>56</v>
      </c>
      <c r="E668" s="314" t="s">
        <v>758</v>
      </c>
      <c r="F668" s="314" t="s">
        <v>56</v>
      </c>
      <c r="G668" s="200" t="s">
        <v>1203</v>
      </c>
      <c r="H668" s="200" t="s">
        <v>1243</v>
      </c>
      <c r="I668" s="198" t="s">
        <v>1246</v>
      </c>
      <c r="J668" s="410" t="s">
        <v>295</v>
      </c>
      <c r="K668" s="579"/>
    </row>
    <row r="669" spans="1:11" hidden="1">
      <c r="A669" s="295" t="s">
        <v>42</v>
      </c>
      <c r="B669" s="197" t="s">
        <v>973</v>
      </c>
      <c r="C669" s="294">
        <v>44392</v>
      </c>
      <c r="D669" s="314" t="s">
        <v>56</v>
      </c>
      <c r="E669" s="314" t="s">
        <v>758</v>
      </c>
      <c r="F669" s="314" t="s">
        <v>56</v>
      </c>
      <c r="G669" s="200" t="s">
        <v>1203</v>
      </c>
      <c r="H669" s="200" t="s">
        <v>1245</v>
      </c>
      <c r="I669" s="383" t="s">
        <v>1248</v>
      </c>
      <c r="J669" s="410" t="s">
        <v>295</v>
      </c>
      <c r="K669" s="579"/>
    </row>
    <row r="670" spans="1:11" ht="26.4" hidden="1">
      <c r="A670" s="295" t="s">
        <v>42</v>
      </c>
      <c r="B670" s="197" t="s">
        <v>973</v>
      </c>
      <c r="C670" s="294">
        <v>44392</v>
      </c>
      <c r="D670" s="314" t="s">
        <v>56</v>
      </c>
      <c r="E670" s="314" t="s">
        <v>758</v>
      </c>
      <c r="F670" s="314" t="s">
        <v>56</v>
      </c>
      <c r="G670" s="200" t="s">
        <v>1203</v>
      </c>
      <c r="H670" s="200" t="s">
        <v>1247</v>
      </c>
      <c r="I670" s="383" t="s">
        <v>1250</v>
      </c>
      <c r="J670" s="410" t="s">
        <v>295</v>
      </c>
      <c r="K670" s="579"/>
    </row>
    <row r="671" spans="1:11" hidden="1">
      <c r="A671" s="295" t="s">
        <v>42</v>
      </c>
      <c r="B671" s="197" t="s">
        <v>973</v>
      </c>
      <c r="C671" s="294">
        <v>44392</v>
      </c>
      <c r="D671" s="314" t="s">
        <v>56</v>
      </c>
      <c r="E671" s="314" t="s">
        <v>758</v>
      </c>
      <c r="F671" s="314" t="s">
        <v>56</v>
      </c>
      <c r="G671" s="200" t="s">
        <v>1203</v>
      </c>
      <c r="H671" s="200" t="s">
        <v>1249</v>
      </c>
      <c r="I671" s="383" t="s">
        <v>1252</v>
      </c>
      <c r="J671" s="410" t="s">
        <v>295</v>
      </c>
      <c r="K671" s="579"/>
    </row>
    <row r="672" spans="1:11" ht="26.4" hidden="1">
      <c r="A672" s="295" t="s">
        <v>42</v>
      </c>
      <c r="B672" s="197" t="s">
        <v>973</v>
      </c>
      <c r="C672" s="294">
        <v>44392</v>
      </c>
      <c r="D672" s="314" t="s">
        <v>56</v>
      </c>
      <c r="E672" s="314" t="s">
        <v>758</v>
      </c>
      <c r="F672" s="314" t="s">
        <v>56</v>
      </c>
      <c r="G672" s="200" t="s">
        <v>1203</v>
      </c>
      <c r="H672" s="200" t="s">
        <v>1251</v>
      </c>
      <c r="I672" s="383" t="s">
        <v>1254</v>
      </c>
      <c r="J672" s="410" t="s">
        <v>295</v>
      </c>
      <c r="K672" s="579"/>
    </row>
    <row r="673" spans="1:11" hidden="1">
      <c r="A673" s="295" t="s">
        <v>42</v>
      </c>
      <c r="B673" s="197" t="s">
        <v>973</v>
      </c>
      <c r="C673" s="294">
        <v>44392</v>
      </c>
      <c r="D673" s="314" t="s">
        <v>56</v>
      </c>
      <c r="E673" s="314" t="s">
        <v>758</v>
      </c>
      <c r="F673" s="314" t="s">
        <v>56</v>
      </c>
      <c r="G673" s="200" t="s">
        <v>1203</v>
      </c>
      <c r="H673" s="200" t="s">
        <v>1253</v>
      </c>
      <c r="I673" s="383" t="s">
        <v>1256</v>
      </c>
      <c r="J673" s="410" t="s">
        <v>295</v>
      </c>
      <c r="K673" s="579"/>
    </row>
    <row r="674" spans="1:11" hidden="1">
      <c r="A674" s="295" t="s">
        <v>42</v>
      </c>
      <c r="B674" s="197" t="s">
        <v>973</v>
      </c>
      <c r="C674" s="294">
        <v>44392</v>
      </c>
      <c r="D674" s="314" t="s">
        <v>56</v>
      </c>
      <c r="E674" s="314" t="s">
        <v>758</v>
      </c>
      <c r="F674" s="314" t="s">
        <v>56</v>
      </c>
      <c r="G674" s="200" t="s">
        <v>1203</v>
      </c>
      <c r="H674" s="200" t="s">
        <v>1255</v>
      </c>
      <c r="I674" s="410" t="s">
        <v>1258</v>
      </c>
      <c r="J674" s="410" t="s">
        <v>295</v>
      </c>
      <c r="K674" s="579"/>
    </row>
    <row r="675" spans="1:11" hidden="1">
      <c r="A675" s="295" t="s">
        <v>42</v>
      </c>
      <c r="B675" s="197" t="s">
        <v>973</v>
      </c>
      <c r="C675" s="294">
        <v>44392</v>
      </c>
      <c r="D675" s="314" t="s">
        <v>56</v>
      </c>
      <c r="E675" s="314" t="s">
        <v>758</v>
      </c>
      <c r="F675" s="314" t="s">
        <v>56</v>
      </c>
      <c r="G675" s="200" t="s">
        <v>1203</v>
      </c>
      <c r="H675" s="200" t="s">
        <v>1257</v>
      </c>
      <c r="I675" s="410" t="s">
        <v>1260</v>
      </c>
      <c r="J675" s="410" t="s">
        <v>295</v>
      </c>
      <c r="K675" s="579"/>
    </row>
    <row r="676" spans="1:11" hidden="1">
      <c r="A676" s="295" t="s">
        <v>42</v>
      </c>
      <c r="B676" s="197" t="s">
        <v>973</v>
      </c>
      <c r="C676" s="294">
        <v>44392</v>
      </c>
      <c r="D676" s="314" t="s">
        <v>56</v>
      </c>
      <c r="E676" s="314" t="s">
        <v>758</v>
      </c>
      <c r="F676" s="314" t="s">
        <v>56</v>
      </c>
      <c r="G676" s="200" t="s">
        <v>1203</v>
      </c>
      <c r="H676" s="200" t="s">
        <v>1259</v>
      </c>
      <c r="I676" s="410" t="s">
        <v>1262</v>
      </c>
      <c r="J676" s="410" t="s">
        <v>295</v>
      </c>
      <c r="K676" s="579"/>
    </row>
    <row r="677" spans="1:11" hidden="1">
      <c r="A677" s="295" t="s">
        <v>42</v>
      </c>
      <c r="B677" s="197" t="s">
        <v>973</v>
      </c>
      <c r="C677" s="294">
        <v>44392</v>
      </c>
      <c r="D677" s="314" t="s">
        <v>56</v>
      </c>
      <c r="E677" s="314" t="s">
        <v>758</v>
      </c>
      <c r="F677" s="314" t="s">
        <v>56</v>
      </c>
      <c r="G677" s="200" t="s">
        <v>1203</v>
      </c>
      <c r="H677" s="200" t="s">
        <v>1261</v>
      </c>
      <c r="I677" s="410" t="s">
        <v>1264</v>
      </c>
      <c r="J677" s="410" t="s">
        <v>295</v>
      </c>
      <c r="K677" s="579"/>
    </row>
    <row r="678" spans="1:11" hidden="1">
      <c r="A678" s="295" t="s">
        <v>42</v>
      </c>
      <c r="B678" s="197" t="s">
        <v>973</v>
      </c>
      <c r="C678" s="294">
        <v>44392</v>
      </c>
      <c r="D678" s="314" t="s">
        <v>56</v>
      </c>
      <c r="E678" s="314" t="s">
        <v>758</v>
      </c>
      <c r="F678" s="314" t="s">
        <v>56</v>
      </c>
      <c r="G678" s="200" t="s">
        <v>1203</v>
      </c>
      <c r="H678" s="200" t="s">
        <v>1263</v>
      </c>
      <c r="I678" s="410" t="s">
        <v>183</v>
      </c>
      <c r="J678" s="410" t="s">
        <v>295</v>
      </c>
      <c r="K678" s="579"/>
    </row>
    <row r="679" spans="1:11" hidden="1">
      <c r="A679" s="295" t="s">
        <v>42</v>
      </c>
      <c r="B679" s="197" t="s">
        <v>973</v>
      </c>
      <c r="C679" s="294">
        <v>44392</v>
      </c>
      <c r="D679" s="314" t="s">
        <v>56</v>
      </c>
      <c r="E679" s="314" t="s">
        <v>758</v>
      </c>
      <c r="F679" s="314" t="s">
        <v>56</v>
      </c>
      <c r="G679" s="200" t="s">
        <v>1203</v>
      </c>
      <c r="H679" s="200" t="s">
        <v>1265</v>
      </c>
      <c r="I679" s="410" t="s">
        <v>186</v>
      </c>
      <c r="J679" s="410" t="s">
        <v>295</v>
      </c>
      <c r="K679" s="579"/>
    </row>
    <row r="680" spans="1:11" hidden="1">
      <c r="A680" s="295" t="s">
        <v>42</v>
      </c>
      <c r="B680" s="197" t="s">
        <v>973</v>
      </c>
      <c r="C680" s="294">
        <v>44392</v>
      </c>
      <c r="D680" s="314" t="s">
        <v>56</v>
      </c>
      <c r="E680" s="314" t="s">
        <v>758</v>
      </c>
      <c r="F680" s="314" t="s">
        <v>56</v>
      </c>
      <c r="G680" s="200" t="s">
        <v>1203</v>
      </c>
      <c r="H680" s="200" t="s">
        <v>303</v>
      </c>
      <c r="I680" s="410" t="s">
        <v>1267</v>
      </c>
      <c r="J680" s="410" t="s">
        <v>295</v>
      </c>
      <c r="K680" s="579"/>
    </row>
    <row r="681" spans="1:11" hidden="1">
      <c r="A681" s="295" t="s">
        <v>42</v>
      </c>
      <c r="B681" s="197" t="s">
        <v>973</v>
      </c>
      <c r="C681" s="294">
        <v>44392</v>
      </c>
      <c r="D681" s="314" t="s">
        <v>56</v>
      </c>
      <c r="E681" s="314" t="s">
        <v>758</v>
      </c>
      <c r="F681" s="314" t="s">
        <v>56</v>
      </c>
      <c r="G681" s="200" t="s">
        <v>1203</v>
      </c>
      <c r="H681" s="200" t="s">
        <v>1266</v>
      </c>
      <c r="I681" s="410" t="s">
        <v>1269</v>
      </c>
      <c r="J681" s="410" t="s">
        <v>295</v>
      </c>
      <c r="K681" s="579"/>
    </row>
    <row r="682" spans="1:11" hidden="1">
      <c r="A682" s="295" t="s">
        <v>42</v>
      </c>
      <c r="B682" s="197" t="s">
        <v>973</v>
      </c>
      <c r="C682" s="294">
        <v>44392</v>
      </c>
      <c r="D682" s="314" t="s">
        <v>56</v>
      </c>
      <c r="E682" s="314" t="s">
        <v>758</v>
      </c>
      <c r="F682" s="314" t="s">
        <v>56</v>
      </c>
      <c r="G682" s="200" t="s">
        <v>1203</v>
      </c>
      <c r="H682" s="200" t="s">
        <v>1268</v>
      </c>
      <c r="I682" s="198" t="s">
        <v>1271</v>
      </c>
      <c r="J682" s="410" t="s">
        <v>295</v>
      </c>
      <c r="K682" s="579"/>
    </row>
    <row r="683" spans="1:11" hidden="1">
      <c r="A683" s="295" t="s">
        <v>42</v>
      </c>
      <c r="B683" s="197" t="s">
        <v>973</v>
      </c>
      <c r="C683" s="294">
        <v>44392</v>
      </c>
      <c r="D683" s="314" t="s">
        <v>56</v>
      </c>
      <c r="E683" s="314" t="s">
        <v>758</v>
      </c>
      <c r="F683" s="314" t="s">
        <v>56</v>
      </c>
      <c r="G683" s="200" t="s">
        <v>1203</v>
      </c>
      <c r="H683" s="200" t="s">
        <v>1270</v>
      </c>
      <c r="I683" s="198" t="s">
        <v>1273</v>
      </c>
      <c r="J683" s="410" t="s">
        <v>295</v>
      </c>
      <c r="K683" s="579"/>
    </row>
    <row r="684" spans="1:11" hidden="1">
      <c r="A684" s="295" t="s">
        <v>42</v>
      </c>
      <c r="B684" s="197" t="s">
        <v>973</v>
      </c>
      <c r="C684" s="294">
        <v>44392</v>
      </c>
      <c r="D684" s="314" t="s">
        <v>56</v>
      </c>
      <c r="E684" s="314" t="s">
        <v>758</v>
      </c>
      <c r="F684" s="314" t="s">
        <v>56</v>
      </c>
      <c r="G684" s="200" t="s">
        <v>1203</v>
      </c>
      <c r="H684" s="200" t="s">
        <v>1272</v>
      </c>
      <c r="I684" s="198" t="s">
        <v>1275</v>
      </c>
      <c r="J684" s="410" t="s">
        <v>295</v>
      </c>
      <c r="K684" s="579"/>
    </row>
    <row r="685" spans="1:11" hidden="1">
      <c r="A685" s="295" t="s">
        <v>42</v>
      </c>
      <c r="B685" s="197" t="s">
        <v>973</v>
      </c>
      <c r="C685" s="294">
        <v>44392</v>
      </c>
      <c r="D685" s="314" t="s">
        <v>56</v>
      </c>
      <c r="E685" s="314" t="s">
        <v>758</v>
      </c>
      <c r="F685" s="314" t="s">
        <v>56</v>
      </c>
      <c r="G685" s="200" t="s">
        <v>1203</v>
      </c>
      <c r="H685" s="200" t="s">
        <v>1274</v>
      </c>
      <c r="I685" s="198" t="s">
        <v>1277</v>
      </c>
      <c r="J685" s="410" t="s">
        <v>295</v>
      </c>
      <c r="K685" s="579"/>
    </row>
    <row r="686" spans="1:11" hidden="1">
      <c r="A686" s="295" t="s">
        <v>42</v>
      </c>
      <c r="B686" s="197" t="s">
        <v>973</v>
      </c>
      <c r="C686" s="294">
        <v>44392</v>
      </c>
      <c r="D686" s="314" t="s">
        <v>56</v>
      </c>
      <c r="E686" s="314" t="s">
        <v>758</v>
      </c>
      <c r="F686" s="314" t="s">
        <v>56</v>
      </c>
      <c r="G686" s="200" t="s">
        <v>1203</v>
      </c>
      <c r="H686" s="200" t="s">
        <v>1276</v>
      </c>
      <c r="I686" s="410" t="s">
        <v>189</v>
      </c>
      <c r="J686" s="410" t="s">
        <v>295</v>
      </c>
      <c r="K686" s="579"/>
    </row>
    <row r="687" spans="1:11" hidden="1">
      <c r="A687" s="295" t="s">
        <v>42</v>
      </c>
      <c r="B687" s="197" t="s">
        <v>973</v>
      </c>
      <c r="C687" s="294">
        <v>44392</v>
      </c>
      <c r="D687" s="314" t="s">
        <v>56</v>
      </c>
      <c r="E687" s="314" t="s">
        <v>758</v>
      </c>
      <c r="F687" s="314" t="s">
        <v>56</v>
      </c>
      <c r="G687" s="200" t="s">
        <v>1203</v>
      </c>
      <c r="H687" s="200" t="s">
        <v>1278</v>
      </c>
      <c r="I687" s="410" t="s">
        <v>192</v>
      </c>
      <c r="J687" s="410" t="s">
        <v>295</v>
      </c>
      <c r="K687" s="579"/>
    </row>
    <row r="688" spans="1:11" hidden="1">
      <c r="A688" s="295" t="s">
        <v>42</v>
      </c>
      <c r="B688" s="197" t="s">
        <v>973</v>
      </c>
      <c r="C688" s="294">
        <v>44392</v>
      </c>
      <c r="D688" s="314" t="s">
        <v>56</v>
      </c>
      <c r="E688" s="314" t="s">
        <v>758</v>
      </c>
      <c r="F688" s="314" t="s">
        <v>56</v>
      </c>
      <c r="G688" s="200" t="s">
        <v>1203</v>
      </c>
      <c r="H688" s="200" t="s">
        <v>160</v>
      </c>
      <c r="I688" s="410" t="s">
        <v>195</v>
      </c>
      <c r="J688" s="410" t="s">
        <v>295</v>
      </c>
      <c r="K688" s="579"/>
    </row>
    <row r="689" spans="1:11" hidden="1">
      <c r="A689" s="295" t="s">
        <v>42</v>
      </c>
      <c r="B689" s="197" t="s">
        <v>973</v>
      </c>
      <c r="C689" s="294">
        <v>44392</v>
      </c>
      <c r="D689" s="314" t="s">
        <v>56</v>
      </c>
      <c r="E689" s="314" t="s">
        <v>758</v>
      </c>
      <c r="F689" s="314" t="s">
        <v>56</v>
      </c>
      <c r="G689" s="200" t="s">
        <v>1203</v>
      </c>
      <c r="H689" s="200" t="s">
        <v>164</v>
      </c>
      <c r="I689" s="410" t="s">
        <v>1279</v>
      </c>
      <c r="J689" s="410" t="s">
        <v>295</v>
      </c>
      <c r="K689" s="579"/>
    </row>
    <row r="690" spans="1:11" hidden="1">
      <c r="A690" s="295" t="s">
        <v>42</v>
      </c>
      <c r="B690" s="197" t="s">
        <v>973</v>
      </c>
      <c r="C690" s="294">
        <v>44392</v>
      </c>
      <c r="D690" s="314" t="s">
        <v>56</v>
      </c>
      <c r="E690" s="314" t="s">
        <v>758</v>
      </c>
      <c r="F690" s="314" t="s">
        <v>56</v>
      </c>
      <c r="G690" s="200" t="s">
        <v>1203</v>
      </c>
      <c r="H690" s="200" t="s">
        <v>167</v>
      </c>
      <c r="I690" s="410" t="s">
        <v>759</v>
      </c>
      <c r="J690" s="410" t="s">
        <v>295</v>
      </c>
      <c r="K690" s="579"/>
    </row>
    <row r="691" spans="1:11" hidden="1">
      <c r="A691" s="295" t="s">
        <v>42</v>
      </c>
      <c r="B691" s="197" t="s">
        <v>973</v>
      </c>
      <c r="C691" s="294">
        <v>44392</v>
      </c>
      <c r="D691" s="314" t="s">
        <v>56</v>
      </c>
      <c r="E691" s="314" t="s">
        <v>758</v>
      </c>
      <c r="F691" s="314" t="s">
        <v>56</v>
      </c>
      <c r="G691" s="200" t="s">
        <v>1203</v>
      </c>
      <c r="H691" s="200" t="s">
        <v>1280</v>
      </c>
      <c r="I691" s="410" t="s">
        <v>759</v>
      </c>
      <c r="J691" s="410" t="s">
        <v>295</v>
      </c>
      <c r="K691" s="579"/>
    </row>
    <row r="692" spans="1:11" hidden="1">
      <c r="A692" s="295" t="s">
        <v>42</v>
      </c>
      <c r="B692" s="197" t="s">
        <v>973</v>
      </c>
      <c r="C692" s="294">
        <v>44392</v>
      </c>
      <c r="D692" s="314" t="s">
        <v>56</v>
      </c>
      <c r="E692" s="314" t="s">
        <v>758</v>
      </c>
      <c r="F692" s="314" t="s">
        <v>56</v>
      </c>
      <c r="G692" s="200" t="s">
        <v>1203</v>
      </c>
      <c r="H692" s="200" t="s">
        <v>1281</v>
      </c>
      <c r="I692" s="410" t="s">
        <v>759</v>
      </c>
      <c r="J692" s="410" t="s">
        <v>295</v>
      </c>
      <c r="K692" s="579"/>
    </row>
    <row r="693" spans="1:11" hidden="1">
      <c r="A693" s="295" t="s">
        <v>42</v>
      </c>
      <c r="B693" s="197" t="s">
        <v>973</v>
      </c>
      <c r="C693" s="294">
        <v>44392</v>
      </c>
      <c r="D693" s="314" t="s">
        <v>56</v>
      </c>
      <c r="E693" s="314" t="s">
        <v>758</v>
      </c>
      <c r="F693" s="314" t="s">
        <v>56</v>
      </c>
      <c r="G693" s="200" t="s">
        <v>1203</v>
      </c>
      <c r="H693" s="200" t="s">
        <v>1282</v>
      </c>
      <c r="I693" s="410" t="s">
        <v>759</v>
      </c>
      <c r="J693" s="410" t="s">
        <v>295</v>
      </c>
      <c r="K693" s="579"/>
    </row>
    <row r="694" spans="1:11" hidden="1">
      <c r="A694" s="295" t="s">
        <v>42</v>
      </c>
      <c r="B694" s="197" t="s">
        <v>973</v>
      </c>
      <c r="C694" s="294">
        <v>44392</v>
      </c>
      <c r="D694" s="314" t="s">
        <v>56</v>
      </c>
      <c r="E694" s="314" t="s">
        <v>758</v>
      </c>
      <c r="F694" s="314" t="s">
        <v>56</v>
      </c>
      <c r="G694" s="200" t="s">
        <v>1203</v>
      </c>
      <c r="H694" s="200" t="s">
        <v>1283</v>
      </c>
      <c r="I694" s="410" t="s">
        <v>759</v>
      </c>
      <c r="J694" s="410" t="s">
        <v>295</v>
      </c>
      <c r="K694" s="579"/>
    </row>
    <row r="695" spans="1:11" hidden="1">
      <c r="A695" s="295" t="s">
        <v>42</v>
      </c>
      <c r="B695" s="197" t="s">
        <v>973</v>
      </c>
      <c r="C695" s="294">
        <v>44392</v>
      </c>
      <c r="D695" s="314" t="s">
        <v>56</v>
      </c>
      <c r="E695" s="314" t="s">
        <v>758</v>
      </c>
      <c r="F695" s="314" t="s">
        <v>56</v>
      </c>
      <c r="G695" s="200" t="s">
        <v>1203</v>
      </c>
      <c r="H695" s="200" t="s">
        <v>1284</v>
      </c>
      <c r="I695" s="410" t="s">
        <v>759</v>
      </c>
      <c r="J695" s="410" t="s">
        <v>295</v>
      </c>
      <c r="K695" s="579"/>
    </row>
    <row r="696" spans="1:11" hidden="1">
      <c r="A696" s="295" t="s">
        <v>42</v>
      </c>
      <c r="B696" s="197" t="s">
        <v>973</v>
      </c>
      <c r="C696" s="294">
        <v>44392</v>
      </c>
      <c r="D696" s="314" t="s">
        <v>56</v>
      </c>
      <c r="E696" s="314" t="s">
        <v>758</v>
      </c>
      <c r="F696" s="314" t="s">
        <v>56</v>
      </c>
      <c r="G696" s="200" t="s">
        <v>1203</v>
      </c>
      <c r="H696" s="200" t="s">
        <v>1285</v>
      </c>
      <c r="I696" s="410" t="s">
        <v>759</v>
      </c>
      <c r="J696" s="410" t="s">
        <v>295</v>
      </c>
      <c r="K696" s="579"/>
    </row>
    <row r="697" spans="1:11" hidden="1">
      <c r="A697" s="295" t="s">
        <v>42</v>
      </c>
      <c r="B697" s="197" t="s">
        <v>973</v>
      </c>
      <c r="C697" s="294">
        <v>44392</v>
      </c>
      <c r="D697" s="314" t="s">
        <v>56</v>
      </c>
      <c r="E697" s="314" t="s">
        <v>758</v>
      </c>
      <c r="F697" s="314" t="s">
        <v>56</v>
      </c>
      <c r="G697" s="200" t="s">
        <v>1203</v>
      </c>
      <c r="H697" s="200" t="s">
        <v>1286</v>
      </c>
      <c r="I697" s="410" t="s">
        <v>759</v>
      </c>
      <c r="J697" s="410" t="s">
        <v>295</v>
      </c>
      <c r="K697" s="579"/>
    </row>
    <row r="698" spans="1:11" hidden="1">
      <c r="A698" s="295" t="s">
        <v>42</v>
      </c>
      <c r="B698" s="197" t="s">
        <v>973</v>
      </c>
      <c r="C698" s="294">
        <v>44392</v>
      </c>
      <c r="D698" s="314" t="s">
        <v>56</v>
      </c>
      <c r="E698" s="314" t="s">
        <v>758</v>
      </c>
      <c r="F698" s="314" t="s">
        <v>56</v>
      </c>
      <c r="G698" s="200" t="s">
        <v>1203</v>
      </c>
      <c r="H698" s="200" t="s">
        <v>1287</v>
      </c>
      <c r="I698" s="410" t="s">
        <v>171</v>
      </c>
      <c r="J698" s="410" t="s">
        <v>295</v>
      </c>
      <c r="K698" s="579"/>
    </row>
    <row r="699" spans="1:11" hidden="1">
      <c r="A699" s="295" t="s">
        <v>42</v>
      </c>
      <c r="B699" s="197" t="s">
        <v>973</v>
      </c>
      <c r="C699" s="294">
        <v>44392</v>
      </c>
      <c r="D699" s="314" t="s">
        <v>56</v>
      </c>
      <c r="E699" s="314" t="s">
        <v>758</v>
      </c>
      <c r="F699" s="314" t="s">
        <v>56</v>
      </c>
      <c r="G699" s="200" t="s">
        <v>1203</v>
      </c>
      <c r="H699" s="200" t="s">
        <v>1288</v>
      </c>
      <c r="I699" s="410" t="s">
        <v>174</v>
      </c>
      <c r="J699" s="410" t="s">
        <v>295</v>
      </c>
      <c r="K699" s="579"/>
    </row>
    <row r="700" spans="1:11" hidden="1">
      <c r="A700" s="295" t="s">
        <v>42</v>
      </c>
      <c r="B700" s="197" t="s">
        <v>973</v>
      </c>
      <c r="C700" s="294">
        <v>44392</v>
      </c>
      <c r="D700" s="314" t="s">
        <v>56</v>
      </c>
      <c r="E700" s="314" t="s">
        <v>758</v>
      </c>
      <c r="F700" s="314" t="s">
        <v>56</v>
      </c>
      <c r="G700" s="200" t="s">
        <v>1203</v>
      </c>
      <c r="H700" s="200" t="s">
        <v>179</v>
      </c>
      <c r="I700" s="410" t="s">
        <v>177</v>
      </c>
      <c r="J700" s="410" t="s">
        <v>295</v>
      </c>
      <c r="K700" s="579"/>
    </row>
    <row r="701" spans="1:11" hidden="1">
      <c r="A701" s="295" t="s">
        <v>42</v>
      </c>
      <c r="B701" s="197" t="s">
        <v>973</v>
      </c>
      <c r="C701" s="294">
        <v>44392</v>
      </c>
      <c r="D701" s="314" t="s">
        <v>56</v>
      </c>
      <c r="E701" s="314" t="s">
        <v>758</v>
      </c>
      <c r="F701" s="314" t="s">
        <v>56</v>
      </c>
      <c r="G701" s="200" t="s">
        <v>1203</v>
      </c>
      <c r="H701" s="200" t="s">
        <v>182</v>
      </c>
      <c r="I701" s="410" t="s">
        <v>1289</v>
      </c>
      <c r="J701" s="410" t="s">
        <v>295</v>
      </c>
      <c r="K701" s="579"/>
    </row>
    <row r="702" spans="1:11" hidden="1">
      <c r="A702" s="295" t="s">
        <v>42</v>
      </c>
      <c r="B702" s="197" t="s">
        <v>973</v>
      </c>
      <c r="C702" s="294">
        <v>44392</v>
      </c>
      <c r="D702" s="314" t="s">
        <v>56</v>
      </c>
      <c r="E702" s="314" t="s">
        <v>758</v>
      </c>
      <c r="F702" s="314" t="s">
        <v>56</v>
      </c>
      <c r="G702" s="200" t="s">
        <v>1203</v>
      </c>
      <c r="H702" s="200" t="s">
        <v>185</v>
      </c>
      <c r="I702" s="410" t="s">
        <v>1291</v>
      </c>
      <c r="J702" s="410" t="s">
        <v>295</v>
      </c>
      <c r="K702" s="579"/>
    </row>
    <row r="703" spans="1:11" hidden="1">
      <c r="A703" s="295" t="s">
        <v>42</v>
      </c>
      <c r="B703" s="197" t="s">
        <v>973</v>
      </c>
      <c r="C703" s="294">
        <v>44392</v>
      </c>
      <c r="D703" s="314" t="s">
        <v>56</v>
      </c>
      <c r="E703" s="314" t="s">
        <v>758</v>
      </c>
      <c r="F703" s="314" t="s">
        <v>56</v>
      </c>
      <c r="G703" s="200" t="s">
        <v>1203</v>
      </c>
      <c r="H703" s="200" t="s">
        <v>1290</v>
      </c>
      <c r="I703" s="410" t="s">
        <v>1291</v>
      </c>
      <c r="J703" s="410" t="s">
        <v>295</v>
      </c>
      <c r="K703" s="579"/>
    </row>
    <row r="704" spans="1:11" hidden="1">
      <c r="A704" s="295" t="s">
        <v>42</v>
      </c>
      <c r="B704" s="197" t="s">
        <v>973</v>
      </c>
      <c r="C704" s="294">
        <v>44392</v>
      </c>
      <c r="D704" s="314" t="s">
        <v>56</v>
      </c>
      <c r="E704" s="314" t="s">
        <v>758</v>
      </c>
      <c r="F704" s="314" t="s">
        <v>56</v>
      </c>
      <c r="G704" s="200" t="s">
        <v>1203</v>
      </c>
      <c r="H704" s="200" t="s">
        <v>306</v>
      </c>
      <c r="I704" s="410" t="s">
        <v>1291</v>
      </c>
      <c r="J704" s="410" t="s">
        <v>295</v>
      </c>
      <c r="K704" s="579"/>
    </row>
    <row r="705" spans="1:11" hidden="1">
      <c r="A705" s="295" t="s">
        <v>42</v>
      </c>
      <c r="B705" s="197" t="s">
        <v>973</v>
      </c>
      <c r="C705" s="294">
        <v>44392</v>
      </c>
      <c r="D705" s="314" t="s">
        <v>56</v>
      </c>
      <c r="E705" s="314" t="s">
        <v>758</v>
      </c>
      <c r="F705" s="314" t="s">
        <v>56</v>
      </c>
      <c r="G705" s="200" t="s">
        <v>1203</v>
      </c>
      <c r="H705" s="200" t="s">
        <v>1292</v>
      </c>
      <c r="I705" s="410" t="s">
        <v>1291</v>
      </c>
      <c r="J705" s="410" t="s">
        <v>295</v>
      </c>
      <c r="K705" s="579"/>
    </row>
    <row r="706" spans="1:11" hidden="1">
      <c r="A706" s="295" t="s">
        <v>42</v>
      </c>
      <c r="B706" s="197" t="s">
        <v>973</v>
      </c>
      <c r="C706" s="294">
        <v>44392</v>
      </c>
      <c r="D706" s="314" t="s">
        <v>56</v>
      </c>
      <c r="E706" s="314" t="s">
        <v>758</v>
      </c>
      <c r="F706" s="314" t="s">
        <v>56</v>
      </c>
      <c r="G706" s="200" t="s">
        <v>1203</v>
      </c>
      <c r="H706" s="200" t="s">
        <v>1293</v>
      </c>
      <c r="I706" s="410">
        <v>0</v>
      </c>
      <c r="J706" s="410" t="s">
        <v>295</v>
      </c>
      <c r="K706" s="579"/>
    </row>
    <row r="707" spans="1:11" hidden="1">
      <c r="A707" s="295" t="s">
        <v>42</v>
      </c>
      <c r="B707" s="197" t="s">
        <v>973</v>
      </c>
      <c r="C707" s="294">
        <v>44392</v>
      </c>
      <c r="D707" s="314" t="s">
        <v>56</v>
      </c>
      <c r="E707" s="314" t="s">
        <v>758</v>
      </c>
      <c r="F707" s="314" t="s">
        <v>56</v>
      </c>
      <c r="G707" s="200" t="s">
        <v>1203</v>
      </c>
      <c r="H707" s="200" t="s">
        <v>1294</v>
      </c>
      <c r="I707" s="410" t="s">
        <v>1296</v>
      </c>
      <c r="J707" s="410" t="s">
        <v>295</v>
      </c>
      <c r="K707" s="579"/>
    </row>
    <row r="708" spans="1:11" hidden="1">
      <c r="A708" s="295" t="s">
        <v>42</v>
      </c>
      <c r="B708" s="197" t="s">
        <v>973</v>
      </c>
      <c r="C708" s="294">
        <v>44392</v>
      </c>
      <c r="D708" s="314" t="s">
        <v>56</v>
      </c>
      <c r="E708" s="314" t="s">
        <v>758</v>
      </c>
      <c r="F708" s="314" t="s">
        <v>56</v>
      </c>
      <c r="G708" s="200" t="s">
        <v>1203</v>
      </c>
      <c r="H708" s="200" t="s">
        <v>1295</v>
      </c>
      <c r="I708" s="410">
        <v>0</v>
      </c>
      <c r="J708" s="410" t="s">
        <v>295</v>
      </c>
      <c r="K708" s="579"/>
    </row>
    <row r="709" spans="1:11" hidden="1">
      <c r="A709" s="295" t="s">
        <v>42</v>
      </c>
      <c r="B709" s="197" t="s">
        <v>973</v>
      </c>
      <c r="C709" s="294">
        <v>44392</v>
      </c>
      <c r="D709" s="314" t="s">
        <v>56</v>
      </c>
      <c r="E709" s="314" t="s">
        <v>758</v>
      </c>
      <c r="F709" s="314" t="s">
        <v>56</v>
      </c>
      <c r="G709" s="200" t="s">
        <v>1203</v>
      </c>
      <c r="H709" s="200" t="s">
        <v>1297</v>
      </c>
      <c r="I709" s="410">
        <v>0</v>
      </c>
      <c r="J709" s="410" t="s">
        <v>295</v>
      </c>
      <c r="K709" s="579"/>
    </row>
    <row r="710" spans="1:11" hidden="1">
      <c r="A710" s="295" t="s">
        <v>42</v>
      </c>
      <c r="B710" s="197" t="s">
        <v>973</v>
      </c>
      <c r="C710" s="294">
        <v>44392</v>
      </c>
      <c r="D710" s="314" t="s">
        <v>56</v>
      </c>
      <c r="E710" s="314" t="s">
        <v>758</v>
      </c>
      <c r="F710" s="314" t="s">
        <v>56</v>
      </c>
      <c r="G710" s="200" t="s">
        <v>1203</v>
      </c>
      <c r="H710" s="200" t="s">
        <v>1298</v>
      </c>
      <c r="I710" s="410" t="s">
        <v>759</v>
      </c>
      <c r="J710" s="410" t="s">
        <v>295</v>
      </c>
      <c r="K710" s="579"/>
    </row>
    <row r="711" spans="1:11" hidden="1">
      <c r="A711" s="295" t="s">
        <v>42</v>
      </c>
      <c r="B711" s="197" t="s">
        <v>973</v>
      </c>
      <c r="C711" s="294">
        <v>44392</v>
      </c>
      <c r="D711" s="314" t="s">
        <v>56</v>
      </c>
      <c r="E711" s="314" t="s">
        <v>758</v>
      </c>
      <c r="F711" s="314" t="s">
        <v>56</v>
      </c>
      <c r="G711" s="200" t="s">
        <v>1203</v>
      </c>
      <c r="H711" s="200" t="s">
        <v>703</v>
      </c>
      <c r="I711" s="410" t="s">
        <v>759</v>
      </c>
      <c r="J711" s="410" t="s">
        <v>295</v>
      </c>
      <c r="K711" s="579"/>
    </row>
    <row r="712" spans="1:11" hidden="1">
      <c r="A712" s="295" t="s">
        <v>42</v>
      </c>
      <c r="B712" s="197" t="s">
        <v>973</v>
      </c>
      <c r="C712" s="294">
        <v>44392</v>
      </c>
      <c r="D712" s="314" t="s">
        <v>56</v>
      </c>
      <c r="E712" s="314" t="s">
        <v>758</v>
      </c>
      <c r="F712" s="314" t="s">
        <v>56</v>
      </c>
      <c r="G712" s="200" t="s">
        <v>1203</v>
      </c>
      <c r="H712" s="200" t="s">
        <v>1299</v>
      </c>
      <c r="I712" s="410" t="s">
        <v>759</v>
      </c>
      <c r="J712" s="410" t="s">
        <v>295</v>
      </c>
      <c r="K712" s="579"/>
    </row>
    <row r="713" spans="1:11" hidden="1">
      <c r="A713" s="295" t="s">
        <v>42</v>
      </c>
      <c r="B713" s="197" t="s">
        <v>973</v>
      </c>
      <c r="C713" s="294">
        <v>44392</v>
      </c>
      <c r="D713" s="314" t="s">
        <v>56</v>
      </c>
      <c r="E713" s="314" t="s">
        <v>758</v>
      </c>
      <c r="F713" s="314" t="s">
        <v>56</v>
      </c>
      <c r="G713" s="200" t="s">
        <v>1203</v>
      </c>
      <c r="H713" s="200" t="s">
        <v>1300</v>
      </c>
      <c r="I713" s="410" t="s">
        <v>759</v>
      </c>
      <c r="J713" s="410" t="s">
        <v>295</v>
      </c>
      <c r="K713" s="579"/>
    </row>
    <row r="714" spans="1:11" ht="66" hidden="1">
      <c r="A714" s="295" t="s">
        <v>42</v>
      </c>
      <c r="B714" s="197" t="s">
        <v>973</v>
      </c>
      <c r="C714" s="294">
        <v>44392</v>
      </c>
      <c r="D714" s="314" t="s">
        <v>56</v>
      </c>
      <c r="E714" s="314" t="s">
        <v>758</v>
      </c>
      <c r="F714" s="314" t="s">
        <v>56</v>
      </c>
      <c r="G714" s="200" t="s">
        <v>1203</v>
      </c>
      <c r="H714" s="200" t="s">
        <v>1301</v>
      </c>
      <c r="I714" s="198" t="s">
        <v>1303</v>
      </c>
      <c r="J714" s="410" t="s">
        <v>295</v>
      </c>
      <c r="K714" s="579"/>
    </row>
    <row r="715" spans="1:11" ht="66" hidden="1">
      <c r="A715" s="295" t="s">
        <v>42</v>
      </c>
      <c r="B715" s="197" t="s">
        <v>973</v>
      </c>
      <c r="C715" s="294">
        <v>44392</v>
      </c>
      <c r="D715" s="314" t="s">
        <v>56</v>
      </c>
      <c r="E715" s="314" t="s">
        <v>758</v>
      </c>
      <c r="F715" s="314" t="s">
        <v>56</v>
      </c>
      <c r="G715" s="200" t="s">
        <v>1203</v>
      </c>
      <c r="H715" s="200" t="s">
        <v>1302</v>
      </c>
      <c r="I715" s="198" t="s">
        <v>1303</v>
      </c>
      <c r="J715" s="410" t="s">
        <v>295</v>
      </c>
      <c r="K715" s="579"/>
    </row>
    <row r="716" spans="1:11" ht="66" hidden="1">
      <c r="A716" s="295" t="s">
        <v>42</v>
      </c>
      <c r="B716" s="197" t="s">
        <v>973</v>
      </c>
      <c r="C716" s="294">
        <v>44392</v>
      </c>
      <c r="D716" s="314" t="s">
        <v>56</v>
      </c>
      <c r="E716" s="314" t="s">
        <v>758</v>
      </c>
      <c r="F716" s="314" t="s">
        <v>56</v>
      </c>
      <c r="G716" s="200" t="s">
        <v>1203</v>
      </c>
      <c r="H716" s="200" t="s">
        <v>1304</v>
      </c>
      <c r="I716" s="198" t="s">
        <v>1303</v>
      </c>
      <c r="J716" s="410" t="s">
        <v>295</v>
      </c>
      <c r="K716" s="579"/>
    </row>
    <row r="717" spans="1:11" ht="66" hidden="1">
      <c r="A717" s="295" t="s">
        <v>42</v>
      </c>
      <c r="B717" s="197" t="s">
        <v>973</v>
      </c>
      <c r="C717" s="294">
        <v>44392</v>
      </c>
      <c r="D717" s="314" t="s">
        <v>56</v>
      </c>
      <c r="E717" s="314" t="s">
        <v>758</v>
      </c>
      <c r="F717" s="314" t="s">
        <v>56</v>
      </c>
      <c r="G717" s="200" t="s">
        <v>1203</v>
      </c>
      <c r="H717" s="200" t="s">
        <v>1305</v>
      </c>
      <c r="I717" s="198" t="s">
        <v>1303</v>
      </c>
      <c r="J717" s="410" t="s">
        <v>295</v>
      </c>
      <c r="K717" s="579"/>
    </row>
    <row r="718" spans="1:11" hidden="1">
      <c r="A718" s="295" t="s">
        <v>42</v>
      </c>
      <c r="B718" s="197" t="s">
        <v>973</v>
      </c>
      <c r="C718" s="294">
        <v>44392</v>
      </c>
      <c r="D718" s="314" t="s">
        <v>56</v>
      </c>
      <c r="E718" s="314" t="s">
        <v>758</v>
      </c>
      <c r="F718" s="314" t="s">
        <v>56</v>
      </c>
      <c r="G718" s="200" t="s">
        <v>1203</v>
      </c>
      <c r="H718" s="200" t="s">
        <v>1306</v>
      </c>
      <c r="I718" s="410">
        <v>0</v>
      </c>
      <c r="J718" s="410" t="s">
        <v>295</v>
      </c>
      <c r="K718" s="579"/>
    </row>
    <row r="719" spans="1:11" ht="66" hidden="1">
      <c r="A719" s="295" t="s">
        <v>42</v>
      </c>
      <c r="B719" s="197" t="s">
        <v>973</v>
      </c>
      <c r="C719" s="294">
        <v>44392</v>
      </c>
      <c r="D719" s="314" t="s">
        <v>56</v>
      </c>
      <c r="E719" s="314" t="s">
        <v>758</v>
      </c>
      <c r="F719" s="314" t="s">
        <v>56</v>
      </c>
      <c r="G719" s="200" t="s">
        <v>1203</v>
      </c>
      <c r="H719" s="200" t="s">
        <v>148</v>
      </c>
      <c r="I719" s="198" t="s">
        <v>1303</v>
      </c>
      <c r="J719" s="410" t="s">
        <v>295</v>
      </c>
      <c r="K719" s="579"/>
    </row>
    <row r="720" spans="1:11" hidden="1">
      <c r="A720" s="295" t="s">
        <v>42</v>
      </c>
      <c r="B720" s="197" t="s">
        <v>973</v>
      </c>
      <c r="C720" s="294">
        <v>44392</v>
      </c>
      <c r="D720" s="314" t="s">
        <v>56</v>
      </c>
      <c r="E720" s="314" t="s">
        <v>758</v>
      </c>
      <c r="F720" s="314" t="s">
        <v>56</v>
      </c>
      <c r="G720" s="200" t="s">
        <v>1203</v>
      </c>
      <c r="H720" s="200" t="s">
        <v>1307</v>
      </c>
      <c r="I720" s="410">
        <v>0</v>
      </c>
      <c r="J720" s="410" t="s">
        <v>295</v>
      </c>
      <c r="K720" s="579"/>
    </row>
    <row r="721" spans="1:11" hidden="1">
      <c r="A721" s="295" t="s">
        <v>42</v>
      </c>
      <c r="B721" s="197" t="s">
        <v>973</v>
      </c>
      <c r="C721" s="294">
        <v>44392</v>
      </c>
      <c r="D721" s="314" t="s">
        <v>56</v>
      </c>
      <c r="E721" s="314" t="s">
        <v>758</v>
      </c>
      <c r="F721" s="314" t="s">
        <v>56</v>
      </c>
      <c r="G721" s="200" t="s">
        <v>1203</v>
      </c>
      <c r="H721" s="200" t="s">
        <v>1308</v>
      </c>
      <c r="I721" s="410">
        <v>0</v>
      </c>
      <c r="J721" s="410" t="s">
        <v>295</v>
      </c>
      <c r="K721" s="579"/>
    </row>
    <row r="722" spans="1:11" ht="52.8" hidden="1">
      <c r="A722" s="295" t="s">
        <v>42</v>
      </c>
      <c r="B722" s="197" t="s">
        <v>973</v>
      </c>
      <c r="C722" s="294">
        <v>44392</v>
      </c>
      <c r="D722" s="314" t="s">
        <v>56</v>
      </c>
      <c r="E722" s="314" t="s">
        <v>758</v>
      </c>
      <c r="F722" s="314" t="s">
        <v>56</v>
      </c>
      <c r="G722" s="200" t="s">
        <v>1203</v>
      </c>
      <c r="H722" s="200" t="s">
        <v>1309</v>
      </c>
      <c r="I722" s="198" t="s">
        <v>1310</v>
      </c>
      <c r="J722" s="410" t="s">
        <v>295</v>
      </c>
      <c r="K722" s="579"/>
    </row>
    <row r="723" spans="1:11" ht="52.8" hidden="1">
      <c r="A723" s="295" t="s">
        <v>42</v>
      </c>
      <c r="B723" s="197" t="s">
        <v>973</v>
      </c>
      <c r="C723" s="294">
        <v>44392</v>
      </c>
      <c r="D723" s="314" t="s">
        <v>56</v>
      </c>
      <c r="E723" s="314" t="s">
        <v>758</v>
      </c>
      <c r="F723" s="314" t="s">
        <v>56</v>
      </c>
      <c r="G723" s="200" t="s">
        <v>1203</v>
      </c>
      <c r="H723" s="200" t="s">
        <v>707</v>
      </c>
      <c r="I723" s="198" t="s">
        <v>1312</v>
      </c>
      <c r="J723" s="410" t="s">
        <v>295</v>
      </c>
      <c r="K723" s="579"/>
    </row>
    <row r="724" spans="1:11" ht="52.8" hidden="1">
      <c r="A724" s="295" t="s">
        <v>42</v>
      </c>
      <c r="B724" s="197" t="s">
        <v>973</v>
      </c>
      <c r="C724" s="294">
        <v>44392</v>
      </c>
      <c r="D724" s="314" t="s">
        <v>56</v>
      </c>
      <c r="E724" s="314" t="s">
        <v>758</v>
      </c>
      <c r="F724" s="314" t="s">
        <v>56</v>
      </c>
      <c r="G724" s="200" t="s">
        <v>1203</v>
      </c>
      <c r="H724" s="200" t="s">
        <v>1311</v>
      </c>
      <c r="I724" s="198" t="s">
        <v>1314</v>
      </c>
      <c r="J724" s="410" t="s">
        <v>295</v>
      </c>
      <c r="K724" s="579"/>
    </row>
    <row r="725" spans="1:11" ht="52.8" hidden="1">
      <c r="A725" s="295" t="s">
        <v>42</v>
      </c>
      <c r="B725" s="197" t="s">
        <v>973</v>
      </c>
      <c r="C725" s="294">
        <v>44392</v>
      </c>
      <c r="D725" s="314" t="s">
        <v>56</v>
      </c>
      <c r="E725" s="314" t="s">
        <v>758</v>
      </c>
      <c r="F725" s="314" t="s">
        <v>56</v>
      </c>
      <c r="G725" s="200" t="s">
        <v>1203</v>
      </c>
      <c r="H725" s="200" t="s">
        <v>1313</v>
      </c>
      <c r="I725" s="198" t="s">
        <v>1316</v>
      </c>
      <c r="J725" s="410" t="s">
        <v>295</v>
      </c>
      <c r="K725" s="579"/>
    </row>
    <row r="726" spans="1:11" hidden="1">
      <c r="A726" s="295" t="s">
        <v>42</v>
      </c>
      <c r="B726" s="197" t="s">
        <v>973</v>
      </c>
      <c r="C726" s="294">
        <v>44392</v>
      </c>
      <c r="D726" s="314" t="s">
        <v>56</v>
      </c>
      <c r="E726" s="314" t="s">
        <v>758</v>
      </c>
      <c r="F726" s="314" t="s">
        <v>56</v>
      </c>
      <c r="G726" s="200" t="s">
        <v>1203</v>
      </c>
      <c r="H726" s="200" t="s">
        <v>1315</v>
      </c>
      <c r="I726" s="198" t="s">
        <v>1318</v>
      </c>
      <c r="J726" s="410" t="s">
        <v>295</v>
      </c>
      <c r="K726" s="579"/>
    </row>
    <row r="727" spans="1:11" hidden="1">
      <c r="A727" s="295" t="s">
        <v>42</v>
      </c>
      <c r="B727" s="197" t="s">
        <v>973</v>
      </c>
      <c r="C727" s="294">
        <v>44392</v>
      </c>
      <c r="D727" s="314" t="s">
        <v>56</v>
      </c>
      <c r="E727" s="314" t="s">
        <v>758</v>
      </c>
      <c r="F727" s="314" t="s">
        <v>56</v>
      </c>
      <c r="G727" s="200" t="s">
        <v>1203</v>
      </c>
      <c r="H727" s="200" t="s">
        <v>1317</v>
      </c>
      <c r="I727" s="198" t="s">
        <v>1319</v>
      </c>
      <c r="J727" s="410" t="s">
        <v>295</v>
      </c>
      <c r="K727" s="579"/>
    </row>
    <row r="728" spans="1:11" hidden="1">
      <c r="A728" s="295" t="s">
        <v>42</v>
      </c>
      <c r="B728" s="197" t="s">
        <v>973</v>
      </c>
      <c r="C728" s="294">
        <v>44392</v>
      </c>
      <c r="D728" s="314" t="s">
        <v>56</v>
      </c>
      <c r="E728" s="314" t="s">
        <v>758</v>
      </c>
      <c r="F728" s="314" t="s">
        <v>56</v>
      </c>
      <c r="G728" s="200" t="s">
        <v>1203</v>
      </c>
      <c r="H728" s="200" t="s">
        <v>307</v>
      </c>
      <c r="I728" s="198" t="s">
        <v>1320</v>
      </c>
      <c r="J728" s="410" t="s">
        <v>295</v>
      </c>
      <c r="K728" s="579"/>
    </row>
    <row r="729" spans="1:11" hidden="1">
      <c r="A729" s="295" t="s">
        <v>42</v>
      </c>
      <c r="B729" s="197" t="s">
        <v>973</v>
      </c>
      <c r="C729" s="294">
        <v>44392</v>
      </c>
      <c r="D729" s="314" t="s">
        <v>56</v>
      </c>
      <c r="E729" s="314" t="s">
        <v>758</v>
      </c>
      <c r="F729" s="314" t="s">
        <v>56</v>
      </c>
      <c r="G729" s="200" t="s">
        <v>1203</v>
      </c>
      <c r="H729" s="200" t="s">
        <v>905</v>
      </c>
      <c r="I729" s="198" t="s">
        <v>1321</v>
      </c>
      <c r="J729" s="410" t="s">
        <v>295</v>
      </c>
      <c r="K729" s="579"/>
    </row>
    <row r="730" spans="1:11" hidden="1">
      <c r="A730" s="295" t="s">
        <v>42</v>
      </c>
      <c r="B730" s="197" t="s">
        <v>973</v>
      </c>
      <c r="C730" s="294">
        <v>44392</v>
      </c>
      <c r="D730" s="314" t="s">
        <v>56</v>
      </c>
      <c r="E730" s="314" t="s">
        <v>758</v>
      </c>
      <c r="F730" s="314" t="s">
        <v>56</v>
      </c>
      <c r="G730" s="200" t="s">
        <v>1203</v>
      </c>
      <c r="H730" s="200" t="s">
        <v>70</v>
      </c>
      <c r="I730" s="410" t="s">
        <v>759</v>
      </c>
      <c r="J730" s="410" t="s">
        <v>295</v>
      </c>
      <c r="K730" s="579"/>
    </row>
    <row r="731" spans="1:11" hidden="1">
      <c r="A731" s="295" t="s">
        <v>42</v>
      </c>
      <c r="B731" s="197" t="s">
        <v>973</v>
      </c>
      <c r="C731" s="294">
        <v>44392</v>
      </c>
      <c r="D731" s="314" t="s">
        <v>56</v>
      </c>
      <c r="E731" s="314" t="s">
        <v>758</v>
      </c>
      <c r="F731" s="314" t="s">
        <v>56</v>
      </c>
      <c r="G731" s="200" t="s">
        <v>1203</v>
      </c>
      <c r="H731" s="200" t="s">
        <v>1322</v>
      </c>
      <c r="I731" s="410" t="s">
        <v>759</v>
      </c>
      <c r="J731" s="410" t="s">
        <v>295</v>
      </c>
      <c r="K731" s="579"/>
    </row>
    <row r="732" spans="1:11" hidden="1">
      <c r="A732" s="295" t="s">
        <v>42</v>
      </c>
      <c r="B732" s="197" t="s">
        <v>973</v>
      </c>
      <c r="C732" s="294">
        <v>44392</v>
      </c>
      <c r="D732" s="314" t="s">
        <v>56</v>
      </c>
      <c r="E732" s="314" t="s">
        <v>758</v>
      </c>
      <c r="F732" s="314" t="s">
        <v>56</v>
      </c>
      <c r="G732" s="200" t="s">
        <v>1203</v>
      </c>
      <c r="H732" s="200" t="s">
        <v>151</v>
      </c>
      <c r="I732" s="410" t="s">
        <v>759</v>
      </c>
      <c r="J732" s="410" t="s">
        <v>295</v>
      </c>
      <c r="K732" s="579"/>
    </row>
    <row r="733" spans="1:11" hidden="1">
      <c r="A733" s="295" t="s">
        <v>42</v>
      </c>
      <c r="B733" s="197" t="s">
        <v>973</v>
      </c>
      <c r="C733" s="294">
        <v>44392</v>
      </c>
      <c r="D733" s="314" t="s">
        <v>56</v>
      </c>
      <c r="E733" s="314" t="s">
        <v>758</v>
      </c>
      <c r="F733" s="314" t="s">
        <v>56</v>
      </c>
      <c r="G733" s="200" t="s">
        <v>1203</v>
      </c>
      <c r="H733" s="200" t="s">
        <v>154</v>
      </c>
      <c r="I733" s="410" t="s">
        <v>759</v>
      </c>
      <c r="J733" s="410" t="s">
        <v>295</v>
      </c>
      <c r="K733" s="579"/>
    </row>
    <row r="734" spans="1:11" hidden="1">
      <c r="A734" s="295" t="s">
        <v>42</v>
      </c>
      <c r="B734" s="197" t="s">
        <v>973</v>
      </c>
      <c r="C734" s="294">
        <v>44392</v>
      </c>
      <c r="D734" s="314" t="s">
        <v>56</v>
      </c>
      <c r="E734" s="314" t="s">
        <v>758</v>
      </c>
      <c r="F734" s="314" t="s">
        <v>56</v>
      </c>
      <c r="G734" s="200" t="s">
        <v>1203</v>
      </c>
      <c r="H734" s="200" t="s">
        <v>1323</v>
      </c>
      <c r="I734" s="198" t="s">
        <v>1325</v>
      </c>
      <c r="J734" s="410" t="s">
        <v>295</v>
      </c>
      <c r="K734" s="579"/>
    </row>
    <row r="735" spans="1:11" hidden="1">
      <c r="A735" s="295" t="s">
        <v>42</v>
      </c>
      <c r="B735" s="197" t="s">
        <v>973</v>
      </c>
      <c r="C735" s="294">
        <v>44392</v>
      </c>
      <c r="D735" s="314" t="s">
        <v>56</v>
      </c>
      <c r="E735" s="314" t="s">
        <v>758</v>
      </c>
      <c r="F735" s="314" t="s">
        <v>56</v>
      </c>
      <c r="G735" s="200" t="s">
        <v>1203</v>
      </c>
      <c r="H735" s="200" t="s">
        <v>1324</v>
      </c>
      <c r="I735" s="198" t="s">
        <v>1327</v>
      </c>
      <c r="J735" s="410" t="s">
        <v>295</v>
      </c>
      <c r="K735" s="579"/>
    </row>
    <row r="736" spans="1:11" hidden="1">
      <c r="A736" s="295" t="s">
        <v>42</v>
      </c>
      <c r="B736" s="197" t="s">
        <v>973</v>
      </c>
      <c r="C736" s="294">
        <v>44392</v>
      </c>
      <c r="D736" s="314" t="s">
        <v>56</v>
      </c>
      <c r="E736" s="314" t="s">
        <v>758</v>
      </c>
      <c r="F736" s="314" t="s">
        <v>56</v>
      </c>
      <c r="G736" s="200" t="s">
        <v>1203</v>
      </c>
      <c r="H736" s="200" t="s">
        <v>1326</v>
      </c>
      <c r="I736" s="198" t="s">
        <v>1329</v>
      </c>
      <c r="J736" s="410" t="s">
        <v>295</v>
      </c>
      <c r="K736" s="579"/>
    </row>
    <row r="737" spans="1:11" hidden="1">
      <c r="A737" s="295" t="s">
        <v>42</v>
      </c>
      <c r="B737" s="197" t="s">
        <v>973</v>
      </c>
      <c r="C737" s="294">
        <v>44392</v>
      </c>
      <c r="D737" s="314" t="s">
        <v>56</v>
      </c>
      <c r="E737" s="314" t="s">
        <v>758</v>
      </c>
      <c r="F737" s="314" t="s">
        <v>56</v>
      </c>
      <c r="G737" s="200" t="s">
        <v>1203</v>
      </c>
      <c r="H737" s="200" t="s">
        <v>1328</v>
      </c>
      <c r="I737" s="198" t="s">
        <v>1331</v>
      </c>
      <c r="J737" s="410" t="s">
        <v>295</v>
      </c>
      <c r="K737" s="579"/>
    </row>
    <row r="738" spans="1:11" hidden="1">
      <c r="A738" s="295" t="s">
        <v>42</v>
      </c>
      <c r="B738" s="197" t="s">
        <v>973</v>
      </c>
      <c r="C738" s="294">
        <v>44392</v>
      </c>
      <c r="D738" s="314" t="s">
        <v>56</v>
      </c>
      <c r="E738" s="314" t="s">
        <v>758</v>
      </c>
      <c r="F738" s="314" t="s">
        <v>56</v>
      </c>
      <c r="G738" s="200" t="s">
        <v>1203</v>
      </c>
      <c r="H738" s="200" t="s">
        <v>1330</v>
      </c>
      <c r="I738" s="198" t="s">
        <v>1333</v>
      </c>
      <c r="J738" s="410" t="s">
        <v>295</v>
      </c>
      <c r="K738" s="579"/>
    </row>
    <row r="739" spans="1:11" hidden="1">
      <c r="A739" s="295" t="s">
        <v>42</v>
      </c>
      <c r="B739" s="197" t="s">
        <v>973</v>
      </c>
      <c r="C739" s="294">
        <v>44392</v>
      </c>
      <c r="D739" s="314" t="s">
        <v>56</v>
      </c>
      <c r="E739" s="314" t="s">
        <v>758</v>
      </c>
      <c r="F739" s="314" t="s">
        <v>56</v>
      </c>
      <c r="G739" s="200" t="s">
        <v>1203</v>
      </c>
      <c r="H739" s="200" t="s">
        <v>1332</v>
      </c>
      <c r="I739" s="198" t="s">
        <v>1334</v>
      </c>
      <c r="J739" s="410" t="s">
        <v>295</v>
      </c>
      <c r="K739" s="579"/>
    </row>
    <row r="740" spans="1:11" hidden="1">
      <c r="A740" s="295" t="s">
        <v>42</v>
      </c>
      <c r="B740" s="197" t="s">
        <v>973</v>
      </c>
      <c r="C740" s="294">
        <v>44392</v>
      </c>
      <c r="D740" s="314" t="s">
        <v>56</v>
      </c>
      <c r="E740" s="314" t="s">
        <v>758</v>
      </c>
      <c r="F740" s="314" t="s">
        <v>56</v>
      </c>
      <c r="G740" s="200" t="s">
        <v>1203</v>
      </c>
      <c r="H740" s="200" t="s">
        <v>308</v>
      </c>
      <c r="I740" s="198" t="s">
        <v>1336</v>
      </c>
      <c r="J740" s="410" t="s">
        <v>295</v>
      </c>
      <c r="K740" s="579"/>
    </row>
    <row r="741" spans="1:11" hidden="1">
      <c r="A741" s="295" t="s">
        <v>42</v>
      </c>
      <c r="B741" s="197" t="s">
        <v>973</v>
      </c>
      <c r="C741" s="294">
        <v>44392</v>
      </c>
      <c r="D741" s="314" t="s">
        <v>56</v>
      </c>
      <c r="E741" s="314" t="s">
        <v>758</v>
      </c>
      <c r="F741" s="314" t="s">
        <v>56</v>
      </c>
      <c r="G741" s="200" t="s">
        <v>1203</v>
      </c>
      <c r="H741" s="200" t="s">
        <v>1335</v>
      </c>
      <c r="I741" s="198" t="s">
        <v>1338</v>
      </c>
      <c r="J741" s="410" t="s">
        <v>295</v>
      </c>
      <c r="K741" s="579"/>
    </row>
    <row r="742" spans="1:11" hidden="1">
      <c r="A742" s="295" t="s">
        <v>42</v>
      </c>
      <c r="B742" s="197" t="s">
        <v>973</v>
      </c>
      <c r="C742" s="294">
        <v>44392</v>
      </c>
      <c r="D742" s="314" t="s">
        <v>56</v>
      </c>
      <c r="E742" s="314" t="s">
        <v>758</v>
      </c>
      <c r="F742" s="314" t="s">
        <v>56</v>
      </c>
      <c r="G742" s="200" t="s">
        <v>1203</v>
      </c>
      <c r="H742" s="200" t="s">
        <v>1337</v>
      </c>
      <c r="I742" s="198" t="s">
        <v>1340</v>
      </c>
      <c r="J742" s="410" t="s">
        <v>295</v>
      </c>
      <c r="K742" s="579"/>
    </row>
    <row r="743" spans="1:11" hidden="1">
      <c r="A743" s="295" t="s">
        <v>42</v>
      </c>
      <c r="B743" s="197" t="s">
        <v>973</v>
      </c>
      <c r="C743" s="294">
        <v>44392</v>
      </c>
      <c r="D743" s="314" t="s">
        <v>56</v>
      </c>
      <c r="E743" s="314" t="s">
        <v>758</v>
      </c>
      <c r="F743" s="314" t="s">
        <v>56</v>
      </c>
      <c r="G743" s="200" t="s">
        <v>1203</v>
      </c>
      <c r="H743" s="200" t="s">
        <v>1339</v>
      </c>
      <c r="I743" s="198" t="s">
        <v>1342</v>
      </c>
      <c r="J743" s="410" t="s">
        <v>295</v>
      </c>
      <c r="K743" s="579"/>
    </row>
    <row r="744" spans="1:11" hidden="1">
      <c r="A744" s="295" t="s">
        <v>42</v>
      </c>
      <c r="B744" s="197" t="s">
        <v>973</v>
      </c>
      <c r="C744" s="294">
        <v>44392</v>
      </c>
      <c r="D744" s="314" t="s">
        <v>56</v>
      </c>
      <c r="E744" s="314" t="s">
        <v>758</v>
      </c>
      <c r="F744" s="314" t="s">
        <v>56</v>
      </c>
      <c r="G744" s="200" t="s">
        <v>1203</v>
      </c>
      <c r="H744" s="200" t="s">
        <v>1341</v>
      </c>
      <c r="I744" s="198" t="s">
        <v>1344</v>
      </c>
      <c r="J744" s="410" t="s">
        <v>295</v>
      </c>
      <c r="K744" s="579"/>
    </row>
    <row r="745" spans="1:11" hidden="1">
      <c r="A745" s="295" t="s">
        <v>42</v>
      </c>
      <c r="B745" s="197" t="s">
        <v>973</v>
      </c>
      <c r="C745" s="294">
        <v>44392</v>
      </c>
      <c r="D745" s="314" t="s">
        <v>56</v>
      </c>
      <c r="E745" s="314" t="s">
        <v>758</v>
      </c>
      <c r="F745" s="314" t="s">
        <v>56</v>
      </c>
      <c r="G745" s="200" t="s">
        <v>1203</v>
      </c>
      <c r="H745" s="200" t="s">
        <v>1343</v>
      </c>
      <c r="I745" s="198" t="s">
        <v>1346</v>
      </c>
      <c r="J745" s="410" t="s">
        <v>295</v>
      </c>
      <c r="K745" s="579"/>
    </row>
    <row r="746" spans="1:11" hidden="1">
      <c r="A746" s="295" t="s">
        <v>42</v>
      </c>
      <c r="B746" s="197" t="s">
        <v>973</v>
      </c>
      <c r="C746" s="294">
        <v>44392</v>
      </c>
      <c r="D746" s="314" t="s">
        <v>56</v>
      </c>
      <c r="E746" s="314" t="s">
        <v>758</v>
      </c>
      <c r="F746" s="314" t="s">
        <v>56</v>
      </c>
      <c r="G746" s="200" t="s">
        <v>1203</v>
      </c>
      <c r="H746" s="200" t="s">
        <v>1345</v>
      </c>
      <c r="I746" s="410" t="s">
        <v>759</v>
      </c>
      <c r="J746" s="410" t="s">
        <v>295</v>
      </c>
      <c r="K746" s="579"/>
    </row>
    <row r="747" spans="1:11" hidden="1">
      <c r="A747" s="295" t="s">
        <v>42</v>
      </c>
      <c r="B747" s="197" t="s">
        <v>973</v>
      </c>
      <c r="C747" s="294">
        <v>44392</v>
      </c>
      <c r="D747" s="314" t="s">
        <v>56</v>
      </c>
      <c r="E747" s="314" t="s">
        <v>758</v>
      </c>
      <c r="F747" s="314" t="s">
        <v>56</v>
      </c>
      <c r="G747" s="200" t="s">
        <v>1203</v>
      </c>
      <c r="H747" s="200" t="s">
        <v>1347</v>
      </c>
      <c r="I747" s="410" t="s">
        <v>759</v>
      </c>
      <c r="J747" s="410" t="s">
        <v>295</v>
      </c>
      <c r="K747" s="579"/>
    </row>
    <row r="748" spans="1:11" hidden="1">
      <c r="A748" s="295" t="s">
        <v>42</v>
      </c>
      <c r="B748" s="197" t="s">
        <v>973</v>
      </c>
      <c r="C748" s="294">
        <v>44392</v>
      </c>
      <c r="D748" s="314" t="s">
        <v>56</v>
      </c>
      <c r="E748" s="314" t="s">
        <v>758</v>
      </c>
      <c r="F748" s="314" t="s">
        <v>56</v>
      </c>
      <c r="G748" s="200" t="s">
        <v>1203</v>
      </c>
      <c r="H748" s="200" t="s">
        <v>1348</v>
      </c>
      <c r="I748" s="410" t="s">
        <v>759</v>
      </c>
      <c r="J748" s="410" t="s">
        <v>295</v>
      </c>
      <c r="K748" s="579"/>
    </row>
    <row r="749" spans="1:11" hidden="1">
      <c r="A749" s="295" t="s">
        <v>42</v>
      </c>
      <c r="B749" s="197" t="s">
        <v>973</v>
      </c>
      <c r="C749" s="294">
        <v>44392</v>
      </c>
      <c r="D749" s="314" t="s">
        <v>56</v>
      </c>
      <c r="E749" s="314" t="s">
        <v>758</v>
      </c>
      <c r="F749" s="314" t="s">
        <v>56</v>
      </c>
      <c r="G749" s="200" t="s">
        <v>1203</v>
      </c>
      <c r="H749" s="200" t="s">
        <v>1349</v>
      </c>
      <c r="I749" s="410" t="s">
        <v>759</v>
      </c>
      <c r="J749" s="410" t="s">
        <v>295</v>
      </c>
      <c r="K749" s="579"/>
    </row>
    <row r="750" spans="1:11" hidden="1">
      <c r="A750" s="295" t="s">
        <v>42</v>
      </c>
      <c r="B750" s="197" t="s">
        <v>973</v>
      </c>
      <c r="C750" s="294">
        <v>44392</v>
      </c>
      <c r="D750" s="314" t="s">
        <v>56</v>
      </c>
      <c r="E750" s="314" t="s">
        <v>758</v>
      </c>
      <c r="F750" s="314" t="s">
        <v>56</v>
      </c>
      <c r="G750" s="200" t="s">
        <v>1203</v>
      </c>
      <c r="H750" s="200" t="s">
        <v>1350</v>
      </c>
      <c r="I750" s="198" t="s">
        <v>1352</v>
      </c>
      <c r="J750" s="410" t="s">
        <v>295</v>
      </c>
      <c r="K750" s="579"/>
    </row>
    <row r="751" spans="1:11" hidden="1">
      <c r="A751" s="295" t="s">
        <v>42</v>
      </c>
      <c r="B751" s="197" t="s">
        <v>973</v>
      </c>
      <c r="C751" s="294">
        <v>44392</v>
      </c>
      <c r="D751" s="314" t="s">
        <v>56</v>
      </c>
      <c r="E751" s="314" t="s">
        <v>758</v>
      </c>
      <c r="F751" s="314" t="s">
        <v>56</v>
      </c>
      <c r="G751" s="200" t="s">
        <v>1203</v>
      </c>
      <c r="H751" s="200" t="s">
        <v>1351</v>
      </c>
      <c r="I751" s="198" t="s">
        <v>1354</v>
      </c>
      <c r="J751" s="410" t="s">
        <v>295</v>
      </c>
      <c r="K751" s="579"/>
    </row>
    <row r="752" spans="1:11" hidden="1">
      <c r="A752" s="295" t="s">
        <v>42</v>
      </c>
      <c r="B752" s="197" t="s">
        <v>973</v>
      </c>
      <c r="C752" s="294">
        <v>44392</v>
      </c>
      <c r="D752" s="314" t="s">
        <v>56</v>
      </c>
      <c r="E752" s="314" t="s">
        <v>758</v>
      </c>
      <c r="F752" s="314" t="s">
        <v>56</v>
      </c>
      <c r="G752" s="200" t="s">
        <v>1203</v>
      </c>
      <c r="H752" s="200" t="s">
        <v>1353</v>
      </c>
      <c r="I752" s="198" t="s">
        <v>1356</v>
      </c>
      <c r="J752" s="410" t="s">
        <v>295</v>
      </c>
      <c r="K752" s="579"/>
    </row>
    <row r="753" spans="1:11" hidden="1">
      <c r="A753" s="295" t="s">
        <v>42</v>
      </c>
      <c r="B753" s="197" t="s">
        <v>973</v>
      </c>
      <c r="C753" s="294">
        <v>44392</v>
      </c>
      <c r="D753" s="314" t="s">
        <v>56</v>
      </c>
      <c r="E753" s="314" t="s">
        <v>758</v>
      </c>
      <c r="F753" s="314" t="s">
        <v>56</v>
      </c>
      <c r="G753" s="200" t="s">
        <v>1203</v>
      </c>
      <c r="H753" s="200" t="s">
        <v>1355</v>
      </c>
      <c r="I753" s="198" t="s">
        <v>1358</v>
      </c>
      <c r="J753" s="410" t="s">
        <v>295</v>
      </c>
      <c r="K753" s="579"/>
    </row>
    <row r="754" spans="1:11" hidden="1">
      <c r="A754" s="295" t="s">
        <v>42</v>
      </c>
      <c r="B754" s="197" t="s">
        <v>973</v>
      </c>
      <c r="C754" s="294">
        <v>44392</v>
      </c>
      <c r="D754" s="314" t="s">
        <v>56</v>
      </c>
      <c r="E754" s="314" t="s">
        <v>758</v>
      </c>
      <c r="F754" s="314" t="s">
        <v>56</v>
      </c>
      <c r="G754" s="200" t="s">
        <v>1203</v>
      </c>
      <c r="H754" s="200" t="s">
        <v>1357</v>
      </c>
      <c r="I754" s="198" t="s">
        <v>1360</v>
      </c>
      <c r="J754" s="410" t="s">
        <v>295</v>
      </c>
      <c r="K754" s="579"/>
    </row>
    <row r="755" spans="1:11" hidden="1">
      <c r="A755" s="295" t="s">
        <v>42</v>
      </c>
      <c r="B755" s="197" t="s">
        <v>973</v>
      </c>
      <c r="C755" s="294">
        <v>44392</v>
      </c>
      <c r="D755" s="314" t="s">
        <v>56</v>
      </c>
      <c r="E755" s="314" t="s">
        <v>758</v>
      </c>
      <c r="F755" s="314" t="s">
        <v>56</v>
      </c>
      <c r="G755" s="200" t="s">
        <v>1203</v>
      </c>
      <c r="H755" s="200" t="s">
        <v>1359</v>
      </c>
      <c r="I755" s="198" t="s">
        <v>1362</v>
      </c>
      <c r="J755" s="410" t="s">
        <v>295</v>
      </c>
      <c r="K755" s="579"/>
    </row>
    <row r="756" spans="1:11" hidden="1">
      <c r="A756" s="295" t="s">
        <v>42</v>
      </c>
      <c r="B756" s="197" t="s">
        <v>973</v>
      </c>
      <c r="C756" s="294">
        <v>44392</v>
      </c>
      <c r="D756" s="314" t="s">
        <v>56</v>
      </c>
      <c r="E756" s="314" t="s">
        <v>758</v>
      </c>
      <c r="F756" s="314" t="s">
        <v>56</v>
      </c>
      <c r="G756" s="200" t="s">
        <v>1203</v>
      </c>
      <c r="H756" s="200" t="s">
        <v>1361</v>
      </c>
      <c r="I756" s="198" t="s">
        <v>1364</v>
      </c>
      <c r="J756" s="410" t="s">
        <v>295</v>
      </c>
      <c r="K756" s="579"/>
    </row>
    <row r="757" spans="1:11" hidden="1">
      <c r="A757" s="295" t="s">
        <v>42</v>
      </c>
      <c r="B757" s="197" t="s">
        <v>973</v>
      </c>
      <c r="C757" s="294">
        <v>44392</v>
      </c>
      <c r="D757" s="314" t="s">
        <v>56</v>
      </c>
      <c r="E757" s="314" t="s">
        <v>758</v>
      </c>
      <c r="F757" s="314" t="s">
        <v>56</v>
      </c>
      <c r="G757" s="200" t="s">
        <v>1203</v>
      </c>
      <c r="H757" s="200" t="s">
        <v>1363</v>
      </c>
      <c r="I757" s="198" t="s">
        <v>1366</v>
      </c>
      <c r="J757" s="410" t="s">
        <v>295</v>
      </c>
      <c r="K757" s="579"/>
    </row>
    <row r="758" spans="1:11" hidden="1">
      <c r="A758" s="295" t="s">
        <v>42</v>
      </c>
      <c r="B758" s="197" t="s">
        <v>973</v>
      </c>
      <c r="C758" s="294">
        <v>44392</v>
      </c>
      <c r="D758" s="314" t="s">
        <v>56</v>
      </c>
      <c r="E758" s="314" t="s">
        <v>758</v>
      </c>
      <c r="F758" s="314" t="s">
        <v>56</v>
      </c>
      <c r="G758" s="200" t="s">
        <v>1203</v>
      </c>
      <c r="H758" s="200" t="s">
        <v>1365</v>
      </c>
      <c r="I758" s="198" t="s">
        <v>1368</v>
      </c>
      <c r="J758" s="410" t="s">
        <v>295</v>
      </c>
      <c r="K758" s="579"/>
    </row>
    <row r="759" spans="1:11" hidden="1">
      <c r="A759" s="295" t="s">
        <v>42</v>
      </c>
      <c r="B759" s="197" t="s">
        <v>973</v>
      </c>
      <c r="C759" s="294">
        <v>44392</v>
      </c>
      <c r="D759" s="314" t="s">
        <v>56</v>
      </c>
      <c r="E759" s="314" t="s">
        <v>758</v>
      </c>
      <c r="F759" s="314" t="s">
        <v>56</v>
      </c>
      <c r="G759" s="200" t="s">
        <v>1203</v>
      </c>
      <c r="H759" s="200" t="s">
        <v>1367</v>
      </c>
      <c r="I759" s="198" t="s">
        <v>1370</v>
      </c>
      <c r="J759" s="410" t="s">
        <v>295</v>
      </c>
      <c r="K759" s="579"/>
    </row>
    <row r="760" spans="1:11" hidden="1">
      <c r="A760" s="295" t="s">
        <v>42</v>
      </c>
      <c r="B760" s="197" t="s">
        <v>973</v>
      </c>
      <c r="C760" s="294">
        <v>44392</v>
      </c>
      <c r="D760" s="314" t="s">
        <v>56</v>
      </c>
      <c r="E760" s="314" t="s">
        <v>758</v>
      </c>
      <c r="F760" s="314" t="s">
        <v>56</v>
      </c>
      <c r="G760" s="200" t="s">
        <v>1203</v>
      </c>
      <c r="H760" s="200" t="s">
        <v>1369</v>
      </c>
      <c r="I760" s="198" t="s">
        <v>1372</v>
      </c>
      <c r="J760" s="410" t="s">
        <v>295</v>
      </c>
      <c r="K760" s="579"/>
    </row>
    <row r="761" spans="1:11" hidden="1">
      <c r="A761" s="295" t="s">
        <v>42</v>
      </c>
      <c r="B761" s="197" t="s">
        <v>973</v>
      </c>
      <c r="C761" s="294">
        <v>44392</v>
      </c>
      <c r="D761" s="314" t="s">
        <v>56</v>
      </c>
      <c r="E761" s="314" t="s">
        <v>758</v>
      </c>
      <c r="F761" s="314" t="s">
        <v>56</v>
      </c>
      <c r="G761" s="200" t="s">
        <v>1203</v>
      </c>
      <c r="H761" s="200" t="s">
        <v>1371</v>
      </c>
      <c r="I761" s="198" t="s">
        <v>1374</v>
      </c>
      <c r="J761" s="410" t="s">
        <v>295</v>
      </c>
      <c r="K761" s="579"/>
    </row>
    <row r="762" spans="1:11" hidden="1">
      <c r="A762" s="295" t="s">
        <v>42</v>
      </c>
      <c r="B762" s="197" t="s">
        <v>973</v>
      </c>
      <c r="C762" s="294">
        <v>44392</v>
      </c>
      <c r="D762" s="314" t="s">
        <v>56</v>
      </c>
      <c r="E762" s="314" t="s">
        <v>758</v>
      </c>
      <c r="F762" s="314" t="s">
        <v>56</v>
      </c>
      <c r="G762" s="200" t="s">
        <v>1203</v>
      </c>
      <c r="H762" s="200" t="s">
        <v>1373</v>
      </c>
      <c r="I762" s="410" t="s">
        <v>1376</v>
      </c>
      <c r="J762" s="410" t="s">
        <v>295</v>
      </c>
      <c r="K762" s="579"/>
    </row>
    <row r="763" spans="1:11" hidden="1">
      <c r="A763" s="295" t="s">
        <v>42</v>
      </c>
      <c r="B763" s="197" t="s">
        <v>973</v>
      </c>
      <c r="C763" s="294">
        <v>44392</v>
      </c>
      <c r="D763" s="314" t="s">
        <v>56</v>
      </c>
      <c r="E763" s="314" t="s">
        <v>758</v>
      </c>
      <c r="F763" s="314" t="s">
        <v>56</v>
      </c>
      <c r="G763" s="200" t="s">
        <v>1203</v>
      </c>
      <c r="H763" s="200" t="s">
        <v>1375</v>
      </c>
      <c r="I763" s="410" t="s">
        <v>1378</v>
      </c>
      <c r="J763" s="410" t="s">
        <v>295</v>
      </c>
      <c r="K763" s="579"/>
    </row>
    <row r="764" spans="1:11" hidden="1">
      <c r="A764" s="295" t="s">
        <v>42</v>
      </c>
      <c r="B764" s="197" t="s">
        <v>973</v>
      </c>
      <c r="C764" s="294">
        <v>44392</v>
      </c>
      <c r="D764" s="314" t="s">
        <v>56</v>
      </c>
      <c r="E764" s="314" t="s">
        <v>758</v>
      </c>
      <c r="F764" s="314" t="s">
        <v>56</v>
      </c>
      <c r="G764" s="200" t="s">
        <v>1203</v>
      </c>
      <c r="H764" s="200" t="s">
        <v>1377</v>
      </c>
      <c r="I764" s="410" t="s">
        <v>1380</v>
      </c>
      <c r="J764" s="410" t="s">
        <v>295</v>
      </c>
      <c r="K764" s="579"/>
    </row>
    <row r="765" spans="1:11" hidden="1">
      <c r="A765" s="295" t="s">
        <v>42</v>
      </c>
      <c r="B765" s="197" t="s">
        <v>973</v>
      </c>
      <c r="C765" s="294">
        <v>44392</v>
      </c>
      <c r="D765" s="314" t="s">
        <v>56</v>
      </c>
      <c r="E765" s="314" t="s">
        <v>758</v>
      </c>
      <c r="F765" s="314" t="s">
        <v>56</v>
      </c>
      <c r="G765" s="200" t="s">
        <v>1203</v>
      </c>
      <c r="H765" s="200" t="s">
        <v>1379</v>
      </c>
      <c r="I765" s="198" t="s">
        <v>1382</v>
      </c>
      <c r="J765" s="410" t="s">
        <v>295</v>
      </c>
      <c r="K765" s="579"/>
    </row>
    <row r="766" spans="1:11" hidden="1">
      <c r="A766" s="295" t="s">
        <v>42</v>
      </c>
      <c r="B766" s="197" t="s">
        <v>973</v>
      </c>
      <c r="C766" s="294">
        <v>44392</v>
      </c>
      <c r="D766" s="314" t="s">
        <v>56</v>
      </c>
      <c r="E766" s="314" t="s">
        <v>758</v>
      </c>
      <c r="F766" s="314" t="s">
        <v>56</v>
      </c>
      <c r="G766" s="200" t="s">
        <v>1203</v>
      </c>
      <c r="H766" s="200" t="s">
        <v>1381</v>
      </c>
      <c r="I766" s="410" t="s">
        <v>759</v>
      </c>
      <c r="J766" s="410" t="s">
        <v>295</v>
      </c>
      <c r="K766" s="579"/>
    </row>
    <row r="767" spans="1:11" hidden="1">
      <c r="A767" s="295" t="s">
        <v>42</v>
      </c>
      <c r="B767" s="197" t="s">
        <v>973</v>
      </c>
      <c r="C767" s="294">
        <v>44392</v>
      </c>
      <c r="D767" s="314" t="s">
        <v>56</v>
      </c>
      <c r="E767" s="314" t="s">
        <v>758</v>
      </c>
      <c r="F767" s="314" t="s">
        <v>56</v>
      </c>
      <c r="G767" s="200" t="s">
        <v>1203</v>
      </c>
      <c r="H767" s="200" t="s">
        <v>1383</v>
      </c>
      <c r="I767" s="198" t="s">
        <v>1385</v>
      </c>
      <c r="J767" s="410" t="s">
        <v>295</v>
      </c>
      <c r="K767" s="579"/>
    </row>
    <row r="768" spans="1:11" hidden="1">
      <c r="A768" s="295" t="s">
        <v>42</v>
      </c>
      <c r="B768" s="197" t="s">
        <v>973</v>
      </c>
      <c r="C768" s="294">
        <v>44392</v>
      </c>
      <c r="D768" s="314" t="s">
        <v>56</v>
      </c>
      <c r="E768" s="314" t="s">
        <v>758</v>
      </c>
      <c r="F768" s="314" t="s">
        <v>56</v>
      </c>
      <c r="G768" s="200" t="s">
        <v>1203</v>
      </c>
      <c r="H768" s="200" t="s">
        <v>1384</v>
      </c>
      <c r="I768" s="198" t="s">
        <v>1387</v>
      </c>
      <c r="J768" s="410" t="s">
        <v>295</v>
      </c>
      <c r="K768" s="579"/>
    </row>
    <row r="769" spans="1:11" hidden="1">
      <c r="A769" s="295" t="s">
        <v>42</v>
      </c>
      <c r="B769" s="197" t="s">
        <v>973</v>
      </c>
      <c r="C769" s="294">
        <v>44392</v>
      </c>
      <c r="D769" s="314" t="s">
        <v>56</v>
      </c>
      <c r="E769" s="314" t="s">
        <v>758</v>
      </c>
      <c r="F769" s="314" t="s">
        <v>56</v>
      </c>
      <c r="G769" s="200" t="s">
        <v>1203</v>
      </c>
      <c r="H769" s="200" t="s">
        <v>1386</v>
      </c>
      <c r="I769" s="340" t="s">
        <v>1388</v>
      </c>
      <c r="J769" s="410" t="s">
        <v>295</v>
      </c>
      <c r="K769" s="579"/>
    </row>
    <row r="770" spans="1:11" hidden="1">
      <c r="A770" s="295" t="s">
        <v>42</v>
      </c>
      <c r="B770" s="197" t="s">
        <v>973</v>
      </c>
      <c r="C770" s="294">
        <v>44392</v>
      </c>
      <c r="D770" s="314" t="s">
        <v>56</v>
      </c>
      <c r="E770" s="314" t="s">
        <v>758</v>
      </c>
      <c r="F770" s="314" t="s">
        <v>56</v>
      </c>
      <c r="G770" s="200" t="s">
        <v>1203</v>
      </c>
      <c r="H770" s="200" t="s">
        <v>1124</v>
      </c>
      <c r="I770" s="198" t="s">
        <v>1389</v>
      </c>
      <c r="J770" s="410" t="s">
        <v>295</v>
      </c>
      <c r="K770" s="579"/>
    </row>
    <row r="771" spans="1:11" hidden="1">
      <c r="A771" s="295" t="s">
        <v>42</v>
      </c>
      <c r="B771" s="197" t="s">
        <v>973</v>
      </c>
      <c r="C771" s="294">
        <v>44392</v>
      </c>
      <c r="D771" s="314" t="s">
        <v>56</v>
      </c>
      <c r="E771" s="314" t="s">
        <v>758</v>
      </c>
      <c r="F771" s="314" t="s">
        <v>56</v>
      </c>
      <c r="G771" s="200" t="s">
        <v>1203</v>
      </c>
      <c r="H771" s="200" t="s">
        <v>692</v>
      </c>
      <c r="I771" s="198" t="s">
        <v>1391</v>
      </c>
      <c r="J771" s="410" t="s">
        <v>295</v>
      </c>
      <c r="K771" s="579"/>
    </row>
    <row r="772" spans="1:11" hidden="1">
      <c r="A772" s="295" t="s">
        <v>42</v>
      </c>
      <c r="B772" s="197" t="s">
        <v>973</v>
      </c>
      <c r="C772" s="294">
        <v>44392</v>
      </c>
      <c r="D772" s="314" t="s">
        <v>56</v>
      </c>
      <c r="E772" s="314" t="s">
        <v>758</v>
      </c>
      <c r="F772" s="314" t="s">
        <v>56</v>
      </c>
      <c r="G772" s="200" t="s">
        <v>1203</v>
      </c>
      <c r="H772" s="200" t="s">
        <v>1390</v>
      </c>
      <c r="I772" s="410" t="s">
        <v>1393</v>
      </c>
      <c r="J772" s="410" t="s">
        <v>295</v>
      </c>
      <c r="K772" s="579"/>
    </row>
    <row r="773" spans="1:11" hidden="1">
      <c r="A773" s="295" t="s">
        <v>42</v>
      </c>
      <c r="B773" s="197" t="s">
        <v>973</v>
      </c>
      <c r="C773" s="294">
        <v>44392</v>
      </c>
      <c r="D773" s="314" t="s">
        <v>56</v>
      </c>
      <c r="E773" s="314" t="s">
        <v>758</v>
      </c>
      <c r="F773" s="314" t="s">
        <v>56</v>
      </c>
      <c r="G773" s="200" t="s">
        <v>1203</v>
      </c>
      <c r="H773" s="200" t="s">
        <v>1392</v>
      </c>
      <c r="I773" s="410" t="s">
        <v>87</v>
      </c>
      <c r="J773" s="410" t="s">
        <v>295</v>
      </c>
      <c r="K773" s="579"/>
    </row>
    <row r="774" spans="1:11" hidden="1">
      <c r="A774" s="295" t="s">
        <v>42</v>
      </c>
      <c r="B774" s="197" t="s">
        <v>973</v>
      </c>
      <c r="C774" s="294">
        <v>44392</v>
      </c>
      <c r="D774" s="314" t="s">
        <v>56</v>
      </c>
      <c r="E774" s="314" t="s">
        <v>758</v>
      </c>
      <c r="F774" s="314" t="s">
        <v>56</v>
      </c>
      <c r="G774" s="200" t="s">
        <v>1203</v>
      </c>
      <c r="H774" s="200" t="s">
        <v>176</v>
      </c>
      <c r="I774" s="410" t="s">
        <v>1395</v>
      </c>
      <c r="J774" s="410" t="s">
        <v>295</v>
      </c>
      <c r="K774" s="579"/>
    </row>
    <row r="775" spans="1:11" hidden="1">
      <c r="A775" s="295" t="s">
        <v>42</v>
      </c>
      <c r="B775" s="197" t="s">
        <v>973</v>
      </c>
      <c r="C775" s="294">
        <v>44392</v>
      </c>
      <c r="D775" s="314" t="s">
        <v>56</v>
      </c>
      <c r="E775" s="314" t="s">
        <v>758</v>
      </c>
      <c r="F775" s="314" t="s">
        <v>56</v>
      </c>
      <c r="G775" s="200" t="s">
        <v>1203</v>
      </c>
      <c r="H775" s="200" t="s">
        <v>1394</v>
      </c>
      <c r="I775" s="198" t="s">
        <v>1396</v>
      </c>
      <c r="J775" s="410" t="s">
        <v>295</v>
      </c>
      <c r="K775" s="579"/>
    </row>
    <row r="776" spans="1:11" hidden="1">
      <c r="A776" s="295" t="s">
        <v>42</v>
      </c>
      <c r="B776" s="197" t="s">
        <v>973</v>
      </c>
      <c r="C776" s="294">
        <v>44392</v>
      </c>
      <c r="D776" s="314" t="s">
        <v>56</v>
      </c>
      <c r="E776" s="314" t="s">
        <v>758</v>
      </c>
      <c r="F776" s="314" t="s">
        <v>56</v>
      </c>
      <c r="G776" s="200" t="s">
        <v>1203</v>
      </c>
      <c r="H776" s="200" t="s">
        <v>76</v>
      </c>
      <c r="I776" s="198" t="s">
        <v>1398</v>
      </c>
      <c r="J776" s="410" t="s">
        <v>295</v>
      </c>
      <c r="K776" s="579"/>
    </row>
    <row r="777" spans="1:11" hidden="1">
      <c r="A777" s="295" t="s">
        <v>42</v>
      </c>
      <c r="B777" s="197" t="s">
        <v>973</v>
      </c>
      <c r="C777" s="294">
        <v>44392</v>
      </c>
      <c r="D777" s="314" t="s">
        <v>56</v>
      </c>
      <c r="E777" s="314" t="s">
        <v>758</v>
      </c>
      <c r="F777" s="314" t="s">
        <v>56</v>
      </c>
      <c r="G777" s="200" t="s">
        <v>1203</v>
      </c>
      <c r="H777" s="200" t="s">
        <v>1397</v>
      </c>
      <c r="I777" s="198" t="s">
        <v>1399</v>
      </c>
      <c r="J777" s="410" t="s">
        <v>295</v>
      </c>
      <c r="K777" s="579"/>
    </row>
    <row r="778" spans="1:11" hidden="1">
      <c r="A778" s="295" t="s">
        <v>42</v>
      </c>
      <c r="B778" s="197" t="s">
        <v>973</v>
      </c>
      <c r="C778" s="294">
        <v>44392</v>
      </c>
      <c r="D778" s="314" t="s">
        <v>56</v>
      </c>
      <c r="E778" s="314" t="s">
        <v>758</v>
      </c>
      <c r="F778" s="314" t="s">
        <v>56</v>
      </c>
      <c r="G778" s="200" t="s">
        <v>1203</v>
      </c>
      <c r="H778" s="200" t="s">
        <v>131</v>
      </c>
      <c r="I778" s="410" t="s">
        <v>1400</v>
      </c>
      <c r="J778" s="410" t="s">
        <v>295</v>
      </c>
      <c r="K778" s="579"/>
    </row>
    <row r="779" spans="1:11" hidden="1">
      <c r="A779" s="295" t="s">
        <v>42</v>
      </c>
      <c r="B779" s="197" t="s">
        <v>973</v>
      </c>
      <c r="C779" s="294">
        <v>44392</v>
      </c>
      <c r="D779" s="314" t="s">
        <v>56</v>
      </c>
      <c r="E779" s="314" t="s">
        <v>758</v>
      </c>
      <c r="F779" s="314" t="s">
        <v>56</v>
      </c>
      <c r="G779" s="200" t="s">
        <v>1203</v>
      </c>
      <c r="H779" s="200" t="s">
        <v>134</v>
      </c>
      <c r="I779" s="410" t="s">
        <v>1401</v>
      </c>
      <c r="J779" s="410" t="s">
        <v>295</v>
      </c>
      <c r="K779" s="579"/>
    </row>
    <row r="780" spans="1:11" hidden="1">
      <c r="A780" s="295" t="s">
        <v>42</v>
      </c>
      <c r="B780" s="197" t="s">
        <v>973</v>
      </c>
      <c r="C780" s="294">
        <v>44392</v>
      </c>
      <c r="D780" s="314" t="s">
        <v>56</v>
      </c>
      <c r="E780" s="314" t="s">
        <v>758</v>
      </c>
      <c r="F780" s="314" t="s">
        <v>56</v>
      </c>
      <c r="G780" s="200" t="s">
        <v>1203</v>
      </c>
      <c r="H780" s="200" t="s">
        <v>194</v>
      </c>
      <c r="I780" s="198" t="s">
        <v>1402</v>
      </c>
      <c r="J780" s="410" t="s">
        <v>295</v>
      </c>
      <c r="K780" s="579"/>
    </row>
    <row r="781" spans="1:11" hidden="1">
      <c r="A781" s="295" t="s">
        <v>42</v>
      </c>
      <c r="B781" s="197" t="s">
        <v>973</v>
      </c>
      <c r="C781" s="294">
        <v>44392</v>
      </c>
      <c r="D781" s="314" t="s">
        <v>56</v>
      </c>
      <c r="E781" s="314" t="s">
        <v>758</v>
      </c>
      <c r="F781" s="314" t="s">
        <v>56</v>
      </c>
      <c r="G781" s="200" t="s">
        <v>1203</v>
      </c>
      <c r="H781" s="200" t="s">
        <v>314</v>
      </c>
      <c r="I781" s="198" t="s">
        <v>1403</v>
      </c>
      <c r="J781" s="410" t="s">
        <v>295</v>
      </c>
      <c r="K781" s="579"/>
    </row>
    <row r="782" spans="1:11" hidden="1">
      <c r="A782" s="295" t="s">
        <v>42</v>
      </c>
      <c r="B782" s="197" t="s">
        <v>973</v>
      </c>
      <c r="C782" s="294">
        <v>44392</v>
      </c>
      <c r="D782" s="314" t="s">
        <v>56</v>
      </c>
      <c r="E782" s="314" t="s">
        <v>758</v>
      </c>
      <c r="F782" s="314" t="s">
        <v>56</v>
      </c>
      <c r="G782" s="200" t="s">
        <v>1203</v>
      </c>
      <c r="H782" s="200" t="s">
        <v>316</v>
      </c>
      <c r="I782" s="198" t="s">
        <v>1404</v>
      </c>
      <c r="J782" s="410" t="s">
        <v>295</v>
      </c>
      <c r="K782" s="579"/>
    </row>
    <row r="783" spans="1:11" hidden="1">
      <c r="A783" s="295" t="s">
        <v>42</v>
      </c>
      <c r="B783" s="197" t="s">
        <v>973</v>
      </c>
      <c r="C783" s="294">
        <v>44392</v>
      </c>
      <c r="D783" s="314" t="s">
        <v>56</v>
      </c>
      <c r="E783" s="314" t="s">
        <v>758</v>
      </c>
      <c r="F783" s="314" t="s">
        <v>56</v>
      </c>
      <c r="G783" s="200" t="s">
        <v>1203</v>
      </c>
      <c r="H783" s="200" t="s">
        <v>318</v>
      </c>
      <c r="I783" s="198" t="s">
        <v>1405</v>
      </c>
      <c r="J783" s="410" t="s">
        <v>295</v>
      </c>
      <c r="K783" s="579"/>
    </row>
    <row r="784" spans="1:11" hidden="1">
      <c r="A784" s="295" t="s">
        <v>42</v>
      </c>
      <c r="B784" s="197" t="s">
        <v>973</v>
      </c>
      <c r="C784" s="294">
        <v>44392</v>
      </c>
      <c r="D784" s="314" t="s">
        <v>56</v>
      </c>
      <c r="E784" s="314" t="s">
        <v>758</v>
      </c>
      <c r="F784" s="314" t="s">
        <v>56</v>
      </c>
      <c r="G784" s="200" t="s">
        <v>1203</v>
      </c>
      <c r="H784" s="200" t="s">
        <v>320</v>
      </c>
      <c r="I784" s="198" t="s">
        <v>1406</v>
      </c>
      <c r="J784" s="410" t="s">
        <v>295</v>
      </c>
      <c r="K784" s="579"/>
    </row>
    <row r="785" spans="1:11" hidden="1">
      <c r="A785" s="295" t="s">
        <v>42</v>
      </c>
      <c r="B785" s="197" t="s">
        <v>973</v>
      </c>
      <c r="C785" s="294">
        <v>44392</v>
      </c>
      <c r="D785" s="314" t="s">
        <v>56</v>
      </c>
      <c r="E785" s="314" t="s">
        <v>758</v>
      </c>
      <c r="F785" s="314" t="s">
        <v>56</v>
      </c>
      <c r="G785" s="200" t="s">
        <v>1203</v>
      </c>
      <c r="H785" s="200" t="s">
        <v>322</v>
      </c>
      <c r="I785" s="198" t="s">
        <v>1407</v>
      </c>
      <c r="J785" s="410" t="s">
        <v>295</v>
      </c>
      <c r="K785" s="579"/>
    </row>
    <row r="786" spans="1:11" hidden="1">
      <c r="A786" s="295" t="s">
        <v>42</v>
      </c>
      <c r="B786" s="197" t="s">
        <v>973</v>
      </c>
      <c r="C786" s="294">
        <v>44392</v>
      </c>
      <c r="D786" s="314" t="s">
        <v>56</v>
      </c>
      <c r="E786" s="314" t="s">
        <v>758</v>
      </c>
      <c r="F786" s="314" t="s">
        <v>56</v>
      </c>
      <c r="G786" s="200" t="s">
        <v>1203</v>
      </c>
      <c r="H786" s="200" t="s">
        <v>324</v>
      </c>
      <c r="I786" s="410" t="s">
        <v>1409</v>
      </c>
      <c r="J786" s="410" t="s">
        <v>295</v>
      </c>
      <c r="K786" s="579"/>
    </row>
    <row r="787" spans="1:11" hidden="1">
      <c r="A787" s="295" t="s">
        <v>42</v>
      </c>
      <c r="B787" s="197" t="s">
        <v>973</v>
      </c>
      <c r="C787" s="294">
        <v>44392</v>
      </c>
      <c r="D787" s="314" t="s">
        <v>56</v>
      </c>
      <c r="E787" s="314" t="s">
        <v>758</v>
      </c>
      <c r="F787" s="314" t="s">
        <v>56</v>
      </c>
      <c r="G787" s="200" t="s">
        <v>1203</v>
      </c>
      <c r="H787" s="200" t="s">
        <v>1408</v>
      </c>
      <c r="I787" s="410" t="s">
        <v>1411</v>
      </c>
      <c r="J787" s="410" t="s">
        <v>295</v>
      </c>
      <c r="K787" s="579"/>
    </row>
    <row r="788" spans="1:11" hidden="1">
      <c r="A788" s="295" t="s">
        <v>42</v>
      </c>
      <c r="B788" s="197" t="s">
        <v>973</v>
      </c>
      <c r="C788" s="294">
        <v>44392</v>
      </c>
      <c r="D788" s="314" t="s">
        <v>56</v>
      </c>
      <c r="E788" s="314" t="s">
        <v>758</v>
      </c>
      <c r="F788" s="314" t="s">
        <v>56</v>
      </c>
      <c r="G788" s="200" t="s">
        <v>1203</v>
      </c>
      <c r="H788" s="200" t="s">
        <v>1410</v>
      </c>
      <c r="I788" s="410" t="s">
        <v>1412</v>
      </c>
      <c r="J788" s="410" t="s">
        <v>295</v>
      </c>
      <c r="K788" s="579"/>
    </row>
    <row r="789" spans="1:11" hidden="1">
      <c r="A789" s="295" t="s">
        <v>42</v>
      </c>
      <c r="B789" s="197" t="s">
        <v>973</v>
      </c>
      <c r="C789" s="294">
        <v>44392</v>
      </c>
      <c r="D789" s="314" t="s">
        <v>56</v>
      </c>
      <c r="E789" s="314" t="s">
        <v>758</v>
      </c>
      <c r="F789" s="314" t="s">
        <v>56</v>
      </c>
      <c r="G789" s="200" t="s">
        <v>1203</v>
      </c>
      <c r="H789" s="200" t="s">
        <v>741</v>
      </c>
      <c r="I789" s="410" t="s">
        <v>1413</v>
      </c>
      <c r="J789" s="410" t="s">
        <v>295</v>
      </c>
      <c r="K789" s="579"/>
    </row>
    <row r="790" spans="1:11" ht="26.4" hidden="1">
      <c r="A790" s="295" t="s">
        <v>42</v>
      </c>
      <c r="B790" s="197" t="s">
        <v>973</v>
      </c>
      <c r="C790" s="294">
        <v>44392</v>
      </c>
      <c r="D790" s="314" t="s">
        <v>56</v>
      </c>
      <c r="E790" s="314" t="s">
        <v>758</v>
      </c>
      <c r="F790" s="314" t="s">
        <v>56</v>
      </c>
      <c r="G790" s="200" t="s">
        <v>1203</v>
      </c>
      <c r="H790" s="200" t="s">
        <v>338</v>
      </c>
      <c r="I790" s="410" t="s">
        <v>390</v>
      </c>
      <c r="J790" s="410" t="s">
        <v>295</v>
      </c>
      <c r="K790" s="579"/>
    </row>
    <row r="791" spans="1:11" hidden="1">
      <c r="A791" s="295" t="s">
        <v>42</v>
      </c>
      <c r="B791" s="197" t="s">
        <v>973</v>
      </c>
      <c r="C791" s="294">
        <v>44392</v>
      </c>
      <c r="D791" s="314" t="s">
        <v>56</v>
      </c>
      <c r="E791" s="314" t="s">
        <v>758</v>
      </c>
      <c r="F791" s="314" t="s">
        <v>56</v>
      </c>
      <c r="G791" s="200" t="s">
        <v>1203</v>
      </c>
      <c r="H791" s="200" t="s">
        <v>1414</v>
      </c>
      <c r="I791" s="410" t="s">
        <v>1415</v>
      </c>
      <c r="J791" s="410" t="s">
        <v>295</v>
      </c>
      <c r="K791" s="579"/>
    </row>
    <row r="792" spans="1:11" hidden="1">
      <c r="A792" s="295" t="s">
        <v>42</v>
      </c>
      <c r="B792" s="197" t="s">
        <v>973</v>
      </c>
      <c r="C792" s="294">
        <v>44392</v>
      </c>
      <c r="D792" s="314" t="s">
        <v>56</v>
      </c>
      <c r="E792" s="314" t="s">
        <v>758</v>
      </c>
      <c r="F792" s="314" t="s">
        <v>56</v>
      </c>
      <c r="G792" s="200" t="s">
        <v>1203</v>
      </c>
      <c r="H792" s="200" t="s">
        <v>330</v>
      </c>
      <c r="I792" s="410" t="s">
        <v>1416</v>
      </c>
      <c r="J792" s="410" t="s">
        <v>295</v>
      </c>
      <c r="K792" s="579"/>
    </row>
    <row r="793" spans="1:11" hidden="1">
      <c r="A793" s="295" t="s">
        <v>42</v>
      </c>
      <c r="B793" s="197" t="s">
        <v>973</v>
      </c>
      <c r="C793" s="294">
        <v>44392</v>
      </c>
      <c r="D793" s="314" t="s">
        <v>56</v>
      </c>
      <c r="E793" s="314" t="s">
        <v>758</v>
      </c>
      <c r="F793" s="314" t="s">
        <v>56</v>
      </c>
      <c r="G793" s="200" t="s">
        <v>1203</v>
      </c>
      <c r="H793" s="200" t="s">
        <v>749</v>
      </c>
      <c r="I793" s="410" t="s">
        <v>1417</v>
      </c>
      <c r="J793" s="410" t="s">
        <v>295</v>
      </c>
      <c r="K793" s="579"/>
    </row>
    <row r="794" spans="1:11" hidden="1">
      <c r="A794" s="295" t="s">
        <v>42</v>
      </c>
      <c r="B794" s="197" t="s">
        <v>973</v>
      </c>
      <c r="C794" s="294">
        <v>44392</v>
      </c>
      <c r="D794" s="314" t="s">
        <v>56</v>
      </c>
      <c r="E794" s="314" t="s">
        <v>758</v>
      </c>
      <c r="F794" s="314" t="s">
        <v>56</v>
      </c>
      <c r="G794" s="200" t="s">
        <v>1203</v>
      </c>
      <c r="H794" s="200" t="s">
        <v>687</v>
      </c>
      <c r="I794" s="410" t="s">
        <v>1418</v>
      </c>
      <c r="J794" s="410" t="s">
        <v>295</v>
      </c>
      <c r="K794" s="579"/>
    </row>
    <row r="795" spans="1:11" ht="14.25" hidden="1" customHeight="1">
      <c r="A795" s="295" t="s">
        <v>42</v>
      </c>
      <c r="B795" s="197" t="s">
        <v>973</v>
      </c>
      <c r="C795" s="294">
        <v>44392</v>
      </c>
      <c r="D795" s="314" t="s">
        <v>56</v>
      </c>
      <c r="E795" s="314" t="s">
        <v>758</v>
      </c>
      <c r="F795" s="314" t="s">
        <v>56</v>
      </c>
      <c r="G795" s="200" t="s">
        <v>1203</v>
      </c>
      <c r="H795" s="200" t="s">
        <v>567</v>
      </c>
      <c r="I795" s="410" t="s">
        <v>1205</v>
      </c>
      <c r="J795" s="410"/>
      <c r="K795" s="570" t="s">
        <v>1420</v>
      </c>
    </row>
    <row r="796" spans="1:11" ht="14.25" hidden="1" customHeight="1">
      <c r="A796" s="295" t="s">
        <v>42</v>
      </c>
      <c r="B796" s="197" t="s">
        <v>973</v>
      </c>
      <c r="C796" s="294">
        <v>44392</v>
      </c>
      <c r="D796" s="314" t="s">
        <v>56</v>
      </c>
      <c r="E796" s="314" t="s">
        <v>758</v>
      </c>
      <c r="F796" s="314" t="s">
        <v>56</v>
      </c>
      <c r="G796" s="205" t="s">
        <v>1419</v>
      </c>
      <c r="H796" s="205" t="s">
        <v>1204</v>
      </c>
      <c r="I796" s="410" t="s">
        <v>1210</v>
      </c>
      <c r="J796" s="410" t="s">
        <v>295</v>
      </c>
      <c r="K796" s="570"/>
    </row>
    <row r="797" spans="1:11" hidden="1">
      <c r="A797" s="295" t="s">
        <v>42</v>
      </c>
      <c r="B797" s="197" t="s">
        <v>973</v>
      </c>
      <c r="C797" s="294">
        <v>44392</v>
      </c>
      <c r="D797" s="314" t="s">
        <v>56</v>
      </c>
      <c r="E797" s="314" t="s">
        <v>758</v>
      </c>
      <c r="F797" s="314" t="s">
        <v>56</v>
      </c>
      <c r="G797" s="205" t="s">
        <v>1419</v>
      </c>
      <c r="H797" s="205" t="s">
        <v>1209</v>
      </c>
      <c r="I797" s="410" t="s">
        <v>1010</v>
      </c>
      <c r="J797" s="410" t="s">
        <v>295</v>
      </c>
      <c r="K797" s="570"/>
    </row>
    <row r="798" spans="1:11" hidden="1">
      <c r="A798" s="295" t="s">
        <v>42</v>
      </c>
      <c r="B798" s="197" t="s">
        <v>973</v>
      </c>
      <c r="C798" s="294">
        <v>44392</v>
      </c>
      <c r="D798" s="314" t="s">
        <v>56</v>
      </c>
      <c r="E798" s="314" t="s">
        <v>758</v>
      </c>
      <c r="F798" s="314" t="s">
        <v>56</v>
      </c>
      <c r="G798" s="205" t="s">
        <v>1419</v>
      </c>
      <c r="H798" s="205" t="s">
        <v>1211</v>
      </c>
      <c r="I798" s="410" t="s">
        <v>1213</v>
      </c>
      <c r="J798" s="410" t="s">
        <v>295</v>
      </c>
      <c r="K798" s="570"/>
    </row>
    <row r="799" spans="1:11" hidden="1">
      <c r="A799" s="295" t="s">
        <v>42</v>
      </c>
      <c r="B799" s="197" t="s">
        <v>973</v>
      </c>
      <c r="C799" s="294">
        <v>44392</v>
      </c>
      <c r="D799" s="314" t="s">
        <v>56</v>
      </c>
      <c r="E799" s="314" t="s">
        <v>758</v>
      </c>
      <c r="F799" s="314" t="s">
        <v>56</v>
      </c>
      <c r="G799" s="205" t="s">
        <v>1419</v>
      </c>
      <c r="H799" s="205" t="s">
        <v>1212</v>
      </c>
      <c r="I799" s="410" t="s">
        <v>1215</v>
      </c>
      <c r="J799" s="410" t="s">
        <v>295</v>
      </c>
      <c r="K799" s="570"/>
    </row>
    <row r="800" spans="1:11" hidden="1">
      <c r="A800" s="295" t="s">
        <v>42</v>
      </c>
      <c r="B800" s="197" t="s">
        <v>973</v>
      </c>
      <c r="C800" s="294">
        <v>44392</v>
      </c>
      <c r="D800" s="314" t="s">
        <v>56</v>
      </c>
      <c r="E800" s="314" t="s">
        <v>758</v>
      </c>
      <c r="F800" s="314" t="s">
        <v>56</v>
      </c>
      <c r="G800" s="205" t="s">
        <v>1419</v>
      </c>
      <c r="H800" s="205" t="s">
        <v>1214</v>
      </c>
      <c r="I800" s="410" t="s">
        <v>1217</v>
      </c>
      <c r="J800" s="410" t="s">
        <v>295</v>
      </c>
      <c r="K800" s="570"/>
    </row>
    <row r="801" spans="1:11" hidden="1">
      <c r="A801" s="295" t="s">
        <v>42</v>
      </c>
      <c r="B801" s="197" t="s">
        <v>973</v>
      </c>
      <c r="C801" s="294">
        <v>44392</v>
      </c>
      <c r="D801" s="314" t="s">
        <v>56</v>
      </c>
      <c r="E801" s="314" t="s">
        <v>758</v>
      </c>
      <c r="F801" s="314" t="s">
        <v>56</v>
      </c>
      <c r="G801" s="205" t="s">
        <v>1419</v>
      </c>
      <c r="H801" s="205" t="s">
        <v>1216</v>
      </c>
      <c r="I801" s="410" t="s">
        <v>92</v>
      </c>
      <c r="J801" s="410" t="s">
        <v>295</v>
      </c>
      <c r="K801" s="570"/>
    </row>
    <row r="802" spans="1:11" hidden="1">
      <c r="A802" s="295" t="s">
        <v>42</v>
      </c>
      <c r="B802" s="197" t="s">
        <v>973</v>
      </c>
      <c r="C802" s="294">
        <v>44392</v>
      </c>
      <c r="D802" s="314" t="s">
        <v>56</v>
      </c>
      <c r="E802" s="314" t="s">
        <v>758</v>
      </c>
      <c r="F802" s="314" t="s">
        <v>56</v>
      </c>
      <c r="G802" s="205" t="s">
        <v>1419</v>
      </c>
      <c r="H802" s="205" t="s">
        <v>1421</v>
      </c>
      <c r="I802" s="410" t="s">
        <v>81</v>
      </c>
      <c r="J802" s="410" t="s">
        <v>295</v>
      </c>
      <c r="K802" s="570"/>
    </row>
    <row r="803" spans="1:11" hidden="1">
      <c r="A803" s="295" t="s">
        <v>42</v>
      </c>
      <c r="B803" s="197" t="s">
        <v>973</v>
      </c>
      <c r="C803" s="294">
        <v>44392</v>
      </c>
      <c r="D803" s="314" t="s">
        <v>56</v>
      </c>
      <c r="E803" s="314" t="s">
        <v>758</v>
      </c>
      <c r="F803" s="314" t="s">
        <v>56</v>
      </c>
      <c r="G803" s="205" t="s">
        <v>1419</v>
      </c>
      <c r="H803" s="205" t="s">
        <v>1422</v>
      </c>
      <c r="I803" s="410" t="s">
        <v>1221</v>
      </c>
      <c r="J803" s="410" t="s">
        <v>295</v>
      </c>
      <c r="K803" s="570"/>
    </row>
    <row r="804" spans="1:11" hidden="1">
      <c r="A804" s="295" t="s">
        <v>42</v>
      </c>
      <c r="B804" s="197" t="s">
        <v>973</v>
      </c>
      <c r="C804" s="294">
        <v>44392</v>
      </c>
      <c r="D804" s="314" t="s">
        <v>56</v>
      </c>
      <c r="E804" s="314" t="s">
        <v>758</v>
      </c>
      <c r="F804" s="314" t="s">
        <v>56</v>
      </c>
      <c r="G804" s="205" t="s">
        <v>1419</v>
      </c>
      <c r="H804" s="205" t="s">
        <v>1423</v>
      </c>
      <c r="I804" s="410" t="s">
        <v>92</v>
      </c>
      <c r="J804" s="410" t="s">
        <v>295</v>
      </c>
      <c r="K804" s="570"/>
    </row>
    <row r="805" spans="1:11" hidden="1">
      <c r="A805" s="295" t="s">
        <v>42</v>
      </c>
      <c r="B805" s="197" t="s">
        <v>973</v>
      </c>
      <c r="C805" s="294">
        <v>44392</v>
      </c>
      <c r="D805" s="314" t="s">
        <v>56</v>
      </c>
      <c r="E805" s="314" t="s">
        <v>758</v>
      </c>
      <c r="F805" s="314" t="s">
        <v>56</v>
      </c>
      <c r="G805" s="205" t="s">
        <v>1419</v>
      </c>
      <c r="H805" s="205" t="s">
        <v>900</v>
      </c>
      <c r="I805" s="410" t="s">
        <v>81</v>
      </c>
      <c r="J805" s="410" t="s">
        <v>295</v>
      </c>
      <c r="K805" s="570"/>
    </row>
    <row r="806" spans="1:11" hidden="1">
      <c r="A806" s="295" t="s">
        <v>42</v>
      </c>
      <c r="B806" s="197" t="s">
        <v>973</v>
      </c>
      <c r="C806" s="294">
        <v>44392</v>
      </c>
      <c r="D806" s="314" t="s">
        <v>56</v>
      </c>
      <c r="E806" s="314" t="s">
        <v>758</v>
      </c>
      <c r="F806" s="314" t="s">
        <v>56</v>
      </c>
      <c r="G806" s="205" t="s">
        <v>1419</v>
      </c>
      <c r="H806" s="205" t="s">
        <v>1424</v>
      </c>
      <c r="I806" s="410" t="s">
        <v>1221</v>
      </c>
      <c r="J806" s="410" t="s">
        <v>295</v>
      </c>
      <c r="K806" s="570"/>
    </row>
    <row r="807" spans="1:11" hidden="1">
      <c r="A807" s="295" t="s">
        <v>42</v>
      </c>
      <c r="B807" s="197" t="s">
        <v>973</v>
      </c>
      <c r="C807" s="294">
        <v>44392</v>
      </c>
      <c r="D807" s="314" t="s">
        <v>56</v>
      </c>
      <c r="E807" s="314" t="s">
        <v>758</v>
      </c>
      <c r="F807" s="314" t="s">
        <v>56</v>
      </c>
      <c r="G807" s="205" t="s">
        <v>1419</v>
      </c>
      <c r="H807" s="205" t="s">
        <v>1425</v>
      </c>
      <c r="I807" s="410" t="s">
        <v>1426</v>
      </c>
      <c r="J807" s="410" t="s">
        <v>295</v>
      </c>
      <c r="K807" s="570"/>
    </row>
    <row r="808" spans="1:11" hidden="1">
      <c r="A808" s="295" t="s">
        <v>42</v>
      </c>
      <c r="B808" s="197" t="s">
        <v>973</v>
      </c>
      <c r="C808" s="294">
        <v>44392</v>
      </c>
      <c r="D808" s="314" t="s">
        <v>56</v>
      </c>
      <c r="E808" s="314" t="s">
        <v>758</v>
      </c>
      <c r="F808" s="314" t="s">
        <v>56</v>
      </c>
      <c r="G808" s="205" t="s">
        <v>1419</v>
      </c>
      <c r="H808" s="205" t="s">
        <v>1225</v>
      </c>
      <c r="I808" s="410">
        <v>2</v>
      </c>
      <c r="J808" s="410" t="s">
        <v>295</v>
      </c>
      <c r="K808" s="570"/>
    </row>
    <row r="809" spans="1:11" hidden="1">
      <c r="A809" s="295" t="s">
        <v>42</v>
      </c>
      <c r="B809" s="197" t="s">
        <v>973</v>
      </c>
      <c r="C809" s="294">
        <v>44392</v>
      </c>
      <c r="D809" s="314" t="s">
        <v>56</v>
      </c>
      <c r="E809" s="314" t="s">
        <v>758</v>
      </c>
      <c r="F809" s="314" t="s">
        <v>56</v>
      </c>
      <c r="G809" s="205" t="s">
        <v>1419</v>
      </c>
      <c r="H809" s="205" t="s">
        <v>1227</v>
      </c>
      <c r="I809" s="410">
        <v>7</v>
      </c>
      <c r="J809" s="410" t="s">
        <v>295</v>
      </c>
      <c r="K809" s="570"/>
    </row>
    <row r="810" spans="1:11" hidden="1">
      <c r="A810" s="295" t="s">
        <v>42</v>
      </c>
      <c r="B810" s="197" t="s">
        <v>973</v>
      </c>
      <c r="C810" s="294">
        <v>44392</v>
      </c>
      <c r="D810" s="314" t="s">
        <v>56</v>
      </c>
      <c r="E810" s="314" t="s">
        <v>758</v>
      </c>
      <c r="F810" s="314" t="s">
        <v>56</v>
      </c>
      <c r="G810" s="205" t="s">
        <v>1419</v>
      </c>
      <c r="H810" s="205" t="s">
        <v>960</v>
      </c>
      <c r="I810" s="410">
        <v>8</v>
      </c>
      <c r="J810" s="410" t="s">
        <v>295</v>
      </c>
      <c r="K810" s="570"/>
    </row>
    <row r="811" spans="1:11" hidden="1">
      <c r="A811" s="295" t="s">
        <v>42</v>
      </c>
      <c r="B811" s="197" t="s">
        <v>973</v>
      </c>
      <c r="C811" s="294">
        <v>44392</v>
      </c>
      <c r="D811" s="314" t="s">
        <v>56</v>
      </c>
      <c r="E811" s="314" t="s">
        <v>758</v>
      </c>
      <c r="F811" s="314" t="s">
        <v>56</v>
      </c>
      <c r="G811" s="205" t="s">
        <v>1419</v>
      </c>
      <c r="H811" s="205" t="s">
        <v>768</v>
      </c>
      <c r="I811" s="410" t="s">
        <v>759</v>
      </c>
      <c r="J811" s="410" t="s">
        <v>295</v>
      </c>
      <c r="K811" s="570"/>
    </row>
    <row r="812" spans="1:11" hidden="1">
      <c r="A812" s="295" t="s">
        <v>42</v>
      </c>
      <c r="B812" s="197" t="s">
        <v>973</v>
      </c>
      <c r="C812" s="294">
        <v>44392</v>
      </c>
      <c r="D812" s="314" t="s">
        <v>56</v>
      </c>
      <c r="E812" s="314" t="s">
        <v>758</v>
      </c>
      <c r="F812" s="314" t="s">
        <v>56</v>
      </c>
      <c r="G812" s="205" t="s">
        <v>1419</v>
      </c>
      <c r="H812" s="205" t="s">
        <v>1228</v>
      </c>
      <c r="I812" s="410" t="s">
        <v>759</v>
      </c>
      <c r="J812" s="410" t="s">
        <v>295</v>
      </c>
      <c r="K812" s="570"/>
    </row>
    <row r="813" spans="1:11" hidden="1">
      <c r="A813" s="295" t="s">
        <v>42</v>
      </c>
      <c r="B813" s="197" t="s">
        <v>973</v>
      </c>
      <c r="C813" s="294">
        <v>44392</v>
      </c>
      <c r="D813" s="314" t="s">
        <v>56</v>
      </c>
      <c r="E813" s="314" t="s">
        <v>758</v>
      </c>
      <c r="F813" s="314" t="s">
        <v>56</v>
      </c>
      <c r="G813" s="205" t="s">
        <v>1419</v>
      </c>
      <c r="H813" s="205" t="s">
        <v>1229</v>
      </c>
      <c r="I813" s="410" t="s">
        <v>759</v>
      </c>
      <c r="J813" s="410" t="s">
        <v>295</v>
      </c>
      <c r="K813" s="570"/>
    </row>
    <row r="814" spans="1:11" hidden="1">
      <c r="A814" s="295" t="s">
        <v>42</v>
      </c>
      <c r="B814" s="197" t="s">
        <v>973</v>
      </c>
      <c r="C814" s="294">
        <v>44392</v>
      </c>
      <c r="D814" s="314" t="s">
        <v>56</v>
      </c>
      <c r="E814" s="314" t="s">
        <v>758</v>
      </c>
      <c r="F814" s="314" t="s">
        <v>56</v>
      </c>
      <c r="G814" s="205" t="s">
        <v>1419</v>
      </c>
      <c r="H814" s="205" t="s">
        <v>1231</v>
      </c>
      <c r="I814" s="410" t="s">
        <v>759</v>
      </c>
      <c r="J814" s="410" t="s">
        <v>295</v>
      </c>
      <c r="K814" s="570"/>
    </row>
    <row r="815" spans="1:11" hidden="1">
      <c r="A815" s="295" t="s">
        <v>42</v>
      </c>
      <c r="B815" s="197" t="s">
        <v>973</v>
      </c>
      <c r="C815" s="294">
        <v>44392</v>
      </c>
      <c r="D815" s="314" t="s">
        <v>56</v>
      </c>
      <c r="E815" s="314" t="s">
        <v>758</v>
      </c>
      <c r="F815" s="314" t="s">
        <v>56</v>
      </c>
      <c r="G815" s="205" t="s">
        <v>1419</v>
      </c>
      <c r="H815" s="205" t="s">
        <v>1232</v>
      </c>
      <c r="I815" s="410" t="s">
        <v>1230</v>
      </c>
      <c r="J815" s="410" t="s">
        <v>295</v>
      </c>
      <c r="K815" s="570"/>
    </row>
    <row r="816" spans="1:11" hidden="1">
      <c r="A816" s="295" t="s">
        <v>42</v>
      </c>
      <c r="B816" s="197" t="s">
        <v>973</v>
      </c>
      <c r="C816" s="294">
        <v>44392</v>
      </c>
      <c r="D816" s="314" t="s">
        <v>56</v>
      </c>
      <c r="E816" s="314" t="s">
        <v>758</v>
      </c>
      <c r="F816" s="314" t="s">
        <v>56</v>
      </c>
      <c r="G816" s="205" t="s">
        <v>1419</v>
      </c>
      <c r="H816" s="205" t="s">
        <v>1233</v>
      </c>
      <c r="I816" s="410">
        <v>9</v>
      </c>
      <c r="J816" s="410"/>
      <c r="K816" s="570"/>
    </row>
    <row r="817" spans="1:11" hidden="1">
      <c r="A817" s="295" t="s">
        <v>42</v>
      </c>
      <c r="B817" s="197" t="s">
        <v>973</v>
      </c>
      <c r="C817" s="294">
        <v>44392</v>
      </c>
      <c r="D817" s="314" t="s">
        <v>56</v>
      </c>
      <c r="E817" s="314" t="s">
        <v>758</v>
      </c>
      <c r="F817" s="314" t="s">
        <v>56</v>
      </c>
      <c r="G817" s="205" t="s">
        <v>1419</v>
      </c>
      <c r="H817" s="205" t="s">
        <v>1234</v>
      </c>
      <c r="I817" s="410">
        <v>10</v>
      </c>
      <c r="J817" s="410"/>
      <c r="K817" s="570"/>
    </row>
    <row r="818" spans="1:11" hidden="1">
      <c r="A818" s="295" t="s">
        <v>42</v>
      </c>
      <c r="B818" s="197" t="s">
        <v>973</v>
      </c>
      <c r="C818" s="294">
        <v>44392</v>
      </c>
      <c r="D818" s="314" t="s">
        <v>56</v>
      </c>
      <c r="E818" s="314" t="s">
        <v>758</v>
      </c>
      <c r="F818" s="314" t="s">
        <v>56</v>
      </c>
      <c r="G818" s="205" t="s">
        <v>1419</v>
      </c>
      <c r="H818" s="205" t="s">
        <v>1235</v>
      </c>
      <c r="I818" s="410">
        <v>11</v>
      </c>
      <c r="J818" s="410"/>
      <c r="K818" s="570"/>
    </row>
    <row r="819" spans="1:11" hidden="1">
      <c r="A819" s="295" t="s">
        <v>42</v>
      </c>
      <c r="B819" s="197" t="s">
        <v>973</v>
      </c>
      <c r="C819" s="294">
        <v>44392</v>
      </c>
      <c r="D819" s="314" t="s">
        <v>56</v>
      </c>
      <c r="E819" s="314" t="s">
        <v>758</v>
      </c>
      <c r="F819" s="314" t="s">
        <v>56</v>
      </c>
      <c r="G819" s="205" t="s">
        <v>1419</v>
      </c>
      <c r="H819" s="205" t="s">
        <v>1237</v>
      </c>
      <c r="I819" s="410">
        <v>12</v>
      </c>
      <c r="J819" s="410"/>
      <c r="K819" s="570"/>
    </row>
    <row r="820" spans="1:11" hidden="1">
      <c r="A820" s="295" t="s">
        <v>42</v>
      </c>
      <c r="B820" s="197" t="s">
        <v>973</v>
      </c>
      <c r="C820" s="294">
        <v>44392</v>
      </c>
      <c r="D820" s="314" t="s">
        <v>56</v>
      </c>
      <c r="E820" s="314" t="s">
        <v>758</v>
      </c>
      <c r="F820" s="314" t="s">
        <v>56</v>
      </c>
      <c r="G820" s="205" t="s">
        <v>1419</v>
      </c>
      <c r="H820" s="205" t="s">
        <v>1238</v>
      </c>
      <c r="I820" s="410" t="s">
        <v>1427</v>
      </c>
      <c r="J820" s="410" t="s">
        <v>295</v>
      </c>
      <c r="K820" s="570"/>
    </row>
    <row r="821" spans="1:11" hidden="1">
      <c r="A821" s="295" t="s">
        <v>42</v>
      </c>
      <c r="B821" s="197" t="s">
        <v>973</v>
      </c>
      <c r="C821" s="294">
        <v>44392</v>
      </c>
      <c r="D821" s="314" t="s">
        <v>56</v>
      </c>
      <c r="E821" s="314" t="s">
        <v>758</v>
      </c>
      <c r="F821" s="314" t="s">
        <v>56</v>
      </c>
      <c r="G821" s="205" t="s">
        <v>1419</v>
      </c>
      <c r="H821" s="205" t="s">
        <v>1239</v>
      </c>
      <c r="I821" s="410">
        <v>3</v>
      </c>
      <c r="J821" s="410" t="s">
        <v>295</v>
      </c>
      <c r="K821" s="570"/>
    </row>
    <row r="822" spans="1:11" hidden="1">
      <c r="A822" s="295" t="s">
        <v>42</v>
      </c>
      <c r="B822" s="197" t="s">
        <v>973</v>
      </c>
      <c r="C822" s="294">
        <v>44392</v>
      </c>
      <c r="D822" s="314" t="s">
        <v>56</v>
      </c>
      <c r="E822" s="314" t="s">
        <v>758</v>
      </c>
      <c r="F822" s="314" t="s">
        <v>56</v>
      </c>
      <c r="G822" s="205" t="s">
        <v>1419</v>
      </c>
      <c r="H822" s="205" t="s">
        <v>1240</v>
      </c>
      <c r="I822" s="410">
        <v>4</v>
      </c>
      <c r="J822" s="410" t="s">
        <v>295</v>
      </c>
      <c r="K822" s="570"/>
    </row>
    <row r="823" spans="1:11" hidden="1">
      <c r="A823" s="295" t="s">
        <v>42</v>
      </c>
      <c r="B823" s="197" t="s">
        <v>973</v>
      </c>
      <c r="C823" s="294">
        <v>44392</v>
      </c>
      <c r="D823" s="314" t="s">
        <v>56</v>
      </c>
      <c r="E823" s="314" t="s">
        <v>758</v>
      </c>
      <c r="F823" s="314" t="s">
        <v>56</v>
      </c>
      <c r="G823" s="205" t="s">
        <v>1419</v>
      </c>
      <c r="H823" s="205" t="s">
        <v>1428</v>
      </c>
      <c r="I823" s="410">
        <v>5</v>
      </c>
      <c r="J823" s="410" t="s">
        <v>295</v>
      </c>
      <c r="K823" s="570"/>
    </row>
    <row r="824" spans="1:11" hidden="1">
      <c r="A824" s="295" t="s">
        <v>42</v>
      </c>
      <c r="B824" s="197" t="s">
        <v>973</v>
      </c>
      <c r="C824" s="294">
        <v>44392</v>
      </c>
      <c r="D824" s="314" t="s">
        <v>56</v>
      </c>
      <c r="E824" s="314" t="s">
        <v>758</v>
      </c>
      <c r="F824" s="314" t="s">
        <v>56</v>
      </c>
      <c r="G824" s="205" t="s">
        <v>1419</v>
      </c>
      <c r="H824" s="205" t="s">
        <v>1375</v>
      </c>
      <c r="I824" s="410">
        <v>6</v>
      </c>
      <c r="J824" s="410" t="s">
        <v>295</v>
      </c>
      <c r="K824" s="570"/>
    </row>
    <row r="825" spans="1:11" ht="26.4" hidden="1">
      <c r="A825" s="295" t="s">
        <v>42</v>
      </c>
      <c r="B825" s="197" t="s">
        <v>973</v>
      </c>
      <c r="C825" s="294">
        <v>44392</v>
      </c>
      <c r="D825" s="314" t="s">
        <v>56</v>
      </c>
      <c r="E825" s="314" t="s">
        <v>758</v>
      </c>
      <c r="F825" s="314" t="s">
        <v>56</v>
      </c>
      <c r="G825" s="205" t="s">
        <v>1419</v>
      </c>
      <c r="H825" s="205" t="s">
        <v>1377</v>
      </c>
      <c r="I825" s="198" t="s">
        <v>1429</v>
      </c>
      <c r="J825" s="410" t="s">
        <v>295</v>
      </c>
      <c r="K825" s="570"/>
    </row>
    <row r="826" spans="1:11" hidden="1">
      <c r="A826" s="295" t="s">
        <v>42</v>
      </c>
      <c r="B826" s="197" t="s">
        <v>973</v>
      </c>
      <c r="C826" s="294">
        <v>44392</v>
      </c>
      <c r="D826" s="314" t="s">
        <v>56</v>
      </c>
      <c r="E826" s="314" t="s">
        <v>758</v>
      </c>
      <c r="F826" s="314" t="s">
        <v>56</v>
      </c>
      <c r="G826" s="205" t="s">
        <v>1419</v>
      </c>
      <c r="H826" s="205" t="s">
        <v>1241</v>
      </c>
      <c r="I826" s="198" t="s">
        <v>1244</v>
      </c>
      <c r="J826" s="410" t="s">
        <v>295</v>
      </c>
      <c r="K826" s="570"/>
    </row>
    <row r="827" spans="1:11" hidden="1">
      <c r="A827" s="295" t="s">
        <v>42</v>
      </c>
      <c r="B827" s="197" t="s">
        <v>973</v>
      </c>
      <c r="C827" s="294">
        <v>44392</v>
      </c>
      <c r="D827" s="314" t="s">
        <v>56</v>
      </c>
      <c r="E827" s="314" t="s">
        <v>758</v>
      </c>
      <c r="F827" s="314" t="s">
        <v>56</v>
      </c>
      <c r="G827" s="205" t="s">
        <v>1419</v>
      </c>
      <c r="H827" s="205" t="s">
        <v>1243</v>
      </c>
      <c r="I827" s="198" t="s">
        <v>1246</v>
      </c>
      <c r="J827" s="410" t="s">
        <v>295</v>
      </c>
      <c r="K827" s="570"/>
    </row>
    <row r="828" spans="1:11" hidden="1">
      <c r="A828" s="295" t="s">
        <v>42</v>
      </c>
      <c r="B828" s="197" t="s">
        <v>973</v>
      </c>
      <c r="C828" s="294">
        <v>44392</v>
      </c>
      <c r="D828" s="314" t="s">
        <v>56</v>
      </c>
      <c r="E828" s="314" t="s">
        <v>758</v>
      </c>
      <c r="F828" s="314" t="s">
        <v>56</v>
      </c>
      <c r="G828" s="205" t="s">
        <v>1419</v>
      </c>
      <c r="H828" s="205" t="s">
        <v>1245</v>
      </c>
      <c r="I828" s="198" t="s">
        <v>1248</v>
      </c>
      <c r="J828" s="410"/>
      <c r="K828" s="570"/>
    </row>
    <row r="829" spans="1:11" hidden="1">
      <c r="A829" s="295" t="s">
        <v>42</v>
      </c>
      <c r="B829" s="197" t="s">
        <v>973</v>
      </c>
      <c r="C829" s="294">
        <v>44392</v>
      </c>
      <c r="D829" s="314" t="s">
        <v>56</v>
      </c>
      <c r="E829" s="314" t="s">
        <v>758</v>
      </c>
      <c r="F829" s="314" t="s">
        <v>56</v>
      </c>
      <c r="G829" s="205" t="s">
        <v>1419</v>
      </c>
      <c r="H829" s="205" t="s">
        <v>1247</v>
      </c>
      <c r="I829" s="410" t="s">
        <v>1431</v>
      </c>
      <c r="J829" s="410" t="s">
        <v>295</v>
      </c>
      <c r="K829" s="570"/>
    </row>
    <row r="830" spans="1:11" hidden="1">
      <c r="A830" s="295" t="s">
        <v>42</v>
      </c>
      <c r="B830" s="197" t="s">
        <v>973</v>
      </c>
      <c r="C830" s="294">
        <v>44392</v>
      </c>
      <c r="D830" s="314" t="s">
        <v>56</v>
      </c>
      <c r="E830" s="314" t="s">
        <v>758</v>
      </c>
      <c r="F830" s="314" t="s">
        <v>56</v>
      </c>
      <c r="G830" s="205" t="s">
        <v>1419</v>
      </c>
      <c r="H830" s="205" t="s">
        <v>1430</v>
      </c>
      <c r="I830" s="410" t="s">
        <v>1432</v>
      </c>
      <c r="J830" s="410" t="s">
        <v>295</v>
      </c>
      <c r="K830" s="570"/>
    </row>
    <row r="831" spans="1:11" hidden="1">
      <c r="A831" s="295" t="s">
        <v>42</v>
      </c>
      <c r="B831" s="197" t="s">
        <v>973</v>
      </c>
      <c r="C831" s="294">
        <v>44392</v>
      </c>
      <c r="D831" s="314" t="s">
        <v>56</v>
      </c>
      <c r="E831" s="314" t="s">
        <v>758</v>
      </c>
      <c r="F831" s="314" t="s">
        <v>56</v>
      </c>
      <c r="G831" s="205" t="s">
        <v>1419</v>
      </c>
      <c r="H831" s="205" t="s">
        <v>1249</v>
      </c>
      <c r="I831" s="410" t="s">
        <v>1433</v>
      </c>
      <c r="J831" s="410" t="s">
        <v>295</v>
      </c>
      <c r="K831" s="570"/>
    </row>
    <row r="832" spans="1:11" ht="26.4" hidden="1">
      <c r="A832" s="295" t="s">
        <v>42</v>
      </c>
      <c r="B832" s="197" t="s">
        <v>973</v>
      </c>
      <c r="C832" s="294">
        <v>44392</v>
      </c>
      <c r="D832" s="314" t="s">
        <v>56</v>
      </c>
      <c r="E832" s="314" t="s">
        <v>758</v>
      </c>
      <c r="F832" s="314" t="s">
        <v>56</v>
      </c>
      <c r="G832" s="205" t="s">
        <v>1419</v>
      </c>
      <c r="H832" s="205" t="s">
        <v>1251</v>
      </c>
      <c r="I832" s="198" t="s">
        <v>1250</v>
      </c>
      <c r="J832" s="410" t="s">
        <v>295</v>
      </c>
      <c r="K832" s="570"/>
    </row>
    <row r="833" spans="1:11" hidden="1">
      <c r="A833" s="295" t="s">
        <v>42</v>
      </c>
      <c r="B833" s="197" t="s">
        <v>973</v>
      </c>
      <c r="C833" s="294">
        <v>44392</v>
      </c>
      <c r="D833" s="314" t="s">
        <v>56</v>
      </c>
      <c r="E833" s="314" t="s">
        <v>758</v>
      </c>
      <c r="F833" s="314" t="s">
        <v>56</v>
      </c>
      <c r="G833" s="205" t="s">
        <v>1419</v>
      </c>
      <c r="H833" s="205" t="s">
        <v>1255</v>
      </c>
      <c r="I833" s="198" t="s">
        <v>1252</v>
      </c>
      <c r="J833" s="410" t="s">
        <v>295</v>
      </c>
      <c r="K833" s="570"/>
    </row>
    <row r="834" spans="1:11" ht="26.4" hidden="1">
      <c r="A834" s="295" t="s">
        <v>42</v>
      </c>
      <c r="B834" s="197" t="s">
        <v>973</v>
      </c>
      <c r="C834" s="294">
        <v>44392</v>
      </c>
      <c r="D834" s="314" t="s">
        <v>56</v>
      </c>
      <c r="E834" s="314" t="s">
        <v>758</v>
      </c>
      <c r="F834" s="314" t="s">
        <v>56</v>
      </c>
      <c r="G834" s="205" t="s">
        <v>1419</v>
      </c>
      <c r="H834" s="205" t="s">
        <v>1434</v>
      </c>
      <c r="I834" s="383" t="s">
        <v>1254</v>
      </c>
      <c r="J834" s="410" t="s">
        <v>295</v>
      </c>
      <c r="K834" s="570"/>
    </row>
    <row r="835" spans="1:11" hidden="1">
      <c r="A835" s="295" t="s">
        <v>42</v>
      </c>
      <c r="B835" s="197" t="s">
        <v>973</v>
      </c>
      <c r="C835" s="294">
        <v>44392</v>
      </c>
      <c r="D835" s="314" t="s">
        <v>56</v>
      </c>
      <c r="E835" s="314" t="s">
        <v>758</v>
      </c>
      <c r="F835" s="314" t="s">
        <v>56</v>
      </c>
      <c r="G835" s="205" t="s">
        <v>1419</v>
      </c>
      <c r="H835" s="205" t="s">
        <v>1257</v>
      </c>
      <c r="I835" s="383" t="s">
        <v>1256</v>
      </c>
      <c r="J835" s="410" t="s">
        <v>295</v>
      </c>
      <c r="K835" s="570"/>
    </row>
    <row r="836" spans="1:11" hidden="1">
      <c r="A836" s="295" t="s">
        <v>42</v>
      </c>
      <c r="B836" s="197" t="s">
        <v>973</v>
      </c>
      <c r="C836" s="294">
        <v>44392</v>
      </c>
      <c r="D836" s="314" t="s">
        <v>56</v>
      </c>
      <c r="E836" s="314" t="s">
        <v>758</v>
      </c>
      <c r="F836" s="314" t="s">
        <v>56</v>
      </c>
      <c r="G836" s="205" t="s">
        <v>1419</v>
      </c>
      <c r="H836" s="205" t="s">
        <v>1259</v>
      </c>
      <c r="I836" s="410" t="s">
        <v>1258</v>
      </c>
      <c r="J836" s="410" t="s">
        <v>295</v>
      </c>
      <c r="K836" s="570"/>
    </row>
    <row r="837" spans="1:11" hidden="1">
      <c r="A837" s="295" t="s">
        <v>42</v>
      </c>
      <c r="B837" s="197" t="s">
        <v>973</v>
      </c>
      <c r="C837" s="294">
        <v>44392</v>
      </c>
      <c r="D837" s="314" t="s">
        <v>56</v>
      </c>
      <c r="E837" s="314" t="s">
        <v>758</v>
      </c>
      <c r="F837" s="314" t="s">
        <v>56</v>
      </c>
      <c r="G837" s="205" t="s">
        <v>1419</v>
      </c>
      <c r="H837" s="205" t="s">
        <v>1263</v>
      </c>
      <c r="I837" s="410" t="s">
        <v>1260</v>
      </c>
      <c r="J837" s="410" t="s">
        <v>295</v>
      </c>
      <c r="K837" s="570"/>
    </row>
    <row r="838" spans="1:11" hidden="1">
      <c r="A838" s="295" t="s">
        <v>42</v>
      </c>
      <c r="B838" s="197" t="s">
        <v>973</v>
      </c>
      <c r="C838" s="294">
        <v>44392</v>
      </c>
      <c r="D838" s="314" t="s">
        <v>56</v>
      </c>
      <c r="E838" s="314" t="s">
        <v>758</v>
      </c>
      <c r="F838" s="314" t="s">
        <v>56</v>
      </c>
      <c r="G838" s="205" t="s">
        <v>1419</v>
      </c>
      <c r="H838" s="205" t="s">
        <v>1435</v>
      </c>
      <c r="I838" s="410" t="s">
        <v>1262</v>
      </c>
      <c r="J838" s="410" t="s">
        <v>295</v>
      </c>
      <c r="K838" s="570"/>
    </row>
    <row r="839" spans="1:11" hidden="1">
      <c r="A839" s="295" t="s">
        <v>42</v>
      </c>
      <c r="B839" s="197" t="s">
        <v>973</v>
      </c>
      <c r="C839" s="294">
        <v>44392</v>
      </c>
      <c r="D839" s="314" t="s">
        <v>56</v>
      </c>
      <c r="E839" s="314" t="s">
        <v>758</v>
      </c>
      <c r="F839" s="314" t="s">
        <v>56</v>
      </c>
      <c r="G839" s="205" t="s">
        <v>1419</v>
      </c>
      <c r="H839" s="205" t="s">
        <v>1436</v>
      </c>
      <c r="I839" s="410" t="s">
        <v>1264</v>
      </c>
      <c r="J839" s="410" t="s">
        <v>295</v>
      </c>
      <c r="K839" s="570"/>
    </row>
    <row r="840" spans="1:11" hidden="1">
      <c r="A840" s="295" t="s">
        <v>42</v>
      </c>
      <c r="B840" s="197" t="s">
        <v>973</v>
      </c>
      <c r="C840" s="294">
        <v>44392</v>
      </c>
      <c r="D840" s="314" t="s">
        <v>56</v>
      </c>
      <c r="E840" s="314" t="s">
        <v>758</v>
      </c>
      <c r="F840" s="314" t="s">
        <v>56</v>
      </c>
      <c r="G840" s="205" t="s">
        <v>1419</v>
      </c>
      <c r="H840" s="205" t="s">
        <v>1379</v>
      </c>
      <c r="I840" s="410" t="s">
        <v>186</v>
      </c>
      <c r="J840" s="410" t="s">
        <v>295</v>
      </c>
      <c r="K840" s="570"/>
    </row>
    <row r="841" spans="1:11" hidden="1">
      <c r="A841" s="295" t="s">
        <v>42</v>
      </c>
      <c r="B841" s="197" t="s">
        <v>973</v>
      </c>
      <c r="C841" s="294">
        <v>44392</v>
      </c>
      <c r="D841" s="314" t="s">
        <v>56</v>
      </c>
      <c r="E841" s="314" t="s">
        <v>758</v>
      </c>
      <c r="F841" s="314" t="s">
        <v>56</v>
      </c>
      <c r="G841" s="205" t="s">
        <v>1419</v>
      </c>
      <c r="H841" s="205" t="s">
        <v>1265</v>
      </c>
      <c r="I841" s="410" t="s">
        <v>1267</v>
      </c>
      <c r="J841" s="410" t="s">
        <v>295</v>
      </c>
      <c r="K841" s="570"/>
    </row>
    <row r="842" spans="1:11" hidden="1">
      <c r="A842" s="295" t="s">
        <v>42</v>
      </c>
      <c r="B842" s="197" t="s">
        <v>973</v>
      </c>
      <c r="C842" s="294">
        <v>44392</v>
      </c>
      <c r="D842" s="314" t="s">
        <v>56</v>
      </c>
      <c r="E842" s="314" t="s">
        <v>758</v>
      </c>
      <c r="F842" s="314" t="s">
        <v>56</v>
      </c>
      <c r="G842" s="205" t="s">
        <v>1419</v>
      </c>
      <c r="H842" s="205" t="s">
        <v>303</v>
      </c>
      <c r="I842" s="410" t="s">
        <v>1269</v>
      </c>
      <c r="J842" s="410" t="s">
        <v>295</v>
      </c>
      <c r="K842" s="570"/>
    </row>
    <row r="843" spans="1:11" hidden="1">
      <c r="A843" s="295" t="s">
        <v>42</v>
      </c>
      <c r="B843" s="197" t="s">
        <v>973</v>
      </c>
      <c r="C843" s="294">
        <v>44392</v>
      </c>
      <c r="D843" s="314" t="s">
        <v>56</v>
      </c>
      <c r="E843" s="314" t="s">
        <v>758</v>
      </c>
      <c r="F843" s="314" t="s">
        <v>56</v>
      </c>
      <c r="G843" s="205" t="s">
        <v>1419</v>
      </c>
      <c r="H843" s="205" t="s">
        <v>1266</v>
      </c>
      <c r="I843" s="198" t="s">
        <v>1437</v>
      </c>
      <c r="J843" s="410" t="s">
        <v>295</v>
      </c>
      <c r="K843" s="570"/>
    </row>
    <row r="844" spans="1:11" hidden="1">
      <c r="A844" s="295" t="s">
        <v>42</v>
      </c>
      <c r="B844" s="197" t="s">
        <v>973</v>
      </c>
      <c r="C844" s="294">
        <v>44392</v>
      </c>
      <c r="D844" s="314" t="s">
        <v>56</v>
      </c>
      <c r="E844" s="314" t="s">
        <v>758</v>
      </c>
      <c r="F844" s="314" t="s">
        <v>56</v>
      </c>
      <c r="G844" s="205" t="s">
        <v>1419</v>
      </c>
      <c r="H844" s="205" t="s">
        <v>1268</v>
      </c>
      <c r="I844" s="410" t="s">
        <v>1439</v>
      </c>
      <c r="J844" s="410" t="s">
        <v>295</v>
      </c>
      <c r="K844" s="570"/>
    </row>
    <row r="845" spans="1:11" ht="39.6" hidden="1">
      <c r="A845" s="295" t="s">
        <v>42</v>
      </c>
      <c r="B845" s="197" t="s">
        <v>973</v>
      </c>
      <c r="C845" s="294">
        <v>44392</v>
      </c>
      <c r="D845" s="314" t="s">
        <v>56</v>
      </c>
      <c r="E845" s="314" t="s">
        <v>758</v>
      </c>
      <c r="F845" s="314" t="s">
        <v>56</v>
      </c>
      <c r="G845" s="205" t="s">
        <v>1419</v>
      </c>
      <c r="H845" s="205" t="s">
        <v>1438</v>
      </c>
      <c r="I845" s="410" t="s">
        <v>1440</v>
      </c>
      <c r="J845" s="410"/>
      <c r="K845" s="570"/>
    </row>
    <row r="846" spans="1:11" hidden="1">
      <c r="A846" s="295" t="s">
        <v>42</v>
      </c>
      <c r="B846" s="197" t="s">
        <v>973</v>
      </c>
      <c r="C846" s="294">
        <v>44392</v>
      </c>
      <c r="D846" s="314" t="s">
        <v>56</v>
      </c>
      <c r="E846" s="314" t="s">
        <v>758</v>
      </c>
      <c r="F846" s="314" t="s">
        <v>56</v>
      </c>
      <c r="G846" s="205" t="s">
        <v>1419</v>
      </c>
      <c r="H846" s="205" t="s">
        <v>1270</v>
      </c>
      <c r="I846" s="198" t="s">
        <v>1441</v>
      </c>
      <c r="J846" s="410" t="s">
        <v>295</v>
      </c>
      <c r="K846" s="570"/>
    </row>
    <row r="847" spans="1:11" hidden="1">
      <c r="A847" s="295" t="s">
        <v>42</v>
      </c>
      <c r="B847" s="197" t="s">
        <v>973</v>
      </c>
      <c r="C847" s="294">
        <v>44392</v>
      </c>
      <c r="D847" s="314" t="s">
        <v>56</v>
      </c>
      <c r="E847" s="314" t="s">
        <v>758</v>
      </c>
      <c r="F847" s="314" t="s">
        <v>56</v>
      </c>
      <c r="G847" s="205" t="s">
        <v>1419</v>
      </c>
      <c r="H847" s="205" t="s">
        <v>1272</v>
      </c>
      <c r="I847" s="198" t="s">
        <v>1442</v>
      </c>
      <c r="J847" s="410" t="s">
        <v>295</v>
      </c>
      <c r="K847" s="570"/>
    </row>
    <row r="848" spans="1:11" hidden="1">
      <c r="A848" s="295" t="s">
        <v>42</v>
      </c>
      <c r="B848" s="197" t="s">
        <v>973</v>
      </c>
      <c r="C848" s="294">
        <v>44392</v>
      </c>
      <c r="D848" s="314" t="s">
        <v>56</v>
      </c>
      <c r="E848" s="314" t="s">
        <v>758</v>
      </c>
      <c r="F848" s="314" t="s">
        <v>56</v>
      </c>
      <c r="G848" s="205" t="s">
        <v>1419</v>
      </c>
      <c r="H848" s="205" t="s">
        <v>1276</v>
      </c>
      <c r="I848" s="198" t="s">
        <v>1444</v>
      </c>
      <c r="J848" s="410" t="s">
        <v>295</v>
      </c>
      <c r="K848" s="570"/>
    </row>
    <row r="849" spans="1:11" hidden="1">
      <c r="A849" s="295" t="s">
        <v>42</v>
      </c>
      <c r="B849" s="197" t="s">
        <v>973</v>
      </c>
      <c r="C849" s="294">
        <v>44392</v>
      </c>
      <c r="D849" s="314" t="s">
        <v>56</v>
      </c>
      <c r="E849" s="314" t="s">
        <v>758</v>
      </c>
      <c r="F849" s="314" t="s">
        <v>56</v>
      </c>
      <c r="G849" s="205" t="s">
        <v>1419</v>
      </c>
      <c r="H849" s="205" t="s">
        <v>1443</v>
      </c>
      <c r="I849" s="198" t="s">
        <v>1445</v>
      </c>
      <c r="J849" s="410" t="s">
        <v>295</v>
      </c>
      <c r="K849" s="570"/>
    </row>
    <row r="850" spans="1:11" hidden="1">
      <c r="A850" s="295" t="s">
        <v>42</v>
      </c>
      <c r="B850" s="197" t="s">
        <v>973</v>
      </c>
      <c r="C850" s="294">
        <v>44392</v>
      </c>
      <c r="D850" s="314" t="s">
        <v>56</v>
      </c>
      <c r="E850" s="314" t="s">
        <v>758</v>
      </c>
      <c r="F850" s="314" t="s">
        <v>56</v>
      </c>
      <c r="G850" s="205" t="s">
        <v>1419</v>
      </c>
      <c r="H850" s="205" t="s">
        <v>1278</v>
      </c>
      <c r="I850" s="198" t="s">
        <v>1446</v>
      </c>
      <c r="J850" s="410" t="s">
        <v>295</v>
      </c>
      <c r="K850" s="570"/>
    </row>
    <row r="851" spans="1:11" hidden="1">
      <c r="A851" s="295" t="s">
        <v>42</v>
      </c>
      <c r="B851" s="197" t="s">
        <v>973</v>
      </c>
      <c r="C851" s="294">
        <v>44392</v>
      </c>
      <c r="D851" s="314" t="s">
        <v>56</v>
      </c>
      <c r="E851" s="314" t="s">
        <v>758</v>
      </c>
      <c r="F851" s="314" t="s">
        <v>56</v>
      </c>
      <c r="G851" s="205" t="s">
        <v>1419</v>
      </c>
      <c r="H851" s="205" t="s">
        <v>160</v>
      </c>
      <c r="I851" s="410" t="s">
        <v>189</v>
      </c>
      <c r="J851" s="410" t="s">
        <v>295</v>
      </c>
      <c r="K851" s="570"/>
    </row>
    <row r="852" spans="1:11" hidden="1">
      <c r="A852" s="295" t="s">
        <v>42</v>
      </c>
      <c r="B852" s="197" t="s">
        <v>973</v>
      </c>
      <c r="C852" s="294">
        <v>44392</v>
      </c>
      <c r="D852" s="314" t="s">
        <v>56</v>
      </c>
      <c r="E852" s="314" t="s">
        <v>758</v>
      </c>
      <c r="F852" s="314" t="s">
        <v>56</v>
      </c>
      <c r="G852" s="205" t="s">
        <v>1419</v>
      </c>
      <c r="H852" s="205" t="s">
        <v>167</v>
      </c>
      <c r="I852" s="410" t="s">
        <v>192</v>
      </c>
      <c r="J852" s="410" t="s">
        <v>295</v>
      </c>
      <c r="K852" s="570"/>
    </row>
    <row r="853" spans="1:11" hidden="1">
      <c r="A853" s="295" t="s">
        <v>42</v>
      </c>
      <c r="B853" s="197" t="s">
        <v>973</v>
      </c>
      <c r="C853" s="294">
        <v>44392</v>
      </c>
      <c r="D853" s="314" t="s">
        <v>56</v>
      </c>
      <c r="E853" s="314" t="s">
        <v>758</v>
      </c>
      <c r="F853" s="314" t="s">
        <v>56</v>
      </c>
      <c r="G853" s="205" t="s">
        <v>1419</v>
      </c>
      <c r="H853" s="205" t="s">
        <v>170</v>
      </c>
      <c r="I853" s="410" t="s">
        <v>195</v>
      </c>
      <c r="J853" s="410" t="s">
        <v>295</v>
      </c>
      <c r="K853" s="570"/>
    </row>
    <row r="854" spans="1:11" hidden="1">
      <c r="A854" s="295" t="s">
        <v>42</v>
      </c>
      <c r="B854" s="197" t="s">
        <v>973</v>
      </c>
      <c r="C854" s="294">
        <v>44392</v>
      </c>
      <c r="D854" s="314" t="s">
        <v>56</v>
      </c>
      <c r="E854" s="314" t="s">
        <v>758</v>
      </c>
      <c r="F854" s="314" t="s">
        <v>56</v>
      </c>
      <c r="G854" s="205" t="s">
        <v>1419</v>
      </c>
      <c r="H854" s="205" t="s">
        <v>173</v>
      </c>
      <c r="I854" s="410" t="s">
        <v>1279</v>
      </c>
      <c r="J854" s="410" t="s">
        <v>295</v>
      </c>
      <c r="K854" s="570"/>
    </row>
    <row r="855" spans="1:11" hidden="1">
      <c r="A855" s="295" t="s">
        <v>42</v>
      </c>
      <c r="B855" s="197" t="s">
        <v>973</v>
      </c>
      <c r="C855" s="294">
        <v>44392</v>
      </c>
      <c r="D855" s="314" t="s">
        <v>56</v>
      </c>
      <c r="E855" s="314" t="s">
        <v>758</v>
      </c>
      <c r="F855" s="314" t="s">
        <v>56</v>
      </c>
      <c r="G855" s="205" t="s">
        <v>1419</v>
      </c>
      <c r="H855" s="205" t="s">
        <v>176</v>
      </c>
      <c r="I855" s="410" t="s">
        <v>1448</v>
      </c>
      <c r="J855" s="410" t="s">
        <v>295</v>
      </c>
      <c r="K855" s="570"/>
    </row>
    <row r="856" spans="1:11" hidden="1">
      <c r="A856" s="295" t="s">
        <v>42</v>
      </c>
      <c r="B856" s="197" t="s">
        <v>973</v>
      </c>
      <c r="C856" s="294">
        <v>44392</v>
      </c>
      <c r="D856" s="314" t="s">
        <v>56</v>
      </c>
      <c r="E856" s="314" t="s">
        <v>758</v>
      </c>
      <c r="F856" s="314" t="s">
        <v>56</v>
      </c>
      <c r="G856" s="205" t="s">
        <v>1419</v>
      </c>
      <c r="H856" s="205" t="s">
        <v>1447</v>
      </c>
      <c r="I856" s="410" t="s">
        <v>1448</v>
      </c>
      <c r="J856" s="410" t="s">
        <v>295</v>
      </c>
      <c r="K856" s="570"/>
    </row>
    <row r="857" spans="1:11" hidden="1">
      <c r="A857" s="295" t="s">
        <v>42</v>
      </c>
      <c r="B857" s="197" t="s">
        <v>973</v>
      </c>
      <c r="C857" s="294">
        <v>44392</v>
      </c>
      <c r="D857" s="314" t="s">
        <v>56</v>
      </c>
      <c r="E857" s="314" t="s">
        <v>758</v>
      </c>
      <c r="F857" s="314" t="s">
        <v>56</v>
      </c>
      <c r="G857" s="205" t="s">
        <v>1419</v>
      </c>
      <c r="H857" s="205" t="s">
        <v>1287</v>
      </c>
      <c r="I857" s="410" t="s">
        <v>1448</v>
      </c>
      <c r="J857" s="410" t="s">
        <v>295</v>
      </c>
      <c r="K857" s="570"/>
    </row>
    <row r="858" spans="1:11" hidden="1">
      <c r="A858" s="295" t="s">
        <v>42</v>
      </c>
      <c r="B858" s="197" t="s">
        <v>973</v>
      </c>
      <c r="C858" s="294">
        <v>44392</v>
      </c>
      <c r="D858" s="314" t="s">
        <v>56</v>
      </c>
      <c r="E858" s="314" t="s">
        <v>758</v>
      </c>
      <c r="F858" s="314" t="s">
        <v>56</v>
      </c>
      <c r="G858" s="205" t="s">
        <v>1419</v>
      </c>
      <c r="H858" s="205" t="s">
        <v>1449</v>
      </c>
      <c r="I858" s="410" t="s">
        <v>1448</v>
      </c>
      <c r="J858" s="410" t="s">
        <v>295</v>
      </c>
      <c r="K858" s="570"/>
    </row>
    <row r="859" spans="1:11" hidden="1">
      <c r="A859" s="295" t="s">
        <v>42</v>
      </c>
      <c r="B859" s="197" t="s">
        <v>973</v>
      </c>
      <c r="C859" s="294">
        <v>44392</v>
      </c>
      <c r="D859" s="314" t="s">
        <v>56</v>
      </c>
      <c r="E859" s="314" t="s">
        <v>758</v>
      </c>
      <c r="F859" s="314" t="s">
        <v>56</v>
      </c>
      <c r="G859" s="205" t="s">
        <v>1419</v>
      </c>
      <c r="H859" s="205" t="s">
        <v>1288</v>
      </c>
      <c r="I859" s="410" t="s">
        <v>1448</v>
      </c>
      <c r="J859" s="410" t="s">
        <v>295</v>
      </c>
      <c r="K859" s="570"/>
    </row>
    <row r="860" spans="1:11" hidden="1">
      <c r="A860" s="295" t="s">
        <v>42</v>
      </c>
      <c r="B860" s="197" t="s">
        <v>973</v>
      </c>
      <c r="C860" s="294">
        <v>44392</v>
      </c>
      <c r="D860" s="314" t="s">
        <v>56</v>
      </c>
      <c r="E860" s="314" t="s">
        <v>758</v>
      </c>
      <c r="F860" s="314" t="s">
        <v>56</v>
      </c>
      <c r="G860" s="205" t="s">
        <v>1419</v>
      </c>
      <c r="H860" s="205" t="s">
        <v>179</v>
      </c>
      <c r="I860" s="410" t="s">
        <v>171</v>
      </c>
      <c r="J860" s="410" t="s">
        <v>295</v>
      </c>
      <c r="K860" s="570"/>
    </row>
    <row r="861" spans="1:11" hidden="1">
      <c r="A861" s="295" t="s">
        <v>42</v>
      </c>
      <c r="B861" s="197" t="s">
        <v>973</v>
      </c>
      <c r="C861" s="294">
        <v>44392</v>
      </c>
      <c r="D861" s="314" t="s">
        <v>56</v>
      </c>
      <c r="E861" s="314" t="s">
        <v>758</v>
      </c>
      <c r="F861" s="314" t="s">
        <v>56</v>
      </c>
      <c r="G861" s="205" t="s">
        <v>1419</v>
      </c>
      <c r="H861" s="205" t="s">
        <v>185</v>
      </c>
      <c r="I861" s="410" t="s">
        <v>174</v>
      </c>
      <c r="J861" s="410" t="s">
        <v>295</v>
      </c>
      <c r="K861" s="570"/>
    </row>
    <row r="862" spans="1:11" hidden="1">
      <c r="A862" s="295" t="s">
        <v>42</v>
      </c>
      <c r="B862" s="197" t="s">
        <v>973</v>
      </c>
      <c r="C862" s="294">
        <v>44392</v>
      </c>
      <c r="D862" s="314" t="s">
        <v>56</v>
      </c>
      <c r="E862" s="314" t="s">
        <v>758</v>
      </c>
      <c r="F862" s="314" t="s">
        <v>56</v>
      </c>
      <c r="G862" s="205" t="s">
        <v>1419</v>
      </c>
      <c r="H862" s="205" t="s">
        <v>188</v>
      </c>
      <c r="I862" s="410" t="s">
        <v>177</v>
      </c>
      <c r="J862" s="410" t="s">
        <v>295</v>
      </c>
      <c r="K862" s="570"/>
    </row>
    <row r="863" spans="1:11" hidden="1">
      <c r="A863" s="295" t="s">
        <v>42</v>
      </c>
      <c r="B863" s="197" t="s">
        <v>973</v>
      </c>
      <c r="C863" s="294">
        <v>44392</v>
      </c>
      <c r="D863" s="314" t="s">
        <v>56</v>
      </c>
      <c r="E863" s="314" t="s">
        <v>758</v>
      </c>
      <c r="F863" s="314" t="s">
        <v>56</v>
      </c>
      <c r="G863" s="205" t="s">
        <v>1419</v>
      </c>
      <c r="H863" s="205" t="s">
        <v>191</v>
      </c>
      <c r="I863" s="410" t="s">
        <v>1289</v>
      </c>
      <c r="J863" s="410" t="s">
        <v>295</v>
      </c>
      <c r="K863" s="570"/>
    </row>
    <row r="864" spans="1:11" ht="26.4" hidden="1">
      <c r="A864" s="295" t="s">
        <v>42</v>
      </c>
      <c r="B864" s="197" t="s">
        <v>973</v>
      </c>
      <c r="C864" s="294">
        <v>44392</v>
      </c>
      <c r="D864" s="314" t="s">
        <v>56</v>
      </c>
      <c r="E864" s="314" t="s">
        <v>758</v>
      </c>
      <c r="F864" s="314" t="s">
        <v>56</v>
      </c>
      <c r="G864" s="205" t="s">
        <v>1419</v>
      </c>
      <c r="H864" s="205" t="s">
        <v>194</v>
      </c>
      <c r="I864" s="410" t="s">
        <v>1450</v>
      </c>
      <c r="J864" s="410" t="s">
        <v>295</v>
      </c>
      <c r="K864" s="570"/>
    </row>
    <row r="865" spans="1:11" hidden="1">
      <c r="A865" s="295" t="s">
        <v>42</v>
      </c>
      <c r="B865" s="197" t="s">
        <v>973</v>
      </c>
      <c r="C865" s="294">
        <v>44392</v>
      </c>
      <c r="D865" s="314" t="s">
        <v>56</v>
      </c>
      <c r="E865" s="314" t="s">
        <v>758</v>
      </c>
      <c r="F865" s="314" t="s">
        <v>56</v>
      </c>
      <c r="G865" s="205" t="s">
        <v>1419</v>
      </c>
      <c r="H865" s="205" t="s">
        <v>1295</v>
      </c>
      <c r="I865" s="410">
        <v>0</v>
      </c>
      <c r="J865" s="410" t="s">
        <v>295</v>
      </c>
      <c r="K865" s="570"/>
    </row>
    <row r="866" spans="1:11" hidden="1">
      <c r="A866" s="295" t="s">
        <v>42</v>
      </c>
      <c r="B866" s="197" t="s">
        <v>973</v>
      </c>
      <c r="C866" s="294">
        <v>44392</v>
      </c>
      <c r="D866" s="314" t="s">
        <v>56</v>
      </c>
      <c r="E866" s="314" t="s">
        <v>758</v>
      </c>
      <c r="F866" s="314" t="s">
        <v>56</v>
      </c>
      <c r="G866" s="205" t="s">
        <v>1419</v>
      </c>
      <c r="H866" s="205" t="s">
        <v>1298</v>
      </c>
      <c r="I866" s="198" t="s">
        <v>1452</v>
      </c>
      <c r="J866" s="410" t="s">
        <v>295</v>
      </c>
      <c r="K866" s="570"/>
    </row>
    <row r="867" spans="1:11" hidden="1">
      <c r="A867" s="295" t="s">
        <v>42</v>
      </c>
      <c r="B867" s="197" t="s">
        <v>973</v>
      </c>
      <c r="C867" s="294">
        <v>44392</v>
      </c>
      <c r="D867" s="314" t="s">
        <v>56</v>
      </c>
      <c r="E867" s="314" t="s">
        <v>758</v>
      </c>
      <c r="F867" s="314" t="s">
        <v>56</v>
      </c>
      <c r="G867" s="205" t="s">
        <v>1419</v>
      </c>
      <c r="H867" s="205" t="s">
        <v>1451</v>
      </c>
      <c r="I867" s="198" t="s">
        <v>1453</v>
      </c>
      <c r="J867" s="410" t="s">
        <v>295</v>
      </c>
      <c r="K867" s="570"/>
    </row>
    <row r="868" spans="1:11" hidden="1">
      <c r="A868" s="295" t="s">
        <v>42</v>
      </c>
      <c r="B868" s="197" t="s">
        <v>973</v>
      </c>
      <c r="C868" s="294">
        <v>44392</v>
      </c>
      <c r="D868" s="314" t="s">
        <v>56</v>
      </c>
      <c r="E868" s="314" t="s">
        <v>758</v>
      </c>
      <c r="F868" s="314" t="s">
        <v>56</v>
      </c>
      <c r="G868" s="205" t="s">
        <v>1419</v>
      </c>
      <c r="H868" s="205" t="s">
        <v>703</v>
      </c>
      <c r="I868" s="410">
        <v>0</v>
      </c>
      <c r="J868" s="410" t="s">
        <v>295</v>
      </c>
      <c r="K868" s="570"/>
    </row>
    <row r="869" spans="1:11" hidden="1">
      <c r="A869" s="295" t="s">
        <v>42</v>
      </c>
      <c r="B869" s="197" t="s">
        <v>973</v>
      </c>
      <c r="C869" s="294">
        <v>44392</v>
      </c>
      <c r="D869" s="314" t="s">
        <v>56</v>
      </c>
      <c r="E869" s="314" t="s">
        <v>758</v>
      </c>
      <c r="F869" s="314" t="s">
        <v>56</v>
      </c>
      <c r="G869" s="205" t="s">
        <v>1419</v>
      </c>
      <c r="H869" s="205" t="s">
        <v>1299</v>
      </c>
      <c r="I869" s="410" t="s">
        <v>759</v>
      </c>
      <c r="J869" s="410" t="s">
        <v>295</v>
      </c>
      <c r="K869" s="570"/>
    </row>
    <row r="870" spans="1:11" hidden="1">
      <c r="A870" s="295" t="s">
        <v>42</v>
      </c>
      <c r="B870" s="197" t="s">
        <v>973</v>
      </c>
      <c r="C870" s="294">
        <v>44392</v>
      </c>
      <c r="D870" s="314" t="s">
        <v>56</v>
      </c>
      <c r="E870" s="314" t="s">
        <v>758</v>
      </c>
      <c r="F870" s="314" t="s">
        <v>56</v>
      </c>
      <c r="G870" s="205" t="s">
        <v>1419</v>
      </c>
      <c r="H870" s="205" t="s">
        <v>1301</v>
      </c>
      <c r="I870" s="410" t="s">
        <v>759</v>
      </c>
      <c r="J870" s="410" t="s">
        <v>295</v>
      </c>
      <c r="K870" s="570"/>
    </row>
    <row r="871" spans="1:11" hidden="1">
      <c r="A871" s="295" t="s">
        <v>42</v>
      </c>
      <c r="B871" s="197" t="s">
        <v>973</v>
      </c>
      <c r="C871" s="294">
        <v>44392</v>
      </c>
      <c r="D871" s="314" t="s">
        <v>56</v>
      </c>
      <c r="E871" s="314" t="s">
        <v>758</v>
      </c>
      <c r="F871" s="314" t="s">
        <v>56</v>
      </c>
      <c r="G871" s="205" t="s">
        <v>1419</v>
      </c>
      <c r="H871" s="205" t="s">
        <v>1454</v>
      </c>
      <c r="I871" s="410" t="s">
        <v>759</v>
      </c>
      <c r="J871" s="410" t="s">
        <v>295</v>
      </c>
      <c r="K871" s="570"/>
    </row>
    <row r="872" spans="1:11" hidden="1">
      <c r="A872" s="295" t="s">
        <v>42</v>
      </c>
      <c r="B872" s="197" t="s">
        <v>973</v>
      </c>
      <c r="C872" s="294">
        <v>44392</v>
      </c>
      <c r="D872" s="314" t="s">
        <v>56</v>
      </c>
      <c r="E872" s="314" t="s">
        <v>758</v>
      </c>
      <c r="F872" s="314" t="s">
        <v>56</v>
      </c>
      <c r="G872" s="205" t="s">
        <v>1419</v>
      </c>
      <c r="H872" s="205" t="s">
        <v>1455</v>
      </c>
      <c r="I872" s="410" t="s">
        <v>759</v>
      </c>
      <c r="J872" s="410" t="s">
        <v>295</v>
      </c>
      <c r="K872" s="570"/>
    </row>
    <row r="873" spans="1:11" hidden="1">
      <c r="A873" s="295" t="s">
        <v>42</v>
      </c>
      <c r="B873" s="197" t="s">
        <v>973</v>
      </c>
      <c r="C873" s="294">
        <v>44392</v>
      </c>
      <c r="D873" s="314" t="s">
        <v>56</v>
      </c>
      <c r="E873" s="314" t="s">
        <v>758</v>
      </c>
      <c r="F873" s="314" t="s">
        <v>56</v>
      </c>
      <c r="G873" s="205" t="s">
        <v>1419</v>
      </c>
      <c r="H873" s="205" t="s">
        <v>1456</v>
      </c>
      <c r="I873" s="198" t="s">
        <v>1457</v>
      </c>
      <c r="J873" s="410" t="s">
        <v>295</v>
      </c>
      <c r="K873" s="570"/>
    </row>
    <row r="874" spans="1:11" hidden="1">
      <c r="A874" s="295" t="s">
        <v>42</v>
      </c>
      <c r="B874" s="197" t="s">
        <v>973</v>
      </c>
      <c r="C874" s="294">
        <v>44392</v>
      </c>
      <c r="D874" s="314" t="s">
        <v>56</v>
      </c>
      <c r="E874" s="314" t="s">
        <v>758</v>
      </c>
      <c r="F874" s="314" t="s">
        <v>56</v>
      </c>
      <c r="G874" s="205" t="s">
        <v>1419</v>
      </c>
      <c r="H874" s="205" t="s">
        <v>1307</v>
      </c>
      <c r="I874" s="410">
        <v>0</v>
      </c>
      <c r="J874" s="410" t="s">
        <v>295</v>
      </c>
      <c r="K874" s="570"/>
    </row>
    <row r="875" spans="1:11" hidden="1">
      <c r="A875" s="295" t="s">
        <v>42</v>
      </c>
      <c r="B875" s="197" t="s">
        <v>973</v>
      </c>
      <c r="C875" s="294">
        <v>44392</v>
      </c>
      <c r="D875" s="314" t="s">
        <v>56</v>
      </c>
      <c r="E875" s="314" t="s">
        <v>758</v>
      </c>
      <c r="F875" s="314" t="s">
        <v>56</v>
      </c>
      <c r="G875" s="205" t="s">
        <v>1419</v>
      </c>
      <c r="H875" s="205" t="s">
        <v>1309</v>
      </c>
      <c r="I875" s="198" t="s">
        <v>1457</v>
      </c>
      <c r="J875" s="410" t="s">
        <v>295</v>
      </c>
      <c r="K875" s="570"/>
    </row>
    <row r="876" spans="1:11" hidden="1">
      <c r="A876" s="295" t="s">
        <v>42</v>
      </c>
      <c r="B876" s="197" t="s">
        <v>973</v>
      </c>
      <c r="C876" s="294">
        <v>44392</v>
      </c>
      <c r="D876" s="314" t="s">
        <v>56</v>
      </c>
      <c r="E876" s="314" t="s">
        <v>758</v>
      </c>
      <c r="F876" s="314" t="s">
        <v>56</v>
      </c>
      <c r="G876" s="205" t="s">
        <v>1419</v>
      </c>
      <c r="H876" s="205" t="s">
        <v>1458</v>
      </c>
      <c r="I876" s="410">
        <v>0</v>
      </c>
      <c r="J876" s="410" t="s">
        <v>295</v>
      </c>
      <c r="K876" s="570"/>
    </row>
    <row r="877" spans="1:11" ht="52.8" hidden="1">
      <c r="A877" s="295" t="s">
        <v>42</v>
      </c>
      <c r="B877" s="197" t="s">
        <v>973</v>
      </c>
      <c r="C877" s="294">
        <v>44392</v>
      </c>
      <c r="D877" s="314" t="s">
        <v>56</v>
      </c>
      <c r="E877" s="314" t="s">
        <v>758</v>
      </c>
      <c r="F877" s="314" t="s">
        <v>56</v>
      </c>
      <c r="G877" s="205" t="s">
        <v>1419</v>
      </c>
      <c r="H877" s="205" t="s">
        <v>1459</v>
      </c>
      <c r="I877" s="198" t="s">
        <v>1316</v>
      </c>
      <c r="J877" s="410" t="s">
        <v>295</v>
      </c>
      <c r="K877" s="570"/>
    </row>
    <row r="878" spans="1:11" ht="52.8" hidden="1">
      <c r="A878" s="295" t="s">
        <v>42</v>
      </c>
      <c r="B878" s="197" t="s">
        <v>973</v>
      </c>
      <c r="C878" s="294">
        <v>44392</v>
      </c>
      <c r="D878" s="314" t="s">
        <v>56</v>
      </c>
      <c r="E878" s="314" t="s">
        <v>758</v>
      </c>
      <c r="F878" s="314" t="s">
        <v>56</v>
      </c>
      <c r="G878" s="205" t="s">
        <v>1419</v>
      </c>
      <c r="H878" s="205" t="s">
        <v>1315</v>
      </c>
      <c r="I878" s="198" t="s">
        <v>1461</v>
      </c>
      <c r="J878" s="410" t="s">
        <v>295</v>
      </c>
      <c r="K878" s="570"/>
    </row>
    <row r="879" spans="1:11" ht="52.8" hidden="1">
      <c r="A879" s="295" t="s">
        <v>42</v>
      </c>
      <c r="B879" s="197" t="s">
        <v>973</v>
      </c>
      <c r="C879" s="294">
        <v>44392</v>
      </c>
      <c r="D879" s="314" t="s">
        <v>56</v>
      </c>
      <c r="E879" s="314" t="s">
        <v>758</v>
      </c>
      <c r="F879" s="314" t="s">
        <v>56</v>
      </c>
      <c r="G879" s="205" t="s">
        <v>1419</v>
      </c>
      <c r="H879" s="205" t="s">
        <v>1460</v>
      </c>
      <c r="I879" s="198" t="s">
        <v>1463</v>
      </c>
      <c r="J879" s="410" t="s">
        <v>295</v>
      </c>
      <c r="K879" s="570"/>
    </row>
    <row r="880" spans="1:11" ht="52.8" hidden="1">
      <c r="A880" s="295" t="s">
        <v>42</v>
      </c>
      <c r="B880" s="197" t="s">
        <v>973</v>
      </c>
      <c r="C880" s="294">
        <v>44392</v>
      </c>
      <c r="D880" s="314" t="s">
        <v>56</v>
      </c>
      <c r="E880" s="314" t="s">
        <v>758</v>
      </c>
      <c r="F880" s="314" t="s">
        <v>56</v>
      </c>
      <c r="G880" s="205" t="s">
        <v>1419</v>
      </c>
      <c r="H880" s="205" t="s">
        <v>1462</v>
      </c>
      <c r="I880" s="198" t="s">
        <v>1465</v>
      </c>
      <c r="J880" s="410" t="s">
        <v>295</v>
      </c>
      <c r="K880" s="570"/>
    </row>
    <row r="881" spans="1:11" hidden="1">
      <c r="A881" s="295" t="s">
        <v>42</v>
      </c>
      <c r="B881" s="197" t="s">
        <v>973</v>
      </c>
      <c r="C881" s="294">
        <v>44392</v>
      </c>
      <c r="D881" s="314" t="s">
        <v>56</v>
      </c>
      <c r="E881" s="314" t="s">
        <v>758</v>
      </c>
      <c r="F881" s="314" t="s">
        <v>56</v>
      </c>
      <c r="G881" s="205" t="s">
        <v>1419</v>
      </c>
      <c r="H881" s="205" t="s">
        <v>1464</v>
      </c>
      <c r="I881" s="198" t="s">
        <v>1466</v>
      </c>
      <c r="J881" s="410" t="s">
        <v>295</v>
      </c>
      <c r="K881" s="570"/>
    </row>
    <row r="882" spans="1:11" hidden="1">
      <c r="A882" s="295" t="s">
        <v>42</v>
      </c>
      <c r="B882" s="197" t="s">
        <v>973</v>
      </c>
      <c r="C882" s="294">
        <v>44392</v>
      </c>
      <c r="D882" s="314" t="s">
        <v>56</v>
      </c>
      <c r="E882" s="314" t="s">
        <v>758</v>
      </c>
      <c r="F882" s="314" t="s">
        <v>56</v>
      </c>
      <c r="G882" s="205" t="s">
        <v>1419</v>
      </c>
      <c r="H882" s="205" t="s">
        <v>1323</v>
      </c>
      <c r="I882" s="198" t="s">
        <v>1468</v>
      </c>
      <c r="J882" s="410" t="s">
        <v>295</v>
      </c>
      <c r="K882" s="570"/>
    </row>
    <row r="883" spans="1:11" hidden="1">
      <c r="A883" s="295" t="s">
        <v>42</v>
      </c>
      <c r="B883" s="197" t="s">
        <v>973</v>
      </c>
      <c r="C883" s="294">
        <v>44392</v>
      </c>
      <c r="D883" s="314" t="s">
        <v>56</v>
      </c>
      <c r="E883" s="314" t="s">
        <v>758</v>
      </c>
      <c r="F883" s="314" t="s">
        <v>56</v>
      </c>
      <c r="G883" s="205" t="s">
        <v>1419</v>
      </c>
      <c r="H883" s="205" t="s">
        <v>1467</v>
      </c>
      <c r="I883" s="198" t="s">
        <v>1325</v>
      </c>
      <c r="J883" s="410" t="s">
        <v>295</v>
      </c>
      <c r="K883" s="570"/>
    </row>
    <row r="884" spans="1:11" hidden="1">
      <c r="A884" s="295" t="s">
        <v>42</v>
      </c>
      <c r="B884" s="197" t="s">
        <v>973</v>
      </c>
      <c r="C884" s="294">
        <v>44392</v>
      </c>
      <c r="D884" s="314" t="s">
        <v>56</v>
      </c>
      <c r="E884" s="314" t="s">
        <v>758</v>
      </c>
      <c r="F884" s="314" t="s">
        <v>56</v>
      </c>
      <c r="G884" s="205" t="s">
        <v>1419</v>
      </c>
      <c r="H884" s="205" t="s">
        <v>1324</v>
      </c>
      <c r="I884" s="198" t="s">
        <v>1469</v>
      </c>
      <c r="J884" s="410" t="s">
        <v>295</v>
      </c>
      <c r="K884" s="570"/>
    </row>
    <row r="885" spans="1:11" hidden="1">
      <c r="A885" s="295" t="s">
        <v>42</v>
      </c>
      <c r="B885" s="197" t="s">
        <v>973</v>
      </c>
      <c r="C885" s="294">
        <v>44392</v>
      </c>
      <c r="D885" s="314" t="s">
        <v>56</v>
      </c>
      <c r="E885" s="314" t="s">
        <v>758</v>
      </c>
      <c r="F885" s="314" t="s">
        <v>56</v>
      </c>
      <c r="G885" s="205" t="s">
        <v>1419</v>
      </c>
      <c r="H885" s="205" t="s">
        <v>1326</v>
      </c>
      <c r="I885" s="198" t="s">
        <v>1470</v>
      </c>
      <c r="J885" s="410" t="s">
        <v>295</v>
      </c>
      <c r="K885" s="570"/>
    </row>
    <row r="886" spans="1:11" hidden="1">
      <c r="A886" s="295" t="s">
        <v>42</v>
      </c>
      <c r="B886" s="197" t="s">
        <v>973</v>
      </c>
      <c r="C886" s="294">
        <v>44392</v>
      </c>
      <c r="D886" s="314" t="s">
        <v>56</v>
      </c>
      <c r="E886" s="314" t="s">
        <v>758</v>
      </c>
      <c r="F886" s="314" t="s">
        <v>56</v>
      </c>
      <c r="G886" s="205" t="s">
        <v>1419</v>
      </c>
      <c r="H886" s="205" t="s">
        <v>1330</v>
      </c>
      <c r="I886" s="198" t="s">
        <v>1472</v>
      </c>
      <c r="J886" s="410" t="s">
        <v>295</v>
      </c>
      <c r="K886" s="570"/>
    </row>
    <row r="887" spans="1:11" hidden="1">
      <c r="A887" s="295" t="s">
        <v>42</v>
      </c>
      <c r="B887" s="197" t="s">
        <v>973</v>
      </c>
      <c r="C887" s="294">
        <v>44392</v>
      </c>
      <c r="D887" s="314" t="s">
        <v>56</v>
      </c>
      <c r="E887" s="314" t="s">
        <v>758</v>
      </c>
      <c r="F887" s="314" t="s">
        <v>56</v>
      </c>
      <c r="G887" s="205" t="s">
        <v>1419</v>
      </c>
      <c r="H887" s="205" t="s">
        <v>1471</v>
      </c>
      <c r="I887" s="198" t="s">
        <v>1474</v>
      </c>
      <c r="J887" s="410" t="s">
        <v>295</v>
      </c>
      <c r="K887" s="570"/>
    </row>
    <row r="888" spans="1:11" hidden="1">
      <c r="A888" s="295" t="s">
        <v>42</v>
      </c>
      <c r="B888" s="197" t="s">
        <v>973</v>
      </c>
      <c r="C888" s="294">
        <v>44392</v>
      </c>
      <c r="D888" s="314" t="s">
        <v>56</v>
      </c>
      <c r="E888" s="314" t="s">
        <v>758</v>
      </c>
      <c r="F888" s="314" t="s">
        <v>56</v>
      </c>
      <c r="G888" s="205" t="s">
        <v>1419</v>
      </c>
      <c r="H888" s="205" t="s">
        <v>1473</v>
      </c>
      <c r="I888" s="198" t="s">
        <v>1476</v>
      </c>
      <c r="J888" s="410" t="s">
        <v>295</v>
      </c>
      <c r="K888" s="570"/>
    </row>
    <row r="889" spans="1:11" hidden="1">
      <c r="A889" s="295" t="s">
        <v>42</v>
      </c>
      <c r="B889" s="197" t="s">
        <v>973</v>
      </c>
      <c r="C889" s="294">
        <v>44392</v>
      </c>
      <c r="D889" s="314" t="s">
        <v>56</v>
      </c>
      <c r="E889" s="314" t="s">
        <v>758</v>
      </c>
      <c r="F889" s="314" t="s">
        <v>56</v>
      </c>
      <c r="G889" s="205" t="s">
        <v>1419</v>
      </c>
      <c r="H889" s="205" t="s">
        <v>1475</v>
      </c>
      <c r="I889" s="198" t="s">
        <v>1342</v>
      </c>
      <c r="J889" s="410" t="s">
        <v>295</v>
      </c>
      <c r="K889" s="570"/>
    </row>
    <row r="890" spans="1:11" hidden="1">
      <c r="A890" s="295" t="s">
        <v>42</v>
      </c>
      <c r="B890" s="197" t="s">
        <v>973</v>
      </c>
      <c r="C890" s="294">
        <v>44392</v>
      </c>
      <c r="D890" s="314" t="s">
        <v>56</v>
      </c>
      <c r="E890" s="314" t="s">
        <v>758</v>
      </c>
      <c r="F890" s="314" t="s">
        <v>56</v>
      </c>
      <c r="G890" s="205" t="s">
        <v>1419</v>
      </c>
      <c r="H890" s="205" t="s">
        <v>1341</v>
      </c>
      <c r="I890" s="198" t="s">
        <v>1346</v>
      </c>
      <c r="J890" s="410" t="s">
        <v>295</v>
      </c>
      <c r="K890" s="570"/>
    </row>
    <row r="891" spans="1:11" hidden="1">
      <c r="A891" s="295" t="s">
        <v>42</v>
      </c>
      <c r="B891" s="197" t="s">
        <v>973</v>
      </c>
      <c r="C891" s="294">
        <v>44392</v>
      </c>
      <c r="D891" s="314" t="s">
        <v>56</v>
      </c>
      <c r="E891" s="314" t="s">
        <v>758</v>
      </c>
      <c r="F891" s="314" t="s">
        <v>56</v>
      </c>
      <c r="G891" s="205" t="s">
        <v>1419</v>
      </c>
      <c r="H891" s="205" t="s">
        <v>1345</v>
      </c>
      <c r="I891" s="198" t="s">
        <v>1478</v>
      </c>
      <c r="J891" s="410" t="s">
        <v>295</v>
      </c>
      <c r="K891" s="570"/>
    </row>
    <row r="892" spans="1:11" hidden="1">
      <c r="A892" s="295" t="s">
        <v>42</v>
      </c>
      <c r="B892" s="197" t="s">
        <v>973</v>
      </c>
      <c r="C892" s="294">
        <v>44392</v>
      </c>
      <c r="D892" s="314" t="s">
        <v>56</v>
      </c>
      <c r="E892" s="314" t="s">
        <v>758</v>
      </c>
      <c r="F892" s="314" t="s">
        <v>56</v>
      </c>
      <c r="G892" s="205" t="s">
        <v>1419</v>
      </c>
      <c r="H892" s="205" t="s">
        <v>1477</v>
      </c>
      <c r="I892" s="198" t="s">
        <v>1479</v>
      </c>
      <c r="J892" s="410" t="s">
        <v>295</v>
      </c>
      <c r="K892" s="570"/>
    </row>
    <row r="893" spans="1:11" hidden="1">
      <c r="A893" s="295" t="s">
        <v>42</v>
      </c>
      <c r="B893" s="197" t="s">
        <v>973</v>
      </c>
      <c r="C893" s="294">
        <v>44392</v>
      </c>
      <c r="D893" s="314" t="s">
        <v>56</v>
      </c>
      <c r="E893" s="314" t="s">
        <v>758</v>
      </c>
      <c r="F893" s="314" t="s">
        <v>56</v>
      </c>
      <c r="G893" s="205" t="s">
        <v>1419</v>
      </c>
      <c r="H893" s="205" t="s">
        <v>1347</v>
      </c>
      <c r="I893" s="198" t="s">
        <v>1480</v>
      </c>
      <c r="J893" s="410" t="s">
        <v>295</v>
      </c>
      <c r="K893" s="570"/>
    </row>
    <row r="894" spans="1:11" hidden="1">
      <c r="A894" s="295" t="s">
        <v>42</v>
      </c>
      <c r="B894" s="197" t="s">
        <v>973</v>
      </c>
      <c r="C894" s="294">
        <v>44392</v>
      </c>
      <c r="D894" s="314" t="s">
        <v>56</v>
      </c>
      <c r="E894" s="314" t="s">
        <v>758</v>
      </c>
      <c r="F894" s="314" t="s">
        <v>56</v>
      </c>
      <c r="G894" s="205" t="s">
        <v>1419</v>
      </c>
      <c r="H894" s="205" t="s">
        <v>1348</v>
      </c>
      <c r="I894" s="198" t="s">
        <v>1481</v>
      </c>
      <c r="J894" s="410" t="s">
        <v>295</v>
      </c>
      <c r="K894" s="570"/>
    </row>
    <row r="895" spans="1:11" hidden="1">
      <c r="A895" s="295" t="s">
        <v>42</v>
      </c>
      <c r="B895" s="197" t="s">
        <v>973</v>
      </c>
      <c r="C895" s="294">
        <v>44392</v>
      </c>
      <c r="D895" s="314" t="s">
        <v>56</v>
      </c>
      <c r="E895" s="314" t="s">
        <v>758</v>
      </c>
      <c r="F895" s="314" t="s">
        <v>56</v>
      </c>
      <c r="G895" s="205" t="s">
        <v>1419</v>
      </c>
      <c r="H895" s="205" t="s">
        <v>1350</v>
      </c>
      <c r="I895" s="198" t="s">
        <v>1483</v>
      </c>
      <c r="J895" s="410" t="s">
        <v>295</v>
      </c>
      <c r="K895" s="570"/>
    </row>
    <row r="896" spans="1:11" hidden="1">
      <c r="A896" s="295" t="s">
        <v>42</v>
      </c>
      <c r="B896" s="197" t="s">
        <v>973</v>
      </c>
      <c r="C896" s="294">
        <v>44392</v>
      </c>
      <c r="D896" s="314" t="s">
        <v>56</v>
      </c>
      <c r="E896" s="314" t="s">
        <v>758</v>
      </c>
      <c r="F896" s="314" t="s">
        <v>56</v>
      </c>
      <c r="G896" s="205" t="s">
        <v>1419</v>
      </c>
      <c r="H896" s="205" t="s">
        <v>1482</v>
      </c>
      <c r="I896" s="198" t="s">
        <v>1485</v>
      </c>
      <c r="J896" s="410" t="s">
        <v>295</v>
      </c>
      <c r="K896" s="570"/>
    </row>
    <row r="897" spans="1:11" hidden="1">
      <c r="A897" s="295" t="s">
        <v>42</v>
      </c>
      <c r="B897" s="197" t="s">
        <v>973</v>
      </c>
      <c r="C897" s="294">
        <v>44392</v>
      </c>
      <c r="D897" s="314" t="s">
        <v>56</v>
      </c>
      <c r="E897" s="314" t="s">
        <v>758</v>
      </c>
      <c r="F897" s="314" t="s">
        <v>56</v>
      </c>
      <c r="G897" s="205" t="s">
        <v>1419</v>
      </c>
      <c r="H897" s="205" t="s">
        <v>1484</v>
      </c>
      <c r="I897" s="198" t="s">
        <v>1487</v>
      </c>
      <c r="J897" s="410" t="s">
        <v>295</v>
      </c>
      <c r="K897" s="570"/>
    </row>
    <row r="898" spans="1:11" hidden="1">
      <c r="A898" s="295" t="s">
        <v>42</v>
      </c>
      <c r="B898" s="197" t="s">
        <v>973</v>
      </c>
      <c r="C898" s="294">
        <v>44392</v>
      </c>
      <c r="D898" s="314" t="s">
        <v>56</v>
      </c>
      <c r="E898" s="314" t="s">
        <v>758</v>
      </c>
      <c r="F898" s="314" t="s">
        <v>56</v>
      </c>
      <c r="G898" s="205" t="s">
        <v>1419</v>
      </c>
      <c r="H898" s="205" t="s">
        <v>1486</v>
      </c>
      <c r="I898" s="198" t="s">
        <v>1362</v>
      </c>
      <c r="J898" s="410" t="s">
        <v>295</v>
      </c>
      <c r="K898" s="570"/>
    </row>
    <row r="899" spans="1:11" hidden="1">
      <c r="A899" s="295" t="s">
        <v>42</v>
      </c>
      <c r="B899" s="197" t="s">
        <v>973</v>
      </c>
      <c r="C899" s="294">
        <v>44392</v>
      </c>
      <c r="D899" s="314" t="s">
        <v>56</v>
      </c>
      <c r="E899" s="314" t="s">
        <v>758</v>
      </c>
      <c r="F899" s="314" t="s">
        <v>56</v>
      </c>
      <c r="G899" s="205" t="s">
        <v>1419</v>
      </c>
      <c r="H899" s="205" t="s">
        <v>1361</v>
      </c>
      <c r="I899" s="198" t="s">
        <v>1366</v>
      </c>
      <c r="J899" s="410" t="s">
        <v>295</v>
      </c>
      <c r="K899" s="570"/>
    </row>
    <row r="900" spans="1:11" hidden="1">
      <c r="A900" s="295" t="s">
        <v>42</v>
      </c>
      <c r="B900" s="197" t="s">
        <v>973</v>
      </c>
      <c r="C900" s="294">
        <v>44392</v>
      </c>
      <c r="D900" s="314" t="s">
        <v>56</v>
      </c>
      <c r="E900" s="314" t="s">
        <v>758</v>
      </c>
      <c r="F900" s="314" t="s">
        <v>56</v>
      </c>
      <c r="G900" s="205" t="s">
        <v>1419</v>
      </c>
      <c r="H900" s="205" t="s">
        <v>1365</v>
      </c>
      <c r="I900" s="198" t="s">
        <v>1489</v>
      </c>
      <c r="J900" s="410" t="s">
        <v>295</v>
      </c>
      <c r="K900" s="570"/>
    </row>
    <row r="901" spans="1:11" hidden="1">
      <c r="A901" s="295" t="s">
        <v>42</v>
      </c>
      <c r="B901" s="197" t="s">
        <v>973</v>
      </c>
      <c r="C901" s="294">
        <v>44392</v>
      </c>
      <c r="D901" s="314" t="s">
        <v>56</v>
      </c>
      <c r="E901" s="314" t="s">
        <v>758</v>
      </c>
      <c r="F901" s="314" t="s">
        <v>56</v>
      </c>
      <c r="G901" s="205" t="s">
        <v>1419</v>
      </c>
      <c r="H901" s="205" t="s">
        <v>1488</v>
      </c>
      <c r="I901" s="198" t="s">
        <v>1368</v>
      </c>
      <c r="J901" s="410" t="s">
        <v>295</v>
      </c>
      <c r="K901" s="570"/>
    </row>
    <row r="902" spans="1:11" hidden="1">
      <c r="A902" s="295" t="s">
        <v>42</v>
      </c>
      <c r="B902" s="197" t="s">
        <v>973</v>
      </c>
      <c r="C902" s="294">
        <v>44392</v>
      </c>
      <c r="D902" s="314" t="s">
        <v>56</v>
      </c>
      <c r="E902" s="314" t="s">
        <v>758</v>
      </c>
      <c r="F902" s="314" t="s">
        <v>56</v>
      </c>
      <c r="G902" s="205" t="s">
        <v>1419</v>
      </c>
      <c r="H902" s="205" t="s">
        <v>1367</v>
      </c>
      <c r="I902" s="198" t="s">
        <v>1490</v>
      </c>
      <c r="J902" s="410" t="s">
        <v>295</v>
      </c>
      <c r="K902" s="570"/>
    </row>
    <row r="903" spans="1:11" hidden="1">
      <c r="A903" s="295" t="s">
        <v>42</v>
      </c>
      <c r="B903" s="197" t="s">
        <v>973</v>
      </c>
      <c r="C903" s="294">
        <v>44392</v>
      </c>
      <c r="D903" s="314" t="s">
        <v>56</v>
      </c>
      <c r="E903" s="314" t="s">
        <v>758</v>
      </c>
      <c r="F903" s="314" t="s">
        <v>56</v>
      </c>
      <c r="G903" s="205" t="s">
        <v>1419</v>
      </c>
      <c r="H903" s="205" t="s">
        <v>1369</v>
      </c>
      <c r="I903" s="198" t="s">
        <v>1491</v>
      </c>
      <c r="J903" s="410" t="s">
        <v>295</v>
      </c>
      <c r="K903" s="570"/>
    </row>
    <row r="904" spans="1:11" hidden="1">
      <c r="A904" s="295" t="s">
        <v>42</v>
      </c>
      <c r="B904" s="197" t="s">
        <v>973</v>
      </c>
      <c r="C904" s="294">
        <v>44392</v>
      </c>
      <c r="D904" s="314" t="s">
        <v>56</v>
      </c>
      <c r="E904" s="314" t="s">
        <v>758</v>
      </c>
      <c r="F904" s="314" t="s">
        <v>56</v>
      </c>
      <c r="G904" s="205" t="s">
        <v>1419</v>
      </c>
      <c r="H904" s="205" t="s">
        <v>1373</v>
      </c>
      <c r="I904" s="198" t="s">
        <v>1493</v>
      </c>
      <c r="J904" s="410" t="s">
        <v>295</v>
      </c>
      <c r="K904" s="570"/>
    </row>
    <row r="905" spans="1:11" hidden="1">
      <c r="A905" s="295" t="s">
        <v>42</v>
      </c>
      <c r="B905" s="197" t="s">
        <v>973</v>
      </c>
      <c r="C905" s="294">
        <v>44392</v>
      </c>
      <c r="D905" s="314" t="s">
        <v>56</v>
      </c>
      <c r="E905" s="314" t="s">
        <v>758</v>
      </c>
      <c r="F905" s="314" t="s">
        <v>56</v>
      </c>
      <c r="G905" s="205" t="s">
        <v>1419</v>
      </c>
      <c r="H905" s="205" t="s">
        <v>1492</v>
      </c>
      <c r="I905" s="198" t="s">
        <v>1495</v>
      </c>
      <c r="J905" s="410" t="s">
        <v>295</v>
      </c>
      <c r="K905" s="570"/>
    </row>
    <row r="906" spans="1:11" hidden="1">
      <c r="A906" s="295" t="s">
        <v>42</v>
      </c>
      <c r="B906" s="197" t="s">
        <v>973</v>
      </c>
      <c r="C906" s="294">
        <v>44392</v>
      </c>
      <c r="D906" s="314" t="s">
        <v>56</v>
      </c>
      <c r="E906" s="314" t="s">
        <v>758</v>
      </c>
      <c r="F906" s="314" t="s">
        <v>56</v>
      </c>
      <c r="G906" s="205" t="s">
        <v>1419</v>
      </c>
      <c r="H906" s="205" t="s">
        <v>1494</v>
      </c>
      <c r="I906" s="198" t="s">
        <v>1497</v>
      </c>
      <c r="J906" s="410" t="s">
        <v>295</v>
      </c>
      <c r="K906" s="570"/>
    </row>
    <row r="907" spans="1:11" hidden="1">
      <c r="A907" s="295" t="s">
        <v>42</v>
      </c>
      <c r="B907" s="197" t="s">
        <v>973</v>
      </c>
      <c r="C907" s="294">
        <v>44392</v>
      </c>
      <c r="D907" s="314" t="s">
        <v>56</v>
      </c>
      <c r="E907" s="314" t="s">
        <v>758</v>
      </c>
      <c r="F907" s="314" t="s">
        <v>56</v>
      </c>
      <c r="G907" s="205" t="s">
        <v>1419</v>
      </c>
      <c r="H907" s="205" t="s">
        <v>1496</v>
      </c>
      <c r="I907" s="410" t="s">
        <v>1376</v>
      </c>
      <c r="J907" s="410" t="s">
        <v>295</v>
      </c>
      <c r="K907" s="570"/>
    </row>
    <row r="908" spans="1:11" hidden="1">
      <c r="A908" s="295" t="s">
        <v>42</v>
      </c>
      <c r="B908" s="197" t="s">
        <v>973</v>
      </c>
      <c r="C908" s="294">
        <v>44392</v>
      </c>
      <c r="D908" s="314" t="s">
        <v>56</v>
      </c>
      <c r="E908" s="314" t="s">
        <v>758</v>
      </c>
      <c r="F908" s="314" t="s">
        <v>56</v>
      </c>
      <c r="G908" s="205" t="s">
        <v>1419</v>
      </c>
      <c r="H908" s="205" t="s">
        <v>1498</v>
      </c>
      <c r="I908" s="410" t="s">
        <v>1378</v>
      </c>
      <c r="J908" s="410" t="s">
        <v>295</v>
      </c>
      <c r="K908" s="570"/>
    </row>
    <row r="909" spans="1:11" hidden="1">
      <c r="A909" s="295" t="s">
        <v>42</v>
      </c>
      <c r="B909" s="197" t="s">
        <v>973</v>
      </c>
      <c r="C909" s="294">
        <v>44392</v>
      </c>
      <c r="D909" s="314" t="s">
        <v>56</v>
      </c>
      <c r="E909" s="314" t="s">
        <v>758</v>
      </c>
      <c r="F909" s="314" t="s">
        <v>56</v>
      </c>
      <c r="G909" s="205" t="s">
        <v>1419</v>
      </c>
      <c r="H909" s="205" t="s">
        <v>1499</v>
      </c>
      <c r="I909" s="410" t="s">
        <v>1380</v>
      </c>
      <c r="J909" s="410" t="s">
        <v>295</v>
      </c>
      <c r="K909" s="570"/>
    </row>
    <row r="910" spans="1:11" hidden="1">
      <c r="A910" s="295" t="s">
        <v>42</v>
      </c>
      <c r="B910" s="197" t="s">
        <v>973</v>
      </c>
      <c r="C910" s="294">
        <v>44392</v>
      </c>
      <c r="D910" s="314" t="s">
        <v>56</v>
      </c>
      <c r="E910" s="314" t="s">
        <v>758</v>
      </c>
      <c r="F910" s="314" t="s">
        <v>56</v>
      </c>
      <c r="G910" s="205" t="s">
        <v>1419</v>
      </c>
      <c r="H910" s="205" t="s">
        <v>1124</v>
      </c>
      <c r="I910" s="410" t="s">
        <v>87</v>
      </c>
      <c r="J910" s="410" t="s">
        <v>295</v>
      </c>
      <c r="K910" s="570"/>
    </row>
    <row r="911" spans="1:11" hidden="1">
      <c r="A911" s="295" t="s">
        <v>42</v>
      </c>
      <c r="B911" s="197" t="s">
        <v>973</v>
      </c>
      <c r="C911" s="294">
        <v>44392</v>
      </c>
      <c r="D911" s="314" t="s">
        <v>56</v>
      </c>
      <c r="E911" s="314" t="s">
        <v>758</v>
      </c>
      <c r="F911" s="314" t="s">
        <v>56</v>
      </c>
      <c r="G911" s="205" t="s">
        <v>1419</v>
      </c>
      <c r="H911" s="205" t="s">
        <v>1397</v>
      </c>
      <c r="I911" s="410" t="s">
        <v>1500</v>
      </c>
      <c r="J911" s="410" t="s">
        <v>295</v>
      </c>
      <c r="K911" s="570"/>
    </row>
    <row r="912" spans="1:11" hidden="1">
      <c r="A912" s="295" t="s">
        <v>42</v>
      </c>
      <c r="B912" s="197" t="s">
        <v>973</v>
      </c>
      <c r="C912" s="294">
        <v>44392</v>
      </c>
      <c r="D912" s="314" t="s">
        <v>56</v>
      </c>
      <c r="E912" s="314" t="s">
        <v>758</v>
      </c>
      <c r="F912" s="314" t="s">
        <v>56</v>
      </c>
      <c r="G912" s="205" t="s">
        <v>1419</v>
      </c>
      <c r="H912" s="205" t="s">
        <v>318</v>
      </c>
      <c r="I912" s="410" t="s">
        <v>1502</v>
      </c>
      <c r="J912" s="410" t="s">
        <v>295</v>
      </c>
      <c r="K912" s="570"/>
    </row>
    <row r="913" spans="1:11" hidden="1">
      <c r="A913" s="295" t="s">
        <v>42</v>
      </c>
      <c r="B913" s="197" t="s">
        <v>973</v>
      </c>
      <c r="C913" s="294">
        <v>44392</v>
      </c>
      <c r="D913" s="314" t="s">
        <v>56</v>
      </c>
      <c r="E913" s="314" t="s">
        <v>758</v>
      </c>
      <c r="F913" s="314" t="s">
        <v>56</v>
      </c>
      <c r="G913" s="205" t="s">
        <v>1419</v>
      </c>
      <c r="H913" s="205" t="s">
        <v>1501</v>
      </c>
      <c r="I913" s="410" t="s">
        <v>759</v>
      </c>
      <c r="J913" s="410" t="s">
        <v>295</v>
      </c>
      <c r="K913" s="570"/>
    </row>
    <row r="914" spans="1:11" hidden="1">
      <c r="A914" s="295" t="s">
        <v>42</v>
      </c>
      <c r="B914" s="197" t="s">
        <v>973</v>
      </c>
      <c r="C914" s="294">
        <v>44392</v>
      </c>
      <c r="D914" s="314" t="s">
        <v>56</v>
      </c>
      <c r="E914" s="314" t="s">
        <v>758</v>
      </c>
      <c r="F914" s="314" t="s">
        <v>56</v>
      </c>
      <c r="G914" s="205" t="s">
        <v>1419</v>
      </c>
      <c r="H914" s="205" t="s">
        <v>1503</v>
      </c>
      <c r="I914" s="410" t="s">
        <v>1502</v>
      </c>
      <c r="J914" s="410" t="s">
        <v>295</v>
      </c>
      <c r="K914" s="570"/>
    </row>
    <row r="915" spans="1:11" hidden="1">
      <c r="A915" s="295" t="s">
        <v>42</v>
      </c>
      <c r="B915" s="197" t="s">
        <v>973</v>
      </c>
      <c r="C915" s="294">
        <v>44392</v>
      </c>
      <c r="D915" s="314" t="s">
        <v>56</v>
      </c>
      <c r="E915" s="314" t="s">
        <v>758</v>
      </c>
      <c r="F915" s="314" t="s">
        <v>56</v>
      </c>
      <c r="G915" s="205" t="s">
        <v>1419</v>
      </c>
      <c r="H915" s="205" t="s">
        <v>1408</v>
      </c>
      <c r="I915" s="410" t="s">
        <v>759</v>
      </c>
      <c r="J915" s="410" t="s">
        <v>295</v>
      </c>
      <c r="K915" s="570"/>
    </row>
    <row r="916" spans="1:11" hidden="1">
      <c r="A916" s="295" t="s">
        <v>42</v>
      </c>
      <c r="B916" s="197" t="s">
        <v>973</v>
      </c>
      <c r="C916" s="294">
        <v>44392</v>
      </c>
      <c r="D916" s="314" t="s">
        <v>56</v>
      </c>
      <c r="E916" s="314" t="s">
        <v>758</v>
      </c>
      <c r="F916" s="314" t="s">
        <v>56</v>
      </c>
      <c r="G916" s="205" t="s">
        <v>1419</v>
      </c>
      <c r="H916" s="205" t="s">
        <v>1504</v>
      </c>
      <c r="I916" s="198" t="s">
        <v>1387</v>
      </c>
      <c r="J916" s="410" t="s">
        <v>295</v>
      </c>
      <c r="K916" s="570"/>
    </row>
    <row r="917" spans="1:11" hidden="1">
      <c r="A917" s="295" t="s">
        <v>42</v>
      </c>
      <c r="B917" s="197" t="s">
        <v>973</v>
      </c>
      <c r="C917" s="294">
        <v>44392</v>
      </c>
      <c r="D917" s="314" t="s">
        <v>56</v>
      </c>
      <c r="E917" s="314" t="s">
        <v>758</v>
      </c>
      <c r="F917" s="314" t="s">
        <v>56</v>
      </c>
      <c r="G917" s="205" t="s">
        <v>1419</v>
      </c>
      <c r="H917" s="205" t="s">
        <v>692</v>
      </c>
      <c r="I917" s="198" t="s">
        <v>1388</v>
      </c>
      <c r="J917" s="410" t="s">
        <v>295</v>
      </c>
      <c r="K917" s="570"/>
    </row>
    <row r="918" spans="1:11" hidden="1">
      <c r="A918" s="295" t="s">
        <v>42</v>
      </c>
      <c r="B918" s="197" t="s">
        <v>973</v>
      </c>
      <c r="C918" s="294">
        <v>44392</v>
      </c>
      <c r="D918" s="314" t="s">
        <v>56</v>
      </c>
      <c r="E918" s="314" t="s">
        <v>758</v>
      </c>
      <c r="F918" s="314" t="s">
        <v>56</v>
      </c>
      <c r="G918" s="205" t="s">
        <v>1419</v>
      </c>
      <c r="H918" s="205" t="s">
        <v>1390</v>
      </c>
      <c r="I918" s="198" t="s">
        <v>1389</v>
      </c>
      <c r="J918" s="410" t="s">
        <v>295</v>
      </c>
      <c r="K918" s="570"/>
    </row>
    <row r="919" spans="1:11" hidden="1">
      <c r="A919" s="295" t="s">
        <v>42</v>
      </c>
      <c r="B919" s="197" t="s">
        <v>973</v>
      </c>
      <c r="C919" s="294">
        <v>44392</v>
      </c>
      <c r="D919" s="314" t="s">
        <v>56</v>
      </c>
      <c r="E919" s="314" t="s">
        <v>758</v>
      </c>
      <c r="F919" s="314" t="s">
        <v>56</v>
      </c>
      <c r="G919" s="205" t="s">
        <v>1419</v>
      </c>
      <c r="H919" s="205" t="s">
        <v>1392</v>
      </c>
      <c r="I919" s="198" t="s">
        <v>1505</v>
      </c>
      <c r="J919" s="410" t="s">
        <v>295</v>
      </c>
      <c r="K919" s="570"/>
    </row>
    <row r="920" spans="1:11" hidden="1">
      <c r="A920" s="295" t="s">
        <v>42</v>
      </c>
      <c r="B920" s="197" t="s">
        <v>973</v>
      </c>
      <c r="C920" s="294">
        <v>44392</v>
      </c>
      <c r="D920" s="314" t="s">
        <v>56</v>
      </c>
      <c r="E920" s="314" t="s">
        <v>758</v>
      </c>
      <c r="F920" s="314" t="s">
        <v>56</v>
      </c>
      <c r="G920" s="205" t="s">
        <v>1419</v>
      </c>
      <c r="H920" s="205" t="s">
        <v>1137</v>
      </c>
      <c r="I920" s="198" t="s">
        <v>1507</v>
      </c>
      <c r="J920" s="410" t="s">
        <v>295</v>
      </c>
      <c r="K920" s="570"/>
    </row>
    <row r="921" spans="1:11" hidden="1">
      <c r="A921" s="295" t="s">
        <v>42</v>
      </c>
      <c r="B921" s="197" t="s">
        <v>973</v>
      </c>
      <c r="C921" s="294">
        <v>44392</v>
      </c>
      <c r="D921" s="314" t="s">
        <v>56</v>
      </c>
      <c r="E921" s="314" t="s">
        <v>758</v>
      </c>
      <c r="F921" s="314" t="s">
        <v>56</v>
      </c>
      <c r="G921" s="205" t="s">
        <v>1419</v>
      </c>
      <c r="H921" s="205" t="s">
        <v>1506</v>
      </c>
      <c r="I921" s="198" t="s">
        <v>1509</v>
      </c>
      <c r="J921" s="410" t="s">
        <v>295</v>
      </c>
      <c r="K921" s="570"/>
    </row>
    <row r="922" spans="1:11" hidden="1">
      <c r="A922" s="295" t="s">
        <v>42</v>
      </c>
      <c r="B922" s="197" t="s">
        <v>973</v>
      </c>
      <c r="C922" s="294">
        <v>44392</v>
      </c>
      <c r="D922" s="314" t="s">
        <v>56</v>
      </c>
      <c r="E922" s="314" t="s">
        <v>758</v>
      </c>
      <c r="F922" s="314" t="s">
        <v>56</v>
      </c>
      <c r="G922" s="205" t="s">
        <v>1419</v>
      </c>
      <c r="H922" s="205" t="s">
        <v>1508</v>
      </c>
      <c r="I922" s="198" t="s">
        <v>1510</v>
      </c>
      <c r="J922" s="410" t="s">
        <v>295</v>
      </c>
      <c r="K922" s="570"/>
    </row>
    <row r="923" spans="1:11" hidden="1">
      <c r="A923" s="295" t="s">
        <v>42</v>
      </c>
      <c r="B923" s="197" t="s">
        <v>973</v>
      </c>
      <c r="C923" s="294">
        <v>44392</v>
      </c>
      <c r="D923" s="314" t="s">
        <v>56</v>
      </c>
      <c r="E923" s="314" t="s">
        <v>758</v>
      </c>
      <c r="F923" s="314" t="s">
        <v>56</v>
      </c>
      <c r="G923" s="205" t="s">
        <v>1419</v>
      </c>
      <c r="H923" s="205" t="s">
        <v>744</v>
      </c>
      <c r="I923" s="198" t="s">
        <v>1393</v>
      </c>
      <c r="J923" s="410" t="s">
        <v>295</v>
      </c>
      <c r="K923" s="570"/>
    </row>
    <row r="924" spans="1:11" hidden="1">
      <c r="A924" s="295" t="s">
        <v>42</v>
      </c>
      <c r="B924" s="197" t="s">
        <v>973</v>
      </c>
      <c r="C924" s="294">
        <v>44392</v>
      </c>
      <c r="D924" s="314" t="s">
        <v>56</v>
      </c>
      <c r="E924" s="314" t="s">
        <v>758</v>
      </c>
      <c r="F924" s="314" t="s">
        <v>56</v>
      </c>
      <c r="G924" s="205" t="s">
        <v>1419</v>
      </c>
      <c r="H924" s="205" t="s">
        <v>682</v>
      </c>
      <c r="I924" s="198" t="s">
        <v>1511</v>
      </c>
      <c r="J924" s="410" t="s">
        <v>295</v>
      </c>
      <c r="K924" s="570"/>
    </row>
    <row r="925" spans="1:11" hidden="1">
      <c r="A925" s="295" t="s">
        <v>42</v>
      </c>
      <c r="B925" s="197" t="s">
        <v>973</v>
      </c>
      <c r="C925" s="294">
        <v>44392</v>
      </c>
      <c r="D925" s="314" t="s">
        <v>56</v>
      </c>
      <c r="E925" s="314" t="s">
        <v>758</v>
      </c>
      <c r="F925" s="314" t="s">
        <v>56</v>
      </c>
      <c r="G925" s="205" t="s">
        <v>1419</v>
      </c>
      <c r="H925" s="205" t="s">
        <v>131</v>
      </c>
      <c r="I925" s="410" t="s">
        <v>1512</v>
      </c>
      <c r="J925" s="410" t="s">
        <v>295</v>
      </c>
      <c r="K925" s="570"/>
    </row>
    <row r="926" spans="1:11" hidden="1">
      <c r="A926" s="295" t="s">
        <v>42</v>
      </c>
      <c r="B926" s="197" t="s">
        <v>973</v>
      </c>
      <c r="C926" s="294">
        <v>44392</v>
      </c>
      <c r="D926" s="314" t="s">
        <v>56</v>
      </c>
      <c r="E926" s="314" t="s">
        <v>758</v>
      </c>
      <c r="F926" s="314" t="s">
        <v>56</v>
      </c>
      <c r="G926" s="205" t="s">
        <v>1419</v>
      </c>
      <c r="H926" s="205" t="s">
        <v>134</v>
      </c>
      <c r="I926" s="198" t="s">
        <v>1513</v>
      </c>
      <c r="J926" s="410" t="s">
        <v>295</v>
      </c>
      <c r="K926" s="570"/>
    </row>
    <row r="927" spans="1:11" hidden="1">
      <c r="A927" s="295" t="s">
        <v>42</v>
      </c>
      <c r="B927" s="197" t="s">
        <v>973</v>
      </c>
      <c r="C927" s="294">
        <v>44392</v>
      </c>
      <c r="D927" s="314" t="s">
        <v>56</v>
      </c>
      <c r="E927" s="314" t="s">
        <v>758</v>
      </c>
      <c r="F927" s="314" t="s">
        <v>56</v>
      </c>
      <c r="G927" s="205" t="s">
        <v>1419</v>
      </c>
      <c r="H927" s="205" t="s">
        <v>137</v>
      </c>
      <c r="I927" s="198" t="s">
        <v>1399</v>
      </c>
      <c r="J927" s="410" t="s">
        <v>295</v>
      </c>
      <c r="K927" s="570"/>
    </row>
    <row r="928" spans="1:11" hidden="1">
      <c r="A928" s="295" t="s">
        <v>42</v>
      </c>
      <c r="B928" s="197" t="s">
        <v>973</v>
      </c>
      <c r="C928" s="294">
        <v>44392</v>
      </c>
      <c r="D928" s="314" t="s">
        <v>56</v>
      </c>
      <c r="E928" s="314" t="s">
        <v>758</v>
      </c>
      <c r="F928" s="314" t="s">
        <v>56</v>
      </c>
      <c r="G928" s="205" t="s">
        <v>1419</v>
      </c>
      <c r="H928" s="205" t="s">
        <v>140</v>
      </c>
      <c r="I928" s="410" t="s">
        <v>1515</v>
      </c>
      <c r="J928" s="410" t="s">
        <v>295</v>
      </c>
      <c r="K928" s="570"/>
    </row>
    <row r="929" spans="1:11" hidden="1">
      <c r="A929" s="295" t="s">
        <v>42</v>
      </c>
      <c r="B929" s="197" t="s">
        <v>973</v>
      </c>
      <c r="C929" s="294">
        <v>44392</v>
      </c>
      <c r="D929" s="314" t="s">
        <v>56</v>
      </c>
      <c r="E929" s="314" t="s">
        <v>758</v>
      </c>
      <c r="F929" s="314" t="s">
        <v>56</v>
      </c>
      <c r="G929" s="205" t="s">
        <v>1419</v>
      </c>
      <c r="H929" s="205" t="s">
        <v>1514</v>
      </c>
      <c r="I929" s="410" t="s">
        <v>1516</v>
      </c>
      <c r="J929" s="410" t="s">
        <v>295</v>
      </c>
      <c r="K929" s="570"/>
    </row>
    <row r="930" spans="1:11" hidden="1">
      <c r="A930" s="295" t="s">
        <v>42</v>
      </c>
      <c r="B930" s="197" t="s">
        <v>973</v>
      </c>
      <c r="C930" s="294">
        <v>44392</v>
      </c>
      <c r="D930" s="314" t="s">
        <v>56</v>
      </c>
      <c r="E930" s="314" t="s">
        <v>758</v>
      </c>
      <c r="F930" s="314" t="s">
        <v>56</v>
      </c>
      <c r="G930" s="205" t="s">
        <v>1419</v>
      </c>
      <c r="H930" s="205" t="s">
        <v>1147</v>
      </c>
      <c r="I930" s="410" t="s">
        <v>1517</v>
      </c>
      <c r="J930" s="410" t="s">
        <v>295</v>
      </c>
      <c r="K930" s="570"/>
    </row>
    <row r="931" spans="1:11" hidden="1">
      <c r="A931" s="295" t="s">
        <v>42</v>
      </c>
      <c r="B931" s="197" t="s">
        <v>973</v>
      </c>
      <c r="C931" s="294">
        <v>44392</v>
      </c>
      <c r="D931" s="314" t="s">
        <v>56</v>
      </c>
      <c r="E931" s="314" t="s">
        <v>758</v>
      </c>
      <c r="F931" s="314" t="s">
        <v>56</v>
      </c>
      <c r="G931" s="205" t="s">
        <v>1419</v>
      </c>
      <c r="H931" s="205" t="s">
        <v>684</v>
      </c>
      <c r="I931" s="198" t="s">
        <v>1518</v>
      </c>
      <c r="J931" s="410"/>
      <c r="K931" s="570"/>
    </row>
    <row r="932" spans="1:11" hidden="1">
      <c r="A932" s="295" t="s">
        <v>42</v>
      </c>
      <c r="B932" s="197" t="s">
        <v>973</v>
      </c>
      <c r="C932" s="294">
        <v>44392</v>
      </c>
      <c r="D932" s="314" t="s">
        <v>56</v>
      </c>
      <c r="E932" s="314" t="s">
        <v>758</v>
      </c>
      <c r="F932" s="314" t="s">
        <v>56</v>
      </c>
      <c r="G932" s="205" t="s">
        <v>1419</v>
      </c>
      <c r="H932" s="205" t="s">
        <v>320</v>
      </c>
      <c r="I932" s="198" t="s">
        <v>1519</v>
      </c>
      <c r="J932" s="410" t="s">
        <v>295</v>
      </c>
      <c r="K932" s="570"/>
    </row>
    <row r="933" spans="1:11" hidden="1">
      <c r="A933" s="295" t="s">
        <v>42</v>
      </c>
      <c r="B933" s="197" t="s">
        <v>973</v>
      </c>
      <c r="C933" s="294">
        <v>44392</v>
      </c>
      <c r="D933" s="314" t="s">
        <v>56</v>
      </c>
      <c r="E933" s="314" t="s">
        <v>758</v>
      </c>
      <c r="F933" s="314" t="s">
        <v>56</v>
      </c>
      <c r="G933" s="205" t="s">
        <v>1419</v>
      </c>
      <c r="H933" s="205" t="s">
        <v>322</v>
      </c>
      <c r="I933" s="198" t="s">
        <v>1520</v>
      </c>
      <c r="J933" s="410" t="s">
        <v>295</v>
      </c>
      <c r="K933" s="570"/>
    </row>
    <row r="934" spans="1:11" hidden="1">
      <c r="A934" s="295" t="s">
        <v>42</v>
      </c>
      <c r="B934" s="197" t="s">
        <v>973</v>
      </c>
      <c r="C934" s="294">
        <v>44392</v>
      </c>
      <c r="D934" s="314" t="s">
        <v>56</v>
      </c>
      <c r="E934" s="314" t="s">
        <v>758</v>
      </c>
      <c r="F934" s="314" t="s">
        <v>56</v>
      </c>
      <c r="G934" s="205" t="s">
        <v>1419</v>
      </c>
      <c r="H934" s="205" t="s">
        <v>324</v>
      </c>
      <c r="I934" s="198" t="s">
        <v>1521</v>
      </c>
      <c r="J934" s="410" t="s">
        <v>295</v>
      </c>
      <c r="K934" s="570"/>
    </row>
    <row r="935" spans="1:11" hidden="1">
      <c r="A935" s="295" t="s">
        <v>42</v>
      </c>
      <c r="B935" s="197" t="s">
        <v>973</v>
      </c>
      <c r="C935" s="294">
        <v>44392</v>
      </c>
      <c r="D935" s="314" t="s">
        <v>56</v>
      </c>
      <c r="E935" s="314" t="s">
        <v>758</v>
      </c>
      <c r="F935" s="314" t="s">
        <v>56</v>
      </c>
      <c r="G935" s="205" t="s">
        <v>1419</v>
      </c>
      <c r="H935" s="205" t="s">
        <v>326</v>
      </c>
      <c r="I935" s="198" t="s">
        <v>1522</v>
      </c>
      <c r="J935" s="410" t="s">
        <v>295</v>
      </c>
      <c r="K935" s="570"/>
    </row>
    <row r="936" spans="1:11" hidden="1">
      <c r="A936" s="295" t="s">
        <v>42</v>
      </c>
      <c r="B936" s="197" t="s">
        <v>973</v>
      </c>
      <c r="C936" s="294">
        <v>44392</v>
      </c>
      <c r="D936" s="314" t="s">
        <v>56</v>
      </c>
      <c r="E936" s="314" t="s">
        <v>758</v>
      </c>
      <c r="F936" s="314" t="s">
        <v>56</v>
      </c>
      <c r="G936" s="205" t="s">
        <v>1419</v>
      </c>
      <c r="H936" s="205" t="s">
        <v>328</v>
      </c>
      <c r="I936" s="198" t="s">
        <v>1523</v>
      </c>
      <c r="J936" s="410" t="s">
        <v>295</v>
      </c>
      <c r="K936" s="570"/>
    </row>
    <row r="937" spans="1:11" hidden="1">
      <c r="A937" s="295" t="s">
        <v>42</v>
      </c>
      <c r="B937" s="197" t="s">
        <v>973</v>
      </c>
      <c r="C937" s="294">
        <v>44392</v>
      </c>
      <c r="D937" s="314" t="s">
        <v>56</v>
      </c>
      <c r="E937" s="314" t="s">
        <v>758</v>
      </c>
      <c r="F937" s="314" t="s">
        <v>56</v>
      </c>
      <c r="G937" s="205" t="s">
        <v>1419</v>
      </c>
      <c r="H937" s="205" t="s">
        <v>330</v>
      </c>
      <c r="I937" s="198" t="s">
        <v>1524</v>
      </c>
      <c r="J937" s="410"/>
      <c r="K937" s="570"/>
    </row>
    <row r="938" spans="1:11" hidden="1">
      <c r="A938" s="295" t="s">
        <v>42</v>
      </c>
      <c r="B938" s="197" t="s">
        <v>973</v>
      </c>
      <c r="C938" s="294">
        <v>44392</v>
      </c>
      <c r="D938" s="314" t="s">
        <v>56</v>
      </c>
      <c r="E938" s="314" t="s">
        <v>758</v>
      </c>
      <c r="F938" s="314" t="s">
        <v>56</v>
      </c>
      <c r="G938" s="205" t="s">
        <v>1419</v>
      </c>
      <c r="H938" s="205" t="s">
        <v>749</v>
      </c>
      <c r="I938" s="198" t="s">
        <v>1525</v>
      </c>
      <c r="J938" s="410" t="s">
        <v>295</v>
      </c>
      <c r="K938" s="570"/>
    </row>
    <row r="939" spans="1:11" hidden="1">
      <c r="A939" s="295" t="s">
        <v>42</v>
      </c>
      <c r="B939" s="197" t="s">
        <v>973</v>
      </c>
      <c r="C939" s="294">
        <v>44392</v>
      </c>
      <c r="D939" s="314" t="s">
        <v>56</v>
      </c>
      <c r="E939" s="314" t="s">
        <v>758</v>
      </c>
      <c r="F939" s="314" t="s">
        <v>56</v>
      </c>
      <c r="G939" s="205" t="s">
        <v>1419</v>
      </c>
      <c r="H939" s="205" t="s">
        <v>687</v>
      </c>
      <c r="I939" s="410" t="s">
        <v>1409</v>
      </c>
      <c r="J939" s="410" t="s">
        <v>295</v>
      </c>
      <c r="K939" s="570"/>
    </row>
    <row r="940" spans="1:11" hidden="1">
      <c r="A940" s="295" t="s">
        <v>42</v>
      </c>
      <c r="B940" s="197" t="s">
        <v>973</v>
      </c>
      <c r="C940" s="294">
        <v>44392</v>
      </c>
      <c r="D940" s="314" t="s">
        <v>56</v>
      </c>
      <c r="E940" s="314" t="s">
        <v>758</v>
      </c>
      <c r="F940" s="314" t="s">
        <v>56</v>
      </c>
      <c r="G940" s="205" t="s">
        <v>1419</v>
      </c>
      <c r="H940" s="205" t="s">
        <v>1414</v>
      </c>
      <c r="I940" s="410" t="s">
        <v>1527</v>
      </c>
      <c r="J940" s="410" t="s">
        <v>295</v>
      </c>
      <c r="K940" s="570"/>
    </row>
    <row r="941" spans="1:11" hidden="1">
      <c r="A941" s="295" t="s">
        <v>42</v>
      </c>
      <c r="B941" s="197" t="s">
        <v>973</v>
      </c>
      <c r="C941" s="294">
        <v>44392</v>
      </c>
      <c r="D941" s="314" t="s">
        <v>56</v>
      </c>
      <c r="E941" s="314" t="s">
        <v>758</v>
      </c>
      <c r="F941" s="314" t="s">
        <v>56</v>
      </c>
      <c r="G941" s="205" t="s">
        <v>1419</v>
      </c>
      <c r="H941" s="205" t="s">
        <v>1526</v>
      </c>
      <c r="I941" s="410" t="s">
        <v>1528</v>
      </c>
      <c r="J941" s="410" t="s">
        <v>295</v>
      </c>
      <c r="K941" s="570"/>
    </row>
    <row r="942" spans="1:11" hidden="1">
      <c r="A942" s="295" t="s">
        <v>42</v>
      </c>
      <c r="B942" s="197" t="s">
        <v>973</v>
      </c>
      <c r="C942" s="294">
        <v>44392</v>
      </c>
      <c r="D942" s="314" t="s">
        <v>56</v>
      </c>
      <c r="E942" s="314" t="s">
        <v>758</v>
      </c>
      <c r="F942" s="314" t="s">
        <v>56</v>
      </c>
      <c r="G942" s="205" t="s">
        <v>1419</v>
      </c>
      <c r="H942" s="205" t="s">
        <v>332</v>
      </c>
      <c r="I942" s="410" t="s">
        <v>1529</v>
      </c>
      <c r="J942" s="410" t="s">
        <v>295</v>
      </c>
      <c r="K942" s="570"/>
    </row>
    <row r="943" spans="1:11" ht="26.4" hidden="1">
      <c r="A943" s="295" t="s">
        <v>42</v>
      </c>
      <c r="B943" s="197" t="s">
        <v>973</v>
      </c>
      <c r="C943" s="294">
        <v>44392</v>
      </c>
      <c r="D943" s="314" t="s">
        <v>56</v>
      </c>
      <c r="E943" s="314" t="s">
        <v>758</v>
      </c>
      <c r="F943" s="314" t="s">
        <v>56</v>
      </c>
      <c r="G943" s="205" t="s">
        <v>1419</v>
      </c>
      <c r="H943" s="205" t="s">
        <v>346</v>
      </c>
      <c r="I943" s="410" t="s">
        <v>1530</v>
      </c>
      <c r="J943" s="410" t="s">
        <v>295</v>
      </c>
      <c r="K943" s="570"/>
    </row>
    <row r="944" spans="1:11" hidden="1">
      <c r="A944" s="295" t="s">
        <v>42</v>
      </c>
      <c r="B944" s="197" t="s">
        <v>973</v>
      </c>
      <c r="C944" s="294">
        <v>44392</v>
      </c>
      <c r="D944" s="314" t="s">
        <v>56</v>
      </c>
      <c r="E944" s="314" t="s">
        <v>758</v>
      </c>
      <c r="F944" s="314" t="s">
        <v>56</v>
      </c>
      <c r="G944" s="205" t="s">
        <v>1419</v>
      </c>
      <c r="H944" s="205" t="s">
        <v>348</v>
      </c>
      <c r="I944" s="198" t="s">
        <v>1531</v>
      </c>
      <c r="J944" s="410" t="s">
        <v>295</v>
      </c>
      <c r="K944" s="570"/>
    </row>
    <row r="945" spans="1:11" hidden="1">
      <c r="A945" s="295" t="s">
        <v>42</v>
      </c>
      <c r="B945" s="197" t="s">
        <v>973</v>
      </c>
      <c r="C945" s="294">
        <v>44392</v>
      </c>
      <c r="D945" s="314" t="s">
        <v>56</v>
      </c>
      <c r="E945" s="314" t="s">
        <v>758</v>
      </c>
      <c r="F945" s="314" t="s">
        <v>56</v>
      </c>
      <c r="G945" s="205" t="s">
        <v>1419</v>
      </c>
      <c r="H945" s="205" t="s">
        <v>483</v>
      </c>
      <c r="I945" s="198" t="s">
        <v>1532</v>
      </c>
      <c r="J945" s="410" t="s">
        <v>295</v>
      </c>
      <c r="K945" s="570"/>
    </row>
    <row r="946" spans="1:11" hidden="1">
      <c r="A946" s="295" t="s">
        <v>42</v>
      </c>
      <c r="B946" s="197" t="s">
        <v>973</v>
      </c>
      <c r="C946" s="294">
        <v>44392</v>
      </c>
      <c r="D946" s="314" t="s">
        <v>56</v>
      </c>
      <c r="E946" s="314" t="s">
        <v>758</v>
      </c>
      <c r="F946" s="314" t="s">
        <v>56</v>
      </c>
      <c r="G946" s="205" t="s">
        <v>1419</v>
      </c>
      <c r="H946" s="205" t="s">
        <v>549</v>
      </c>
      <c r="I946" s="198" t="s">
        <v>1533</v>
      </c>
      <c r="J946" s="410" t="s">
        <v>295</v>
      </c>
      <c r="K946" s="570"/>
    </row>
    <row r="947" spans="1:11" hidden="1">
      <c r="A947" s="295" t="s">
        <v>42</v>
      </c>
      <c r="B947" s="197" t="s">
        <v>973</v>
      </c>
      <c r="C947" s="294">
        <v>44392</v>
      </c>
      <c r="D947" s="314" t="s">
        <v>56</v>
      </c>
      <c r="E947" s="314" t="s">
        <v>758</v>
      </c>
      <c r="F947" s="314" t="s">
        <v>56</v>
      </c>
      <c r="G947" s="205" t="s">
        <v>1419</v>
      </c>
      <c r="H947" s="205" t="s">
        <v>340</v>
      </c>
      <c r="I947" s="198" t="s">
        <v>1534</v>
      </c>
      <c r="J947" s="410" t="s">
        <v>295</v>
      </c>
      <c r="K947" s="570"/>
    </row>
    <row r="948" spans="1:11" hidden="1">
      <c r="A948" s="295" t="s">
        <v>42</v>
      </c>
      <c r="B948" s="197" t="s">
        <v>973</v>
      </c>
      <c r="C948" s="294">
        <v>44392</v>
      </c>
      <c r="D948" s="314" t="s">
        <v>56</v>
      </c>
      <c r="E948" s="314" t="s">
        <v>758</v>
      </c>
      <c r="F948" s="314" t="s">
        <v>56</v>
      </c>
      <c r="G948" s="205" t="s">
        <v>1419</v>
      </c>
      <c r="H948" s="205" t="s">
        <v>342</v>
      </c>
      <c r="I948" s="410" t="s">
        <v>998</v>
      </c>
      <c r="J948" s="410"/>
      <c r="K948" s="570"/>
    </row>
    <row r="949" spans="1:11" hidden="1">
      <c r="A949" s="295" t="s">
        <v>42</v>
      </c>
      <c r="B949" s="197" t="s">
        <v>973</v>
      </c>
      <c r="C949" s="294">
        <v>44392</v>
      </c>
      <c r="D949" s="314" t="s">
        <v>56</v>
      </c>
      <c r="E949" s="314" t="s">
        <v>758</v>
      </c>
      <c r="F949" s="314" t="s">
        <v>56</v>
      </c>
      <c r="G949" s="315" t="s">
        <v>312</v>
      </c>
      <c r="H949" s="315" t="s">
        <v>1535</v>
      </c>
      <c r="I949" s="410" t="s">
        <v>1536</v>
      </c>
      <c r="J949" s="410" t="s">
        <v>295</v>
      </c>
      <c r="K949" s="570" t="s">
        <v>1537</v>
      </c>
    </row>
    <row r="950" spans="1:11" ht="26.4" hidden="1">
      <c r="A950" s="295" t="s">
        <v>42</v>
      </c>
      <c r="B950" s="197" t="s">
        <v>973</v>
      </c>
      <c r="C950" s="294">
        <v>44392</v>
      </c>
      <c r="D950" s="314" t="s">
        <v>56</v>
      </c>
      <c r="E950" s="314" t="s">
        <v>758</v>
      </c>
      <c r="F950" s="314" t="s">
        <v>56</v>
      </c>
      <c r="G950" s="315" t="s">
        <v>312</v>
      </c>
      <c r="H950" s="315" t="s">
        <v>1428</v>
      </c>
      <c r="I950" s="410" t="s">
        <v>1538</v>
      </c>
      <c r="J950" s="410" t="s">
        <v>295</v>
      </c>
      <c r="K950" s="570"/>
    </row>
    <row r="951" spans="1:11" hidden="1">
      <c r="A951" s="295" t="s">
        <v>42</v>
      </c>
      <c r="B951" s="197" t="s">
        <v>973</v>
      </c>
      <c r="C951" s="294">
        <v>44392</v>
      </c>
      <c r="D951" s="314" t="s">
        <v>56</v>
      </c>
      <c r="E951" s="314" t="s">
        <v>758</v>
      </c>
      <c r="F951" s="314" t="s">
        <v>56</v>
      </c>
      <c r="G951" s="315" t="s">
        <v>312</v>
      </c>
      <c r="H951" s="315" t="s">
        <v>1377</v>
      </c>
      <c r="I951" s="410" t="s">
        <v>1539</v>
      </c>
      <c r="J951" s="410" t="s">
        <v>295</v>
      </c>
      <c r="K951" s="570"/>
    </row>
    <row r="952" spans="1:11" hidden="1">
      <c r="A952" s="295" t="s">
        <v>42</v>
      </c>
      <c r="B952" s="197" t="s">
        <v>973</v>
      </c>
      <c r="C952" s="294">
        <v>44392</v>
      </c>
      <c r="D952" s="314" t="s">
        <v>56</v>
      </c>
      <c r="E952" s="314" t="s">
        <v>758</v>
      </c>
      <c r="F952" s="314" t="s">
        <v>56</v>
      </c>
      <c r="G952" s="315" t="s">
        <v>312</v>
      </c>
      <c r="H952" s="315" t="s">
        <v>1498</v>
      </c>
      <c r="I952" s="410" t="s">
        <v>1540</v>
      </c>
      <c r="J952" s="410" t="s">
        <v>295</v>
      </c>
      <c r="K952" s="570"/>
    </row>
    <row r="953" spans="1:11" hidden="1">
      <c r="A953" s="295" t="s">
        <v>42</v>
      </c>
      <c r="B953" s="197" t="s">
        <v>973</v>
      </c>
      <c r="C953" s="294">
        <v>44392</v>
      </c>
      <c r="D953" s="314" t="s">
        <v>56</v>
      </c>
      <c r="E953" s="314" t="s">
        <v>758</v>
      </c>
      <c r="F953" s="314" t="s">
        <v>56</v>
      </c>
      <c r="G953" s="315" t="s">
        <v>312</v>
      </c>
      <c r="H953" s="315" t="s">
        <v>1386</v>
      </c>
      <c r="I953" s="410" t="s">
        <v>1541</v>
      </c>
      <c r="J953" s="410" t="s">
        <v>295</v>
      </c>
      <c r="K953" s="570"/>
    </row>
    <row r="954" spans="1:11" hidden="1">
      <c r="A954" s="295" t="s">
        <v>42</v>
      </c>
      <c r="B954" s="197" t="s">
        <v>973</v>
      </c>
      <c r="C954" s="294">
        <v>44392</v>
      </c>
      <c r="D954" s="314" t="s">
        <v>56</v>
      </c>
      <c r="E954" s="314" t="s">
        <v>758</v>
      </c>
      <c r="F954" s="314" t="s">
        <v>56</v>
      </c>
      <c r="G954" s="315" t="s">
        <v>312</v>
      </c>
      <c r="H954" s="315" t="s">
        <v>1499</v>
      </c>
      <c r="I954" s="410" t="s">
        <v>1543</v>
      </c>
      <c r="J954" s="410" t="s">
        <v>295</v>
      </c>
      <c r="K954" s="570"/>
    </row>
    <row r="955" spans="1:11" hidden="1">
      <c r="A955" s="295" t="s">
        <v>42</v>
      </c>
      <c r="B955" s="197" t="s">
        <v>973</v>
      </c>
      <c r="C955" s="294">
        <v>44392</v>
      </c>
      <c r="D955" s="314" t="s">
        <v>56</v>
      </c>
      <c r="E955" s="314" t="s">
        <v>758</v>
      </c>
      <c r="F955" s="314" t="s">
        <v>56</v>
      </c>
      <c r="G955" s="315" t="s">
        <v>312</v>
      </c>
      <c r="H955" s="315" t="s">
        <v>1542</v>
      </c>
      <c r="I955" s="410" t="s">
        <v>1544</v>
      </c>
      <c r="J955" s="410" t="s">
        <v>295</v>
      </c>
      <c r="K955" s="570"/>
    </row>
    <row r="956" spans="1:11" hidden="1">
      <c r="A956" s="295" t="s">
        <v>42</v>
      </c>
      <c r="B956" s="197" t="s">
        <v>973</v>
      </c>
      <c r="C956" s="294">
        <v>44392</v>
      </c>
      <c r="D956" s="314" t="s">
        <v>56</v>
      </c>
      <c r="E956" s="314" t="s">
        <v>758</v>
      </c>
      <c r="F956" s="314" t="s">
        <v>56</v>
      </c>
      <c r="G956" s="315" t="s">
        <v>312</v>
      </c>
      <c r="H956" s="315" t="s">
        <v>1383</v>
      </c>
      <c r="I956" s="410" t="s">
        <v>1546</v>
      </c>
      <c r="J956" s="410" t="s">
        <v>295</v>
      </c>
      <c r="K956" s="570"/>
    </row>
    <row r="957" spans="1:11" hidden="1">
      <c r="A957" s="295" t="s">
        <v>42</v>
      </c>
      <c r="B957" s="197" t="s">
        <v>973</v>
      </c>
      <c r="C957" s="294">
        <v>44392</v>
      </c>
      <c r="D957" s="314" t="s">
        <v>56</v>
      </c>
      <c r="E957" s="314" t="s">
        <v>758</v>
      </c>
      <c r="F957" s="314" t="s">
        <v>56</v>
      </c>
      <c r="G957" s="315" t="s">
        <v>312</v>
      </c>
      <c r="H957" s="315" t="s">
        <v>1545</v>
      </c>
      <c r="I957" s="410" t="s">
        <v>1393</v>
      </c>
      <c r="J957" s="410" t="s">
        <v>295</v>
      </c>
      <c r="K957" s="570"/>
    </row>
    <row r="958" spans="1:11" hidden="1">
      <c r="A958" s="295" t="s">
        <v>42</v>
      </c>
      <c r="B958" s="197" t="s">
        <v>973</v>
      </c>
      <c r="C958" s="294">
        <v>44392</v>
      </c>
      <c r="D958" s="314" t="s">
        <v>56</v>
      </c>
      <c r="E958" s="314" t="s">
        <v>758</v>
      </c>
      <c r="F958" s="314" t="s">
        <v>56</v>
      </c>
      <c r="G958" s="315" t="s">
        <v>312</v>
      </c>
      <c r="H958" s="315" t="s">
        <v>1503</v>
      </c>
      <c r="I958" s="410" t="s">
        <v>1547</v>
      </c>
      <c r="J958" s="410" t="s">
        <v>295</v>
      </c>
      <c r="K958" s="570"/>
    </row>
    <row r="959" spans="1:11" ht="26.4" hidden="1">
      <c r="A959" s="295" t="s">
        <v>42</v>
      </c>
      <c r="B959" s="197" t="s">
        <v>973</v>
      </c>
      <c r="C959" s="294">
        <v>44392</v>
      </c>
      <c r="D959" s="314" t="s">
        <v>56</v>
      </c>
      <c r="E959" s="314" t="s">
        <v>758</v>
      </c>
      <c r="F959" s="314" t="s">
        <v>56</v>
      </c>
      <c r="G959" s="315" t="s">
        <v>312</v>
      </c>
      <c r="H959" s="315" t="s">
        <v>1124</v>
      </c>
      <c r="I959" s="410" t="s">
        <v>1548</v>
      </c>
      <c r="J959" s="410" t="s">
        <v>295</v>
      </c>
      <c r="K959" s="570"/>
    </row>
    <row r="960" spans="1:11" hidden="1">
      <c r="A960" s="295" t="s">
        <v>42</v>
      </c>
      <c r="B960" s="197" t="s">
        <v>973</v>
      </c>
      <c r="C960" s="294">
        <v>44392</v>
      </c>
      <c r="D960" s="314" t="s">
        <v>56</v>
      </c>
      <c r="E960" s="314" t="s">
        <v>758</v>
      </c>
      <c r="F960" s="314" t="s">
        <v>56</v>
      </c>
      <c r="G960" s="315" t="s">
        <v>312</v>
      </c>
      <c r="H960" s="315" t="s">
        <v>692</v>
      </c>
      <c r="I960" s="410" t="s">
        <v>1549</v>
      </c>
      <c r="J960" s="410" t="s">
        <v>295</v>
      </c>
      <c r="K960" s="570"/>
    </row>
    <row r="961" spans="1:11" ht="26.4" hidden="1">
      <c r="A961" s="295" t="s">
        <v>42</v>
      </c>
      <c r="B961" s="197" t="s">
        <v>973</v>
      </c>
      <c r="C961" s="294">
        <v>44392</v>
      </c>
      <c r="D961" s="314" t="s">
        <v>56</v>
      </c>
      <c r="E961" s="314" t="s">
        <v>758</v>
      </c>
      <c r="F961" s="314" t="s">
        <v>56</v>
      </c>
      <c r="G961" s="315" t="s">
        <v>312</v>
      </c>
      <c r="H961" s="315" t="s">
        <v>1390</v>
      </c>
      <c r="I961" s="410" t="s">
        <v>1550</v>
      </c>
      <c r="J961" s="410" t="s">
        <v>295</v>
      </c>
      <c r="K961" s="570"/>
    </row>
    <row r="962" spans="1:11" ht="26.4" hidden="1">
      <c r="A962" s="295" t="s">
        <v>42</v>
      </c>
      <c r="B962" s="197" t="s">
        <v>973</v>
      </c>
      <c r="C962" s="294">
        <v>44392</v>
      </c>
      <c r="D962" s="314" t="s">
        <v>56</v>
      </c>
      <c r="E962" s="314" t="s">
        <v>758</v>
      </c>
      <c r="F962" s="314" t="s">
        <v>56</v>
      </c>
      <c r="G962" s="315" t="s">
        <v>312</v>
      </c>
      <c r="H962" s="315" t="s">
        <v>1392</v>
      </c>
      <c r="I962" s="198" t="s">
        <v>1551</v>
      </c>
      <c r="J962" s="410" t="s">
        <v>295</v>
      </c>
      <c r="K962" s="570"/>
    </row>
    <row r="963" spans="1:11" hidden="1">
      <c r="A963" s="295" t="s">
        <v>42</v>
      </c>
      <c r="B963" s="197" t="s">
        <v>973</v>
      </c>
      <c r="C963" s="294">
        <v>44392</v>
      </c>
      <c r="D963" s="314" t="s">
        <v>56</v>
      </c>
      <c r="E963" s="314" t="s">
        <v>758</v>
      </c>
      <c r="F963" s="314" t="s">
        <v>56</v>
      </c>
      <c r="G963" s="315" t="s">
        <v>312</v>
      </c>
      <c r="H963" s="315" t="s">
        <v>1137</v>
      </c>
      <c r="I963" s="410" t="s">
        <v>1553</v>
      </c>
      <c r="J963" s="410" t="s">
        <v>295</v>
      </c>
      <c r="K963" s="570"/>
    </row>
    <row r="964" spans="1:11" hidden="1">
      <c r="A964" s="295" t="s">
        <v>42</v>
      </c>
      <c r="B964" s="197" t="s">
        <v>973</v>
      </c>
      <c r="C964" s="294">
        <v>44392</v>
      </c>
      <c r="D964" s="314" t="s">
        <v>56</v>
      </c>
      <c r="E964" s="314" t="s">
        <v>758</v>
      </c>
      <c r="F964" s="314" t="s">
        <v>56</v>
      </c>
      <c r="G964" s="315" t="s">
        <v>312</v>
      </c>
      <c r="H964" s="315" t="s">
        <v>1552</v>
      </c>
      <c r="I964" s="410" t="s">
        <v>1543</v>
      </c>
      <c r="J964" s="410" t="s">
        <v>295</v>
      </c>
      <c r="K964" s="570"/>
    </row>
    <row r="965" spans="1:11" hidden="1">
      <c r="A965" s="295" t="s">
        <v>42</v>
      </c>
      <c r="B965" s="197" t="s">
        <v>973</v>
      </c>
      <c r="C965" s="294">
        <v>44392</v>
      </c>
      <c r="D965" s="314" t="s">
        <v>56</v>
      </c>
      <c r="E965" s="314" t="s">
        <v>758</v>
      </c>
      <c r="F965" s="314" t="s">
        <v>56</v>
      </c>
      <c r="G965" s="315" t="s">
        <v>312</v>
      </c>
      <c r="H965" s="315" t="s">
        <v>1554</v>
      </c>
      <c r="I965" s="410" t="s">
        <v>1546</v>
      </c>
      <c r="J965" s="410" t="s">
        <v>295</v>
      </c>
      <c r="K965" s="570"/>
    </row>
    <row r="966" spans="1:11" hidden="1">
      <c r="A966" s="295" t="s">
        <v>42</v>
      </c>
      <c r="B966" s="197" t="s">
        <v>973</v>
      </c>
      <c r="C966" s="294">
        <v>44392</v>
      </c>
      <c r="D966" s="314" t="s">
        <v>56</v>
      </c>
      <c r="E966" s="314" t="s">
        <v>758</v>
      </c>
      <c r="F966" s="314" t="s">
        <v>56</v>
      </c>
      <c r="G966" s="315" t="s">
        <v>312</v>
      </c>
      <c r="H966" s="315" t="s">
        <v>935</v>
      </c>
      <c r="I966" s="410" t="s">
        <v>1203</v>
      </c>
      <c r="J966" s="410" t="s">
        <v>295</v>
      </c>
      <c r="K966" s="570"/>
    </row>
    <row r="967" spans="1:11" ht="26.4" hidden="1">
      <c r="A967" s="295" t="s">
        <v>42</v>
      </c>
      <c r="B967" s="197" t="s">
        <v>973</v>
      </c>
      <c r="C967" s="294">
        <v>44392</v>
      </c>
      <c r="D967" s="314" t="s">
        <v>56</v>
      </c>
      <c r="E967" s="314" t="s">
        <v>758</v>
      </c>
      <c r="F967" s="314" t="s">
        <v>56</v>
      </c>
      <c r="G967" s="315" t="s">
        <v>312</v>
      </c>
      <c r="H967" s="315" t="s">
        <v>1555</v>
      </c>
      <c r="I967" s="410" t="s">
        <v>1557</v>
      </c>
      <c r="J967" s="410" t="s">
        <v>295</v>
      </c>
      <c r="K967" s="570"/>
    </row>
    <row r="968" spans="1:11" ht="26.4" hidden="1">
      <c r="A968" s="295" t="s">
        <v>42</v>
      </c>
      <c r="B968" s="197" t="s">
        <v>973</v>
      </c>
      <c r="C968" s="294">
        <v>44392</v>
      </c>
      <c r="D968" s="314" t="s">
        <v>56</v>
      </c>
      <c r="E968" s="314" t="s">
        <v>758</v>
      </c>
      <c r="F968" s="314" t="s">
        <v>56</v>
      </c>
      <c r="G968" s="315" t="s">
        <v>312</v>
      </c>
      <c r="H968" s="315" t="s">
        <v>1556</v>
      </c>
      <c r="I968" s="410" t="s">
        <v>1558</v>
      </c>
      <c r="J968" s="410" t="s">
        <v>295</v>
      </c>
      <c r="K968" s="570"/>
    </row>
    <row r="969" spans="1:11" hidden="1">
      <c r="A969" s="295" t="s">
        <v>42</v>
      </c>
      <c r="B969" s="197" t="s">
        <v>973</v>
      </c>
      <c r="C969" s="294">
        <v>44392</v>
      </c>
      <c r="D969" s="314" t="s">
        <v>56</v>
      </c>
      <c r="E969" s="314" t="s">
        <v>758</v>
      </c>
      <c r="F969" s="314" t="s">
        <v>56</v>
      </c>
      <c r="G969" s="315" t="s">
        <v>312</v>
      </c>
      <c r="H969" s="315" t="s">
        <v>937</v>
      </c>
      <c r="I969" s="410" t="s">
        <v>1560</v>
      </c>
      <c r="J969" s="410" t="s">
        <v>295</v>
      </c>
      <c r="K969" s="570"/>
    </row>
    <row r="970" spans="1:11" ht="26.4" hidden="1">
      <c r="A970" s="295" t="s">
        <v>42</v>
      </c>
      <c r="B970" s="197" t="s">
        <v>973</v>
      </c>
      <c r="C970" s="294">
        <v>44392</v>
      </c>
      <c r="D970" s="314" t="s">
        <v>56</v>
      </c>
      <c r="E970" s="314" t="s">
        <v>758</v>
      </c>
      <c r="F970" s="314" t="s">
        <v>56</v>
      </c>
      <c r="G970" s="315" t="s">
        <v>312</v>
      </c>
      <c r="H970" s="315" t="s">
        <v>1559</v>
      </c>
      <c r="I970" s="410" t="s">
        <v>1562</v>
      </c>
      <c r="J970" s="410" t="s">
        <v>295</v>
      </c>
      <c r="K970" s="570"/>
    </row>
    <row r="971" spans="1:11" ht="26.4" hidden="1">
      <c r="A971" s="295" t="s">
        <v>42</v>
      </c>
      <c r="B971" s="197" t="s">
        <v>973</v>
      </c>
      <c r="C971" s="294">
        <v>44392</v>
      </c>
      <c r="D971" s="314" t="s">
        <v>56</v>
      </c>
      <c r="E971" s="314" t="s">
        <v>758</v>
      </c>
      <c r="F971" s="314" t="s">
        <v>56</v>
      </c>
      <c r="G971" s="315" t="s">
        <v>312</v>
      </c>
      <c r="H971" s="315" t="s">
        <v>1561</v>
      </c>
      <c r="I971" s="410" t="s">
        <v>1564</v>
      </c>
      <c r="J971" s="410" t="s">
        <v>295</v>
      </c>
      <c r="K971" s="570"/>
    </row>
    <row r="972" spans="1:11" hidden="1">
      <c r="A972" s="295" t="s">
        <v>42</v>
      </c>
      <c r="B972" s="197" t="s">
        <v>973</v>
      </c>
      <c r="C972" s="294">
        <v>44392</v>
      </c>
      <c r="D972" s="314" t="s">
        <v>56</v>
      </c>
      <c r="E972" s="314" t="s">
        <v>758</v>
      </c>
      <c r="F972" s="314" t="s">
        <v>56</v>
      </c>
      <c r="G972" s="315" t="s">
        <v>312</v>
      </c>
      <c r="H972" s="315" t="s">
        <v>1563</v>
      </c>
      <c r="I972" s="410" t="s">
        <v>1566</v>
      </c>
      <c r="J972" s="410" t="s">
        <v>295</v>
      </c>
      <c r="K972" s="570" t="s">
        <v>1567</v>
      </c>
    </row>
    <row r="973" spans="1:11" hidden="1">
      <c r="A973" s="295" t="s">
        <v>42</v>
      </c>
      <c r="B973" s="197" t="s">
        <v>973</v>
      </c>
      <c r="C973" s="294">
        <v>44392</v>
      </c>
      <c r="D973" s="314" t="s">
        <v>56</v>
      </c>
      <c r="E973" s="314" t="s">
        <v>758</v>
      </c>
      <c r="F973" s="314" t="s">
        <v>56</v>
      </c>
      <c r="G973" s="205" t="s">
        <v>57</v>
      </c>
      <c r="H973" s="205" t="s">
        <v>1565</v>
      </c>
      <c r="I973" s="410" t="s">
        <v>1569</v>
      </c>
      <c r="J973" s="410" t="s">
        <v>295</v>
      </c>
      <c r="K973" s="570"/>
    </row>
    <row r="974" spans="1:11" hidden="1">
      <c r="A974" s="295" t="s">
        <v>42</v>
      </c>
      <c r="B974" s="197" t="s">
        <v>973</v>
      </c>
      <c r="C974" s="294">
        <v>44392</v>
      </c>
      <c r="D974" s="314" t="s">
        <v>56</v>
      </c>
      <c r="E974" s="314" t="s">
        <v>758</v>
      </c>
      <c r="F974" s="314" t="s">
        <v>56</v>
      </c>
      <c r="G974" s="205" t="s">
        <v>57</v>
      </c>
      <c r="H974" s="205" t="s">
        <v>1568</v>
      </c>
      <c r="I974" s="410" t="s">
        <v>1571</v>
      </c>
      <c r="J974" s="410" t="s">
        <v>295</v>
      </c>
      <c r="K974" s="570"/>
    </row>
    <row r="975" spans="1:11" hidden="1">
      <c r="A975" s="295" t="s">
        <v>42</v>
      </c>
      <c r="B975" s="197" t="s">
        <v>973</v>
      </c>
      <c r="C975" s="294">
        <v>44392</v>
      </c>
      <c r="D975" s="314" t="s">
        <v>56</v>
      </c>
      <c r="E975" s="314" t="s">
        <v>758</v>
      </c>
      <c r="F975" s="314" t="s">
        <v>56</v>
      </c>
      <c r="G975" s="205" t="s">
        <v>57</v>
      </c>
      <c r="H975" s="205" t="s">
        <v>1570</v>
      </c>
      <c r="I975" s="410" t="s">
        <v>1573</v>
      </c>
      <c r="J975" s="410" t="s">
        <v>295</v>
      </c>
      <c r="K975" s="570"/>
    </row>
    <row r="976" spans="1:11" hidden="1">
      <c r="A976" s="295" t="s">
        <v>42</v>
      </c>
      <c r="B976" s="197" t="s">
        <v>973</v>
      </c>
      <c r="C976" s="294">
        <v>44392</v>
      </c>
      <c r="D976" s="314" t="s">
        <v>56</v>
      </c>
      <c r="E976" s="314" t="s">
        <v>758</v>
      </c>
      <c r="F976" s="314" t="s">
        <v>56</v>
      </c>
      <c r="G976" s="205" t="s">
        <v>57</v>
      </c>
      <c r="H976" s="205" t="s">
        <v>1572</v>
      </c>
      <c r="I976" s="410" t="s">
        <v>1574</v>
      </c>
      <c r="J976" s="410" t="s">
        <v>295</v>
      </c>
      <c r="K976" s="570"/>
    </row>
    <row r="977" spans="1:11" hidden="1">
      <c r="A977" s="295" t="s">
        <v>42</v>
      </c>
      <c r="B977" s="197" t="s">
        <v>973</v>
      </c>
      <c r="C977" s="294">
        <v>44392</v>
      </c>
      <c r="D977" s="314" t="s">
        <v>56</v>
      </c>
      <c r="E977" s="314" t="s">
        <v>758</v>
      </c>
      <c r="F977" s="314" t="s">
        <v>56</v>
      </c>
      <c r="G977" s="205" t="s">
        <v>57</v>
      </c>
      <c r="H977" s="205" t="s">
        <v>968</v>
      </c>
      <c r="I977" s="410" t="s">
        <v>1576</v>
      </c>
      <c r="J977" s="410" t="s">
        <v>295</v>
      </c>
      <c r="K977" s="570"/>
    </row>
    <row r="978" spans="1:11" hidden="1">
      <c r="A978" s="295" t="s">
        <v>42</v>
      </c>
      <c r="B978" s="197" t="s">
        <v>973</v>
      </c>
      <c r="C978" s="294">
        <v>44392</v>
      </c>
      <c r="D978" s="314" t="s">
        <v>56</v>
      </c>
      <c r="E978" s="314" t="s">
        <v>758</v>
      </c>
      <c r="F978" s="314" t="s">
        <v>56</v>
      </c>
      <c r="G978" s="205" t="s">
        <v>57</v>
      </c>
      <c r="H978" s="205" t="s">
        <v>1575</v>
      </c>
      <c r="I978" s="410" t="s">
        <v>1578</v>
      </c>
      <c r="J978" s="410" t="s">
        <v>295</v>
      </c>
      <c r="K978" s="570"/>
    </row>
    <row r="979" spans="1:11" hidden="1">
      <c r="A979" s="295" t="s">
        <v>42</v>
      </c>
      <c r="B979" s="197" t="s">
        <v>973</v>
      </c>
      <c r="C979" s="294">
        <v>44392</v>
      </c>
      <c r="D979" s="314" t="s">
        <v>56</v>
      </c>
      <c r="E979" s="314" t="s">
        <v>758</v>
      </c>
      <c r="F979" s="314" t="s">
        <v>56</v>
      </c>
      <c r="G979" s="205" t="s">
        <v>57</v>
      </c>
      <c r="H979" s="205" t="s">
        <v>1577</v>
      </c>
      <c r="I979" s="410" t="s">
        <v>1580</v>
      </c>
      <c r="J979" s="410" t="s">
        <v>295</v>
      </c>
      <c r="K979" s="570"/>
    </row>
    <row r="980" spans="1:11" ht="26.4" hidden="1">
      <c r="A980" s="295" t="s">
        <v>42</v>
      </c>
      <c r="B980" s="197" t="s">
        <v>973</v>
      </c>
      <c r="C980" s="294">
        <v>44392</v>
      </c>
      <c r="D980" s="314" t="s">
        <v>56</v>
      </c>
      <c r="E980" s="314" t="s">
        <v>758</v>
      </c>
      <c r="F980" s="314" t="s">
        <v>56</v>
      </c>
      <c r="G980" s="205" t="s">
        <v>57</v>
      </c>
      <c r="H980" s="205" t="s">
        <v>1579</v>
      </c>
      <c r="I980" s="410" t="s">
        <v>1582</v>
      </c>
      <c r="J980" s="410" t="s">
        <v>295</v>
      </c>
      <c r="K980" s="570"/>
    </row>
    <row r="981" spans="1:11" hidden="1">
      <c r="A981" s="295" t="s">
        <v>42</v>
      </c>
      <c r="B981" s="197" t="s">
        <v>973</v>
      </c>
      <c r="C981" s="294">
        <v>44392</v>
      </c>
      <c r="D981" s="314" t="s">
        <v>56</v>
      </c>
      <c r="E981" s="314" t="s">
        <v>758</v>
      </c>
      <c r="F981" s="314" t="s">
        <v>56</v>
      </c>
      <c r="G981" s="205" t="s">
        <v>57</v>
      </c>
      <c r="H981" s="205" t="s">
        <v>1581</v>
      </c>
      <c r="I981" s="410" t="s">
        <v>1566</v>
      </c>
      <c r="J981" s="410" t="s">
        <v>295</v>
      </c>
      <c r="K981" s="570"/>
    </row>
    <row r="982" spans="1:11" hidden="1">
      <c r="A982" s="295" t="s">
        <v>42</v>
      </c>
      <c r="B982" s="197" t="s">
        <v>973</v>
      </c>
      <c r="C982" s="294">
        <v>44392</v>
      </c>
      <c r="D982" s="314" t="s">
        <v>56</v>
      </c>
      <c r="E982" s="314" t="s">
        <v>758</v>
      </c>
      <c r="F982" s="314" t="s">
        <v>56</v>
      </c>
      <c r="G982" s="205" t="s">
        <v>57</v>
      </c>
      <c r="H982" s="205" t="s">
        <v>1583</v>
      </c>
      <c r="I982" s="410">
        <v>2018</v>
      </c>
      <c r="J982" s="410" t="s">
        <v>295</v>
      </c>
      <c r="K982" s="570"/>
    </row>
    <row r="983" spans="1:11" hidden="1">
      <c r="A983" s="295" t="s">
        <v>42</v>
      </c>
      <c r="B983" s="197" t="s">
        <v>973</v>
      </c>
      <c r="C983" s="294">
        <v>44392</v>
      </c>
      <c r="D983" s="314" t="s">
        <v>56</v>
      </c>
      <c r="E983" s="314" t="s">
        <v>758</v>
      </c>
      <c r="F983" s="314" t="s">
        <v>56</v>
      </c>
      <c r="G983" s="205" t="s">
        <v>57</v>
      </c>
      <c r="H983" s="205" t="s">
        <v>1584</v>
      </c>
      <c r="I983" s="410">
        <v>2019</v>
      </c>
      <c r="J983" s="410" t="s">
        <v>295</v>
      </c>
      <c r="K983" s="570"/>
    </row>
    <row r="984" spans="1:11" hidden="1">
      <c r="A984" s="295" t="s">
        <v>42</v>
      </c>
      <c r="B984" s="197" t="s">
        <v>973</v>
      </c>
      <c r="C984" s="294">
        <v>44392</v>
      </c>
      <c r="D984" s="314" t="s">
        <v>56</v>
      </c>
      <c r="E984" s="314" t="s">
        <v>758</v>
      </c>
      <c r="F984" s="314" t="s">
        <v>56</v>
      </c>
      <c r="G984" s="205" t="s">
        <v>57</v>
      </c>
      <c r="H984" s="205" t="s">
        <v>1585</v>
      </c>
      <c r="I984" s="410">
        <v>2020</v>
      </c>
      <c r="J984" s="410" t="s">
        <v>295</v>
      </c>
      <c r="K984" s="570"/>
    </row>
    <row r="985" spans="1:11" hidden="1">
      <c r="A985" s="295" t="s">
        <v>42</v>
      </c>
      <c r="B985" s="197" t="s">
        <v>973</v>
      </c>
      <c r="C985" s="294">
        <v>44392</v>
      </c>
      <c r="D985" s="314" t="s">
        <v>56</v>
      </c>
      <c r="E985" s="314" t="s">
        <v>758</v>
      </c>
      <c r="F985" s="314" t="s">
        <v>56</v>
      </c>
      <c r="G985" s="205" t="s">
        <v>57</v>
      </c>
      <c r="H985" s="205" t="s">
        <v>1586</v>
      </c>
      <c r="I985" s="410">
        <v>2021</v>
      </c>
      <c r="J985" s="410" t="s">
        <v>295</v>
      </c>
      <c r="K985" s="570"/>
    </row>
    <row r="986" spans="1:11" hidden="1">
      <c r="A986" s="295" t="s">
        <v>42</v>
      </c>
      <c r="B986" s="197" t="s">
        <v>973</v>
      </c>
      <c r="C986" s="294">
        <v>44392</v>
      </c>
      <c r="D986" s="314" t="s">
        <v>56</v>
      </c>
      <c r="E986" s="314" t="s">
        <v>758</v>
      </c>
      <c r="F986" s="314" t="s">
        <v>56</v>
      </c>
      <c r="G986" s="205" t="s">
        <v>57</v>
      </c>
      <c r="H986" s="205" t="s">
        <v>1587</v>
      </c>
      <c r="I986" s="410">
        <v>2022</v>
      </c>
      <c r="J986" s="410" t="s">
        <v>295</v>
      </c>
      <c r="K986" s="570"/>
    </row>
    <row r="987" spans="1:11" hidden="1">
      <c r="A987" s="295" t="s">
        <v>42</v>
      </c>
      <c r="B987" s="197" t="s">
        <v>973</v>
      </c>
      <c r="C987" s="294">
        <v>44392</v>
      </c>
      <c r="D987" s="314" t="s">
        <v>56</v>
      </c>
      <c r="E987" s="314" t="s">
        <v>758</v>
      </c>
      <c r="F987" s="314" t="s">
        <v>56</v>
      </c>
      <c r="G987" s="205" t="s">
        <v>57</v>
      </c>
      <c r="H987" s="205" t="s">
        <v>1588</v>
      </c>
      <c r="I987" s="410">
        <v>2023</v>
      </c>
      <c r="J987" s="410" t="s">
        <v>295</v>
      </c>
      <c r="K987" s="570"/>
    </row>
    <row r="988" spans="1:11" hidden="1">
      <c r="A988" s="295" t="s">
        <v>42</v>
      </c>
      <c r="B988" s="197" t="s">
        <v>973</v>
      </c>
      <c r="C988" s="294">
        <v>44392</v>
      </c>
      <c r="D988" s="314" t="s">
        <v>56</v>
      </c>
      <c r="E988" s="314" t="s">
        <v>758</v>
      </c>
      <c r="F988" s="314" t="s">
        <v>56</v>
      </c>
      <c r="G988" s="205" t="s">
        <v>57</v>
      </c>
      <c r="H988" s="205" t="s">
        <v>1589</v>
      </c>
      <c r="I988" s="410">
        <v>2024</v>
      </c>
      <c r="J988" s="410" t="s">
        <v>295</v>
      </c>
      <c r="K988" s="570"/>
    </row>
    <row r="989" spans="1:11" hidden="1">
      <c r="A989" s="295" t="s">
        <v>42</v>
      </c>
      <c r="B989" s="197" t="s">
        <v>973</v>
      </c>
      <c r="C989" s="294">
        <v>44392</v>
      </c>
      <c r="D989" s="314" t="s">
        <v>56</v>
      </c>
      <c r="E989" s="314" t="s">
        <v>758</v>
      </c>
      <c r="F989" s="314" t="s">
        <v>56</v>
      </c>
      <c r="G989" s="205" t="s">
        <v>57</v>
      </c>
      <c r="H989" s="205" t="s">
        <v>1590</v>
      </c>
      <c r="I989" s="410">
        <v>2025</v>
      </c>
      <c r="J989" s="410" t="s">
        <v>295</v>
      </c>
      <c r="K989" s="570"/>
    </row>
    <row r="990" spans="1:11" hidden="1">
      <c r="A990" s="295" t="s">
        <v>42</v>
      </c>
      <c r="B990" s="197" t="s">
        <v>973</v>
      </c>
      <c r="C990" s="294">
        <v>44392</v>
      </c>
      <c r="D990" s="314" t="s">
        <v>56</v>
      </c>
      <c r="E990" s="314" t="s">
        <v>758</v>
      </c>
      <c r="F990" s="314" t="s">
        <v>56</v>
      </c>
      <c r="G990" s="205" t="s">
        <v>57</v>
      </c>
      <c r="H990" s="205" t="s">
        <v>1591</v>
      </c>
      <c r="I990" s="410" t="s">
        <v>1593</v>
      </c>
      <c r="J990" s="410" t="s">
        <v>295</v>
      </c>
      <c r="K990" s="570"/>
    </row>
    <row r="991" spans="1:11" hidden="1">
      <c r="A991" s="295" t="s">
        <v>42</v>
      </c>
      <c r="B991" s="197" t="s">
        <v>973</v>
      </c>
      <c r="C991" s="294">
        <v>44392</v>
      </c>
      <c r="D991" s="314" t="s">
        <v>56</v>
      </c>
      <c r="E991" s="314" t="s">
        <v>758</v>
      </c>
      <c r="F991" s="314" t="s">
        <v>56</v>
      </c>
      <c r="G991" s="205" t="s">
        <v>57</v>
      </c>
      <c r="H991" s="205" t="s">
        <v>1592</v>
      </c>
      <c r="I991" s="316">
        <v>0.16059999999999999</v>
      </c>
      <c r="J991" s="410" t="s">
        <v>295</v>
      </c>
      <c r="K991" s="570"/>
    </row>
    <row r="992" spans="1:11" hidden="1">
      <c r="A992" s="295" t="s">
        <v>42</v>
      </c>
      <c r="B992" s="197" t="s">
        <v>973</v>
      </c>
      <c r="C992" s="294">
        <v>44392</v>
      </c>
      <c r="D992" s="314" t="s">
        <v>56</v>
      </c>
      <c r="E992" s="314" t="s">
        <v>758</v>
      </c>
      <c r="F992" s="314" t="s">
        <v>56</v>
      </c>
      <c r="G992" s="205" t="s">
        <v>57</v>
      </c>
      <c r="H992" s="205" t="s">
        <v>1594</v>
      </c>
      <c r="I992" s="316">
        <v>0.186</v>
      </c>
      <c r="J992" s="410" t="s">
        <v>295</v>
      </c>
      <c r="K992" s="570"/>
    </row>
    <row r="993" spans="1:11" hidden="1">
      <c r="A993" s="295" t="s">
        <v>42</v>
      </c>
      <c r="B993" s="197" t="s">
        <v>973</v>
      </c>
      <c r="C993" s="294">
        <v>44392</v>
      </c>
      <c r="D993" s="314" t="s">
        <v>56</v>
      </c>
      <c r="E993" s="314" t="s">
        <v>758</v>
      </c>
      <c r="F993" s="314" t="s">
        <v>56</v>
      </c>
      <c r="G993" s="205" t="s">
        <v>57</v>
      </c>
      <c r="H993" s="205" t="s">
        <v>1595</v>
      </c>
      <c r="I993" s="316">
        <v>0.19309999999999999</v>
      </c>
      <c r="J993" s="410" t="s">
        <v>295</v>
      </c>
      <c r="K993" s="570"/>
    </row>
    <row r="994" spans="1:11" hidden="1">
      <c r="A994" s="295" t="s">
        <v>42</v>
      </c>
      <c r="B994" s="197" t="s">
        <v>973</v>
      </c>
      <c r="C994" s="294">
        <v>44392</v>
      </c>
      <c r="D994" s="314" t="s">
        <v>56</v>
      </c>
      <c r="E994" s="314" t="s">
        <v>758</v>
      </c>
      <c r="F994" s="314" t="s">
        <v>56</v>
      </c>
      <c r="G994" s="205" t="s">
        <v>57</v>
      </c>
      <c r="H994" s="205" t="s">
        <v>1596</v>
      </c>
      <c r="I994" s="316">
        <v>0.18540000000000001</v>
      </c>
      <c r="J994" s="410" t="s">
        <v>295</v>
      </c>
      <c r="K994" s="570"/>
    </row>
    <row r="995" spans="1:11" hidden="1">
      <c r="A995" s="295" t="s">
        <v>42</v>
      </c>
      <c r="B995" s="197" t="s">
        <v>973</v>
      </c>
      <c r="C995" s="294">
        <v>44392</v>
      </c>
      <c r="D995" s="314" t="s">
        <v>56</v>
      </c>
      <c r="E995" s="314" t="s">
        <v>758</v>
      </c>
      <c r="F995" s="314" t="s">
        <v>56</v>
      </c>
      <c r="G995" s="205" t="s">
        <v>57</v>
      </c>
      <c r="H995" s="205" t="s">
        <v>1597</v>
      </c>
      <c r="I995" s="316">
        <v>0.18540000000000001</v>
      </c>
      <c r="J995" s="410" t="s">
        <v>295</v>
      </c>
      <c r="K995" s="570"/>
    </row>
    <row r="996" spans="1:11" hidden="1">
      <c r="A996" s="295" t="s">
        <v>42</v>
      </c>
      <c r="B996" s="197" t="s">
        <v>973</v>
      </c>
      <c r="C996" s="294">
        <v>44392</v>
      </c>
      <c r="D996" s="314" t="s">
        <v>56</v>
      </c>
      <c r="E996" s="314" t="s">
        <v>758</v>
      </c>
      <c r="F996" s="314" t="s">
        <v>56</v>
      </c>
      <c r="G996" s="205" t="s">
        <v>57</v>
      </c>
      <c r="H996" s="205" t="s">
        <v>1598</v>
      </c>
      <c r="I996" s="316">
        <v>0.18540000000000001</v>
      </c>
      <c r="J996" s="410" t="s">
        <v>295</v>
      </c>
      <c r="K996" s="570"/>
    </row>
    <row r="997" spans="1:11" hidden="1">
      <c r="A997" s="295" t="s">
        <v>42</v>
      </c>
      <c r="B997" s="197" t="s">
        <v>973</v>
      </c>
      <c r="C997" s="294">
        <v>44392</v>
      </c>
      <c r="D997" s="314" t="s">
        <v>56</v>
      </c>
      <c r="E997" s="314" t="s">
        <v>758</v>
      </c>
      <c r="F997" s="314" t="s">
        <v>56</v>
      </c>
      <c r="G997" s="205" t="s">
        <v>57</v>
      </c>
      <c r="H997" s="205" t="s">
        <v>1599</v>
      </c>
      <c r="I997" s="316">
        <v>0.18540000000000001</v>
      </c>
      <c r="J997" s="410" t="s">
        <v>295</v>
      </c>
      <c r="K997" s="570"/>
    </row>
    <row r="998" spans="1:11" hidden="1">
      <c r="A998" s="295" t="s">
        <v>42</v>
      </c>
      <c r="B998" s="197" t="s">
        <v>973</v>
      </c>
      <c r="C998" s="294">
        <v>44392</v>
      </c>
      <c r="D998" s="314" t="s">
        <v>56</v>
      </c>
      <c r="E998" s="314" t="s">
        <v>758</v>
      </c>
      <c r="F998" s="314" t="s">
        <v>56</v>
      </c>
      <c r="G998" s="205" t="s">
        <v>57</v>
      </c>
      <c r="H998" s="205" t="s">
        <v>1600</v>
      </c>
      <c r="I998" s="316">
        <v>0.18540000000000001</v>
      </c>
      <c r="J998" s="410" t="s">
        <v>295</v>
      </c>
      <c r="K998" s="570"/>
    </row>
    <row r="999" spans="1:11" hidden="1">
      <c r="A999" s="295" t="s">
        <v>42</v>
      </c>
      <c r="B999" s="197" t="s">
        <v>973</v>
      </c>
      <c r="C999" s="294">
        <v>44392</v>
      </c>
      <c r="D999" s="314" t="s">
        <v>56</v>
      </c>
      <c r="E999" s="314" t="s">
        <v>758</v>
      </c>
      <c r="F999" s="314" t="s">
        <v>56</v>
      </c>
      <c r="G999" s="205" t="s">
        <v>57</v>
      </c>
      <c r="H999" s="205" t="s">
        <v>1601</v>
      </c>
      <c r="I999" s="410" t="s">
        <v>1603</v>
      </c>
      <c r="J999" s="410" t="s">
        <v>295</v>
      </c>
      <c r="K999" s="570"/>
    </row>
    <row r="1000" spans="1:11" hidden="1">
      <c r="A1000" s="295" t="s">
        <v>42</v>
      </c>
      <c r="B1000" s="197" t="s">
        <v>973</v>
      </c>
      <c r="C1000" s="294">
        <v>44392</v>
      </c>
      <c r="D1000" s="314" t="s">
        <v>56</v>
      </c>
      <c r="E1000" s="314" t="s">
        <v>758</v>
      </c>
      <c r="F1000" s="314" t="s">
        <v>56</v>
      </c>
      <c r="G1000" s="205" t="s">
        <v>57</v>
      </c>
      <c r="H1000" s="205" t="s">
        <v>1602</v>
      </c>
      <c r="I1000" s="410" t="s">
        <v>81</v>
      </c>
      <c r="J1000" s="410" t="s">
        <v>295</v>
      </c>
      <c r="K1000" s="570"/>
    </row>
    <row r="1001" spans="1:11" hidden="1">
      <c r="A1001" s="295" t="s">
        <v>42</v>
      </c>
      <c r="B1001" s="197" t="s">
        <v>973</v>
      </c>
      <c r="C1001" s="294">
        <v>44392</v>
      </c>
      <c r="D1001" s="314" t="s">
        <v>56</v>
      </c>
      <c r="E1001" s="314" t="s">
        <v>758</v>
      </c>
      <c r="F1001" s="314" t="s">
        <v>56</v>
      </c>
      <c r="G1001" s="205" t="s">
        <v>57</v>
      </c>
      <c r="H1001" s="205" t="s">
        <v>1604</v>
      </c>
      <c r="I1001" s="410">
        <v>0.8</v>
      </c>
      <c r="J1001" s="410" t="s">
        <v>295</v>
      </c>
      <c r="K1001" s="570"/>
    </row>
    <row r="1002" spans="1:11" hidden="1">
      <c r="A1002" s="295" t="s">
        <v>42</v>
      </c>
      <c r="B1002" s="197" t="s">
        <v>973</v>
      </c>
      <c r="C1002" s="294">
        <v>44392</v>
      </c>
      <c r="D1002" s="314" t="s">
        <v>56</v>
      </c>
      <c r="E1002" s="314" t="s">
        <v>758</v>
      </c>
      <c r="F1002" s="314" t="s">
        <v>56</v>
      </c>
      <c r="G1002" s="205" t="s">
        <v>57</v>
      </c>
      <c r="H1002" s="205" t="s">
        <v>91</v>
      </c>
      <c r="I1002" s="410">
        <v>0.79</v>
      </c>
      <c r="J1002" s="410" t="s">
        <v>295</v>
      </c>
      <c r="K1002" s="570"/>
    </row>
    <row r="1003" spans="1:11" hidden="1">
      <c r="A1003" s="295" t="s">
        <v>42</v>
      </c>
      <c r="B1003" s="197" t="s">
        <v>973</v>
      </c>
      <c r="C1003" s="294">
        <v>44392</v>
      </c>
      <c r="D1003" s="314" t="s">
        <v>56</v>
      </c>
      <c r="E1003" s="314" t="s">
        <v>758</v>
      </c>
      <c r="F1003" s="314" t="s">
        <v>56</v>
      </c>
      <c r="G1003" s="205" t="s">
        <v>57</v>
      </c>
      <c r="H1003" s="205" t="s">
        <v>94</v>
      </c>
      <c r="I1003" s="410">
        <v>0.78</v>
      </c>
      <c r="J1003" s="410" t="s">
        <v>295</v>
      </c>
      <c r="K1003" s="570"/>
    </row>
    <row r="1004" spans="1:11" hidden="1">
      <c r="A1004" s="295" t="s">
        <v>42</v>
      </c>
      <c r="B1004" s="197" t="s">
        <v>973</v>
      </c>
      <c r="C1004" s="294">
        <v>44392</v>
      </c>
      <c r="D1004" s="314" t="s">
        <v>56</v>
      </c>
      <c r="E1004" s="314" t="s">
        <v>758</v>
      </c>
      <c r="F1004" s="314" t="s">
        <v>56</v>
      </c>
      <c r="G1004" s="205" t="s">
        <v>57</v>
      </c>
      <c r="H1004" s="205" t="s">
        <v>97</v>
      </c>
      <c r="I1004" s="410">
        <v>0.78</v>
      </c>
      <c r="J1004" s="410" t="s">
        <v>295</v>
      </c>
      <c r="K1004" s="570"/>
    </row>
    <row r="1005" spans="1:11" hidden="1">
      <c r="A1005" s="295" t="s">
        <v>42</v>
      </c>
      <c r="B1005" s="197" t="s">
        <v>973</v>
      </c>
      <c r="C1005" s="294">
        <v>44392</v>
      </c>
      <c r="D1005" s="314" t="s">
        <v>56</v>
      </c>
      <c r="E1005" s="314" t="s">
        <v>758</v>
      </c>
      <c r="F1005" s="314" t="s">
        <v>56</v>
      </c>
      <c r="G1005" s="205" t="s">
        <v>57</v>
      </c>
      <c r="H1005" s="205" t="s">
        <v>100</v>
      </c>
      <c r="I1005" s="410">
        <v>0.78</v>
      </c>
      <c r="J1005" s="410" t="s">
        <v>295</v>
      </c>
      <c r="K1005" s="570"/>
    </row>
    <row r="1006" spans="1:11" hidden="1">
      <c r="A1006" s="295" t="s">
        <v>42</v>
      </c>
      <c r="B1006" s="197" t="s">
        <v>973</v>
      </c>
      <c r="C1006" s="294">
        <v>44392</v>
      </c>
      <c r="D1006" s="314" t="s">
        <v>56</v>
      </c>
      <c r="E1006" s="314" t="s">
        <v>758</v>
      </c>
      <c r="F1006" s="314" t="s">
        <v>56</v>
      </c>
      <c r="G1006" s="205" t="s">
        <v>57</v>
      </c>
      <c r="H1006" s="205" t="s">
        <v>1605</v>
      </c>
      <c r="I1006" s="410">
        <v>0.78</v>
      </c>
      <c r="J1006" s="410" t="s">
        <v>295</v>
      </c>
      <c r="K1006" s="570"/>
    </row>
    <row r="1007" spans="1:11" hidden="1">
      <c r="A1007" s="295" t="s">
        <v>42</v>
      </c>
      <c r="B1007" s="197" t="s">
        <v>973</v>
      </c>
      <c r="C1007" s="294">
        <v>44392</v>
      </c>
      <c r="D1007" s="314" t="s">
        <v>56</v>
      </c>
      <c r="E1007" s="314" t="s">
        <v>758</v>
      </c>
      <c r="F1007" s="314" t="s">
        <v>56</v>
      </c>
      <c r="G1007" s="205" t="s">
        <v>57</v>
      </c>
      <c r="H1007" s="205" t="s">
        <v>1606</v>
      </c>
      <c r="I1007" s="410">
        <v>0.78</v>
      </c>
      <c r="J1007" s="410" t="s">
        <v>295</v>
      </c>
      <c r="K1007" s="570"/>
    </row>
    <row r="1008" spans="1:11" hidden="1">
      <c r="A1008" s="295" t="s">
        <v>42</v>
      </c>
      <c r="B1008" s="197" t="s">
        <v>973</v>
      </c>
      <c r="C1008" s="294">
        <v>44392</v>
      </c>
      <c r="D1008" s="314" t="s">
        <v>56</v>
      </c>
      <c r="E1008" s="314" t="s">
        <v>758</v>
      </c>
      <c r="F1008" s="314" t="s">
        <v>56</v>
      </c>
      <c r="G1008" s="205" t="s">
        <v>57</v>
      </c>
      <c r="H1008" s="205" t="s">
        <v>1607</v>
      </c>
      <c r="I1008" s="410">
        <v>0.78</v>
      </c>
      <c r="J1008" s="410" t="s">
        <v>295</v>
      </c>
      <c r="K1008" s="570"/>
    </row>
    <row r="1009" spans="1:11" hidden="1">
      <c r="A1009" s="295" t="s">
        <v>42</v>
      </c>
      <c r="B1009" s="197" t="s">
        <v>973</v>
      </c>
      <c r="C1009" s="294">
        <v>44392</v>
      </c>
      <c r="D1009" s="314" t="s">
        <v>56</v>
      </c>
      <c r="E1009" s="314" t="s">
        <v>758</v>
      </c>
      <c r="F1009" s="314" t="s">
        <v>56</v>
      </c>
      <c r="G1009" s="205" t="s">
        <v>57</v>
      </c>
      <c r="H1009" s="205" t="s">
        <v>1608</v>
      </c>
      <c r="I1009" s="410" t="s">
        <v>1221</v>
      </c>
      <c r="J1009" s="410" t="s">
        <v>295</v>
      </c>
      <c r="K1009" s="570"/>
    </row>
    <row r="1010" spans="1:11" hidden="1">
      <c r="A1010" s="295" t="s">
        <v>42</v>
      </c>
      <c r="B1010" s="197" t="s">
        <v>973</v>
      </c>
      <c r="C1010" s="294">
        <v>44392</v>
      </c>
      <c r="D1010" s="314" t="s">
        <v>56</v>
      </c>
      <c r="E1010" s="314" t="s">
        <v>758</v>
      </c>
      <c r="F1010" s="314" t="s">
        <v>56</v>
      </c>
      <c r="G1010" s="205" t="s">
        <v>57</v>
      </c>
      <c r="H1010" s="205" t="s">
        <v>1609</v>
      </c>
      <c r="I1010" s="410">
        <v>0.1</v>
      </c>
      <c r="J1010" s="410" t="s">
        <v>295</v>
      </c>
      <c r="K1010" s="570"/>
    </row>
    <row r="1011" spans="1:11" hidden="1">
      <c r="A1011" s="295" t="s">
        <v>42</v>
      </c>
      <c r="B1011" s="197" t="s">
        <v>973</v>
      </c>
      <c r="C1011" s="294">
        <v>44392</v>
      </c>
      <c r="D1011" s="314" t="s">
        <v>56</v>
      </c>
      <c r="E1011" s="314" t="s">
        <v>758</v>
      </c>
      <c r="F1011" s="314" t="s">
        <v>56</v>
      </c>
      <c r="G1011" s="205" t="s">
        <v>57</v>
      </c>
      <c r="H1011" s="205" t="s">
        <v>1610</v>
      </c>
      <c r="I1011" s="410">
        <v>0.09</v>
      </c>
      <c r="J1011" s="410" t="s">
        <v>295</v>
      </c>
      <c r="K1011" s="570"/>
    </row>
    <row r="1012" spans="1:11" hidden="1">
      <c r="A1012" s="295" t="s">
        <v>42</v>
      </c>
      <c r="B1012" s="197" t="s">
        <v>973</v>
      </c>
      <c r="C1012" s="294">
        <v>44392</v>
      </c>
      <c r="D1012" s="314" t="s">
        <v>56</v>
      </c>
      <c r="E1012" s="314" t="s">
        <v>758</v>
      </c>
      <c r="F1012" s="314" t="s">
        <v>56</v>
      </c>
      <c r="G1012" s="205" t="s">
        <v>57</v>
      </c>
      <c r="H1012" s="205" t="s">
        <v>1611</v>
      </c>
      <c r="I1012" s="410">
        <v>0.09</v>
      </c>
      <c r="J1012" s="410" t="s">
        <v>295</v>
      </c>
      <c r="K1012" s="570"/>
    </row>
    <row r="1013" spans="1:11" hidden="1">
      <c r="A1013" s="295" t="s">
        <v>42</v>
      </c>
      <c r="B1013" s="197" t="s">
        <v>973</v>
      </c>
      <c r="C1013" s="294">
        <v>44392</v>
      </c>
      <c r="D1013" s="314" t="s">
        <v>56</v>
      </c>
      <c r="E1013" s="314" t="s">
        <v>758</v>
      </c>
      <c r="F1013" s="314" t="s">
        <v>56</v>
      </c>
      <c r="G1013" s="205" t="s">
        <v>57</v>
      </c>
      <c r="H1013" s="205" t="s">
        <v>1612</v>
      </c>
      <c r="I1013" s="410">
        <v>0.09</v>
      </c>
      <c r="J1013" s="410" t="s">
        <v>295</v>
      </c>
      <c r="K1013" s="570"/>
    </row>
    <row r="1014" spans="1:11" hidden="1">
      <c r="A1014" s="295" t="s">
        <v>42</v>
      </c>
      <c r="B1014" s="197" t="s">
        <v>973</v>
      </c>
      <c r="C1014" s="294">
        <v>44392</v>
      </c>
      <c r="D1014" s="314" t="s">
        <v>56</v>
      </c>
      <c r="E1014" s="314" t="s">
        <v>758</v>
      </c>
      <c r="F1014" s="314" t="s">
        <v>56</v>
      </c>
      <c r="G1014" s="205" t="s">
        <v>57</v>
      </c>
      <c r="H1014" s="205" t="s">
        <v>1613</v>
      </c>
      <c r="I1014" s="410">
        <v>0.09</v>
      </c>
      <c r="J1014" s="410" t="s">
        <v>295</v>
      </c>
      <c r="K1014" s="570"/>
    </row>
    <row r="1015" spans="1:11" hidden="1">
      <c r="A1015" s="295" t="s">
        <v>42</v>
      </c>
      <c r="B1015" s="197" t="s">
        <v>973</v>
      </c>
      <c r="C1015" s="294">
        <v>44392</v>
      </c>
      <c r="D1015" s="314" t="s">
        <v>56</v>
      </c>
      <c r="E1015" s="314" t="s">
        <v>758</v>
      </c>
      <c r="F1015" s="314" t="s">
        <v>56</v>
      </c>
      <c r="G1015" s="205" t="s">
        <v>57</v>
      </c>
      <c r="H1015" s="205" t="s">
        <v>1614</v>
      </c>
      <c r="I1015" s="410">
        <v>0.09</v>
      </c>
      <c r="J1015" s="410" t="s">
        <v>295</v>
      </c>
      <c r="K1015" s="570"/>
    </row>
    <row r="1016" spans="1:11" hidden="1">
      <c r="A1016" s="295" t="s">
        <v>42</v>
      </c>
      <c r="B1016" s="197" t="s">
        <v>973</v>
      </c>
      <c r="C1016" s="294">
        <v>44392</v>
      </c>
      <c r="D1016" s="314" t="s">
        <v>56</v>
      </c>
      <c r="E1016" s="314" t="s">
        <v>758</v>
      </c>
      <c r="F1016" s="314" t="s">
        <v>56</v>
      </c>
      <c r="G1016" s="205" t="s">
        <v>57</v>
      </c>
      <c r="H1016" s="205" t="s">
        <v>1615</v>
      </c>
      <c r="I1016" s="410">
        <v>0.09</v>
      </c>
      <c r="J1016" s="410" t="s">
        <v>295</v>
      </c>
      <c r="K1016" s="570"/>
    </row>
    <row r="1017" spans="1:11" hidden="1">
      <c r="A1017" s="295" t="s">
        <v>42</v>
      </c>
      <c r="B1017" s="197" t="s">
        <v>973</v>
      </c>
      <c r="C1017" s="294">
        <v>44392</v>
      </c>
      <c r="D1017" s="314" t="s">
        <v>56</v>
      </c>
      <c r="E1017" s="314" t="s">
        <v>758</v>
      </c>
      <c r="F1017" s="314" t="s">
        <v>56</v>
      </c>
      <c r="G1017" s="205" t="s">
        <v>57</v>
      </c>
      <c r="H1017" s="205" t="s">
        <v>1616</v>
      </c>
      <c r="I1017" s="410">
        <v>0.09</v>
      </c>
      <c r="J1017" s="410" t="s">
        <v>295</v>
      </c>
      <c r="K1017" s="570"/>
    </row>
    <row r="1018" spans="1:11" hidden="1">
      <c r="A1018" s="295" t="s">
        <v>42</v>
      </c>
      <c r="B1018" s="197" t="s">
        <v>973</v>
      </c>
      <c r="C1018" s="294">
        <v>44392</v>
      </c>
      <c r="D1018" s="314" t="s">
        <v>56</v>
      </c>
      <c r="E1018" s="314" t="s">
        <v>758</v>
      </c>
      <c r="F1018" s="314" t="s">
        <v>56</v>
      </c>
      <c r="G1018" s="205" t="s">
        <v>57</v>
      </c>
      <c r="H1018" s="205" t="s">
        <v>1617</v>
      </c>
      <c r="I1018" s="410" t="s">
        <v>1619</v>
      </c>
      <c r="J1018" s="410" t="s">
        <v>295</v>
      </c>
      <c r="K1018" s="570"/>
    </row>
    <row r="1019" spans="1:11" hidden="1">
      <c r="A1019" s="295" t="s">
        <v>42</v>
      </c>
      <c r="B1019" s="197" t="s">
        <v>973</v>
      </c>
      <c r="C1019" s="294">
        <v>44392</v>
      </c>
      <c r="D1019" s="314" t="s">
        <v>56</v>
      </c>
      <c r="E1019" s="314" t="s">
        <v>758</v>
      </c>
      <c r="F1019" s="314" t="s">
        <v>56</v>
      </c>
      <c r="G1019" s="205" t="s">
        <v>57</v>
      </c>
      <c r="H1019" s="205" t="s">
        <v>1618</v>
      </c>
      <c r="I1019" s="410" t="s">
        <v>81</v>
      </c>
      <c r="J1019" s="410" t="s">
        <v>295</v>
      </c>
      <c r="K1019" s="570"/>
    </row>
    <row r="1020" spans="1:11" hidden="1">
      <c r="A1020" s="295" t="s">
        <v>42</v>
      </c>
      <c r="B1020" s="197" t="s">
        <v>973</v>
      </c>
      <c r="C1020" s="294">
        <v>44392</v>
      </c>
      <c r="D1020" s="314" t="s">
        <v>56</v>
      </c>
      <c r="E1020" s="314" t="s">
        <v>758</v>
      </c>
      <c r="F1020" s="314" t="s">
        <v>56</v>
      </c>
      <c r="G1020" s="205" t="s">
        <v>57</v>
      </c>
      <c r="H1020" s="205" t="s">
        <v>1620</v>
      </c>
      <c r="I1020" s="198" t="s">
        <v>1622</v>
      </c>
      <c r="J1020" s="410" t="s">
        <v>295</v>
      </c>
      <c r="K1020" s="570"/>
    </row>
    <row r="1021" spans="1:11" hidden="1">
      <c r="A1021" s="295" t="s">
        <v>42</v>
      </c>
      <c r="B1021" s="197" t="s">
        <v>973</v>
      </c>
      <c r="C1021" s="294">
        <v>44392</v>
      </c>
      <c r="D1021" s="314" t="s">
        <v>56</v>
      </c>
      <c r="E1021" s="314" t="s">
        <v>758</v>
      </c>
      <c r="F1021" s="314" t="s">
        <v>56</v>
      </c>
      <c r="G1021" s="205" t="s">
        <v>57</v>
      </c>
      <c r="H1021" s="205" t="s">
        <v>1621</v>
      </c>
      <c r="I1021" s="198" t="s">
        <v>1624</v>
      </c>
      <c r="J1021" s="410" t="s">
        <v>295</v>
      </c>
      <c r="K1021" s="570"/>
    </row>
    <row r="1022" spans="1:11" hidden="1">
      <c r="A1022" s="295" t="s">
        <v>42</v>
      </c>
      <c r="B1022" s="197" t="s">
        <v>973</v>
      </c>
      <c r="C1022" s="294">
        <v>44392</v>
      </c>
      <c r="D1022" s="314" t="s">
        <v>56</v>
      </c>
      <c r="E1022" s="314" t="s">
        <v>758</v>
      </c>
      <c r="F1022" s="314" t="s">
        <v>56</v>
      </c>
      <c r="G1022" s="205" t="s">
        <v>57</v>
      </c>
      <c r="H1022" s="205" t="s">
        <v>1623</v>
      </c>
      <c r="I1022" s="198" t="s">
        <v>1626</v>
      </c>
      <c r="J1022" s="410" t="s">
        <v>295</v>
      </c>
      <c r="K1022" s="570"/>
    </row>
    <row r="1023" spans="1:11" hidden="1">
      <c r="A1023" s="295" t="s">
        <v>42</v>
      </c>
      <c r="B1023" s="197" t="s">
        <v>973</v>
      </c>
      <c r="C1023" s="294">
        <v>44392</v>
      </c>
      <c r="D1023" s="314" t="s">
        <v>56</v>
      </c>
      <c r="E1023" s="314" t="s">
        <v>758</v>
      </c>
      <c r="F1023" s="314" t="s">
        <v>56</v>
      </c>
      <c r="G1023" s="205" t="s">
        <v>57</v>
      </c>
      <c r="H1023" s="205" t="s">
        <v>1625</v>
      </c>
      <c r="I1023" s="198" t="s">
        <v>1628</v>
      </c>
      <c r="J1023" s="410" t="s">
        <v>295</v>
      </c>
      <c r="K1023" s="570"/>
    </row>
    <row r="1024" spans="1:11" hidden="1">
      <c r="A1024" s="295" t="s">
        <v>42</v>
      </c>
      <c r="B1024" s="197" t="s">
        <v>973</v>
      </c>
      <c r="C1024" s="294">
        <v>44392</v>
      </c>
      <c r="D1024" s="314" t="s">
        <v>56</v>
      </c>
      <c r="E1024" s="314" t="s">
        <v>758</v>
      </c>
      <c r="F1024" s="314" t="s">
        <v>56</v>
      </c>
      <c r="G1024" s="205" t="s">
        <v>57</v>
      </c>
      <c r="H1024" s="205" t="s">
        <v>1627</v>
      </c>
      <c r="I1024" s="198" t="s">
        <v>1630</v>
      </c>
      <c r="J1024" s="410" t="s">
        <v>295</v>
      </c>
      <c r="K1024" s="570"/>
    </row>
    <row r="1025" spans="1:11" hidden="1">
      <c r="A1025" s="295" t="s">
        <v>42</v>
      </c>
      <c r="B1025" s="197" t="s">
        <v>973</v>
      </c>
      <c r="C1025" s="294">
        <v>44392</v>
      </c>
      <c r="D1025" s="314" t="s">
        <v>56</v>
      </c>
      <c r="E1025" s="314" t="s">
        <v>758</v>
      </c>
      <c r="F1025" s="314" t="s">
        <v>56</v>
      </c>
      <c r="G1025" s="205" t="s">
        <v>57</v>
      </c>
      <c r="H1025" s="205" t="s">
        <v>1629</v>
      </c>
      <c r="I1025" s="198" t="s">
        <v>1632</v>
      </c>
      <c r="J1025" s="410" t="s">
        <v>295</v>
      </c>
      <c r="K1025" s="570"/>
    </row>
    <row r="1026" spans="1:11" hidden="1">
      <c r="A1026" s="295" t="s">
        <v>42</v>
      </c>
      <c r="B1026" s="197" t="s">
        <v>973</v>
      </c>
      <c r="C1026" s="294">
        <v>44392</v>
      </c>
      <c r="D1026" s="314" t="s">
        <v>56</v>
      </c>
      <c r="E1026" s="314" t="s">
        <v>758</v>
      </c>
      <c r="F1026" s="314" t="s">
        <v>56</v>
      </c>
      <c r="G1026" s="205" t="s">
        <v>57</v>
      </c>
      <c r="H1026" s="205" t="s">
        <v>1631</v>
      </c>
      <c r="I1026" s="198" t="s">
        <v>1634</v>
      </c>
      <c r="J1026" s="410" t="s">
        <v>295</v>
      </c>
      <c r="K1026" s="570"/>
    </row>
    <row r="1027" spans="1:11" hidden="1">
      <c r="A1027" s="295" t="s">
        <v>42</v>
      </c>
      <c r="B1027" s="197" t="s">
        <v>973</v>
      </c>
      <c r="C1027" s="294">
        <v>44392</v>
      </c>
      <c r="D1027" s="314" t="s">
        <v>56</v>
      </c>
      <c r="E1027" s="314" t="s">
        <v>758</v>
      </c>
      <c r="F1027" s="314" t="s">
        <v>56</v>
      </c>
      <c r="G1027" s="205" t="s">
        <v>57</v>
      </c>
      <c r="H1027" s="205" t="s">
        <v>1633</v>
      </c>
      <c r="I1027" s="198" t="s">
        <v>1636</v>
      </c>
      <c r="J1027" s="410" t="s">
        <v>295</v>
      </c>
      <c r="K1027" s="570"/>
    </row>
    <row r="1028" spans="1:11" hidden="1">
      <c r="A1028" s="295" t="s">
        <v>42</v>
      </c>
      <c r="B1028" s="197" t="s">
        <v>973</v>
      </c>
      <c r="C1028" s="294">
        <v>44392</v>
      </c>
      <c r="D1028" s="314" t="s">
        <v>56</v>
      </c>
      <c r="E1028" s="314" t="s">
        <v>758</v>
      </c>
      <c r="F1028" s="314" t="s">
        <v>56</v>
      </c>
      <c r="G1028" s="205" t="s">
        <v>57</v>
      </c>
      <c r="H1028" s="205" t="s">
        <v>1635</v>
      </c>
      <c r="I1028" s="410" t="s">
        <v>1221</v>
      </c>
      <c r="J1028" s="410" t="s">
        <v>295</v>
      </c>
      <c r="K1028" s="570"/>
    </row>
    <row r="1029" spans="1:11" hidden="1">
      <c r="A1029" s="295" t="s">
        <v>42</v>
      </c>
      <c r="B1029" s="197" t="s">
        <v>973</v>
      </c>
      <c r="C1029" s="294">
        <v>44392</v>
      </c>
      <c r="D1029" s="314" t="s">
        <v>56</v>
      </c>
      <c r="E1029" s="314" t="s">
        <v>758</v>
      </c>
      <c r="F1029" s="314" t="s">
        <v>56</v>
      </c>
      <c r="G1029" s="205" t="s">
        <v>57</v>
      </c>
      <c r="H1029" s="205" t="s">
        <v>1637</v>
      </c>
      <c r="I1029" s="198" t="s">
        <v>1639</v>
      </c>
      <c r="J1029" s="410" t="s">
        <v>295</v>
      </c>
      <c r="K1029" s="570"/>
    </row>
    <row r="1030" spans="1:11" hidden="1">
      <c r="A1030" s="295" t="s">
        <v>42</v>
      </c>
      <c r="B1030" s="197" t="s">
        <v>973</v>
      </c>
      <c r="C1030" s="294">
        <v>44392</v>
      </c>
      <c r="D1030" s="314" t="s">
        <v>56</v>
      </c>
      <c r="E1030" s="314" t="s">
        <v>758</v>
      </c>
      <c r="F1030" s="314" t="s">
        <v>56</v>
      </c>
      <c r="G1030" s="205" t="s">
        <v>57</v>
      </c>
      <c r="H1030" s="205" t="s">
        <v>1638</v>
      </c>
      <c r="I1030" s="198" t="s">
        <v>1641</v>
      </c>
      <c r="J1030" s="410" t="s">
        <v>295</v>
      </c>
      <c r="K1030" s="570"/>
    </row>
    <row r="1031" spans="1:11" hidden="1">
      <c r="A1031" s="295" t="s">
        <v>42</v>
      </c>
      <c r="B1031" s="197" t="s">
        <v>973</v>
      </c>
      <c r="C1031" s="294">
        <v>44392</v>
      </c>
      <c r="D1031" s="314" t="s">
        <v>56</v>
      </c>
      <c r="E1031" s="314" t="s">
        <v>758</v>
      </c>
      <c r="F1031" s="314" t="s">
        <v>56</v>
      </c>
      <c r="G1031" s="205" t="s">
        <v>57</v>
      </c>
      <c r="H1031" s="205" t="s">
        <v>1640</v>
      </c>
      <c r="I1031" s="198" t="s">
        <v>1643</v>
      </c>
      <c r="J1031" s="410" t="s">
        <v>295</v>
      </c>
      <c r="K1031" s="570"/>
    </row>
    <row r="1032" spans="1:11" hidden="1">
      <c r="A1032" s="295" t="s">
        <v>42</v>
      </c>
      <c r="B1032" s="197" t="s">
        <v>973</v>
      </c>
      <c r="C1032" s="294">
        <v>44392</v>
      </c>
      <c r="D1032" s="314" t="s">
        <v>56</v>
      </c>
      <c r="E1032" s="314" t="s">
        <v>758</v>
      </c>
      <c r="F1032" s="314" t="s">
        <v>56</v>
      </c>
      <c r="G1032" s="205" t="s">
        <v>57</v>
      </c>
      <c r="H1032" s="205" t="s">
        <v>1642</v>
      </c>
      <c r="I1032" s="198" t="s">
        <v>1645</v>
      </c>
      <c r="J1032" s="410" t="s">
        <v>295</v>
      </c>
      <c r="K1032" s="570"/>
    </row>
    <row r="1033" spans="1:11" hidden="1">
      <c r="A1033" s="295" t="s">
        <v>42</v>
      </c>
      <c r="B1033" s="197" t="s">
        <v>973</v>
      </c>
      <c r="C1033" s="294">
        <v>44392</v>
      </c>
      <c r="D1033" s="314" t="s">
        <v>56</v>
      </c>
      <c r="E1033" s="314" t="s">
        <v>758</v>
      </c>
      <c r="F1033" s="314" t="s">
        <v>56</v>
      </c>
      <c r="G1033" s="205" t="s">
        <v>57</v>
      </c>
      <c r="H1033" s="205" t="s">
        <v>1644</v>
      </c>
      <c r="I1033" s="198" t="s">
        <v>1647</v>
      </c>
      <c r="J1033" s="410" t="s">
        <v>295</v>
      </c>
      <c r="K1033" s="570"/>
    </row>
    <row r="1034" spans="1:11" hidden="1">
      <c r="A1034" s="295" t="s">
        <v>42</v>
      </c>
      <c r="B1034" s="197" t="s">
        <v>973</v>
      </c>
      <c r="C1034" s="294">
        <v>44392</v>
      </c>
      <c r="D1034" s="314" t="s">
        <v>56</v>
      </c>
      <c r="E1034" s="314" t="s">
        <v>758</v>
      </c>
      <c r="F1034" s="314" t="s">
        <v>56</v>
      </c>
      <c r="G1034" s="205" t="s">
        <v>57</v>
      </c>
      <c r="H1034" s="205" t="s">
        <v>1646</v>
      </c>
      <c r="I1034" s="198" t="s">
        <v>1649</v>
      </c>
      <c r="J1034" s="410" t="s">
        <v>295</v>
      </c>
      <c r="K1034" s="570"/>
    </row>
    <row r="1035" spans="1:11" hidden="1">
      <c r="A1035" s="295" t="s">
        <v>42</v>
      </c>
      <c r="B1035" s="197" t="s">
        <v>973</v>
      </c>
      <c r="C1035" s="294">
        <v>44392</v>
      </c>
      <c r="D1035" s="314" t="s">
        <v>56</v>
      </c>
      <c r="E1035" s="314" t="s">
        <v>758</v>
      </c>
      <c r="F1035" s="314" t="s">
        <v>56</v>
      </c>
      <c r="G1035" s="205" t="s">
        <v>57</v>
      </c>
      <c r="H1035" s="205" t="s">
        <v>1648</v>
      </c>
      <c r="I1035" s="198" t="s">
        <v>1651</v>
      </c>
      <c r="J1035" s="410" t="s">
        <v>295</v>
      </c>
      <c r="K1035" s="570"/>
    </row>
    <row r="1036" spans="1:11" hidden="1">
      <c r="A1036" s="295" t="s">
        <v>42</v>
      </c>
      <c r="B1036" s="197" t="s">
        <v>973</v>
      </c>
      <c r="C1036" s="294">
        <v>44392</v>
      </c>
      <c r="D1036" s="314" t="s">
        <v>56</v>
      </c>
      <c r="E1036" s="314" t="s">
        <v>758</v>
      </c>
      <c r="F1036" s="314" t="s">
        <v>56</v>
      </c>
      <c r="G1036" s="205" t="s">
        <v>57</v>
      </c>
      <c r="H1036" s="205" t="s">
        <v>1650</v>
      </c>
      <c r="I1036" s="198" t="s">
        <v>1653</v>
      </c>
      <c r="J1036" s="410" t="s">
        <v>295</v>
      </c>
      <c r="K1036" s="570"/>
    </row>
    <row r="1037" spans="1:11" hidden="1">
      <c r="A1037" s="295" t="s">
        <v>42</v>
      </c>
      <c r="B1037" s="197" t="s">
        <v>973</v>
      </c>
      <c r="C1037" s="294">
        <v>44392</v>
      </c>
      <c r="D1037" s="314" t="s">
        <v>56</v>
      </c>
      <c r="E1037" s="314" t="s">
        <v>758</v>
      </c>
      <c r="F1037" s="314" t="s">
        <v>56</v>
      </c>
      <c r="G1037" s="205" t="s">
        <v>57</v>
      </c>
      <c r="H1037" s="205" t="s">
        <v>1652</v>
      </c>
      <c r="I1037" s="410" t="s">
        <v>497</v>
      </c>
      <c r="J1037" s="410" t="s">
        <v>295</v>
      </c>
      <c r="K1037" s="570"/>
    </row>
    <row r="1038" spans="1:11" hidden="1">
      <c r="A1038" s="295" t="s">
        <v>42</v>
      </c>
      <c r="B1038" s="197" t="s">
        <v>973</v>
      </c>
      <c r="C1038" s="294">
        <v>44392</v>
      </c>
      <c r="D1038" s="314" t="s">
        <v>56</v>
      </c>
      <c r="E1038" s="314" t="s">
        <v>758</v>
      </c>
      <c r="F1038" s="314" t="s">
        <v>56</v>
      </c>
      <c r="G1038" s="205" t="s">
        <v>57</v>
      </c>
      <c r="H1038" s="205" t="s">
        <v>1654</v>
      </c>
      <c r="I1038" s="410" t="s">
        <v>1656</v>
      </c>
      <c r="J1038" s="410" t="s">
        <v>295</v>
      </c>
      <c r="K1038" s="570"/>
    </row>
    <row r="1039" spans="1:11" hidden="1">
      <c r="A1039" s="295" t="s">
        <v>42</v>
      </c>
      <c r="B1039" s="197" t="s">
        <v>973</v>
      </c>
      <c r="C1039" s="294">
        <v>44392</v>
      </c>
      <c r="D1039" s="314" t="s">
        <v>56</v>
      </c>
      <c r="E1039" s="314" t="s">
        <v>758</v>
      </c>
      <c r="F1039" s="314" t="s">
        <v>56</v>
      </c>
      <c r="G1039" s="205" t="s">
        <v>57</v>
      </c>
      <c r="H1039" s="205" t="s">
        <v>1655</v>
      </c>
      <c r="I1039" s="410" t="s">
        <v>1658</v>
      </c>
      <c r="J1039" s="410" t="s">
        <v>295</v>
      </c>
      <c r="K1039" s="570"/>
    </row>
    <row r="1040" spans="1:11" hidden="1">
      <c r="A1040" s="295" t="s">
        <v>42</v>
      </c>
      <c r="B1040" s="197" t="s">
        <v>973</v>
      </c>
      <c r="C1040" s="294">
        <v>44392</v>
      </c>
      <c r="D1040" s="314" t="s">
        <v>56</v>
      </c>
      <c r="E1040" s="314" t="s">
        <v>758</v>
      </c>
      <c r="F1040" s="314" t="s">
        <v>56</v>
      </c>
      <c r="G1040" s="205" t="s">
        <v>57</v>
      </c>
      <c r="H1040" s="205" t="s">
        <v>1657</v>
      </c>
      <c r="I1040" s="410" t="s">
        <v>1660</v>
      </c>
      <c r="J1040" s="410" t="s">
        <v>295</v>
      </c>
      <c r="K1040" s="570"/>
    </row>
    <row r="1041" spans="1:11" hidden="1">
      <c r="A1041" s="295" t="s">
        <v>42</v>
      </c>
      <c r="B1041" s="197" t="s">
        <v>973</v>
      </c>
      <c r="C1041" s="294">
        <v>44392</v>
      </c>
      <c r="D1041" s="314" t="s">
        <v>56</v>
      </c>
      <c r="E1041" s="314" t="s">
        <v>758</v>
      </c>
      <c r="F1041" s="314" t="s">
        <v>56</v>
      </c>
      <c r="G1041" s="205" t="s">
        <v>57</v>
      </c>
      <c r="H1041" s="205" t="s">
        <v>1659</v>
      </c>
      <c r="I1041" s="410" t="s">
        <v>1662</v>
      </c>
      <c r="J1041" s="410" t="s">
        <v>295</v>
      </c>
      <c r="K1041" s="570"/>
    </row>
    <row r="1042" spans="1:11" hidden="1">
      <c r="A1042" s="295" t="s">
        <v>42</v>
      </c>
      <c r="B1042" s="197" t="s">
        <v>973</v>
      </c>
      <c r="C1042" s="294">
        <v>44392</v>
      </c>
      <c r="D1042" s="314" t="s">
        <v>56</v>
      </c>
      <c r="E1042" s="314" t="s">
        <v>758</v>
      </c>
      <c r="F1042" s="314" t="s">
        <v>56</v>
      </c>
      <c r="G1042" s="205" t="s">
        <v>57</v>
      </c>
      <c r="H1042" s="205" t="s">
        <v>1661</v>
      </c>
      <c r="I1042" s="410" t="s">
        <v>1662</v>
      </c>
      <c r="J1042" s="410" t="s">
        <v>295</v>
      </c>
      <c r="K1042" s="570"/>
    </row>
    <row r="1043" spans="1:11" hidden="1">
      <c r="A1043" s="295" t="s">
        <v>42</v>
      </c>
      <c r="B1043" s="197" t="s">
        <v>973</v>
      </c>
      <c r="C1043" s="294">
        <v>44392</v>
      </c>
      <c r="D1043" s="314" t="s">
        <v>56</v>
      </c>
      <c r="E1043" s="314" t="s">
        <v>758</v>
      </c>
      <c r="F1043" s="314" t="s">
        <v>56</v>
      </c>
      <c r="G1043" s="205" t="s">
        <v>57</v>
      </c>
      <c r="H1043" s="205" t="s">
        <v>1663</v>
      </c>
      <c r="I1043" s="410" t="s">
        <v>1662</v>
      </c>
      <c r="J1043" s="410" t="s">
        <v>295</v>
      </c>
      <c r="K1043" s="570"/>
    </row>
    <row r="1044" spans="1:11" hidden="1">
      <c r="A1044" s="295" t="s">
        <v>42</v>
      </c>
      <c r="B1044" s="197" t="s">
        <v>973</v>
      </c>
      <c r="C1044" s="294">
        <v>44392</v>
      </c>
      <c r="D1044" s="314" t="s">
        <v>56</v>
      </c>
      <c r="E1044" s="314" t="s">
        <v>758</v>
      </c>
      <c r="F1044" s="314" t="s">
        <v>56</v>
      </c>
      <c r="G1044" s="205" t="s">
        <v>57</v>
      </c>
      <c r="H1044" s="205" t="s">
        <v>1664</v>
      </c>
      <c r="I1044" s="410" t="s">
        <v>1662</v>
      </c>
      <c r="J1044" s="410" t="s">
        <v>295</v>
      </c>
      <c r="K1044" s="570"/>
    </row>
    <row r="1045" spans="1:11" hidden="1">
      <c r="A1045" s="295" t="s">
        <v>42</v>
      </c>
      <c r="B1045" s="197" t="s">
        <v>973</v>
      </c>
      <c r="C1045" s="294">
        <v>44392</v>
      </c>
      <c r="D1045" s="314" t="s">
        <v>56</v>
      </c>
      <c r="E1045" s="314" t="s">
        <v>758</v>
      </c>
      <c r="F1045" s="314" t="s">
        <v>56</v>
      </c>
      <c r="G1045" s="205" t="s">
        <v>57</v>
      </c>
      <c r="H1045" s="205" t="s">
        <v>1665</v>
      </c>
      <c r="I1045" s="410" t="s">
        <v>1662</v>
      </c>
      <c r="J1045" s="410" t="s">
        <v>295</v>
      </c>
      <c r="K1045" s="570"/>
    </row>
    <row r="1046" spans="1:11" ht="25.5" hidden="1" customHeight="1">
      <c r="A1046" s="295" t="s">
        <v>42</v>
      </c>
      <c r="B1046" s="197" t="s">
        <v>973</v>
      </c>
      <c r="C1046" s="294">
        <v>44392</v>
      </c>
      <c r="D1046" s="314" t="s">
        <v>56</v>
      </c>
      <c r="E1046" s="314" t="s">
        <v>758</v>
      </c>
      <c r="F1046" s="314" t="s">
        <v>56</v>
      </c>
      <c r="G1046" s="205" t="s">
        <v>57</v>
      </c>
      <c r="H1046" s="205" t="s">
        <v>1666</v>
      </c>
      <c r="I1046" s="410">
        <v>0.1</v>
      </c>
      <c r="J1046" s="410">
        <v>0.2</v>
      </c>
      <c r="K1046" s="576" t="s">
        <v>1667</v>
      </c>
    </row>
    <row r="1047" spans="1:11" hidden="1">
      <c r="A1047" s="295" t="s">
        <v>42</v>
      </c>
      <c r="B1047" s="197" t="s">
        <v>973</v>
      </c>
      <c r="C1047" s="197">
        <v>44469</v>
      </c>
      <c r="D1047" s="197" t="s">
        <v>56</v>
      </c>
      <c r="E1047" s="314" t="s">
        <v>758</v>
      </c>
      <c r="F1047" s="314" t="s">
        <v>56</v>
      </c>
      <c r="G1047" s="205" t="s">
        <v>57</v>
      </c>
      <c r="H1047" s="205" t="s">
        <v>826</v>
      </c>
      <c r="I1047" s="410">
        <v>0.04</v>
      </c>
      <c r="J1047" s="410">
        <v>0.03</v>
      </c>
      <c r="K1047" s="577"/>
    </row>
    <row r="1048" spans="1:11" hidden="1">
      <c r="A1048" s="295" t="s">
        <v>42</v>
      </c>
      <c r="B1048" s="197" t="s">
        <v>973</v>
      </c>
      <c r="C1048" s="197">
        <v>44469</v>
      </c>
      <c r="D1048" s="197" t="s">
        <v>56</v>
      </c>
      <c r="E1048" s="314" t="s">
        <v>758</v>
      </c>
      <c r="F1048" s="314" t="s">
        <v>56</v>
      </c>
      <c r="G1048" s="205" t="s">
        <v>57</v>
      </c>
      <c r="H1048" s="205" t="s">
        <v>1668</v>
      </c>
      <c r="I1048" s="410">
        <v>0.04</v>
      </c>
      <c r="J1048" s="410">
        <v>0.03</v>
      </c>
      <c r="K1048" s="577"/>
    </row>
    <row r="1049" spans="1:11" hidden="1">
      <c r="A1049" s="295" t="s">
        <v>42</v>
      </c>
      <c r="B1049" s="197" t="s">
        <v>973</v>
      </c>
      <c r="C1049" s="197">
        <v>44469</v>
      </c>
      <c r="D1049" s="197" t="s">
        <v>56</v>
      </c>
      <c r="E1049" s="314" t="s">
        <v>758</v>
      </c>
      <c r="F1049" s="314" t="s">
        <v>56</v>
      </c>
      <c r="G1049" s="205" t="s">
        <v>57</v>
      </c>
      <c r="H1049" s="205" t="s">
        <v>1669</v>
      </c>
      <c r="I1049" s="410" t="s">
        <v>898</v>
      </c>
      <c r="J1049" s="410" t="s">
        <v>823</v>
      </c>
      <c r="K1049" s="577"/>
    </row>
    <row r="1050" spans="1:11" hidden="1">
      <c r="A1050" s="295" t="s">
        <v>42</v>
      </c>
      <c r="B1050" s="197" t="s">
        <v>973</v>
      </c>
      <c r="C1050" s="197">
        <v>44469</v>
      </c>
      <c r="D1050" s="197" t="s">
        <v>56</v>
      </c>
      <c r="E1050" s="314" t="s">
        <v>758</v>
      </c>
      <c r="F1050" s="314" t="s">
        <v>56</v>
      </c>
      <c r="G1050" s="205" t="s">
        <v>57</v>
      </c>
      <c r="H1050" s="205" t="s">
        <v>822</v>
      </c>
      <c r="I1050" s="410" t="s">
        <v>902</v>
      </c>
      <c r="J1050" s="410" t="s">
        <v>828</v>
      </c>
      <c r="K1050" s="577"/>
    </row>
    <row r="1051" spans="1:11" hidden="1">
      <c r="A1051" s="295" t="s">
        <v>42</v>
      </c>
      <c r="B1051" s="197" t="s">
        <v>973</v>
      </c>
      <c r="C1051" s="197">
        <v>44469</v>
      </c>
      <c r="D1051" s="197" t="s">
        <v>56</v>
      </c>
      <c r="E1051" s="314" t="s">
        <v>758</v>
      </c>
      <c r="F1051" s="314" t="s">
        <v>56</v>
      </c>
      <c r="G1051" s="205" t="s">
        <v>57</v>
      </c>
      <c r="H1051" s="205" t="s">
        <v>827</v>
      </c>
      <c r="I1051" s="410" t="s">
        <v>902</v>
      </c>
      <c r="J1051" s="410" t="s">
        <v>828</v>
      </c>
      <c r="K1051" s="577"/>
    </row>
    <row r="1052" spans="1:11" hidden="1">
      <c r="A1052" s="295" t="s">
        <v>42</v>
      </c>
      <c r="B1052" s="197" t="s">
        <v>973</v>
      </c>
      <c r="C1052" s="197">
        <v>44469</v>
      </c>
      <c r="D1052" s="197" t="s">
        <v>56</v>
      </c>
      <c r="E1052" s="314" t="s">
        <v>758</v>
      </c>
      <c r="F1052" s="314" t="s">
        <v>56</v>
      </c>
      <c r="G1052" s="205" t="s">
        <v>57</v>
      </c>
      <c r="H1052" s="205" t="s">
        <v>830</v>
      </c>
      <c r="I1052" s="410" t="s">
        <v>902</v>
      </c>
      <c r="J1052" s="410" t="s">
        <v>828</v>
      </c>
      <c r="K1052" s="577"/>
    </row>
    <row r="1053" spans="1:11" hidden="1">
      <c r="A1053" s="295" t="s">
        <v>42</v>
      </c>
      <c r="B1053" s="197" t="s">
        <v>973</v>
      </c>
      <c r="C1053" s="197">
        <v>44469</v>
      </c>
      <c r="D1053" s="197" t="s">
        <v>56</v>
      </c>
      <c r="E1053" s="314" t="s">
        <v>758</v>
      </c>
      <c r="F1053" s="314" t="s">
        <v>56</v>
      </c>
      <c r="G1053" s="205" t="s">
        <v>57</v>
      </c>
      <c r="H1053" s="205" t="s">
        <v>832</v>
      </c>
      <c r="I1053" s="410" t="s">
        <v>907</v>
      </c>
      <c r="J1053" s="410" t="s">
        <v>834</v>
      </c>
      <c r="K1053" s="577"/>
    </row>
    <row r="1054" spans="1:11" hidden="1">
      <c r="A1054" s="295" t="s">
        <v>42</v>
      </c>
      <c r="B1054" s="197" t="s">
        <v>973</v>
      </c>
      <c r="C1054" s="197">
        <v>44469</v>
      </c>
      <c r="D1054" s="197" t="s">
        <v>56</v>
      </c>
      <c r="E1054" s="314" t="s">
        <v>758</v>
      </c>
      <c r="F1054" s="314" t="s">
        <v>56</v>
      </c>
      <c r="G1054" s="205" t="s">
        <v>57</v>
      </c>
      <c r="H1054" s="205" t="s">
        <v>833</v>
      </c>
      <c r="I1054" s="410" t="s">
        <v>907</v>
      </c>
      <c r="J1054" s="410" t="s">
        <v>834</v>
      </c>
      <c r="K1054" s="577"/>
    </row>
    <row r="1055" spans="1:11" hidden="1">
      <c r="A1055" s="295" t="s">
        <v>42</v>
      </c>
      <c r="B1055" s="197" t="s">
        <v>973</v>
      </c>
      <c r="C1055" s="197">
        <v>44469</v>
      </c>
      <c r="D1055" s="197" t="s">
        <v>56</v>
      </c>
      <c r="E1055" s="314" t="s">
        <v>758</v>
      </c>
      <c r="F1055" s="314" t="s">
        <v>56</v>
      </c>
      <c r="G1055" s="205" t="s">
        <v>57</v>
      </c>
      <c r="H1055" s="205" t="s">
        <v>836</v>
      </c>
      <c r="I1055" s="410" t="s">
        <v>910</v>
      </c>
      <c r="J1055" s="410" t="s">
        <v>838</v>
      </c>
      <c r="K1055" s="577"/>
    </row>
    <row r="1056" spans="1:11" hidden="1">
      <c r="A1056" s="295" t="s">
        <v>42</v>
      </c>
      <c r="B1056" s="197" t="s">
        <v>973</v>
      </c>
      <c r="C1056" s="197">
        <v>44469</v>
      </c>
      <c r="D1056" s="197" t="s">
        <v>56</v>
      </c>
      <c r="E1056" s="314" t="s">
        <v>758</v>
      </c>
      <c r="F1056" s="314" t="s">
        <v>56</v>
      </c>
      <c r="G1056" s="205" t="s">
        <v>57</v>
      </c>
      <c r="H1056" s="205" t="s">
        <v>837</v>
      </c>
      <c r="I1056" s="410" t="s">
        <v>910</v>
      </c>
      <c r="J1056" s="410" t="s">
        <v>838</v>
      </c>
      <c r="K1056" s="577"/>
    </row>
    <row r="1057" spans="1:11" hidden="1">
      <c r="A1057" s="295" t="s">
        <v>42</v>
      </c>
      <c r="B1057" s="197" t="s">
        <v>973</v>
      </c>
      <c r="C1057" s="197">
        <v>44469</v>
      </c>
      <c r="D1057" s="197" t="s">
        <v>56</v>
      </c>
      <c r="E1057" s="314" t="s">
        <v>758</v>
      </c>
      <c r="F1057" s="314" t="s">
        <v>56</v>
      </c>
      <c r="G1057" s="205" t="s">
        <v>57</v>
      </c>
      <c r="H1057" s="205" t="s">
        <v>841</v>
      </c>
      <c r="I1057" s="410" t="s">
        <v>910</v>
      </c>
      <c r="J1057" s="410" t="s">
        <v>838</v>
      </c>
      <c r="K1057" s="577"/>
    </row>
    <row r="1058" spans="1:11" hidden="1">
      <c r="A1058" s="295" t="s">
        <v>42</v>
      </c>
      <c r="B1058" s="197" t="s">
        <v>973</v>
      </c>
      <c r="C1058" s="197">
        <v>44469</v>
      </c>
      <c r="D1058" s="197" t="s">
        <v>56</v>
      </c>
      <c r="E1058" s="314" t="s">
        <v>758</v>
      </c>
      <c r="F1058" s="314" t="s">
        <v>56</v>
      </c>
      <c r="G1058" s="205" t="s">
        <v>57</v>
      </c>
      <c r="H1058" s="205" t="s">
        <v>842</v>
      </c>
      <c r="I1058" s="410" t="s">
        <v>915</v>
      </c>
      <c r="J1058" s="410" t="s">
        <v>844</v>
      </c>
      <c r="K1058" s="577"/>
    </row>
    <row r="1059" spans="1:11" hidden="1">
      <c r="A1059" s="295" t="s">
        <v>42</v>
      </c>
      <c r="B1059" s="197" t="s">
        <v>973</v>
      </c>
      <c r="C1059" s="197">
        <v>44469</v>
      </c>
      <c r="D1059" s="197" t="s">
        <v>56</v>
      </c>
      <c r="E1059" s="314" t="s">
        <v>758</v>
      </c>
      <c r="F1059" s="314" t="s">
        <v>56</v>
      </c>
      <c r="G1059" s="205" t="s">
        <v>57</v>
      </c>
      <c r="H1059" s="205" t="s">
        <v>843</v>
      </c>
      <c r="I1059" s="410" t="s">
        <v>915</v>
      </c>
      <c r="J1059" s="410" t="s">
        <v>844</v>
      </c>
      <c r="K1059" s="577"/>
    </row>
    <row r="1060" spans="1:11" hidden="1">
      <c r="A1060" s="295" t="s">
        <v>42</v>
      </c>
      <c r="B1060" s="197" t="s">
        <v>973</v>
      </c>
      <c r="C1060" s="197">
        <v>44469</v>
      </c>
      <c r="D1060" s="197" t="s">
        <v>56</v>
      </c>
      <c r="E1060" s="314" t="s">
        <v>758</v>
      </c>
      <c r="F1060" s="314" t="s">
        <v>56</v>
      </c>
      <c r="G1060" s="205" t="s">
        <v>57</v>
      </c>
      <c r="H1060" s="205" t="s">
        <v>846</v>
      </c>
      <c r="I1060" s="410">
        <v>0.98</v>
      </c>
      <c r="J1060" s="410">
        <v>1.02</v>
      </c>
      <c r="K1060" s="577"/>
    </row>
    <row r="1061" spans="1:11" hidden="1">
      <c r="A1061" s="295" t="s">
        <v>42</v>
      </c>
      <c r="B1061" s="197" t="s">
        <v>973</v>
      </c>
      <c r="C1061" s="197">
        <v>44469</v>
      </c>
      <c r="D1061" s="197" t="s">
        <v>56</v>
      </c>
      <c r="E1061" s="314" t="s">
        <v>758</v>
      </c>
      <c r="F1061" s="314" t="s">
        <v>56</v>
      </c>
      <c r="G1061" s="205" t="s">
        <v>57</v>
      </c>
      <c r="H1061" s="205" t="s">
        <v>854</v>
      </c>
      <c r="I1061" s="410">
        <v>0.43</v>
      </c>
      <c r="J1061" s="410">
        <v>0.44</v>
      </c>
      <c r="K1061" s="577"/>
    </row>
    <row r="1062" spans="1:11" hidden="1">
      <c r="A1062" s="295" t="s">
        <v>42</v>
      </c>
      <c r="B1062" s="197" t="s">
        <v>973</v>
      </c>
      <c r="C1062" s="197">
        <v>44469</v>
      </c>
      <c r="D1062" s="197" t="s">
        <v>56</v>
      </c>
      <c r="E1062" s="314" t="s">
        <v>758</v>
      </c>
      <c r="F1062" s="314" t="s">
        <v>56</v>
      </c>
      <c r="G1062" s="205" t="s">
        <v>57</v>
      </c>
      <c r="H1062" s="205" t="s">
        <v>457</v>
      </c>
      <c r="I1062" s="410">
        <v>0.68</v>
      </c>
      <c r="J1062" s="410">
        <v>0.69</v>
      </c>
      <c r="K1062" s="577"/>
    </row>
    <row r="1063" spans="1:11" hidden="1">
      <c r="A1063" s="295" t="s">
        <v>42</v>
      </c>
      <c r="B1063" s="197" t="s">
        <v>973</v>
      </c>
      <c r="C1063" s="197">
        <v>44469</v>
      </c>
      <c r="D1063" s="197" t="s">
        <v>56</v>
      </c>
      <c r="E1063" s="314" t="s">
        <v>758</v>
      </c>
      <c r="F1063" s="314" t="s">
        <v>56</v>
      </c>
      <c r="G1063" s="205" t="s">
        <v>57</v>
      </c>
      <c r="H1063" s="205" t="s">
        <v>859</v>
      </c>
      <c r="I1063" s="410">
        <v>0.57999999999999996</v>
      </c>
      <c r="J1063" s="410">
        <v>0.59</v>
      </c>
      <c r="K1063" s="577"/>
    </row>
    <row r="1064" spans="1:11" hidden="1">
      <c r="A1064" s="295" t="s">
        <v>42</v>
      </c>
      <c r="B1064" s="197" t="s">
        <v>973</v>
      </c>
      <c r="C1064" s="197">
        <v>44469</v>
      </c>
      <c r="D1064" s="197" t="s">
        <v>56</v>
      </c>
      <c r="E1064" s="314" t="s">
        <v>758</v>
      </c>
      <c r="F1064" s="314" t="s">
        <v>56</v>
      </c>
      <c r="G1064" s="205" t="s">
        <v>57</v>
      </c>
      <c r="H1064" s="205" t="s">
        <v>861</v>
      </c>
      <c r="I1064" s="410">
        <v>0.53</v>
      </c>
      <c r="J1064" s="410">
        <v>0.55000000000000004</v>
      </c>
      <c r="K1064" s="577"/>
    </row>
    <row r="1065" spans="1:11" hidden="1">
      <c r="A1065" s="295" t="s">
        <v>42</v>
      </c>
      <c r="B1065" s="197" t="s">
        <v>973</v>
      </c>
      <c r="C1065" s="197">
        <v>44469</v>
      </c>
      <c r="D1065" s="197" t="s">
        <v>56</v>
      </c>
      <c r="E1065" s="314" t="s">
        <v>758</v>
      </c>
      <c r="F1065" s="314" t="s">
        <v>56</v>
      </c>
      <c r="G1065" s="205" t="s">
        <v>57</v>
      </c>
      <c r="H1065" s="205" t="s">
        <v>863</v>
      </c>
      <c r="I1065" s="410">
        <v>0.62</v>
      </c>
      <c r="J1065" s="410">
        <v>0.63</v>
      </c>
      <c r="K1065" s="577"/>
    </row>
    <row r="1066" spans="1:11" hidden="1">
      <c r="A1066" s="295" t="s">
        <v>42</v>
      </c>
      <c r="B1066" s="197" t="s">
        <v>973</v>
      </c>
      <c r="C1066" s="197">
        <v>44469</v>
      </c>
      <c r="D1066" s="197" t="s">
        <v>56</v>
      </c>
      <c r="E1066" s="314" t="s">
        <v>758</v>
      </c>
      <c r="F1066" s="314" t="s">
        <v>56</v>
      </c>
      <c r="G1066" s="205" t="s">
        <v>57</v>
      </c>
      <c r="H1066" s="205" t="s">
        <v>865</v>
      </c>
      <c r="I1066" s="410">
        <v>0.17</v>
      </c>
      <c r="J1066" s="410">
        <v>0.15</v>
      </c>
      <c r="K1066" s="577"/>
    </row>
    <row r="1067" spans="1:11" hidden="1">
      <c r="A1067" s="295" t="s">
        <v>42</v>
      </c>
      <c r="B1067" s="197" t="s">
        <v>973</v>
      </c>
      <c r="C1067" s="197">
        <v>44469</v>
      </c>
      <c r="D1067" s="197" t="s">
        <v>56</v>
      </c>
      <c r="E1067" s="314" t="s">
        <v>758</v>
      </c>
      <c r="F1067" s="314" t="s">
        <v>56</v>
      </c>
      <c r="G1067" s="205" t="s">
        <v>57</v>
      </c>
      <c r="H1067" s="205" t="s">
        <v>867</v>
      </c>
      <c r="I1067" s="410" t="s">
        <v>918</v>
      </c>
      <c r="J1067" s="410" t="s">
        <v>850</v>
      </c>
      <c r="K1067" s="577"/>
    </row>
    <row r="1068" spans="1:11" hidden="1">
      <c r="A1068" s="295" t="s">
        <v>42</v>
      </c>
      <c r="B1068" s="197" t="s">
        <v>973</v>
      </c>
      <c r="C1068" s="197">
        <v>44469</v>
      </c>
      <c r="D1068" s="197" t="s">
        <v>56</v>
      </c>
      <c r="E1068" s="314" t="s">
        <v>758</v>
      </c>
      <c r="F1068" s="314" t="s">
        <v>56</v>
      </c>
      <c r="G1068" s="205" t="s">
        <v>57</v>
      </c>
      <c r="H1068" s="205" t="s">
        <v>849</v>
      </c>
      <c r="I1068" s="410" t="s">
        <v>918</v>
      </c>
      <c r="J1068" s="410" t="s">
        <v>850</v>
      </c>
      <c r="K1068" s="577"/>
    </row>
    <row r="1069" spans="1:11" hidden="1">
      <c r="A1069" s="295" t="s">
        <v>42</v>
      </c>
      <c r="B1069" s="197" t="s">
        <v>973</v>
      </c>
      <c r="C1069" s="197">
        <v>44469</v>
      </c>
      <c r="D1069" s="197" t="s">
        <v>56</v>
      </c>
      <c r="E1069" s="314" t="s">
        <v>758</v>
      </c>
      <c r="F1069" s="314" t="s">
        <v>56</v>
      </c>
      <c r="G1069" s="205" t="s">
        <v>57</v>
      </c>
      <c r="H1069" s="205" t="s">
        <v>853</v>
      </c>
      <c r="I1069" s="410" t="s">
        <v>918</v>
      </c>
      <c r="J1069" s="410" t="s">
        <v>850</v>
      </c>
      <c r="K1069" s="577"/>
    </row>
    <row r="1070" spans="1:11" hidden="1">
      <c r="A1070" s="295" t="s">
        <v>42</v>
      </c>
      <c r="B1070" s="197" t="s">
        <v>973</v>
      </c>
      <c r="C1070" s="197">
        <v>44469</v>
      </c>
      <c r="D1070" s="197" t="s">
        <v>56</v>
      </c>
      <c r="E1070" s="314" t="s">
        <v>758</v>
      </c>
      <c r="F1070" s="314" t="s">
        <v>56</v>
      </c>
      <c r="G1070" s="205" t="s">
        <v>57</v>
      </c>
      <c r="H1070" s="205" t="s">
        <v>855</v>
      </c>
      <c r="I1070" s="410" t="s">
        <v>918</v>
      </c>
      <c r="J1070" s="410" t="s">
        <v>850</v>
      </c>
      <c r="K1070" s="577"/>
    </row>
    <row r="1071" spans="1:11" hidden="1">
      <c r="A1071" s="295" t="s">
        <v>42</v>
      </c>
      <c r="B1071" s="197" t="s">
        <v>973</v>
      </c>
      <c r="C1071" s="197">
        <v>44469</v>
      </c>
      <c r="D1071" s="197" t="s">
        <v>56</v>
      </c>
      <c r="E1071" s="314" t="s">
        <v>758</v>
      </c>
      <c r="F1071" s="314" t="s">
        <v>56</v>
      </c>
      <c r="G1071" s="205" t="s">
        <v>57</v>
      </c>
      <c r="H1071" s="205" t="s">
        <v>857</v>
      </c>
      <c r="I1071" s="410" t="s">
        <v>918</v>
      </c>
      <c r="J1071" s="410" t="s">
        <v>850</v>
      </c>
      <c r="K1071" s="577"/>
    </row>
    <row r="1072" spans="1:11" hidden="1">
      <c r="A1072" s="295" t="s">
        <v>42</v>
      </c>
      <c r="B1072" s="197" t="s">
        <v>973</v>
      </c>
      <c r="C1072" s="197">
        <v>44469</v>
      </c>
      <c r="D1072" s="197" t="s">
        <v>56</v>
      </c>
      <c r="E1072" s="314" t="s">
        <v>758</v>
      </c>
      <c r="F1072" s="314" t="s">
        <v>56</v>
      </c>
      <c r="G1072" s="205" t="s">
        <v>57</v>
      </c>
      <c r="H1072" s="205" t="s">
        <v>858</v>
      </c>
      <c r="I1072" s="410" t="s">
        <v>918</v>
      </c>
      <c r="J1072" s="410" t="s">
        <v>850</v>
      </c>
      <c r="K1072" s="577"/>
    </row>
    <row r="1073" spans="1:11" hidden="1">
      <c r="A1073" s="295" t="s">
        <v>42</v>
      </c>
      <c r="B1073" s="197" t="s">
        <v>973</v>
      </c>
      <c r="C1073" s="197">
        <v>44469</v>
      </c>
      <c r="D1073" s="197" t="s">
        <v>56</v>
      </c>
      <c r="E1073" s="314" t="s">
        <v>758</v>
      </c>
      <c r="F1073" s="314" t="s">
        <v>56</v>
      </c>
      <c r="G1073" s="205" t="s">
        <v>57</v>
      </c>
      <c r="H1073" s="205" t="s">
        <v>860</v>
      </c>
      <c r="I1073" s="410" t="s">
        <v>918</v>
      </c>
      <c r="J1073" s="410" t="s">
        <v>850</v>
      </c>
      <c r="K1073" s="577"/>
    </row>
    <row r="1074" spans="1:11" hidden="1">
      <c r="A1074" s="295" t="s">
        <v>42</v>
      </c>
      <c r="B1074" s="197" t="s">
        <v>973</v>
      </c>
      <c r="C1074" s="197">
        <v>44469</v>
      </c>
      <c r="D1074" s="197" t="s">
        <v>56</v>
      </c>
      <c r="E1074" s="314" t="s">
        <v>758</v>
      </c>
      <c r="F1074" s="314" t="s">
        <v>56</v>
      </c>
      <c r="G1074" s="205" t="s">
        <v>57</v>
      </c>
      <c r="H1074" s="205" t="s">
        <v>862</v>
      </c>
      <c r="I1074" s="410" t="s">
        <v>918</v>
      </c>
      <c r="J1074" s="410" t="s">
        <v>850</v>
      </c>
      <c r="K1074" s="577"/>
    </row>
    <row r="1075" spans="1:11" hidden="1">
      <c r="A1075" s="295" t="s">
        <v>42</v>
      </c>
      <c r="B1075" s="197" t="s">
        <v>973</v>
      </c>
      <c r="C1075" s="197">
        <v>44469</v>
      </c>
      <c r="D1075" s="197" t="s">
        <v>56</v>
      </c>
      <c r="E1075" s="314" t="s">
        <v>758</v>
      </c>
      <c r="F1075" s="314" t="s">
        <v>56</v>
      </c>
      <c r="G1075" s="205" t="s">
        <v>57</v>
      </c>
      <c r="H1075" s="205" t="s">
        <v>864</v>
      </c>
      <c r="I1075" s="410" t="s">
        <v>918</v>
      </c>
      <c r="J1075" s="410" t="s">
        <v>850</v>
      </c>
      <c r="K1075" s="577"/>
    </row>
    <row r="1076" spans="1:11" hidden="1">
      <c r="A1076" s="295" t="s">
        <v>42</v>
      </c>
      <c r="B1076" s="197" t="s">
        <v>973</v>
      </c>
      <c r="C1076" s="197">
        <v>44469</v>
      </c>
      <c r="D1076" s="197" t="s">
        <v>56</v>
      </c>
      <c r="E1076" s="314" t="s">
        <v>758</v>
      </c>
      <c r="F1076" s="314" t="s">
        <v>56</v>
      </c>
      <c r="G1076" s="205" t="s">
        <v>57</v>
      </c>
      <c r="H1076" s="205" t="s">
        <v>866</v>
      </c>
      <c r="I1076" s="410" t="s">
        <v>918</v>
      </c>
      <c r="J1076" s="410" t="s">
        <v>850</v>
      </c>
      <c r="K1076" s="577"/>
    </row>
    <row r="1077" spans="1:11" hidden="1">
      <c r="A1077" s="295" t="s">
        <v>42</v>
      </c>
      <c r="B1077" s="197" t="s">
        <v>973</v>
      </c>
      <c r="C1077" s="197">
        <v>44469</v>
      </c>
      <c r="D1077" s="197" t="s">
        <v>56</v>
      </c>
      <c r="E1077" s="314" t="s">
        <v>758</v>
      </c>
      <c r="F1077" s="314" t="s">
        <v>56</v>
      </c>
      <c r="G1077" s="205" t="s">
        <v>57</v>
      </c>
      <c r="H1077" s="205" t="s">
        <v>868</v>
      </c>
      <c r="I1077" s="410">
        <v>24</v>
      </c>
      <c r="J1077" s="410">
        <v>25</v>
      </c>
      <c r="K1077" s="577"/>
    </row>
    <row r="1078" spans="1:11" hidden="1">
      <c r="A1078" s="295" t="s">
        <v>42</v>
      </c>
      <c r="B1078" s="197" t="s">
        <v>973</v>
      </c>
      <c r="C1078" s="197">
        <v>44469</v>
      </c>
      <c r="D1078" s="197" t="s">
        <v>56</v>
      </c>
      <c r="E1078" s="314" t="s">
        <v>758</v>
      </c>
      <c r="F1078" s="314" t="s">
        <v>56</v>
      </c>
      <c r="G1078" s="205" t="s">
        <v>57</v>
      </c>
      <c r="H1078" s="205" t="s">
        <v>869</v>
      </c>
      <c r="I1078" s="410">
        <v>24</v>
      </c>
      <c r="J1078" s="410">
        <v>25</v>
      </c>
      <c r="K1078" s="577"/>
    </row>
    <row r="1079" spans="1:11" hidden="1">
      <c r="A1079" s="295" t="s">
        <v>42</v>
      </c>
      <c r="B1079" s="197" t="s">
        <v>973</v>
      </c>
      <c r="C1079" s="197">
        <v>44469</v>
      </c>
      <c r="D1079" s="197" t="s">
        <v>56</v>
      </c>
      <c r="E1079" s="314" t="s">
        <v>758</v>
      </c>
      <c r="F1079" s="314" t="s">
        <v>56</v>
      </c>
      <c r="G1079" s="205" t="s">
        <v>57</v>
      </c>
      <c r="H1079" s="205" t="s">
        <v>874</v>
      </c>
      <c r="I1079" s="410">
        <v>24</v>
      </c>
      <c r="J1079" s="410">
        <v>27</v>
      </c>
      <c r="K1079" s="577"/>
    </row>
    <row r="1080" spans="1:11" hidden="1">
      <c r="A1080" s="295" t="s">
        <v>42</v>
      </c>
      <c r="B1080" s="197" t="s">
        <v>973</v>
      </c>
      <c r="C1080" s="197">
        <v>44469</v>
      </c>
      <c r="D1080" s="197" t="s">
        <v>56</v>
      </c>
      <c r="E1080" s="314" t="s">
        <v>758</v>
      </c>
      <c r="F1080" s="314" t="s">
        <v>56</v>
      </c>
      <c r="G1080" s="205" t="s">
        <v>57</v>
      </c>
      <c r="H1080" s="205" t="s">
        <v>880</v>
      </c>
      <c r="I1080" s="410">
        <v>6</v>
      </c>
      <c r="J1080" s="410">
        <v>12</v>
      </c>
      <c r="K1080" s="577"/>
    </row>
    <row r="1081" spans="1:11" hidden="1">
      <c r="A1081" s="295" t="s">
        <v>42</v>
      </c>
      <c r="B1081" s="197" t="s">
        <v>973</v>
      </c>
      <c r="C1081" s="197">
        <v>44469</v>
      </c>
      <c r="D1081" s="197" t="s">
        <v>56</v>
      </c>
      <c r="E1081" s="314" t="s">
        <v>758</v>
      </c>
      <c r="F1081" s="314" t="s">
        <v>56</v>
      </c>
      <c r="G1081" s="205" t="s">
        <v>57</v>
      </c>
      <c r="H1081" s="205" t="s">
        <v>882</v>
      </c>
      <c r="I1081" s="410">
        <v>20</v>
      </c>
      <c r="J1081" s="410">
        <v>23</v>
      </c>
      <c r="K1081" s="577"/>
    </row>
    <row r="1082" spans="1:11" hidden="1">
      <c r="A1082" s="295" t="s">
        <v>42</v>
      </c>
      <c r="B1082" s="197" t="s">
        <v>973</v>
      </c>
      <c r="C1082" s="197">
        <v>44469</v>
      </c>
      <c r="D1082" s="197" t="s">
        <v>56</v>
      </c>
      <c r="E1082" s="314" t="s">
        <v>758</v>
      </c>
      <c r="F1082" s="314" t="s">
        <v>56</v>
      </c>
      <c r="G1082" s="205" t="s">
        <v>57</v>
      </c>
      <c r="H1082" s="205" t="s">
        <v>884</v>
      </c>
      <c r="I1082" s="410">
        <v>7</v>
      </c>
      <c r="J1082" s="410">
        <v>6</v>
      </c>
      <c r="K1082" s="577"/>
    </row>
    <row r="1083" spans="1:11" hidden="1">
      <c r="A1083" s="295" t="s">
        <v>42</v>
      </c>
      <c r="B1083" s="197" t="s">
        <v>973</v>
      </c>
      <c r="C1083" s="197">
        <v>44469</v>
      </c>
      <c r="D1083" s="197" t="s">
        <v>56</v>
      </c>
      <c r="E1083" s="314" t="s">
        <v>758</v>
      </c>
      <c r="F1083" s="314" t="s">
        <v>56</v>
      </c>
      <c r="G1083" s="205" t="s">
        <v>57</v>
      </c>
      <c r="H1083" s="205" t="s">
        <v>886</v>
      </c>
      <c r="I1083" s="410" t="s">
        <v>938</v>
      </c>
      <c r="J1083" s="410" t="s">
        <v>872</v>
      </c>
      <c r="K1083" s="577"/>
    </row>
    <row r="1084" spans="1:11" hidden="1">
      <c r="A1084" s="295" t="s">
        <v>42</v>
      </c>
      <c r="B1084" s="197" t="s">
        <v>973</v>
      </c>
      <c r="C1084" s="197">
        <v>44469</v>
      </c>
      <c r="D1084" s="197" t="s">
        <v>56</v>
      </c>
      <c r="E1084" s="314" t="s">
        <v>758</v>
      </c>
      <c r="F1084" s="314" t="s">
        <v>56</v>
      </c>
      <c r="G1084" s="205" t="s">
        <v>57</v>
      </c>
      <c r="H1084" s="205" t="s">
        <v>871</v>
      </c>
      <c r="I1084" s="410" t="s">
        <v>938</v>
      </c>
      <c r="J1084" s="410" t="s">
        <v>872</v>
      </c>
      <c r="K1084" s="577"/>
    </row>
    <row r="1085" spans="1:11" hidden="1">
      <c r="A1085" s="295" t="s">
        <v>42</v>
      </c>
      <c r="B1085" s="197" t="s">
        <v>973</v>
      </c>
      <c r="C1085" s="197">
        <v>44469</v>
      </c>
      <c r="D1085" s="197" t="s">
        <v>56</v>
      </c>
      <c r="E1085" s="314" t="s">
        <v>758</v>
      </c>
      <c r="F1085" s="314" t="s">
        <v>56</v>
      </c>
      <c r="G1085" s="205" t="s">
        <v>57</v>
      </c>
      <c r="H1085" s="205" t="s">
        <v>875</v>
      </c>
      <c r="I1085" s="410" t="s">
        <v>938</v>
      </c>
      <c r="J1085" s="410" t="s">
        <v>872</v>
      </c>
      <c r="K1085" s="577"/>
    </row>
    <row r="1086" spans="1:11" hidden="1">
      <c r="A1086" s="295" t="s">
        <v>42</v>
      </c>
      <c r="B1086" s="197" t="s">
        <v>973</v>
      </c>
      <c r="C1086" s="197">
        <v>44469</v>
      </c>
      <c r="D1086" s="197" t="s">
        <v>56</v>
      </c>
      <c r="E1086" s="314" t="s">
        <v>758</v>
      </c>
      <c r="F1086" s="314" t="s">
        <v>56</v>
      </c>
      <c r="G1086" s="205" t="s">
        <v>57</v>
      </c>
      <c r="H1086" s="205" t="s">
        <v>877</v>
      </c>
      <c r="I1086" s="410" t="s">
        <v>938</v>
      </c>
      <c r="J1086" s="410" t="s">
        <v>872</v>
      </c>
      <c r="K1086" s="577"/>
    </row>
    <row r="1087" spans="1:11" hidden="1">
      <c r="A1087" s="295" t="s">
        <v>42</v>
      </c>
      <c r="B1087" s="197" t="s">
        <v>973</v>
      </c>
      <c r="C1087" s="197">
        <v>44469</v>
      </c>
      <c r="D1087" s="197" t="s">
        <v>56</v>
      </c>
      <c r="E1087" s="314" t="s">
        <v>758</v>
      </c>
      <c r="F1087" s="314" t="s">
        <v>56</v>
      </c>
      <c r="G1087" s="205" t="s">
        <v>57</v>
      </c>
      <c r="H1087" s="205" t="s">
        <v>879</v>
      </c>
      <c r="I1087" s="410" t="s">
        <v>938</v>
      </c>
      <c r="J1087" s="410" t="s">
        <v>872</v>
      </c>
      <c r="K1087" s="577"/>
    </row>
    <row r="1088" spans="1:11" hidden="1">
      <c r="A1088" s="295" t="s">
        <v>42</v>
      </c>
      <c r="B1088" s="197" t="s">
        <v>973</v>
      </c>
      <c r="C1088" s="197">
        <v>44469</v>
      </c>
      <c r="D1088" s="197" t="s">
        <v>56</v>
      </c>
      <c r="E1088" s="314" t="s">
        <v>758</v>
      </c>
      <c r="F1088" s="314" t="s">
        <v>56</v>
      </c>
      <c r="G1088" s="205" t="s">
        <v>57</v>
      </c>
      <c r="H1088" s="205" t="s">
        <v>881</v>
      </c>
      <c r="I1088" s="410" t="s">
        <v>938</v>
      </c>
      <c r="J1088" s="410" t="s">
        <v>872</v>
      </c>
      <c r="K1088" s="577"/>
    </row>
    <row r="1089" spans="1:11" hidden="1">
      <c r="A1089" s="295" t="s">
        <v>42</v>
      </c>
      <c r="B1089" s="197" t="s">
        <v>973</v>
      </c>
      <c r="C1089" s="197">
        <v>44469</v>
      </c>
      <c r="D1089" s="197" t="s">
        <v>56</v>
      </c>
      <c r="E1089" s="314" t="s">
        <v>758</v>
      </c>
      <c r="F1089" s="314" t="s">
        <v>56</v>
      </c>
      <c r="G1089" s="205" t="s">
        <v>57</v>
      </c>
      <c r="H1089" s="205" t="s">
        <v>883</v>
      </c>
      <c r="I1089" s="410" t="s">
        <v>938</v>
      </c>
      <c r="J1089" s="410" t="s">
        <v>872</v>
      </c>
      <c r="K1089" s="577"/>
    </row>
    <row r="1090" spans="1:11" hidden="1">
      <c r="A1090" s="295" t="s">
        <v>42</v>
      </c>
      <c r="B1090" s="197" t="s">
        <v>973</v>
      </c>
      <c r="C1090" s="197">
        <v>44469</v>
      </c>
      <c r="D1090" s="197" t="s">
        <v>56</v>
      </c>
      <c r="E1090" s="314" t="s">
        <v>758</v>
      </c>
      <c r="F1090" s="314" t="s">
        <v>56</v>
      </c>
      <c r="G1090" s="205" t="s">
        <v>57</v>
      </c>
      <c r="H1090" s="205" t="s">
        <v>885</v>
      </c>
      <c r="I1090" s="410" t="s">
        <v>938</v>
      </c>
      <c r="J1090" s="410" t="s">
        <v>872</v>
      </c>
      <c r="K1090" s="577"/>
    </row>
    <row r="1091" spans="1:11" hidden="1">
      <c r="A1091" s="295" t="s">
        <v>42</v>
      </c>
      <c r="B1091" s="197" t="s">
        <v>973</v>
      </c>
      <c r="C1091" s="197">
        <v>44469</v>
      </c>
      <c r="D1091" s="197" t="s">
        <v>56</v>
      </c>
      <c r="E1091" s="314" t="s">
        <v>758</v>
      </c>
      <c r="F1091" s="314" t="s">
        <v>56</v>
      </c>
      <c r="G1091" s="205" t="s">
        <v>57</v>
      </c>
      <c r="H1091" s="205" t="s">
        <v>887</v>
      </c>
      <c r="I1091" s="410" t="s">
        <v>959</v>
      </c>
      <c r="J1091" s="410" t="s">
        <v>895</v>
      </c>
      <c r="K1091" s="577"/>
    </row>
    <row r="1092" spans="1:11" hidden="1">
      <c r="A1092" s="295" t="s">
        <v>42</v>
      </c>
      <c r="B1092" s="197" t="s">
        <v>973</v>
      </c>
      <c r="C1092" s="197">
        <v>44469</v>
      </c>
      <c r="D1092" s="197" t="s">
        <v>56</v>
      </c>
      <c r="E1092" s="314" t="s">
        <v>758</v>
      </c>
      <c r="F1092" s="314" t="s">
        <v>56</v>
      </c>
      <c r="G1092" s="205" t="s">
        <v>57</v>
      </c>
      <c r="H1092" s="205" t="s">
        <v>467</v>
      </c>
      <c r="I1092" s="410">
        <v>13.1</v>
      </c>
      <c r="J1092" s="410">
        <v>12.8</v>
      </c>
      <c r="K1092" s="577"/>
    </row>
    <row r="1093" spans="1:11" hidden="1">
      <c r="A1093" s="295" t="s">
        <v>42</v>
      </c>
      <c r="B1093" s="197" t="s">
        <v>973</v>
      </c>
      <c r="C1093" s="197">
        <v>44469</v>
      </c>
      <c r="D1093" s="197" t="s">
        <v>56</v>
      </c>
      <c r="E1093" s="314" t="s">
        <v>758</v>
      </c>
      <c r="F1093" s="314" t="s">
        <v>56</v>
      </c>
      <c r="G1093" s="205" t="s">
        <v>57</v>
      </c>
      <c r="H1093" s="205" t="s">
        <v>465</v>
      </c>
      <c r="I1093" s="410">
        <v>14</v>
      </c>
      <c r="J1093" s="410">
        <v>13.6</v>
      </c>
      <c r="K1093" s="577"/>
    </row>
    <row r="1094" spans="1:11" hidden="1">
      <c r="A1094" s="295" t="s">
        <v>42</v>
      </c>
      <c r="B1094" s="197" t="s">
        <v>973</v>
      </c>
      <c r="C1094" s="197">
        <v>44469</v>
      </c>
      <c r="D1094" s="197" t="s">
        <v>56</v>
      </c>
      <c r="E1094" s="314" t="s">
        <v>758</v>
      </c>
      <c r="F1094" s="314" t="s">
        <v>56</v>
      </c>
      <c r="G1094" s="205" t="s">
        <v>57</v>
      </c>
      <c r="H1094" s="205" t="s">
        <v>1670</v>
      </c>
      <c r="I1094" s="410">
        <v>13.1</v>
      </c>
      <c r="J1094" s="410">
        <v>12.8</v>
      </c>
      <c r="K1094" s="577"/>
    </row>
    <row r="1095" spans="1:11" hidden="1">
      <c r="A1095" s="295" t="s">
        <v>42</v>
      </c>
      <c r="B1095" s="197" t="s">
        <v>973</v>
      </c>
      <c r="C1095" s="197">
        <v>44469</v>
      </c>
      <c r="D1095" s="197" t="s">
        <v>56</v>
      </c>
      <c r="E1095" s="314" t="s">
        <v>758</v>
      </c>
      <c r="F1095" s="314" t="s">
        <v>56</v>
      </c>
      <c r="G1095" s="205" t="s">
        <v>57</v>
      </c>
      <c r="H1095" s="205" t="s">
        <v>1671</v>
      </c>
      <c r="I1095" s="410">
        <v>14</v>
      </c>
      <c r="J1095" s="410">
        <v>13.6</v>
      </c>
      <c r="K1095" s="577"/>
    </row>
    <row r="1096" spans="1:11" hidden="1">
      <c r="A1096" s="295" t="s">
        <v>42</v>
      </c>
      <c r="B1096" s="197" t="s">
        <v>973</v>
      </c>
      <c r="C1096" s="197">
        <v>44469</v>
      </c>
      <c r="D1096" s="197" t="s">
        <v>56</v>
      </c>
      <c r="E1096" s="314" t="s">
        <v>758</v>
      </c>
      <c r="F1096" s="314" t="s">
        <v>56</v>
      </c>
      <c r="G1096" s="205" t="s">
        <v>57</v>
      </c>
      <c r="H1096" s="205" t="s">
        <v>1672</v>
      </c>
      <c r="I1096" s="410">
        <v>4</v>
      </c>
      <c r="J1096" s="410">
        <v>3.9</v>
      </c>
      <c r="K1096" s="577"/>
    </row>
    <row r="1097" spans="1:11" hidden="1">
      <c r="A1097" s="295" t="s">
        <v>42</v>
      </c>
      <c r="B1097" s="197" t="s">
        <v>973</v>
      </c>
      <c r="C1097" s="197">
        <v>44469</v>
      </c>
      <c r="D1097" s="197" t="s">
        <v>56</v>
      </c>
      <c r="E1097" s="314" t="s">
        <v>758</v>
      </c>
      <c r="F1097" s="314" t="s">
        <v>56</v>
      </c>
      <c r="G1097" s="205" t="s">
        <v>57</v>
      </c>
      <c r="H1097" s="205" t="s">
        <v>988</v>
      </c>
      <c r="I1097" s="410">
        <v>4</v>
      </c>
      <c r="J1097" s="410">
        <v>3.9</v>
      </c>
      <c r="K1097" s="577"/>
    </row>
    <row r="1098" spans="1:11" hidden="1">
      <c r="A1098" s="295" t="s">
        <v>42</v>
      </c>
      <c r="B1098" s="197" t="s">
        <v>973</v>
      </c>
      <c r="C1098" s="197">
        <v>44469</v>
      </c>
      <c r="D1098" s="197" t="s">
        <v>56</v>
      </c>
      <c r="E1098" s="314" t="s">
        <v>758</v>
      </c>
      <c r="F1098" s="314" t="s">
        <v>56</v>
      </c>
      <c r="G1098" s="205" t="s">
        <v>57</v>
      </c>
      <c r="H1098" s="205" t="s">
        <v>1673</v>
      </c>
      <c r="I1098" s="410">
        <v>8.8000000000000007</v>
      </c>
      <c r="J1098" s="410">
        <v>8.6999999999999993</v>
      </c>
      <c r="K1098" s="577"/>
    </row>
    <row r="1099" spans="1:11" hidden="1">
      <c r="A1099" s="295" t="s">
        <v>42</v>
      </c>
      <c r="B1099" s="197" t="s">
        <v>973</v>
      </c>
      <c r="C1099" s="197">
        <v>44469</v>
      </c>
      <c r="D1099" s="197" t="s">
        <v>56</v>
      </c>
      <c r="E1099" s="314" t="s">
        <v>758</v>
      </c>
      <c r="F1099" s="314" t="s">
        <v>56</v>
      </c>
      <c r="G1099" s="205" t="s">
        <v>57</v>
      </c>
      <c r="H1099" s="205" t="s">
        <v>1674</v>
      </c>
      <c r="I1099" s="410">
        <v>7.9</v>
      </c>
      <c r="J1099" s="410">
        <v>7.8</v>
      </c>
      <c r="K1099" s="577"/>
    </row>
    <row r="1100" spans="1:11" hidden="1">
      <c r="A1100" s="295" t="s">
        <v>42</v>
      </c>
      <c r="B1100" s="197" t="s">
        <v>973</v>
      </c>
      <c r="C1100" s="197">
        <v>44469</v>
      </c>
      <c r="D1100" s="197" t="s">
        <v>56</v>
      </c>
      <c r="E1100" s="314" t="s">
        <v>758</v>
      </c>
      <c r="F1100" s="314" t="s">
        <v>56</v>
      </c>
      <c r="G1100" s="205" t="s">
        <v>57</v>
      </c>
      <c r="H1100" s="205" t="s">
        <v>1675</v>
      </c>
      <c r="I1100" s="410">
        <v>10.7</v>
      </c>
      <c r="J1100" s="410">
        <v>10.4</v>
      </c>
      <c r="K1100" s="577"/>
    </row>
    <row r="1101" spans="1:11" hidden="1">
      <c r="A1101" s="295" t="s">
        <v>42</v>
      </c>
      <c r="B1101" s="197" t="s">
        <v>973</v>
      </c>
      <c r="C1101" s="197">
        <v>44469</v>
      </c>
      <c r="D1101" s="197" t="s">
        <v>56</v>
      </c>
      <c r="E1101" s="314" t="s">
        <v>758</v>
      </c>
      <c r="F1101" s="314" t="s">
        <v>56</v>
      </c>
      <c r="G1101" s="205" t="s">
        <v>57</v>
      </c>
      <c r="H1101" s="205" t="s">
        <v>1676</v>
      </c>
      <c r="I1101" s="410">
        <v>10.6</v>
      </c>
      <c r="J1101" s="410">
        <v>10.3</v>
      </c>
      <c r="K1101" s="577"/>
    </row>
    <row r="1102" spans="1:11" hidden="1">
      <c r="A1102" s="295" t="s">
        <v>42</v>
      </c>
      <c r="B1102" s="197" t="s">
        <v>973</v>
      </c>
      <c r="C1102" s="197">
        <v>44469</v>
      </c>
      <c r="D1102" s="197" t="s">
        <v>56</v>
      </c>
      <c r="E1102" s="314" t="s">
        <v>758</v>
      </c>
      <c r="F1102" s="314" t="s">
        <v>56</v>
      </c>
      <c r="G1102" s="205" t="s">
        <v>57</v>
      </c>
      <c r="H1102" s="205" t="s">
        <v>1677</v>
      </c>
      <c r="I1102" s="410">
        <v>4.0999999999999996</v>
      </c>
      <c r="J1102" s="410">
        <v>4</v>
      </c>
      <c r="K1102" s="577"/>
    </row>
    <row r="1103" spans="1:11" hidden="1">
      <c r="A1103" s="295" t="s">
        <v>42</v>
      </c>
      <c r="B1103" s="197" t="s">
        <v>973</v>
      </c>
      <c r="C1103" s="197">
        <v>44469</v>
      </c>
      <c r="D1103" s="197" t="s">
        <v>56</v>
      </c>
      <c r="E1103" s="314" t="s">
        <v>758</v>
      </c>
      <c r="F1103" s="314" t="s">
        <v>56</v>
      </c>
      <c r="G1103" s="205" t="s">
        <v>57</v>
      </c>
      <c r="H1103" s="205" t="s">
        <v>1678</v>
      </c>
      <c r="I1103" s="410">
        <v>4</v>
      </c>
      <c r="J1103" s="410">
        <v>3.9</v>
      </c>
      <c r="K1103" s="577"/>
    </row>
    <row r="1104" spans="1:11" hidden="1">
      <c r="A1104" s="295" t="s">
        <v>42</v>
      </c>
      <c r="B1104" s="197" t="s">
        <v>973</v>
      </c>
      <c r="C1104" s="197">
        <v>44469</v>
      </c>
      <c r="D1104" s="197" t="s">
        <v>56</v>
      </c>
      <c r="E1104" s="314" t="s">
        <v>758</v>
      </c>
      <c r="F1104" s="314" t="s">
        <v>56</v>
      </c>
      <c r="G1104" s="205" t="s">
        <v>57</v>
      </c>
      <c r="H1104" s="205" t="s">
        <v>1679</v>
      </c>
      <c r="I1104" s="410">
        <v>0.73</v>
      </c>
      <c r="J1104" s="410">
        <v>0.78</v>
      </c>
      <c r="K1104" s="577"/>
    </row>
    <row r="1105" spans="1:11" hidden="1">
      <c r="A1105" s="295" t="s">
        <v>42</v>
      </c>
      <c r="B1105" s="197" t="s">
        <v>973</v>
      </c>
      <c r="C1105" s="197">
        <v>44469</v>
      </c>
      <c r="D1105" s="197" t="s">
        <v>56</v>
      </c>
      <c r="E1105" s="314" t="s">
        <v>758</v>
      </c>
      <c r="F1105" s="314" t="s">
        <v>56</v>
      </c>
      <c r="G1105" s="205" t="s">
        <v>57</v>
      </c>
      <c r="H1105" s="205" t="s">
        <v>1605</v>
      </c>
      <c r="I1105" s="410">
        <v>0.08</v>
      </c>
      <c r="J1105" s="410">
        <v>0.09</v>
      </c>
      <c r="K1105" s="577"/>
    </row>
    <row r="1106" spans="1:11" hidden="1">
      <c r="A1106" s="295" t="s">
        <v>42</v>
      </c>
      <c r="B1106" s="197" t="s">
        <v>973</v>
      </c>
      <c r="C1106" s="197">
        <v>44469</v>
      </c>
      <c r="D1106" s="197" t="s">
        <v>56</v>
      </c>
      <c r="E1106" s="314" t="s">
        <v>758</v>
      </c>
      <c r="F1106" s="314" t="s">
        <v>56</v>
      </c>
      <c r="G1106" s="205" t="s">
        <v>57</v>
      </c>
      <c r="H1106" s="205" t="s">
        <v>1614</v>
      </c>
      <c r="I1106" s="410" t="s">
        <v>1680</v>
      </c>
      <c r="J1106" s="410" t="s">
        <v>1662</v>
      </c>
      <c r="K1106" s="577"/>
    </row>
    <row r="1107" spans="1:11" hidden="1">
      <c r="A1107" s="295" t="s">
        <v>42</v>
      </c>
      <c r="B1107" s="197" t="s">
        <v>973</v>
      </c>
      <c r="C1107" s="197">
        <v>44469</v>
      </c>
      <c r="D1107" s="197" t="s">
        <v>56</v>
      </c>
      <c r="E1107" s="314" t="s">
        <v>758</v>
      </c>
      <c r="F1107" s="314" t="s">
        <v>56</v>
      </c>
      <c r="G1107" s="205" t="s">
        <v>57</v>
      </c>
      <c r="H1107" s="205" t="s">
        <v>1661</v>
      </c>
      <c r="I1107" s="410" t="s">
        <v>295</v>
      </c>
      <c r="J1107" s="410" t="s">
        <v>1580</v>
      </c>
      <c r="K1107" s="577"/>
    </row>
    <row r="1108" spans="1:11" hidden="1">
      <c r="A1108" s="295" t="s">
        <v>42</v>
      </c>
      <c r="B1108" s="197" t="s">
        <v>973</v>
      </c>
      <c r="C1108" s="197">
        <v>44469</v>
      </c>
      <c r="D1108" s="197" t="s">
        <v>56</v>
      </c>
      <c r="E1108" s="314" t="s">
        <v>758</v>
      </c>
      <c r="F1108" s="314" t="s">
        <v>56</v>
      </c>
      <c r="G1108" s="205" t="s">
        <v>57</v>
      </c>
      <c r="H1108" s="205" t="s">
        <v>1681</v>
      </c>
      <c r="I1108" s="410" t="s">
        <v>1682</v>
      </c>
      <c r="J1108" s="410" t="s">
        <v>820</v>
      </c>
      <c r="K1108" s="577"/>
    </row>
    <row r="1109" spans="1:11" hidden="1">
      <c r="A1109" s="295" t="s">
        <v>42</v>
      </c>
      <c r="B1109" s="197" t="s">
        <v>973</v>
      </c>
      <c r="C1109" s="197">
        <v>44469</v>
      </c>
      <c r="D1109" s="197" t="s">
        <v>56</v>
      </c>
      <c r="E1109" s="314" t="s">
        <v>758</v>
      </c>
      <c r="F1109" s="314" t="s">
        <v>56</v>
      </c>
      <c r="G1109" s="205" t="s">
        <v>57</v>
      </c>
      <c r="H1109" s="205" t="s">
        <v>819</v>
      </c>
      <c r="I1109" s="410" t="s">
        <v>1683</v>
      </c>
      <c r="J1109" s="410" t="s">
        <v>898</v>
      </c>
      <c r="K1109" s="577"/>
    </row>
    <row r="1110" spans="1:11" hidden="1">
      <c r="A1110" s="295" t="s">
        <v>42</v>
      </c>
      <c r="B1110" s="197" t="s">
        <v>973</v>
      </c>
      <c r="C1110" s="197">
        <v>44469</v>
      </c>
      <c r="D1110" s="197" t="s">
        <v>56</v>
      </c>
      <c r="E1110" s="314" t="s">
        <v>758</v>
      </c>
      <c r="F1110" s="314" t="s">
        <v>56</v>
      </c>
      <c r="G1110" s="205" t="s">
        <v>57</v>
      </c>
      <c r="H1110" s="205" t="s">
        <v>897</v>
      </c>
      <c r="I1110" s="410" t="s">
        <v>1684</v>
      </c>
      <c r="J1110" s="410" t="s">
        <v>902</v>
      </c>
      <c r="K1110" s="577"/>
    </row>
    <row r="1111" spans="1:11" hidden="1">
      <c r="A1111" s="295" t="s">
        <v>42</v>
      </c>
      <c r="B1111" s="197" t="s">
        <v>973</v>
      </c>
      <c r="C1111" s="197">
        <v>44469</v>
      </c>
      <c r="D1111" s="197" t="s">
        <v>56</v>
      </c>
      <c r="E1111" s="314" t="s">
        <v>758</v>
      </c>
      <c r="F1111" s="314" t="s">
        <v>56</v>
      </c>
      <c r="G1111" s="205" t="s">
        <v>57</v>
      </c>
      <c r="H1111" s="205" t="s">
        <v>901</v>
      </c>
      <c r="I1111" s="410" t="s">
        <v>1684</v>
      </c>
      <c r="J1111" s="410" t="s">
        <v>902</v>
      </c>
      <c r="K1111" s="577"/>
    </row>
    <row r="1112" spans="1:11" hidden="1">
      <c r="A1112" s="295" t="s">
        <v>42</v>
      </c>
      <c r="B1112" s="197" t="s">
        <v>973</v>
      </c>
      <c r="C1112" s="197">
        <v>44469</v>
      </c>
      <c r="D1112" s="197" t="s">
        <v>56</v>
      </c>
      <c r="E1112" s="314" t="s">
        <v>758</v>
      </c>
      <c r="F1112" s="314" t="s">
        <v>56</v>
      </c>
      <c r="G1112" s="205" t="s">
        <v>57</v>
      </c>
      <c r="H1112" s="205" t="s">
        <v>903</v>
      </c>
      <c r="I1112" s="410" t="s">
        <v>1684</v>
      </c>
      <c r="J1112" s="410" t="s">
        <v>902</v>
      </c>
      <c r="K1112" s="577"/>
    </row>
    <row r="1113" spans="1:11" hidden="1">
      <c r="A1113" s="295" t="s">
        <v>42</v>
      </c>
      <c r="B1113" s="197" t="s">
        <v>973</v>
      </c>
      <c r="C1113" s="197">
        <v>44469</v>
      </c>
      <c r="D1113" s="197" t="s">
        <v>56</v>
      </c>
      <c r="E1113" s="314" t="s">
        <v>758</v>
      </c>
      <c r="F1113" s="314" t="s">
        <v>56</v>
      </c>
      <c r="G1113" s="205" t="s">
        <v>57</v>
      </c>
      <c r="H1113" s="205" t="s">
        <v>904</v>
      </c>
      <c r="I1113" s="410" t="s">
        <v>1685</v>
      </c>
      <c r="J1113" s="410" t="s">
        <v>907</v>
      </c>
      <c r="K1113" s="577"/>
    </row>
    <row r="1114" spans="1:11" hidden="1">
      <c r="A1114" s="295" t="s">
        <v>42</v>
      </c>
      <c r="B1114" s="197" t="s">
        <v>973</v>
      </c>
      <c r="C1114" s="197">
        <v>44469</v>
      </c>
      <c r="D1114" s="197" t="s">
        <v>56</v>
      </c>
      <c r="E1114" s="314" t="s">
        <v>758</v>
      </c>
      <c r="F1114" s="314" t="s">
        <v>56</v>
      </c>
      <c r="G1114" s="205" t="s">
        <v>57</v>
      </c>
      <c r="H1114" s="205" t="s">
        <v>906</v>
      </c>
      <c r="I1114" s="410" t="s">
        <v>1685</v>
      </c>
      <c r="J1114" s="410" t="s">
        <v>907</v>
      </c>
      <c r="K1114" s="577"/>
    </row>
    <row r="1115" spans="1:11" hidden="1">
      <c r="A1115" s="295" t="s">
        <v>42</v>
      </c>
      <c r="B1115" s="197" t="s">
        <v>973</v>
      </c>
      <c r="C1115" s="197">
        <v>44469</v>
      </c>
      <c r="D1115" s="197" t="s">
        <v>56</v>
      </c>
      <c r="E1115" s="314" t="s">
        <v>758</v>
      </c>
      <c r="F1115" s="314" t="s">
        <v>56</v>
      </c>
      <c r="G1115" s="205" t="s">
        <v>57</v>
      </c>
      <c r="H1115" s="205" t="s">
        <v>908</v>
      </c>
      <c r="I1115" s="410" t="s">
        <v>1686</v>
      </c>
      <c r="J1115" s="410" t="s">
        <v>915</v>
      </c>
      <c r="K1115" s="577"/>
    </row>
    <row r="1116" spans="1:11" hidden="1">
      <c r="A1116" s="295" t="s">
        <v>42</v>
      </c>
      <c r="B1116" s="197" t="s">
        <v>973</v>
      </c>
      <c r="C1116" s="197">
        <v>44469</v>
      </c>
      <c r="D1116" s="197" t="s">
        <v>56</v>
      </c>
      <c r="E1116" s="314" t="s">
        <v>758</v>
      </c>
      <c r="F1116" s="314" t="s">
        <v>56</v>
      </c>
      <c r="G1116" s="205" t="s">
        <v>57</v>
      </c>
      <c r="H1116" s="205" t="s">
        <v>914</v>
      </c>
      <c r="I1116" s="410" t="s">
        <v>1686</v>
      </c>
      <c r="J1116" s="410" t="s">
        <v>915</v>
      </c>
      <c r="K1116" s="577"/>
    </row>
    <row r="1117" spans="1:11" hidden="1">
      <c r="A1117" s="295" t="s">
        <v>42</v>
      </c>
      <c r="B1117" s="197" t="s">
        <v>973</v>
      </c>
      <c r="C1117" s="197">
        <v>44469</v>
      </c>
      <c r="D1117" s="197" t="s">
        <v>56</v>
      </c>
      <c r="E1117" s="314" t="s">
        <v>758</v>
      </c>
      <c r="F1117" s="314" t="s">
        <v>56</v>
      </c>
      <c r="G1117" s="205" t="s">
        <v>57</v>
      </c>
      <c r="H1117" s="205" t="s">
        <v>916</v>
      </c>
      <c r="I1117" s="410" t="s">
        <v>1687</v>
      </c>
      <c r="J1117" s="410" t="s">
        <v>910</v>
      </c>
      <c r="K1117" s="577"/>
    </row>
    <row r="1118" spans="1:11" hidden="1">
      <c r="A1118" s="295" t="s">
        <v>42</v>
      </c>
      <c r="B1118" s="197" t="s">
        <v>973</v>
      </c>
      <c r="C1118" s="197">
        <v>44469</v>
      </c>
      <c r="D1118" s="197" t="s">
        <v>56</v>
      </c>
      <c r="E1118" s="314" t="s">
        <v>758</v>
      </c>
      <c r="F1118" s="314" t="s">
        <v>56</v>
      </c>
      <c r="G1118" s="205" t="s">
        <v>57</v>
      </c>
      <c r="H1118" s="205" t="s">
        <v>909</v>
      </c>
      <c r="I1118" s="410" t="s">
        <v>1687</v>
      </c>
      <c r="J1118" s="410" t="s">
        <v>910</v>
      </c>
      <c r="K1118" s="577"/>
    </row>
    <row r="1119" spans="1:11" hidden="1">
      <c r="A1119" s="295" t="s">
        <v>42</v>
      </c>
      <c r="B1119" s="197" t="s">
        <v>973</v>
      </c>
      <c r="C1119" s="197">
        <v>44469</v>
      </c>
      <c r="D1119" s="197" t="s">
        <v>56</v>
      </c>
      <c r="E1119" s="314" t="s">
        <v>758</v>
      </c>
      <c r="F1119" s="314" t="s">
        <v>56</v>
      </c>
      <c r="G1119" s="205" t="s">
        <v>57</v>
      </c>
      <c r="H1119" s="205" t="s">
        <v>912</v>
      </c>
      <c r="I1119" s="410" t="s">
        <v>1687</v>
      </c>
      <c r="J1119" s="410" t="s">
        <v>910</v>
      </c>
      <c r="K1119" s="577"/>
    </row>
    <row r="1120" spans="1:11" hidden="1">
      <c r="A1120" s="295" t="s">
        <v>42</v>
      </c>
      <c r="B1120" s="197" t="s">
        <v>973</v>
      </c>
      <c r="C1120" s="197">
        <v>44469</v>
      </c>
      <c r="D1120" s="197" t="s">
        <v>56</v>
      </c>
      <c r="E1120" s="314" t="s">
        <v>758</v>
      </c>
      <c r="F1120" s="314" t="s">
        <v>56</v>
      </c>
      <c r="G1120" s="205" t="s">
        <v>57</v>
      </c>
      <c r="H1120" s="205" t="s">
        <v>913</v>
      </c>
      <c r="I1120" s="410" t="s">
        <v>1688</v>
      </c>
      <c r="J1120" s="410" t="s">
        <v>918</v>
      </c>
      <c r="K1120" s="577"/>
    </row>
    <row r="1121" spans="1:11" hidden="1">
      <c r="A1121" s="295" t="s">
        <v>42</v>
      </c>
      <c r="B1121" s="197" t="s">
        <v>973</v>
      </c>
      <c r="C1121" s="197">
        <v>44469</v>
      </c>
      <c r="D1121" s="197" t="s">
        <v>56</v>
      </c>
      <c r="E1121" s="314" t="s">
        <v>758</v>
      </c>
      <c r="F1121" s="314" t="s">
        <v>56</v>
      </c>
      <c r="G1121" s="205" t="s">
        <v>57</v>
      </c>
      <c r="H1121" s="205" t="s">
        <v>917</v>
      </c>
      <c r="I1121" s="410" t="s">
        <v>1688</v>
      </c>
      <c r="J1121" s="410" t="s">
        <v>918</v>
      </c>
      <c r="K1121" s="577"/>
    </row>
    <row r="1122" spans="1:11" hidden="1">
      <c r="A1122" s="295" t="s">
        <v>42</v>
      </c>
      <c r="B1122" s="197" t="s">
        <v>973</v>
      </c>
      <c r="C1122" s="197">
        <v>44469</v>
      </c>
      <c r="D1122" s="197" t="s">
        <v>56</v>
      </c>
      <c r="E1122" s="314" t="s">
        <v>758</v>
      </c>
      <c r="F1122" s="314" t="s">
        <v>56</v>
      </c>
      <c r="G1122" s="205" t="s">
        <v>57</v>
      </c>
      <c r="H1122" s="205" t="s">
        <v>920</v>
      </c>
      <c r="I1122" s="410" t="s">
        <v>1688</v>
      </c>
      <c r="J1122" s="410" t="s">
        <v>918</v>
      </c>
      <c r="K1122" s="577"/>
    </row>
    <row r="1123" spans="1:11" hidden="1">
      <c r="A1123" s="295" t="s">
        <v>42</v>
      </c>
      <c r="B1123" s="197" t="s">
        <v>973</v>
      </c>
      <c r="C1123" s="197">
        <v>44469</v>
      </c>
      <c r="D1123" s="197" t="s">
        <v>56</v>
      </c>
      <c r="E1123" s="314" t="s">
        <v>758</v>
      </c>
      <c r="F1123" s="314" t="s">
        <v>56</v>
      </c>
      <c r="G1123" s="205" t="s">
        <v>57</v>
      </c>
      <c r="H1123" s="205" t="s">
        <v>922</v>
      </c>
      <c r="I1123" s="410" t="s">
        <v>1688</v>
      </c>
      <c r="J1123" s="410" t="s">
        <v>918</v>
      </c>
      <c r="K1123" s="577"/>
    </row>
    <row r="1124" spans="1:11" hidden="1">
      <c r="A1124" s="295" t="s">
        <v>42</v>
      </c>
      <c r="B1124" s="197" t="s">
        <v>973</v>
      </c>
      <c r="C1124" s="197">
        <v>44469</v>
      </c>
      <c r="D1124" s="197" t="s">
        <v>56</v>
      </c>
      <c r="E1124" s="314" t="s">
        <v>758</v>
      </c>
      <c r="F1124" s="314" t="s">
        <v>56</v>
      </c>
      <c r="G1124" s="205" t="s">
        <v>57</v>
      </c>
      <c r="H1124" s="205" t="s">
        <v>923</v>
      </c>
      <c r="I1124" s="410" t="s">
        <v>1688</v>
      </c>
      <c r="J1124" s="410" t="s">
        <v>918</v>
      </c>
      <c r="K1124" s="577"/>
    </row>
    <row r="1125" spans="1:11" hidden="1">
      <c r="A1125" s="295" t="s">
        <v>42</v>
      </c>
      <c r="B1125" s="197" t="s">
        <v>973</v>
      </c>
      <c r="C1125" s="197">
        <v>44469</v>
      </c>
      <c r="D1125" s="197" t="s">
        <v>56</v>
      </c>
      <c r="E1125" s="314" t="s">
        <v>758</v>
      </c>
      <c r="F1125" s="314" t="s">
        <v>56</v>
      </c>
      <c r="G1125" s="205" t="s">
        <v>57</v>
      </c>
      <c r="H1125" s="205" t="s">
        <v>925</v>
      </c>
      <c r="I1125" s="410" t="s">
        <v>1688</v>
      </c>
      <c r="J1125" s="410" t="s">
        <v>918</v>
      </c>
      <c r="K1125" s="577"/>
    </row>
    <row r="1126" spans="1:11" hidden="1">
      <c r="A1126" s="295" t="s">
        <v>42</v>
      </c>
      <c r="B1126" s="197" t="s">
        <v>973</v>
      </c>
      <c r="C1126" s="197">
        <v>44469</v>
      </c>
      <c r="D1126" s="197" t="s">
        <v>56</v>
      </c>
      <c r="E1126" s="314" t="s">
        <v>758</v>
      </c>
      <c r="F1126" s="314" t="s">
        <v>56</v>
      </c>
      <c r="G1126" s="205" t="s">
        <v>57</v>
      </c>
      <c r="H1126" s="205" t="s">
        <v>927</v>
      </c>
      <c r="I1126" s="410" t="s">
        <v>1688</v>
      </c>
      <c r="J1126" s="410" t="s">
        <v>918</v>
      </c>
      <c r="K1126" s="577"/>
    </row>
    <row r="1127" spans="1:11" hidden="1">
      <c r="A1127" s="295" t="s">
        <v>42</v>
      </c>
      <c r="B1127" s="197" t="s">
        <v>973</v>
      </c>
      <c r="C1127" s="197">
        <v>44469</v>
      </c>
      <c r="D1127" s="197" t="s">
        <v>56</v>
      </c>
      <c r="E1127" s="314" t="s">
        <v>758</v>
      </c>
      <c r="F1127" s="314" t="s">
        <v>56</v>
      </c>
      <c r="G1127" s="205" t="s">
        <v>57</v>
      </c>
      <c r="H1127" s="205" t="s">
        <v>928</v>
      </c>
      <c r="I1127" s="410" t="s">
        <v>1688</v>
      </c>
      <c r="J1127" s="410" t="s">
        <v>918</v>
      </c>
      <c r="K1127" s="577"/>
    </row>
    <row r="1128" spans="1:11" hidden="1">
      <c r="A1128" s="295" t="s">
        <v>42</v>
      </c>
      <c r="B1128" s="197" t="s">
        <v>973</v>
      </c>
      <c r="C1128" s="197">
        <v>44469</v>
      </c>
      <c r="D1128" s="197" t="s">
        <v>56</v>
      </c>
      <c r="E1128" s="314" t="s">
        <v>758</v>
      </c>
      <c r="F1128" s="314" t="s">
        <v>56</v>
      </c>
      <c r="G1128" s="205" t="s">
        <v>57</v>
      </c>
      <c r="H1128" s="205" t="s">
        <v>930</v>
      </c>
      <c r="I1128" s="410" t="s">
        <v>1688</v>
      </c>
      <c r="J1128" s="410" t="s">
        <v>918</v>
      </c>
      <c r="K1128" s="577"/>
    </row>
    <row r="1129" spans="1:11" hidden="1">
      <c r="A1129" s="295" t="s">
        <v>42</v>
      </c>
      <c r="B1129" s="197" t="s">
        <v>973</v>
      </c>
      <c r="C1129" s="197">
        <v>44469</v>
      </c>
      <c r="D1129" s="197" t="s">
        <v>56</v>
      </c>
      <c r="E1129" s="314" t="s">
        <v>758</v>
      </c>
      <c r="F1129" s="314" t="s">
        <v>56</v>
      </c>
      <c r="G1129" s="205" t="s">
        <v>57</v>
      </c>
      <c r="H1129" s="205" t="s">
        <v>932</v>
      </c>
      <c r="I1129" s="410" t="s">
        <v>1688</v>
      </c>
      <c r="J1129" s="410" t="s">
        <v>918</v>
      </c>
      <c r="K1129" s="577"/>
    </row>
    <row r="1130" spans="1:11" hidden="1">
      <c r="A1130" s="295" t="s">
        <v>42</v>
      </c>
      <c r="B1130" s="197" t="s">
        <v>973</v>
      </c>
      <c r="C1130" s="197">
        <v>44469</v>
      </c>
      <c r="D1130" s="197" t="s">
        <v>56</v>
      </c>
      <c r="E1130" s="314" t="s">
        <v>758</v>
      </c>
      <c r="F1130" s="314" t="s">
        <v>56</v>
      </c>
      <c r="G1130" s="205" t="s">
        <v>57</v>
      </c>
      <c r="H1130" s="205" t="s">
        <v>934</v>
      </c>
      <c r="I1130" s="410">
        <v>0.79</v>
      </c>
      <c r="J1130" s="410">
        <v>0.81</v>
      </c>
      <c r="K1130" s="577"/>
    </row>
    <row r="1131" spans="1:11" hidden="1">
      <c r="A1131" s="295" t="s">
        <v>42</v>
      </c>
      <c r="B1131" s="197" t="s">
        <v>973</v>
      </c>
      <c r="C1131" s="197">
        <v>44469</v>
      </c>
      <c r="D1131" s="197" t="s">
        <v>56</v>
      </c>
      <c r="E1131" s="314" t="s">
        <v>758</v>
      </c>
      <c r="F1131" s="314" t="s">
        <v>56</v>
      </c>
      <c r="G1131" s="205" t="s">
        <v>57</v>
      </c>
      <c r="H1131" s="205" t="s">
        <v>701</v>
      </c>
      <c r="I1131" s="410">
        <v>0.79</v>
      </c>
      <c r="J1131" s="410">
        <v>0.81</v>
      </c>
      <c r="K1131" s="577"/>
    </row>
    <row r="1132" spans="1:11" hidden="1">
      <c r="A1132" s="295" t="s">
        <v>42</v>
      </c>
      <c r="B1132" s="197" t="s">
        <v>973</v>
      </c>
      <c r="C1132" s="197">
        <v>44469</v>
      </c>
      <c r="D1132" s="197" t="s">
        <v>56</v>
      </c>
      <c r="E1132" s="314" t="s">
        <v>758</v>
      </c>
      <c r="F1132" s="314" t="s">
        <v>56</v>
      </c>
      <c r="G1132" s="205" t="s">
        <v>57</v>
      </c>
      <c r="H1132" s="205" t="s">
        <v>710</v>
      </c>
      <c r="I1132" s="410">
        <v>0.96</v>
      </c>
      <c r="J1132" s="410">
        <v>0.98</v>
      </c>
      <c r="K1132" s="577"/>
    </row>
    <row r="1133" spans="1:11" hidden="1">
      <c r="A1133" s="295" t="s">
        <v>42</v>
      </c>
      <c r="B1133" s="197" t="s">
        <v>973</v>
      </c>
      <c r="C1133" s="197">
        <v>44469</v>
      </c>
      <c r="D1133" s="197" t="s">
        <v>56</v>
      </c>
      <c r="E1133" s="314" t="s">
        <v>758</v>
      </c>
      <c r="F1133" s="314" t="s">
        <v>56</v>
      </c>
      <c r="G1133" s="205" t="s">
        <v>57</v>
      </c>
      <c r="H1133" s="205" t="s">
        <v>921</v>
      </c>
      <c r="I1133" s="410">
        <v>0.8</v>
      </c>
      <c r="J1133" s="410">
        <v>0.81</v>
      </c>
      <c r="K1133" s="577"/>
    </row>
    <row r="1134" spans="1:11" hidden="1">
      <c r="A1134" s="295" t="s">
        <v>42</v>
      </c>
      <c r="B1134" s="197" t="s">
        <v>973</v>
      </c>
      <c r="C1134" s="197">
        <v>44469</v>
      </c>
      <c r="D1134" s="197" t="s">
        <v>56</v>
      </c>
      <c r="E1134" s="314" t="s">
        <v>758</v>
      </c>
      <c r="F1134" s="314" t="s">
        <v>56</v>
      </c>
      <c r="G1134" s="205" t="s">
        <v>57</v>
      </c>
      <c r="H1134" s="205" t="s">
        <v>1689</v>
      </c>
      <c r="I1134" s="410">
        <v>0.35</v>
      </c>
      <c r="J1134" s="410">
        <v>0.43</v>
      </c>
      <c r="K1134" s="577"/>
    </row>
    <row r="1135" spans="1:11" hidden="1">
      <c r="A1135" s="295" t="s">
        <v>42</v>
      </c>
      <c r="B1135" s="197" t="s">
        <v>973</v>
      </c>
      <c r="C1135" s="197">
        <v>44469</v>
      </c>
      <c r="D1135" s="197" t="s">
        <v>56</v>
      </c>
      <c r="E1135" s="314" t="s">
        <v>758</v>
      </c>
      <c r="F1135" s="314" t="s">
        <v>56</v>
      </c>
      <c r="G1135" s="205" t="s">
        <v>57</v>
      </c>
      <c r="H1135" s="205" t="s">
        <v>924</v>
      </c>
      <c r="I1135" s="410">
        <v>0.54</v>
      </c>
      <c r="J1135" s="410">
        <v>0.53</v>
      </c>
      <c r="K1135" s="577"/>
    </row>
    <row r="1136" spans="1:11" hidden="1">
      <c r="A1136" s="295" t="s">
        <v>42</v>
      </c>
      <c r="B1136" s="197" t="s">
        <v>973</v>
      </c>
      <c r="C1136" s="197">
        <v>44469</v>
      </c>
      <c r="D1136" s="197" t="s">
        <v>56</v>
      </c>
      <c r="E1136" s="314" t="s">
        <v>758</v>
      </c>
      <c r="F1136" s="314" t="s">
        <v>56</v>
      </c>
      <c r="G1136" s="205" t="s">
        <v>57</v>
      </c>
      <c r="H1136" s="205" t="s">
        <v>929</v>
      </c>
      <c r="I1136" s="410" t="s">
        <v>1691</v>
      </c>
      <c r="J1136" s="410" t="s">
        <v>1692</v>
      </c>
      <c r="K1136" s="577"/>
    </row>
    <row r="1137" spans="1:11" hidden="1">
      <c r="A1137" s="295" t="s">
        <v>42</v>
      </c>
      <c r="B1137" s="197" t="s">
        <v>973</v>
      </c>
      <c r="C1137" s="197">
        <v>44469</v>
      </c>
      <c r="D1137" s="197" t="s">
        <v>56</v>
      </c>
      <c r="E1137" s="314" t="s">
        <v>758</v>
      </c>
      <c r="F1137" s="314" t="s">
        <v>56</v>
      </c>
      <c r="G1137" s="205" t="s">
        <v>57</v>
      </c>
      <c r="H1137" s="205" t="s">
        <v>1690</v>
      </c>
      <c r="I1137" s="410">
        <v>0.56999999999999995</v>
      </c>
      <c r="J1137" s="410">
        <v>0.62</v>
      </c>
      <c r="K1137" s="577"/>
    </row>
    <row r="1138" spans="1:11" hidden="1">
      <c r="A1138" s="295" t="s">
        <v>42</v>
      </c>
      <c r="B1138" s="197" t="s">
        <v>973</v>
      </c>
      <c r="C1138" s="197">
        <v>44469</v>
      </c>
      <c r="D1138" s="197" t="s">
        <v>56</v>
      </c>
      <c r="E1138" s="314" t="s">
        <v>758</v>
      </c>
      <c r="F1138" s="314" t="s">
        <v>56</v>
      </c>
      <c r="G1138" s="205" t="s">
        <v>57</v>
      </c>
      <c r="H1138" s="205" t="s">
        <v>931</v>
      </c>
      <c r="I1138" s="410">
        <v>0.16</v>
      </c>
      <c r="J1138" s="410">
        <v>0.17</v>
      </c>
      <c r="K1138" s="577"/>
    </row>
    <row r="1139" spans="1:11" hidden="1">
      <c r="A1139" s="295" t="s">
        <v>42</v>
      </c>
      <c r="B1139" s="197" t="s">
        <v>973</v>
      </c>
      <c r="C1139" s="197">
        <v>44469</v>
      </c>
      <c r="D1139" s="197" t="s">
        <v>56</v>
      </c>
      <c r="E1139" s="314" t="s">
        <v>758</v>
      </c>
      <c r="F1139" s="314" t="s">
        <v>56</v>
      </c>
      <c r="G1139" s="205" t="s">
        <v>57</v>
      </c>
      <c r="H1139" s="205" t="s">
        <v>933</v>
      </c>
      <c r="I1139" s="410" t="s">
        <v>1693</v>
      </c>
      <c r="J1139" s="410" t="s">
        <v>938</v>
      </c>
      <c r="K1139" s="577"/>
    </row>
    <row r="1140" spans="1:11" hidden="1">
      <c r="A1140" s="295" t="s">
        <v>42</v>
      </c>
      <c r="B1140" s="197" t="s">
        <v>973</v>
      </c>
      <c r="C1140" s="197">
        <v>44469</v>
      </c>
      <c r="D1140" s="197" t="s">
        <v>56</v>
      </c>
      <c r="E1140" s="314" t="s">
        <v>758</v>
      </c>
      <c r="F1140" s="314" t="s">
        <v>56</v>
      </c>
      <c r="G1140" s="205" t="s">
        <v>57</v>
      </c>
      <c r="H1140" s="205" t="s">
        <v>937</v>
      </c>
      <c r="I1140" s="410" t="s">
        <v>1693</v>
      </c>
      <c r="J1140" s="410" t="s">
        <v>938</v>
      </c>
      <c r="K1140" s="577"/>
    </row>
    <row r="1141" spans="1:11" hidden="1">
      <c r="A1141" s="295" t="s">
        <v>42</v>
      </c>
      <c r="B1141" s="197" t="s">
        <v>973</v>
      </c>
      <c r="C1141" s="197">
        <v>44469</v>
      </c>
      <c r="D1141" s="197" t="s">
        <v>56</v>
      </c>
      <c r="E1141" s="314" t="s">
        <v>758</v>
      </c>
      <c r="F1141" s="314" t="s">
        <v>56</v>
      </c>
      <c r="G1141" s="205" t="s">
        <v>57</v>
      </c>
      <c r="H1141" s="205" t="s">
        <v>940</v>
      </c>
      <c r="I1141" s="410" t="s">
        <v>1693</v>
      </c>
      <c r="J1141" s="410" t="s">
        <v>938</v>
      </c>
      <c r="K1141" s="577"/>
    </row>
    <row r="1142" spans="1:11" hidden="1">
      <c r="A1142" s="295" t="s">
        <v>42</v>
      </c>
      <c r="B1142" s="197" t="s">
        <v>973</v>
      </c>
      <c r="C1142" s="197">
        <v>44469</v>
      </c>
      <c r="D1142" s="197" t="s">
        <v>56</v>
      </c>
      <c r="E1142" s="314" t="s">
        <v>758</v>
      </c>
      <c r="F1142" s="314" t="s">
        <v>56</v>
      </c>
      <c r="G1142" s="205" t="s">
        <v>57</v>
      </c>
      <c r="H1142" s="205" t="s">
        <v>941</v>
      </c>
      <c r="I1142" s="410" t="s">
        <v>1693</v>
      </c>
      <c r="J1142" s="410" t="s">
        <v>938</v>
      </c>
      <c r="K1142" s="577"/>
    </row>
    <row r="1143" spans="1:11" hidden="1">
      <c r="A1143" s="295" t="s">
        <v>42</v>
      </c>
      <c r="B1143" s="197" t="s">
        <v>973</v>
      </c>
      <c r="C1143" s="197">
        <v>44469</v>
      </c>
      <c r="D1143" s="197" t="s">
        <v>56</v>
      </c>
      <c r="E1143" s="314" t="s">
        <v>758</v>
      </c>
      <c r="F1143" s="314" t="s">
        <v>56</v>
      </c>
      <c r="G1143" s="205" t="s">
        <v>57</v>
      </c>
      <c r="H1143" s="205" t="s">
        <v>942</v>
      </c>
      <c r="I1143" s="410" t="s">
        <v>1693</v>
      </c>
      <c r="J1143" s="410" t="s">
        <v>938</v>
      </c>
      <c r="K1143" s="577"/>
    </row>
    <row r="1144" spans="1:11" hidden="1">
      <c r="A1144" s="295" t="s">
        <v>42</v>
      </c>
      <c r="B1144" s="197" t="s">
        <v>973</v>
      </c>
      <c r="C1144" s="197">
        <v>44469</v>
      </c>
      <c r="D1144" s="197" t="s">
        <v>56</v>
      </c>
      <c r="E1144" s="314" t="s">
        <v>758</v>
      </c>
      <c r="F1144" s="314" t="s">
        <v>56</v>
      </c>
      <c r="G1144" s="205" t="s">
        <v>57</v>
      </c>
      <c r="H1144" s="205" t="s">
        <v>944</v>
      </c>
      <c r="I1144" s="410" t="s">
        <v>1693</v>
      </c>
      <c r="J1144" s="410" t="s">
        <v>938</v>
      </c>
      <c r="K1144" s="577"/>
    </row>
    <row r="1145" spans="1:11" hidden="1">
      <c r="A1145" s="295" t="s">
        <v>42</v>
      </c>
      <c r="B1145" s="197" t="s">
        <v>973</v>
      </c>
      <c r="C1145" s="197">
        <v>44469</v>
      </c>
      <c r="D1145" s="197" t="s">
        <v>56</v>
      </c>
      <c r="E1145" s="314" t="s">
        <v>758</v>
      </c>
      <c r="F1145" s="314" t="s">
        <v>56</v>
      </c>
      <c r="G1145" s="205" t="s">
        <v>57</v>
      </c>
      <c r="H1145" s="205" t="s">
        <v>946</v>
      </c>
      <c r="I1145" s="410" t="s">
        <v>1693</v>
      </c>
      <c r="J1145" s="410" t="s">
        <v>938</v>
      </c>
      <c r="K1145" s="577"/>
    </row>
    <row r="1146" spans="1:11" hidden="1">
      <c r="A1146" s="295" t="s">
        <v>42</v>
      </c>
      <c r="B1146" s="197" t="s">
        <v>973</v>
      </c>
      <c r="C1146" s="197">
        <v>44469</v>
      </c>
      <c r="D1146" s="197" t="s">
        <v>56</v>
      </c>
      <c r="E1146" s="314" t="s">
        <v>758</v>
      </c>
      <c r="F1146" s="314" t="s">
        <v>56</v>
      </c>
      <c r="G1146" s="205" t="s">
        <v>57</v>
      </c>
      <c r="H1146" s="205" t="s">
        <v>948</v>
      </c>
      <c r="I1146" s="410" t="s">
        <v>1693</v>
      </c>
      <c r="J1146" s="410" t="s">
        <v>938</v>
      </c>
      <c r="K1146" s="577"/>
    </row>
    <row r="1147" spans="1:11" hidden="1">
      <c r="A1147" s="295" t="s">
        <v>42</v>
      </c>
      <c r="B1147" s="197" t="s">
        <v>973</v>
      </c>
      <c r="C1147" s="197">
        <v>44469</v>
      </c>
      <c r="D1147" s="197" t="s">
        <v>56</v>
      </c>
      <c r="E1147" s="314" t="s">
        <v>758</v>
      </c>
      <c r="F1147" s="314" t="s">
        <v>56</v>
      </c>
      <c r="G1147" s="205" t="s">
        <v>57</v>
      </c>
      <c r="H1147" s="205" t="s">
        <v>950</v>
      </c>
      <c r="I1147" s="410">
        <v>19</v>
      </c>
      <c r="J1147" s="410">
        <v>24</v>
      </c>
      <c r="K1147" s="577"/>
    </row>
    <row r="1148" spans="1:11" hidden="1">
      <c r="A1148" s="295" t="s">
        <v>42</v>
      </c>
      <c r="B1148" s="197" t="s">
        <v>973</v>
      </c>
      <c r="C1148" s="197">
        <v>44469</v>
      </c>
      <c r="D1148" s="197" t="s">
        <v>56</v>
      </c>
      <c r="E1148" s="314" t="s">
        <v>758</v>
      </c>
      <c r="F1148" s="314" t="s">
        <v>56</v>
      </c>
      <c r="G1148" s="205" t="s">
        <v>57</v>
      </c>
      <c r="H1148" s="205" t="s">
        <v>935</v>
      </c>
      <c r="I1148" s="410">
        <v>19</v>
      </c>
      <c r="J1148" s="410">
        <v>24</v>
      </c>
      <c r="K1148" s="577"/>
    </row>
    <row r="1149" spans="1:11" hidden="1">
      <c r="A1149" s="295" t="s">
        <v>42</v>
      </c>
      <c r="B1149" s="197" t="s">
        <v>973</v>
      </c>
      <c r="C1149" s="197">
        <v>44469</v>
      </c>
      <c r="D1149" s="197" t="s">
        <v>56</v>
      </c>
      <c r="E1149" s="314" t="s">
        <v>758</v>
      </c>
      <c r="F1149" s="314" t="s">
        <v>56</v>
      </c>
      <c r="G1149" s="205" t="s">
        <v>57</v>
      </c>
      <c r="H1149" s="205" t="s">
        <v>939</v>
      </c>
      <c r="I1149" s="410">
        <v>27</v>
      </c>
      <c r="J1149" s="410">
        <v>29</v>
      </c>
      <c r="K1149" s="577"/>
    </row>
    <row r="1150" spans="1:11" hidden="1">
      <c r="A1150" s="295" t="s">
        <v>42</v>
      </c>
      <c r="B1150" s="197" t="s">
        <v>973</v>
      </c>
      <c r="C1150" s="197">
        <v>44469</v>
      </c>
      <c r="D1150" s="197" t="s">
        <v>56</v>
      </c>
      <c r="E1150" s="197" t="s">
        <v>758</v>
      </c>
      <c r="F1150" s="314" t="s">
        <v>56</v>
      </c>
      <c r="G1150" s="205" t="s">
        <v>57</v>
      </c>
      <c r="H1150" s="205" t="s">
        <v>1694</v>
      </c>
      <c r="I1150" s="410">
        <v>18</v>
      </c>
      <c r="J1150" s="410">
        <v>24</v>
      </c>
      <c r="K1150" s="577"/>
    </row>
    <row r="1151" spans="1:11" hidden="1">
      <c r="A1151" s="295" t="s">
        <v>42</v>
      </c>
      <c r="B1151" s="197" t="s">
        <v>973</v>
      </c>
      <c r="C1151" s="197">
        <v>44469</v>
      </c>
      <c r="D1151" s="197" t="s">
        <v>56</v>
      </c>
      <c r="E1151" s="197" t="s">
        <v>758</v>
      </c>
      <c r="F1151" s="314" t="s">
        <v>56</v>
      </c>
      <c r="G1151" s="205" t="s">
        <v>57</v>
      </c>
      <c r="H1151" s="205" t="s">
        <v>943</v>
      </c>
      <c r="I1151" s="410">
        <v>4</v>
      </c>
      <c r="J1151" s="410">
        <v>6</v>
      </c>
      <c r="K1151" s="577"/>
    </row>
    <row r="1152" spans="1:11" hidden="1">
      <c r="A1152" s="295" t="s">
        <v>42</v>
      </c>
      <c r="B1152" s="197" t="s">
        <v>973</v>
      </c>
      <c r="C1152" s="197">
        <v>44469</v>
      </c>
      <c r="D1152" s="197" t="s">
        <v>56</v>
      </c>
      <c r="E1152" s="197" t="s">
        <v>758</v>
      </c>
      <c r="F1152" s="314" t="s">
        <v>56</v>
      </c>
      <c r="G1152" s="205" t="s">
        <v>57</v>
      </c>
      <c r="H1152" s="205" t="s">
        <v>945</v>
      </c>
      <c r="I1152" s="410">
        <v>5</v>
      </c>
      <c r="J1152" s="410">
        <v>7</v>
      </c>
      <c r="K1152" s="577"/>
    </row>
    <row r="1153" spans="1:11" hidden="1">
      <c r="A1153" s="295" t="s">
        <v>42</v>
      </c>
      <c r="B1153" s="197" t="s">
        <v>973</v>
      </c>
      <c r="C1153" s="197">
        <v>44469</v>
      </c>
      <c r="D1153" s="197" t="s">
        <v>56</v>
      </c>
      <c r="E1153" s="197" t="s">
        <v>758</v>
      </c>
      <c r="F1153" s="314" t="s">
        <v>56</v>
      </c>
      <c r="G1153" s="205" t="s">
        <v>57</v>
      </c>
      <c r="H1153" s="205" t="s">
        <v>949</v>
      </c>
      <c r="I1153" s="410">
        <v>12</v>
      </c>
      <c r="J1153" s="410">
        <v>20</v>
      </c>
      <c r="K1153" s="577"/>
    </row>
    <row r="1154" spans="1:11" hidden="1">
      <c r="A1154" s="295" t="s">
        <v>42</v>
      </c>
      <c r="B1154" s="197" t="s">
        <v>973</v>
      </c>
      <c r="C1154" s="197">
        <v>44469</v>
      </c>
      <c r="D1154" s="197" t="s">
        <v>56</v>
      </c>
      <c r="E1154" s="197" t="s">
        <v>758</v>
      </c>
      <c r="F1154" s="314" t="s">
        <v>56</v>
      </c>
      <c r="G1154" s="205" t="s">
        <v>57</v>
      </c>
      <c r="H1154" s="205" t="s">
        <v>947</v>
      </c>
      <c r="I1154" s="410" t="s">
        <v>1695</v>
      </c>
      <c r="J1154" s="410" t="s">
        <v>959</v>
      </c>
      <c r="K1154" s="577"/>
    </row>
    <row r="1155" spans="1:11" ht="39.6" hidden="1">
      <c r="A1155" s="295" t="s">
        <v>42</v>
      </c>
      <c r="B1155" s="197" t="s">
        <v>973</v>
      </c>
      <c r="C1155" s="197">
        <v>44469</v>
      </c>
      <c r="D1155" s="197" t="s">
        <v>56</v>
      </c>
      <c r="E1155" s="197" t="s">
        <v>758</v>
      </c>
      <c r="F1155" s="314" t="s">
        <v>56</v>
      </c>
      <c r="G1155" s="205" t="s">
        <v>57</v>
      </c>
      <c r="H1155" s="205" t="s">
        <v>499</v>
      </c>
      <c r="I1155" s="410" t="s">
        <v>1697</v>
      </c>
      <c r="J1155" s="410" t="s">
        <v>1698</v>
      </c>
      <c r="K1155" s="577"/>
    </row>
    <row r="1156" spans="1:11" ht="39.6" hidden="1">
      <c r="A1156" s="295" t="s">
        <v>42</v>
      </c>
      <c r="B1156" s="197" t="s">
        <v>973</v>
      </c>
      <c r="C1156" s="197">
        <v>44469</v>
      </c>
      <c r="D1156" s="197" t="s">
        <v>56</v>
      </c>
      <c r="E1156" s="197" t="s">
        <v>758</v>
      </c>
      <c r="F1156" s="314" t="s">
        <v>56</v>
      </c>
      <c r="G1156" s="205" t="s">
        <v>69</v>
      </c>
      <c r="H1156" s="205" t="s">
        <v>1696</v>
      </c>
      <c r="I1156" s="410" t="s">
        <v>1699</v>
      </c>
      <c r="J1156" s="410" t="s">
        <v>1700</v>
      </c>
      <c r="K1156" s="577"/>
    </row>
    <row r="1157" spans="1:11" ht="39.6" hidden="1">
      <c r="A1157" s="295" t="s">
        <v>42</v>
      </c>
      <c r="B1157" s="197" t="s">
        <v>973</v>
      </c>
      <c r="C1157" s="197">
        <v>44469</v>
      </c>
      <c r="D1157" s="197" t="s">
        <v>56</v>
      </c>
      <c r="E1157" s="197" t="s">
        <v>758</v>
      </c>
      <c r="F1157" s="314" t="s">
        <v>56</v>
      </c>
      <c r="G1157" s="205" t="s">
        <v>69</v>
      </c>
      <c r="H1157" s="205" t="s">
        <v>1606</v>
      </c>
      <c r="I1157" s="410" t="s">
        <v>1702</v>
      </c>
      <c r="J1157" s="410" t="s">
        <v>1703</v>
      </c>
      <c r="K1157" s="577"/>
    </row>
    <row r="1158" spans="1:11" ht="39.6" hidden="1">
      <c r="A1158" s="295" t="s">
        <v>42</v>
      </c>
      <c r="B1158" s="197" t="s">
        <v>973</v>
      </c>
      <c r="C1158" s="197">
        <v>44469</v>
      </c>
      <c r="D1158" s="197" t="s">
        <v>56</v>
      </c>
      <c r="E1158" s="197" t="s">
        <v>758</v>
      </c>
      <c r="F1158" s="314" t="s">
        <v>56</v>
      </c>
      <c r="G1158" s="205" t="s">
        <v>69</v>
      </c>
      <c r="H1158" s="205" t="s">
        <v>1701</v>
      </c>
      <c r="I1158" s="410" t="s">
        <v>1704</v>
      </c>
      <c r="J1158" s="410" t="s">
        <v>1705</v>
      </c>
      <c r="K1158" s="577"/>
    </row>
    <row r="1159" spans="1:11" ht="39.6" hidden="1">
      <c r="A1159" s="295" t="s">
        <v>42</v>
      </c>
      <c r="B1159" s="197" t="s">
        <v>973</v>
      </c>
      <c r="C1159" s="197">
        <v>44469</v>
      </c>
      <c r="D1159" s="197" t="s">
        <v>56</v>
      </c>
      <c r="E1159" s="197" t="s">
        <v>758</v>
      </c>
      <c r="F1159" s="314" t="s">
        <v>56</v>
      </c>
      <c r="G1159" s="205" t="s">
        <v>69</v>
      </c>
      <c r="H1159" s="205" t="s">
        <v>119</v>
      </c>
      <c r="I1159" s="410" t="s">
        <v>1706</v>
      </c>
      <c r="J1159" s="410" t="s">
        <v>1707</v>
      </c>
      <c r="K1159" s="577"/>
    </row>
    <row r="1160" spans="1:11" ht="39.6" hidden="1">
      <c r="A1160" s="295" t="s">
        <v>42</v>
      </c>
      <c r="B1160" s="197" t="s">
        <v>973</v>
      </c>
      <c r="C1160" s="197">
        <v>44469</v>
      </c>
      <c r="D1160" s="197" t="s">
        <v>56</v>
      </c>
      <c r="E1160" s="197" t="s">
        <v>758</v>
      </c>
      <c r="F1160" s="314" t="s">
        <v>56</v>
      </c>
      <c r="G1160" s="205" t="s">
        <v>69</v>
      </c>
      <c r="H1160" s="205" t="s">
        <v>126</v>
      </c>
      <c r="I1160" s="410" t="s">
        <v>1697</v>
      </c>
      <c r="J1160" s="410" t="s">
        <v>1698</v>
      </c>
      <c r="K1160" s="578"/>
    </row>
    <row r="1161" spans="1:11" hidden="1">
      <c r="A1161" s="295" t="s">
        <v>42</v>
      </c>
      <c r="B1161" s="197" t="s">
        <v>1709</v>
      </c>
      <c r="C1161" s="197">
        <v>44469</v>
      </c>
      <c r="D1161" s="197" t="s">
        <v>56</v>
      </c>
      <c r="E1161" s="197" t="s">
        <v>758</v>
      </c>
      <c r="F1161" s="314" t="s">
        <v>56</v>
      </c>
      <c r="G1161" s="205" t="s">
        <v>69</v>
      </c>
      <c r="H1161" s="205" t="s">
        <v>1708</v>
      </c>
      <c r="I1161" s="198" t="s">
        <v>1710</v>
      </c>
      <c r="J1161" s="198" t="s">
        <v>1711</v>
      </c>
      <c r="K1161" s="415" t="s">
        <v>1712</v>
      </c>
    </row>
    <row r="1162" spans="1:11" hidden="1">
      <c r="A1162" s="295" t="s">
        <v>42</v>
      </c>
      <c r="B1162" s="197" t="s">
        <v>1713</v>
      </c>
      <c r="C1162" s="197">
        <v>44544</v>
      </c>
      <c r="D1162" s="197" t="s">
        <v>758</v>
      </c>
      <c r="E1162" s="197" t="s">
        <v>56</v>
      </c>
      <c r="F1162" s="314" t="s">
        <v>56</v>
      </c>
      <c r="G1162" s="205" t="s">
        <v>159</v>
      </c>
      <c r="H1162" s="205" t="s">
        <v>1174</v>
      </c>
      <c r="I1162" s="410" t="s">
        <v>1715</v>
      </c>
      <c r="J1162" s="410" t="s">
        <v>1395</v>
      </c>
      <c r="K1162" s="410" t="s">
        <v>1712</v>
      </c>
    </row>
    <row r="1163" spans="1:11" hidden="1">
      <c r="A1163" s="295" t="s">
        <v>42</v>
      </c>
      <c r="B1163" s="197" t="s">
        <v>1713</v>
      </c>
      <c r="C1163" s="197">
        <v>44518</v>
      </c>
      <c r="D1163" s="197" t="s">
        <v>758</v>
      </c>
      <c r="E1163" s="197" t="s">
        <v>56</v>
      </c>
      <c r="F1163" s="314" t="s">
        <v>56</v>
      </c>
      <c r="G1163" s="205" t="s">
        <v>1714</v>
      </c>
      <c r="H1163" s="205" t="s">
        <v>140</v>
      </c>
      <c r="I1163" s="410" t="s">
        <v>1716</v>
      </c>
      <c r="J1163" s="410">
        <v>1.01</v>
      </c>
      <c r="K1163" s="410" t="s">
        <v>1717</v>
      </c>
    </row>
    <row r="1164" spans="1:11" hidden="1">
      <c r="A1164" s="295" t="s">
        <v>42</v>
      </c>
      <c r="B1164" s="197" t="s">
        <v>1713</v>
      </c>
      <c r="C1164" s="197">
        <v>44518</v>
      </c>
      <c r="D1164" s="197" t="s">
        <v>758</v>
      </c>
      <c r="E1164" s="197" t="s">
        <v>56</v>
      </c>
      <c r="F1164" s="314" t="s">
        <v>56</v>
      </c>
      <c r="G1164" s="205" t="s">
        <v>57</v>
      </c>
      <c r="H1164" s="205" t="s">
        <v>1625</v>
      </c>
      <c r="I1164" s="410" t="s">
        <v>1718</v>
      </c>
      <c r="J1164" s="410">
        <v>0.12</v>
      </c>
      <c r="K1164" s="410" t="s">
        <v>1717</v>
      </c>
    </row>
    <row r="1165" spans="1:11" hidden="1">
      <c r="A1165" s="295" t="s">
        <v>42</v>
      </c>
      <c r="B1165" s="197" t="s">
        <v>1713</v>
      </c>
      <c r="C1165" s="197">
        <v>44518</v>
      </c>
      <c r="D1165" s="197" t="s">
        <v>758</v>
      </c>
      <c r="E1165" s="197" t="s">
        <v>56</v>
      </c>
      <c r="F1165" s="314" t="s">
        <v>56</v>
      </c>
      <c r="G1165" s="205" t="s">
        <v>57</v>
      </c>
      <c r="H1165" s="205" t="s">
        <v>1642</v>
      </c>
      <c r="I1165" s="198" t="s">
        <v>1271</v>
      </c>
      <c r="J1165" s="198" t="s">
        <v>1275</v>
      </c>
      <c r="K1165" s="410" t="s">
        <v>1712</v>
      </c>
    </row>
    <row r="1166" spans="1:11" hidden="1">
      <c r="A1166" s="295" t="s">
        <v>42</v>
      </c>
      <c r="B1166" s="197" t="s">
        <v>1713</v>
      </c>
      <c r="C1166" s="197">
        <v>44518</v>
      </c>
      <c r="D1166" s="197" t="s">
        <v>56</v>
      </c>
      <c r="E1166" s="197" t="s">
        <v>758</v>
      </c>
      <c r="F1166" s="314" t="s">
        <v>56</v>
      </c>
      <c r="G1166" s="205" t="s">
        <v>1203</v>
      </c>
      <c r="H1166" s="205" t="s">
        <v>1270</v>
      </c>
      <c r="I1166" s="198" t="s">
        <v>1273</v>
      </c>
      <c r="J1166" s="198" t="s">
        <v>1271</v>
      </c>
      <c r="K1166" s="410" t="s">
        <v>1712</v>
      </c>
    </row>
    <row r="1167" spans="1:11" ht="39.6" hidden="1">
      <c r="A1167" s="295" t="s">
        <v>42</v>
      </c>
      <c r="B1167" s="197" t="s">
        <v>1713</v>
      </c>
      <c r="C1167" s="197">
        <v>44518</v>
      </c>
      <c r="D1167" s="197" t="s">
        <v>56</v>
      </c>
      <c r="E1167" s="197" t="s">
        <v>758</v>
      </c>
      <c r="F1167" s="314" t="s">
        <v>56</v>
      </c>
      <c r="G1167" s="205" t="s">
        <v>1203</v>
      </c>
      <c r="H1167" s="205" t="s">
        <v>1272</v>
      </c>
      <c r="I1167" s="198" t="s">
        <v>1720</v>
      </c>
      <c r="J1167" s="198"/>
      <c r="K1167" s="410" t="s">
        <v>1721</v>
      </c>
    </row>
    <row r="1168" spans="1:11" ht="26.4" hidden="1">
      <c r="A1168" s="295" t="s">
        <v>42</v>
      </c>
      <c r="B1168" s="197" t="s">
        <v>1713</v>
      </c>
      <c r="C1168" s="197">
        <v>44600</v>
      </c>
      <c r="D1168" s="197" t="s">
        <v>758</v>
      </c>
      <c r="E1168" s="197" t="s">
        <v>56</v>
      </c>
      <c r="F1168" s="314" t="s">
        <v>56</v>
      </c>
      <c r="G1168" s="205" t="s">
        <v>57</v>
      </c>
      <c r="H1168" s="205" t="s">
        <v>1719</v>
      </c>
      <c r="I1168" s="198" t="s">
        <v>1723</v>
      </c>
      <c r="J1168" s="198"/>
      <c r="K1168" s="410" t="s">
        <v>1724</v>
      </c>
    </row>
    <row r="1169" spans="1:11" ht="26.4" hidden="1">
      <c r="A1169" s="295" t="s">
        <v>42</v>
      </c>
      <c r="B1169" s="197" t="s">
        <v>1713</v>
      </c>
      <c r="C1169" s="197">
        <v>44600</v>
      </c>
      <c r="D1169" s="197" t="s">
        <v>758</v>
      </c>
      <c r="E1169" s="197" t="s">
        <v>56</v>
      </c>
      <c r="F1169" s="314" t="s">
        <v>56</v>
      </c>
      <c r="G1169" s="205" t="s">
        <v>57</v>
      </c>
      <c r="H1169" s="205" t="s">
        <v>1722</v>
      </c>
      <c r="I1169" s="198" t="s">
        <v>1566</v>
      </c>
      <c r="J1169" s="198" t="s">
        <v>295</v>
      </c>
      <c r="K1169" s="410" t="s">
        <v>1726</v>
      </c>
    </row>
    <row r="1170" spans="1:11" ht="26.4" hidden="1">
      <c r="A1170" s="295" t="s">
        <v>42</v>
      </c>
      <c r="B1170" s="197" t="s">
        <v>1713</v>
      </c>
      <c r="C1170" s="197">
        <v>44600</v>
      </c>
      <c r="D1170" s="197" t="s">
        <v>758</v>
      </c>
      <c r="E1170" s="197" t="s">
        <v>56</v>
      </c>
      <c r="F1170" s="314" t="s">
        <v>56</v>
      </c>
      <c r="G1170" s="205" t="s">
        <v>57</v>
      </c>
      <c r="H1170" s="205" t="s">
        <v>1725</v>
      </c>
      <c r="I1170" s="198" t="s">
        <v>1566</v>
      </c>
      <c r="J1170" s="198" t="s">
        <v>295</v>
      </c>
      <c r="K1170" s="410" t="s">
        <v>1726</v>
      </c>
    </row>
    <row r="1171" spans="1:11" ht="26.4" hidden="1">
      <c r="A1171" s="295" t="s">
        <v>42</v>
      </c>
      <c r="B1171" s="197" t="s">
        <v>1713</v>
      </c>
      <c r="C1171" s="197">
        <v>44600</v>
      </c>
      <c r="D1171" s="197" t="s">
        <v>758</v>
      </c>
      <c r="E1171" s="197" t="s">
        <v>56</v>
      </c>
      <c r="F1171" s="314" t="s">
        <v>56</v>
      </c>
      <c r="G1171" s="205" t="s">
        <v>57</v>
      </c>
      <c r="H1171" s="205" t="s">
        <v>1392</v>
      </c>
      <c r="I1171" s="198" t="s">
        <v>1727</v>
      </c>
      <c r="J1171" s="198"/>
      <c r="K1171" s="410" t="s">
        <v>1728</v>
      </c>
    </row>
    <row r="1172" spans="1:11" ht="26.4" hidden="1">
      <c r="A1172" s="295" t="s">
        <v>42</v>
      </c>
      <c r="B1172" s="197" t="s">
        <v>1713</v>
      </c>
      <c r="C1172" s="197">
        <v>44600</v>
      </c>
      <c r="D1172" s="197" t="s">
        <v>758</v>
      </c>
      <c r="E1172" s="197" t="s">
        <v>56</v>
      </c>
      <c r="F1172" s="314" t="s">
        <v>56</v>
      </c>
      <c r="G1172" s="205" t="s">
        <v>57</v>
      </c>
      <c r="H1172" s="205" t="s">
        <v>137</v>
      </c>
      <c r="I1172" s="198" t="s">
        <v>1729</v>
      </c>
      <c r="J1172" s="198"/>
      <c r="K1172" s="410" t="s">
        <v>1728</v>
      </c>
    </row>
    <row r="1173" spans="1:11" ht="26.4" hidden="1">
      <c r="A1173" s="295" t="s">
        <v>42</v>
      </c>
      <c r="B1173" s="197" t="s">
        <v>1713</v>
      </c>
      <c r="C1173" s="197">
        <v>44600</v>
      </c>
      <c r="D1173" s="197" t="s">
        <v>758</v>
      </c>
      <c r="E1173" s="197" t="s">
        <v>56</v>
      </c>
      <c r="F1173" s="314" t="s">
        <v>56</v>
      </c>
      <c r="G1173" s="205" t="s">
        <v>57</v>
      </c>
      <c r="H1173" s="205" t="s">
        <v>324</v>
      </c>
      <c r="I1173" s="198" t="s">
        <v>1731</v>
      </c>
      <c r="J1173" s="198"/>
      <c r="K1173" s="410" t="s">
        <v>1728</v>
      </c>
    </row>
    <row r="1174" spans="1:11" ht="26.4" hidden="1">
      <c r="A1174" s="295" t="s">
        <v>42</v>
      </c>
      <c r="B1174" s="197" t="s">
        <v>1713</v>
      </c>
      <c r="C1174" s="197">
        <v>44600</v>
      </c>
      <c r="D1174" s="197" t="s">
        <v>758</v>
      </c>
      <c r="E1174" s="197" t="s">
        <v>56</v>
      </c>
      <c r="F1174" s="314" t="s">
        <v>56</v>
      </c>
      <c r="G1174" s="205" t="s">
        <v>57</v>
      </c>
      <c r="H1174" s="205" t="s">
        <v>1730</v>
      </c>
      <c r="I1174" s="198" t="s">
        <v>1732</v>
      </c>
      <c r="J1174" s="198"/>
      <c r="K1174" s="410" t="s">
        <v>1728</v>
      </c>
    </row>
    <row r="1175" spans="1:11" ht="118.8" hidden="1">
      <c r="A1175" s="295" t="s">
        <v>42</v>
      </c>
      <c r="B1175" s="197" t="s">
        <v>1713</v>
      </c>
      <c r="C1175" s="197">
        <v>44600</v>
      </c>
      <c r="D1175" s="197" t="s">
        <v>758</v>
      </c>
      <c r="E1175" s="197" t="s">
        <v>56</v>
      </c>
      <c r="F1175" s="314" t="s">
        <v>56</v>
      </c>
      <c r="G1175" s="205" t="s">
        <v>57</v>
      </c>
      <c r="H1175" s="205" t="s">
        <v>921</v>
      </c>
      <c r="I1175" s="198" t="s">
        <v>1733</v>
      </c>
      <c r="J1175" s="198" t="s">
        <v>1734</v>
      </c>
      <c r="K1175" s="410" t="s">
        <v>1735</v>
      </c>
    </row>
    <row r="1176" spans="1:11" ht="52.8" hidden="1">
      <c r="A1176" s="295" t="s">
        <v>42</v>
      </c>
      <c r="B1176" s="197" t="s">
        <v>1713</v>
      </c>
      <c r="C1176" s="197">
        <v>44602</v>
      </c>
      <c r="D1176" s="197" t="s">
        <v>758</v>
      </c>
      <c r="E1176" s="197" t="s">
        <v>56</v>
      </c>
      <c r="F1176" s="314" t="s">
        <v>56</v>
      </c>
      <c r="G1176" s="205" t="s">
        <v>69</v>
      </c>
      <c r="H1176" s="205" t="s">
        <v>131</v>
      </c>
      <c r="I1176" s="198" t="s">
        <v>1736</v>
      </c>
      <c r="J1176" s="198" t="s">
        <v>1737</v>
      </c>
      <c r="K1176" s="410" t="s">
        <v>1738</v>
      </c>
    </row>
    <row r="1177" spans="1:11" ht="66" hidden="1">
      <c r="A1177" s="295" t="s">
        <v>42</v>
      </c>
      <c r="B1177" s="197" t="s">
        <v>1713</v>
      </c>
      <c r="C1177" s="197">
        <v>44602</v>
      </c>
      <c r="D1177" s="197" t="s">
        <v>758</v>
      </c>
      <c r="E1177" s="197" t="s">
        <v>56</v>
      </c>
      <c r="F1177" s="314" t="s">
        <v>56</v>
      </c>
      <c r="G1177" s="205" t="s">
        <v>69</v>
      </c>
      <c r="H1177" s="205" t="s">
        <v>1696</v>
      </c>
      <c r="I1177" s="198" t="s">
        <v>81</v>
      </c>
      <c r="J1177" s="198" t="s">
        <v>1740</v>
      </c>
      <c r="K1177" s="410" t="s">
        <v>1741</v>
      </c>
    </row>
    <row r="1178" spans="1:11" ht="66" hidden="1">
      <c r="A1178" s="295" t="s">
        <v>42</v>
      </c>
      <c r="B1178" s="197" t="s">
        <v>1713</v>
      </c>
      <c r="C1178" s="197">
        <v>44602</v>
      </c>
      <c r="D1178" s="197" t="s">
        <v>758</v>
      </c>
      <c r="E1178" s="197" t="s">
        <v>56</v>
      </c>
      <c r="F1178" s="314" t="s">
        <v>56</v>
      </c>
      <c r="G1178" s="205" t="s">
        <v>69</v>
      </c>
      <c r="H1178" s="205" t="s">
        <v>1739</v>
      </c>
      <c r="I1178" s="198">
        <v>0</v>
      </c>
      <c r="J1178" s="198" t="s">
        <v>1743</v>
      </c>
      <c r="K1178" s="410" t="s">
        <v>1741</v>
      </c>
    </row>
    <row r="1179" spans="1:11" ht="66" hidden="1">
      <c r="A1179" s="295" t="s">
        <v>42</v>
      </c>
      <c r="B1179" s="197" t="s">
        <v>1713</v>
      </c>
      <c r="C1179" s="197">
        <v>44602</v>
      </c>
      <c r="D1179" s="197" t="s">
        <v>758</v>
      </c>
      <c r="E1179" s="197" t="s">
        <v>56</v>
      </c>
      <c r="F1179" s="314" t="s">
        <v>56</v>
      </c>
      <c r="G1179" s="205" t="s">
        <v>69</v>
      </c>
      <c r="H1179" s="205" t="s">
        <v>1742</v>
      </c>
      <c r="I1179" s="198" t="s">
        <v>87</v>
      </c>
      <c r="J1179" s="198" t="s">
        <v>1745</v>
      </c>
      <c r="K1179" s="410" t="s">
        <v>1741</v>
      </c>
    </row>
    <row r="1180" spans="1:11" ht="66" hidden="1">
      <c r="A1180" s="295" t="s">
        <v>42</v>
      </c>
      <c r="B1180" s="197" t="s">
        <v>1713</v>
      </c>
      <c r="C1180" s="197">
        <v>44602</v>
      </c>
      <c r="D1180" s="197" t="s">
        <v>758</v>
      </c>
      <c r="E1180" s="197" t="s">
        <v>56</v>
      </c>
      <c r="F1180" s="314" t="s">
        <v>56</v>
      </c>
      <c r="G1180" s="205" t="s">
        <v>69</v>
      </c>
      <c r="H1180" s="205" t="s">
        <v>1744</v>
      </c>
      <c r="I1180" s="198">
        <v>3.5999999999999999E-3</v>
      </c>
      <c r="J1180" s="198" t="s">
        <v>1747</v>
      </c>
      <c r="K1180" s="410" t="s">
        <v>1741</v>
      </c>
    </row>
    <row r="1181" spans="1:11" ht="79.2" hidden="1">
      <c r="A1181" s="295" t="s">
        <v>42</v>
      </c>
      <c r="B1181" s="197" t="s">
        <v>1713</v>
      </c>
      <c r="C1181" s="197">
        <v>44602</v>
      </c>
      <c r="D1181" s="197" t="s">
        <v>758</v>
      </c>
      <c r="E1181" s="197" t="s">
        <v>56</v>
      </c>
      <c r="F1181" s="314" t="s">
        <v>56</v>
      </c>
      <c r="G1181" s="205" t="s">
        <v>69</v>
      </c>
      <c r="H1181" s="205" t="s">
        <v>1746</v>
      </c>
      <c r="I1181" s="198" t="s">
        <v>1748</v>
      </c>
      <c r="J1181" s="198" t="s">
        <v>1749</v>
      </c>
      <c r="K1181" s="410" t="s">
        <v>1738</v>
      </c>
    </row>
    <row r="1182" spans="1:11" ht="79.2" hidden="1">
      <c r="A1182" s="295" t="s">
        <v>42</v>
      </c>
      <c r="B1182" s="197" t="s">
        <v>1713</v>
      </c>
      <c r="C1182" s="197">
        <v>44602</v>
      </c>
      <c r="D1182" s="197" t="s">
        <v>758</v>
      </c>
      <c r="E1182" s="197" t="s">
        <v>56</v>
      </c>
      <c r="F1182" s="314" t="s">
        <v>56</v>
      </c>
      <c r="G1182" s="205" t="s">
        <v>69</v>
      </c>
      <c r="H1182" s="205" t="s">
        <v>1606</v>
      </c>
      <c r="I1182" s="198" t="s">
        <v>1750</v>
      </c>
      <c r="J1182" s="198" t="s">
        <v>1751</v>
      </c>
      <c r="K1182" s="410" t="s">
        <v>1738</v>
      </c>
    </row>
    <row r="1183" spans="1:11" ht="79.2" hidden="1">
      <c r="A1183" s="295" t="s">
        <v>42</v>
      </c>
      <c r="B1183" s="197" t="s">
        <v>1713</v>
      </c>
      <c r="C1183" s="197">
        <v>44602</v>
      </c>
      <c r="D1183" s="197" t="s">
        <v>758</v>
      </c>
      <c r="E1183" s="197" t="s">
        <v>56</v>
      </c>
      <c r="F1183" s="314" t="s">
        <v>56</v>
      </c>
      <c r="G1183" s="205" t="s">
        <v>69</v>
      </c>
      <c r="H1183" s="205" t="s">
        <v>1701</v>
      </c>
      <c r="I1183" s="198" t="s">
        <v>1752</v>
      </c>
      <c r="J1183" s="198" t="s">
        <v>1753</v>
      </c>
      <c r="K1183" s="410" t="s">
        <v>1738</v>
      </c>
    </row>
    <row r="1184" spans="1:11" ht="79.2" hidden="1">
      <c r="A1184" s="295" t="s">
        <v>42</v>
      </c>
      <c r="B1184" s="197" t="s">
        <v>1713</v>
      </c>
      <c r="C1184" s="197">
        <v>44602</v>
      </c>
      <c r="D1184" s="197" t="s">
        <v>758</v>
      </c>
      <c r="E1184" s="197" t="s">
        <v>56</v>
      </c>
      <c r="F1184" s="314" t="s">
        <v>56</v>
      </c>
      <c r="G1184" s="205" t="s">
        <v>69</v>
      </c>
      <c r="H1184" s="205" t="s">
        <v>119</v>
      </c>
      <c r="I1184" s="198" t="s">
        <v>1754</v>
      </c>
      <c r="J1184" s="198" t="s">
        <v>1755</v>
      </c>
      <c r="K1184" s="410" t="s">
        <v>1738</v>
      </c>
    </row>
    <row r="1185" spans="1:11" ht="52.8" hidden="1">
      <c r="A1185" s="295" t="s">
        <v>42</v>
      </c>
      <c r="B1185" s="197" t="s">
        <v>1713</v>
      </c>
      <c r="C1185" s="197">
        <v>44602</v>
      </c>
      <c r="D1185" s="197" t="s">
        <v>758</v>
      </c>
      <c r="E1185" s="197" t="s">
        <v>56</v>
      </c>
      <c r="F1185" s="314" t="s">
        <v>56</v>
      </c>
      <c r="G1185" s="205" t="s">
        <v>69</v>
      </c>
      <c r="H1185" s="205" t="s">
        <v>126</v>
      </c>
      <c r="I1185" s="198" t="s">
        <v>1736</v>
      </c>
      <c r="J1185" s="198" t="s">
        <v>1737</v>
      </c>
      <c r="K1185" s="410" t="s">
        <v>1738</v>
      </c>
    </row>
    <row r="1186" spans="1:11" ht="66" hidden="1">
      <c r="A1186" s="295" t="s">
        <v>42</v>
      </c>
      <c r="B1186" s="197" t="s">
        <v>1713</v>
      </c>
      <c r="C1186" s="197">
        <v>44602</v>
      </c>
      <c r="D1186" s="197" t="s">
        <v>758</v>
      </c>
      <c r="E1186" s="197" t="s">
        <v>56</v>
      </c>
      <c r="F1186" s="314" t="s">
        <v>56</v>
      </c>
      <c r="G1186" s="205" t="s">
        <v>69</v>
      </c>
      <c r="H1186" s="205" t="s">
        <v>1708</v>
      </c>
      <c r="I1186" s="198" t="s">
        <v>165</v>
      </c>
      <c r="J1186" s="198" t="s">
        <v>1757</v>
      </c>
      <c r="K1186" s="410" t="s">
        <v>1758</v>
      </c>
    </row>
    <row r="1187" spans="1:11" ht="66" hidden="1">
      <c r="A1187" s="295" t="s">
        <v>42</v>
      </c>
      <c r="B1187" s="197" t="s">
        <v>1713</v>
      </c>
      <c r="C1187" s="197">
        <v>44602</v>
      </c>
      <c r="D1187" s="197" t="s">
        <v>758</v>
      </c>
      <c r="E1187" s="197" t="s">
        <v>56</v>
      </c>
      <c r="F1187" s="314" t="s">
        <v>56</v>
      </c>
      <c r="G1187" s="205" t="s">
        <v>159</v>
      </c>
      <c r="H1187" s="205" t="s">
        <v>1756</v>
      </c>
      <c r="I1187" s="198" t="s">
        <v>171</v>
      </c>
      <c r="J1187" s="198" t="s">
        <v>1760</v>
      </c>
      <c r="K1187" s="410" t="s">
        <v>1758</v>
      </c>
    </row>
    <row r="1188" spans="1:11" ht="66" hidden="1">
      <c r="A1188" s="295" t="s">
        <v>42</v>
      </c>
      <c r="B1188" s="197" t="s">
        <v>1713</v>
      </c>
      <c r="C1188" s="197">
        <v>44602</v>
      </c>
      <c r="D1188" s="197" t="s">
        <v>758</v>
      </c>
      <c r="E1188" s="197" t="s">
        <v>56</v>
      </c>
      <c r="F1188" s="314" t="s">
        <v>56</v>
      </c>
      <c r="G1188" s="205" t="s">
        <v>159</v>
      </c>
      <c r="H1188" s="205" t="s">
        <v>1759</v>
      </c>
      <c r="I1188" s="198" t="s">
        <v>174</v>
      </c>
      <c r="J1188" s="198" t="s">
        <v>1762</v>
      </c>
      <c r="K1188" s="410" t="s">
        <v>1758</v>
      </c>
    </row>
    <row r="1189" spans="1:11" ht="66" hidden="1">
      <c r="A1189" s="295" t="s">
        <v>42</v>
      </c>
      <c r="B1189" s="197" t="s">
        <v>1713</v>
      </c>
      <c r="C1189" s="197">
        <v>44602</v>
      </c>
      <c r="D1189" s="197" t="s">
        <v>758</v>
      </c>
      <c r="E1189" s="197" t="s">
        <v>56</v>
      </c>
      <c r="F1189" s="314" t="s">
        <v>56</v>
      </c>
      <c r="G1189" s="205" t="s">
        <v>159</v>
      </c>
      <c r="H1189" s="205" t="s">
        <v>1761</v>
      </c>
      <c r="I1189" s="198" t="s">
        <v>177</v>
      </c>
      <c r="J1189" s="198" t="s">
        <v>1764</v>
      </c>
      <c r="K1189" s="410" t="s">
        <v>1758</v>
      </c>
    </row>
    <row r="1190" spans="1:11" ht="79.2" hidden="1">
      <c r="A1190" s="295" t="s">
        <v>42</v>
      </c>
      <c r="B1190" s="197" t="s">
        <v>1713</v>
      </c>
      <c r="C1190" s="197">
        <v>44602</v>
      </c>
      <c r="D1190" s="197" t="s">
        <v>758</v>
      </c>
      <c r="E1190" s="197" t="s">
        <v>56</v>
      </c>
      <c r="F1190" s="314" t="s">
        <v>56</v>
      </c>
      <c r="G1190" s="205" t="s">
        <v>159</v>
      </c>
      <c r="H1190" s="205" t="s">
        <v>1763</v>
      </c>
      <c r="I1190" s="198" t="s">
        <v>1766</v>
      </c>
      <c r="J1190" s="198" t="s">
        <v>1767</v>
      </c>
      <c r="K1190" s="410" t="s">
        <v>1738</v>
      </c>
    </row>
    <row r="1191" spans="1:11" ht="79.2" hidden="1">
      <c r="A1191" s="295" t="s">
        <v>42</v>
      </c>
      <c r="B1191" s="197" t="s">
        <v>1713</v>
      </c>
      <c r="C1191" s="197">
        <v>44602</v>
      </c>
      <c r="D1191" s="197" t="s">
        <v>758</v>
      </c>
      <c r="E1191" s="197" t="s">
        <v>56</v>
      </c>
      <c r="F1191" s="314" t="s">
        <v>56</v>
      </c>
      <c r="G1191" s="205" t="s">
        <v>1765</v>
      </c>
      <c r="H1191" s="205" t="s">
        <v>1302</v>
      </c>
      <c r="I1191" s="198" t="s">
        <v>1768</v>
      </c>
      <c r="J1191" s="198" t="s">
        <v>1767</v>
      </c>
      <c r="K1191" s="410" t="s">
        <v>1738</v>
      </c>
    </row>
    <row r="1192" spans="1:11" ht="79.2" hidden="1">
      <c r="A1192" s="295" t="s">
        <v>42</v>
      </c>
      <c r="B1192" s="197" t="s">
        <v>1713</v>
      </c>
      <c r="C1192" s="197">
        <v>44602</v>
      </c>
      <c r="D1192" s="197" t="s">
        <v>758</v>
      </c>
      <c r="E1192" s="197" t="s">
        <v>56</v>
      </c>
      <c r="F1192" s="314" t="s">
        <v>56</v>
      </c>
      <c r="G1192" s="205" t="s">
        <v>1765</v>
      </c>
      <c r="H1192" s="205" t="s">
        <v>1304</v>
      </c>
      <c r="I1192" s="198" t="s">
        <v>1768</v>
      </c>
      <c r="J1192" s="198" t="s">
        <v>1767</v>
      </c>
      <c r="K1192" s="410" t="s">
        <v>1738</v>
      </c>
    </row>
    <row r="1193" spans="1:11" ht="79.2" hidden="1">
      <c r="A1193" s="295" t="s">
        <v>42</v>
      </c>
      <c r="B1193" s="197" t="s">
        <v>1713</v>
      </c>
      <c r="C1193" s="197">
        <v>44602</v>
      </c>
      <c r="D1193" s="197" t="s">
        <v>758</v>
      </c>
      <c r="E1193" s="197" t="s">
        <v>56</v>
      </c>
      <c r="F1193" s="314" t="s">
        <v>56</v>
      </c>
      <c r="G1193" s="205" t="s">
        <v>1765</v>
      </c>
      <c r="H1193" s="205" t="s">
        <v>1305</v>
      </c>
      <c r="I1193" s="198" t="s">
        <v>1768</v>
      </c>
      <c r="J1193" s="198" t="s">
        <v>1767</v>
      </c>
      <c r="K1193" s="410" t="s">
        <v>1738</v>
      </c>
    </row>
    <row r="1194" spans="1:11" ht="79.2" hidden="1">
      <c r="A1194" s="295" t="s">
        <v>42</v>
      </c>
      <c r="B1194" s="197" t="s">
        <v>1713</v>
      </c>
      <c r="C1194" s="197">
        <v>44602</v>
      </c>
      <c r="D1194" s="197" t="s">
        <v>758</v>
      </c>
      <c r="E1194" s="197" t="s">
        <v>56</v>
      </c>
      <c r="F1194" s="314" t="s">
        <v>56</v>
      </c>
      <c r="G1194" s="205" t="s">
        <v>1765</v>
      </c>
      <c r="H1194" s="205" t="s">
        <v>1306</v>
      </c>
      <c r="I1194" s="198" t="s">
        <v>1768</v>
      </c>
      <c r="J1194" s="198" t="s">
        <v>1767</v>
      </c>
      <c r="K1194" s="410" t="s">
        <v>1738</v>
      </c>
    </row>
    <row r="1195" spans="1:11" ht="79.2" hidden="1">
      <c r="A1195" s="295" t="s">
        <v>42</v>
      </c>
      <c r="B1195" s="197" t="s">
        <v>1713</v>
      </c>
      <c r="C1195" s="197">
        <v>44602</v>
      </c>
      <c r="D1195" s="197" t="s">
        <v>758</v>
      </c>
      <c r="E1195" s="197" t="s">
        <v>56</v>
      </c>
      <c r="F1195" s="314" t="s">
        <v>56</v>
      </c>
      <c r="G1195" s="205" t="s">
        <v>1765</v>
      </c>
      <c r="H1195" s="205" t="s">
        <v>1308</v>
      </c>
      <c r="I1195" s="198" t="s">
        <v>1769</v>
      </c>
      <c r="J1195" s="198" t="s">
        <v>1770</v>
      </c>
      <c r="K1195" s="410" t="s">
        <v>1738</v>
      </c>
    </row>
    <row r="1196" spans="1:11" ht="79.2" hidden="1">
      <c r="A1196" s="295" t="s">
        <v>42</v>
      </c>
      <c r="B1196" s="197" t="s">
        <v>1713</v>
      </c>
      <c r="C1196" s="197">
        <v>44602</v>
      </c>
      <c r="D1196" s="197" t="s">
        <v>758</v>
      </c>
      <c r="E1196" s="197" t="s">
        <v>56</v>
      </c>
      <c r="F1196" s="314" t="s">
        <v>56</v>
      </c>
      <c r="G1196" s="205" t="s">
        <v>1765</v>
      </c>
      <c r="H1196" s="205" t="s">
        <v>707</v>
      </c>
      <c r="I1196" s="198" t="s">
        <v>1771</v>
      </c>
      <c r="J1196" s="198" t="s">
        <v>1772</v>
      </c>
      <c r="K1196" s="410" t="s">
        <v>1738</v>
      </c>
    </row>
    <row r="1197" spans="1:11" ht="79.2" hidden="1">
      <c r="A1197" s="295" t="s">
        <v>42</v>
      </c>
      <c r="B1197" s="197" t="s">
        <v>1713</v>
      </c>
      <c r="C1197" s="197">
        <v>44602</v>
      </c>
      <c r="D1197" s="197" t="s">
        <v>758</v>
      </c>
      <c r="E1197" s="197" t="s">
        <v>56</v>
      </c>
      <c r="F1197" s="314" t="s">
        <v>56</v>
      </c>
      <c r="G1197" s="205" t="s">
        <v>1765</v>
      </c>
      <c r="H1197" s="205" t="s">
        <v>1311</v>
      </c>
      <c r="I1197" s="198" t="s">
        <v>1773</v>
      </c>
      <c r="J1197" s="198" t="s">
        <v>1774</v>
      </c>
      <c r="K1197" s="410" t="s">
        <v>1738</v>
      </c>
    </row>
    <row r="1198" spans="1:11" ht="79.2" hidden="1">
      <c r="A1198" s="295" t="s">
        <v>42</v>
      </c>
      <c r="B1198" s="197" t="s">
        <v>1713</v>
      </c>
      <c r="C1198" s="197">
        <v>44602</v>
      </c>
      <c r="D1198" s="197" t="s">
        <v>758</v>
      </c>
      <c r="E1198" s="197" t="s">
        <v>56</v>
      </c>
      <c r="F1198" s="314" t="s">
        <v>56</v>
      </c>
      <c r="G1198" s="205" t="s">
        <v>1765</v>
      </c>
      <c r="H1198" s="205" t="s">
        <v>1313</v>
      </c>
      <c r="I1198" s="198" t="s">
        <v>1775</v>
      </c>
      <c r="J1198" s="198" t="s">
        <v>1776</v>
      </c>
      <c r="K1198" s="410" t="s">
        <v>1738</v>
      </c>
    </row>
    <row r="1199" spans="1:11" ht="52.8" hidden="1">
      <c r="A1199" s="295" t="s">
        <v>42</v>
      </c>
      <c r="B1199" s="197" t="s">
        <v>1713</v>
      </c>
      <c r="C1199" s="197">
        <v>44602</v>
      </c>
      <c r="D1199" s="197" t="s">
        <v>758</v>
      </c>
      <c r="E1199" s="197" t="s">
        <v>56</v>
      </c>
      <c r="F1199" s="314" t="s">
        <v>56</v>
      </c>
      <c r="G1199" s="205" t="s">
        <v>1765</v>
      </c>
      <c r="H1199" s="205" t="s">
        <v>1315</v>
      </c>
      <c r="I1199" s="198" t="s">
        <v>1777</v>
      </c>
      <c r="J1199" s="198" t="s">
        <v>1778</v>
      </c>
      <c r="K1199" s="410" t="s">
        <v>1738</v>
      </c>
    </row>
    <row r="1200" spans="1:11" ht="52.8" hidden="1">
      <c r="A1200" s="295" t="s">
        <v>42</v>
      </c>
      <c r="B1200" s="197" t="s">
        <v>1713</v>
      </c>
      <c r="C1200" s="197">
        <v>44602</v>
      </c>
      <c r="D1200" s="197" t="s">
        <v>758</v>
      </c>
      <c r="E1200" s="197" t="s">
        <v>56</v>
      </c>
      <c r="F1200" s="314" t="s">
        <v>56</v>
      </c>
      <c r="G1200" s="205" t="s">
        <v>1714</v>
      </c>
      <c r="H1200" s="205" t="s">
        <v>1241</v>
      </c>
      <c r="I1200" s="198" t="s">
        <v>1779</v>
      </c>
      <c r="J1200" s="198" t="s">
        <v>1780</v>
      </c>
      <c r="K1200" s="410" t="s">
        <v>1738</v>
      </c>
    </row>
    <row r="1201" spans="1:12" ht="52.8" hidden="1">
      <c r="A1201" s="295" t="s">
        <v>42</v>
      </c>
      <c r="B1201" s="197" t="s">
        <v>1713</v>
      </c>
      <c r="C1201" s="197">
        <v>44602</v>
      </c>
      <c r="D1201" s="197" t="s">
        <v>758</v>
      </c>
      <c r="E1201" s="197" t="s">
        <v>56</v>
      </c>
      <c r="F1201" s="314" t="s">
        <v>56</v>
      </c>
      <c r="G1201" s="205" t="s">
        <v>1714</v>
      </c>
      <c r="H1201" s="205" t="s">
        <v>1265</v>
      </c>
      <c r="I1201" s="198" t="s">
        <v>1781</v>
      </c>
      <c r="J1201" s="198" t="s">
        <v>1782</v>
      </c>
      <c r="K1201" s="410" t="s">
        <v>1738</v>
      </c>
    </row>
    <row r="1202" spans="1:12" ht="52.8" hidden="1">
      <c r="A1202" s="295" t="s">
        <v>42</v>
      </c>
      <c r="B1202" s="197" t="s">
        <v>1713</v>
      </c>
      <c r="C1202" s="197">
        <v>44602</v>
      </c>
      <c r="D1202" s="197" t="s">
        <v>758</v>
      </c>
      <c r="E1202" s="197" t="s">
        <v>56</v>
      </c>
      <c r="F1202" s="314" t="s">
        <v>56</v>
      </c>
      <c r="G1202" s="205" t="s">
        <v>1714</v>
      </c>
      <c r="H1202" s="205" t="s">
        <v>1295</v>
      </c>
      <c r="I1202" s="198" t="s">
        <v>1783</v>
      </c>
      <c r="J1202" s="198" t="s">
        <v>1784</v>
      </c>
      <c r="K1202" s="410" t="s">
        <v>1738</v>
      </c>
    </row>
    <row r="1203" spans="1:12" ht="52.8" hidden="1">
      <c r="A1203" s="295" t="s">
        <v>42</v>
      </c>
      <c r="B1203" s="197" t="s">
        <v>1713</v>
      </c>
      <c r="C1203" s="197">
        <v>44602</v>
      </c>
      <c r="D1203" s="197" t="s">
        <v>758</v>
      </c>
      <c r="E1203" s="197" t="s">
        <v>56</v>
      </c>
      <c r="F1203" s="314" t="s">
        <v>56</v>
      </c>
      <c r="G1203" s="205" t="s">
        <v>1714</v>
      </c>
      <c r="H1203" s="205" t="s">
        <v>1307</v>
      </c>
      <c r="I1203" s="198" t="s">
        <v>1781</v>
      </c>
      <c r="J1203" s="198" t="s">
        <v>1784</v>
      </c>
      <c r="K1203" s="410" t="s">
        <v>1738</v>
      </c>
    </row>
    <row r="1204" spans="1:12" ht="52.8" hidden="1">
      <c r="A1204" s="295" t="s">
        <v>42</v>
      </c>
      <c r="B1204" s="197" t="s">
        <v>1713</v>
      </c>
      <c r="C1204" s="197">
        <v>44602</v>
      </c>
      <c r="D1204" s="197" t="s">
        <v>758</v>
      </c>
      <c r="E1204" s="197" t="s">
        <v>56</v>
      </c>
      <c r="F1204" s="314" t="s">
        <v>56</v>
      </c>
      <c r="G1204" s="205" t="s">
        <v>1714</v>
      </c>
      <c r="H1204" s="205" t="s">
        <v>703</v>
      </c>
      <c r="I1204" s="198" t="s">
        <v>1783</v>
      </c>
      <c r="J1204" s="198" t="s">
        <v>1784</v>
      </c>
      <c r="K1204" s="410" t="s">
        <v>1738</v>
      </c>
    </row>
    <row r="1205" spans="1:12" ht="52.8" hidden="1">
      <c r="A1205" s="295" t="s">
        <v>42</v>
      </c>
      <c r="B1205" s="197" t="s">
        <v>1713</v>
      </c>
      <c r="C1205" s="197">
        <v>44602</v>
      </c>
      <c r="D1205" s="197" t="s">
        <v>758</v>
      </c>
      <c r="E1205" s="197" t="s">
        <v>56</v>
      </c>
      <c r="F1205" s="314" t="s">
        <v>56</v>
      </c>
      <c r="G1205" s="205" t="s">
        <v>1714</v>
      </c>
      <c r="H1205" s="205" t="s">
        <v>707</v>
      </c>
      <c r="I1205" s="198" t="s">
        <v>1785</v>
      </c>
      <c r="J1205" s="198" t="s">
        <v>1786</v>
      </c>
      <c r="K1205" s="410" t="s">
        <v>1738</v>
      </c>
    </row>
    <row r="1206" spans="1:12" ht="79.2" hidden="1">
      <c r="A1206" s="295" t="s">
        <v>42</v>
      </c>
      <c r="B1206" s="197" t="s">
        <v>1713</v>
      </c>
      <c r="C1206" s="197">
        <v>44602</v>
      </c>
      <c r="D1206" s="197" t="s">
        <v>758</v>
      </c>
      <c r="E1206" s="197" t="s">
        <v>56</v>
      </c>
      <c r="F1206" s="314" t="s">
        <v>56</v>
      </c>
      <c r="G1206" s="205" t="s">
        <v>1714</v>
      </c>
      <c r="H1206" s="205" t="s">
        <v>1299</v>
      </c>
      <c r="I1206" s="198" t="s">
        <v>1769</v>
      </c>
      <c r="J1206" s="198" t="s">
        <v>1776</v>
      </c>
      <c r="K1206" s="410" t="s">
        <v>1738</v>
      </c>
      <c r="L1206" s="440"/>
    </row>
    <row r="1207" spans="1:12" ht="66" hidden="1">
      <c r="A1207" s="295" t="s">
        <v>42</v>
      </c>
      <c r="B1207" s="197" t="s">
        <v>1713</v>
      </c>
      <c r="C1207" s="197">
        <v>44602</v>
      </c>
      <c r="D1207" s="197" t="s">
        <v>758</v>
      </c>
      <c r="E1207" s="197" t="s">
        <v>56</v>
      </c>
      <c r="F1207" s="314" t="s">
        <v>56</v>
      </c>
      <c r="G1207" s="205" t="s">
        <v>1714</v>
      </c>
      <c r="H1207" s="205" t="s">
        <v>1315</v>
      </c>
      <c r="I1207" s="198" t="s">
        <v>1787</v>
      </c>
      <c r="J1207" s="198" t="s">
        <v>1788</v>
      </c>
      <c r="K1207" s="410" t="s">
        <v>1738</v>
      </c>
    </row>
    <row r="1208" spans="1:12" ht="66" hidden="1">
      <c r="A1208" s="295" t="s">
        <v>42</v>
      </c>
      <c r="B1208" s="197" t="s">
        <v>1713</v>
      </c>
      <c r="C1208" s="197">
        <v>44602</v>
      </c>
      <c r="D1208" s="197" t="s">
        <v>758</v>
      </c>
      <c r="E1208" s="197" t="s">
        <v>56</v>
      </c>
      <c r="F1208" s="314" t="s">
        <v>56</v>
      </c>
      <c r="G1208" s="205" t="s">
        <v>1714</v>
      </c>
      <c r="H1208" s="205" t="s">
        <v>1460</v>
      </c>
      <c r="I1208" s="198" t="s">
        <v>1789</v>
      </c>
      <c r="J1208" s="198" t="s">
        <v>1790</v>
      </c>
      <c r="K1208" s="410" t="s">
        <v>1738</v>
      </c>
    </row>
    <row r="1209" spans="1:12" ht="66" hidden="1">
      <c r="A1209" s="295" t="s">
        <v>42</v>
      </c>
      <c r="B1209" s="197" t="s">
        <v>1713</v>
      </c>
      <c r="C1209" s="197">
        <v>44602</v>
      </c>
      <c r="D1209" s="197" t="s">
        <v>758</v>
      </c>
      <c r="E1209" s="197" t="s">
        <v>56</v>
      </c>
      <c r="F1209" s="314" t="s">
        <v>56</v>
      </c>
      <c r="G1209" s="205" t="s">
        <v>1714</v>
      </c>
      <c r="H1209" s="205" t="s">
        <v>1462</v>
      </c>
      <c r="I1209" s="198" t="s">
        <v>1791</v>
      </c>
      <c r="J1209" s="198" t="s">
        <v>1792</v>
      </c>
      <c r="K1209" s="410" t="s">
        <v>1738</v>
      </c>
    </row>
    <row r="1210" spans="1:12" hidden="1">
      <c r="A1210" s="295" t="s">
        <v>42</v>
      </c>
      <c r="B1210" s="197" t="s">
        <v>1713</v>
      </c>
      <c r="C1210" s="197">
        <v>44602</v>
      </c>
      <c r="D1210" s="197" t="s">
        <v>758</v>
      </c>
      <c r="E1210" s="197" t="s">
        <v>56</v>
      </c>
      <c r="F1210" s="314" t="s">
        <v>56</v>
      </c>
      <c r="G1210" s="205" t="s">
        <v>1714</v>
      </c>
      <c r="H1210" s="205" t="s">
        <v>1464</v>
      </c>
      <c r="I1210" s="198" t="s">
        <v>1793</v>
      </c>
      <c r="J1210" s="198" t="s">
        <v>1509</v>
      </c>
      <c r="K1210" s="410" t="s">
        <v>1794</v>
      </c>
    </row>
    <row r="1211" spans="1:12" hidden="1">
      <c r="A1211" s="295" t="s">
        <v>42</v>
      </c>
      <c r="B1211" s="197" t="s">
        <v>1713</v>
      </c>
      <c r="C1211" s="197">
        <v>44602</v>
      </c>
      <c r="D1211" s="197" t="s">
        <v>758</v>
      </c>
      <c r="E1211" s="197" t="s">
        <v>56</v>
      </c>
      <c r="F1211" s="314" t="s">
        <v>56</v>
      </c>
      <c r="G1211" s="205" t="s">
        <v>1714</v>
      </c>
      <c r="H1211" s="205" t="s">
        <v>744</v>
      </c>
      <c r="I1211" s="198" t="s">
        <v>1795</v>
      </c>
      <c r="J1211" s="198" t="s">
        <v>1796</v>
      </c>
      <c r="K1211" s="410" t="s">
        <v>1794</v>
      </c>
    </row>
    <row r="1212" spans="1:12" hidden="1">
      <c r="A1212" s="295" t="s">
        <v>42</v>
      </c>
      <c r="B1212" s="197" t="s">
        <v>1713</v>
      </c>
      <c r="C1212" s="197">
        <v>44602</v>
      </c>
      <c r="D1212" s="197" t="s">
        <v>758</v>
      </c>
      <c r="E1212" s="197" t="s">
        <v>56</v>
      </c>
      <c r="F1212" s="314" t="s">
        <v>56</v>
      </c>
      <c r="G1212" s="205" t="s">
        <v>1714</v>
      </c>
      <c r="H1212" s="205" t="s">
        <v>746</v>
      </c>
      <c r="I1212" s="198" t="s">
        <v>1798</v>
      </c>
      <c r="J1212" s="198" t="s">
        <v>295</v>
      </c>
      <c r="K1212" s="410" t="s">
        <v>1799</v>
      </c>
    </row>
    <row r="1213" spans="1:12" hidden="1">
      <c r="A1213" s="295" t="s">
        <v>42</v>
      </c>
      <c r="B1213" s="197" t="s">
        <v>1713</v>
      </c>
      <c r="C1213" s="197">
        <v>44602</v>
      </c>
      <c r="D1213" s="197" t="s">
        <v>758</v>
      </c>
      <c r="E1213" s="197" t="s">
        <v>56</v>
      </c>
      <c r="F1213" s="314" t="s">
        <v>56</v>
      </c>
      <c r="G1213" s="205" t="s">
        <v>1714</v>
      </c>
      <c r="H1213" s="205" t="s">
        <v>1797</v>
      </c>
      <c r="I1213" s="198" t="s">
        <v>1801</v>
      </c>
      <c r="J1213" s="198" t="s">
        <v>295</v>
      </c>
      <c r="K1213" s="410" t="s">
        <v>1799</v>
      </c>
    </row>
    <row r="1214" spans="1:12" ht="79.2" hidden="1">
      <c r="A1214" s="295" t="s">
        <v>42</v>
      </c>
      <c r="B1214" s="197" t="s">
        <v>1713</v>
      </c>
      <c r="C1214" s="197">
        <v>44602</v>
      </c>
      <c r="D1214" s="197" t="s">
        <v>56</v>
      </c>
      <c r="E1214" s="197" t="s">
        <v>758</v>
      </c>
      <c r="F1214" s="314" t="s">
        <v>758</v>
      </c>
      <c r="G1214" s="205" t="s">
        <v>1714</v>
      </c>
      <c r="H1214" s="205" t="s">
        <v>1800</v>
      </c>
      <c r="I1214" s="198" t="s">
        <v>1803</v>
      </c>
      <c r="J1214" s="198" t="s">
        <v>295</v>
      </c>
      <c r="K1214" s="410" t="s">
        <v>1804</v>
      </c>
    </row>
    <row r="1215" spans="1:12" ht="66" hidden="1">
      <c r="A1215" s="295" t="s">
        <v>42</v>
      </c>
      <c r="B1215" s="197" t="s">
        <v>1805</v>
      </c>
      <c r="C1215" s="197">
        <v>44701</v>
      </c>
      <c r="D1215" s="197" t="s">
        <v>758</v>
      </c>
      <c r="E1215" s="197" t="s">
        <v>56</v>
      </c>
      <c r="F1215" s="314" t="s">
        <v>56</v>
      </c>
      <c r="G1215" s="205" t="s">
        <v>522</v>
      </c>
      <c r="H1215" s="205" t="s">
        <v>1802</v>
      </c>
      <c r="I1215" s="198" t="s">
        <v>1807</v>
      </c>
      <c r="J1215" s="198"/>
      <c r="K1215" s="410" t="s">
        <v>1808</v>
      </c>
    </row>
    <row r="1216" spans="1:12" ht="66" hidden="1">
      <c r="A1216" s="295" t="s">
        <v>42</v>
      </c>
      <c r="B1216" s="197" t="s">
        <v>1805</v>
      </c>
      <c r="C1216" s="197">
        <v>44795</v>
      </c>
      <c r="D1216" s="197" t="s">
        <v>758</v>
      </c>
      <c r="E1216" s="197" t="s">
        <v>56</v>
      </c>
      <c r="F1216" s="314" t="s">
        <v>56</v>
      </c>
      <c r="G1216" s="205" t="s">
        <v>57</v>
      </c>
      <c r="H1216" s="205" t="s">
        <v>1806</v>
      </c>
      <c r="I1216" s="198" t="s">
        <v>1807</v>
      </c>
      <c r="J1216" s="198"/>
      <c r="K1216" s="410" t="s">
        <v>1808</v>
      </c>
    </row>
    <row r="1217" spans="1:11" ht="66" hidden="1">
      <c r="A1217" s="295" t="s">
        <v>42</v>
      </c>
      <c r="B1217" s="197" t="s">
        <v>1805</v>
      </c>
      <c r="C1217" s="197">
        <v>44795</v>
      </c>
      <c r="D1217" s="197" t="s">
        <v>758</v>
      </c>
      <c r="E1217" s="197" t="s">
        <v>56</v>
      </c>
      <c r="F1217" s="314" t="s">
        <v>56</v>
      </c>
      <c r="G1217" s="205" t="s">
        <v>57</v>
      </c>
      <c r="H1217" s="205" t="s">
        <v>1809</v>
      </c>
      <c r="I1217" s="198" t="s">
        <v>1807</v>
      </c>
      <c r="J1217" s="198"/>
      <c r="K1217" s="410" t="s">
        <v>1808</v>
      </c>
    </row>
    <row r="1218" spans="1:11" ht="79.2" hidden="1">
      <c r="A1218" s="292" t="s">
        <v>42</v>
      </c>
      <c r="B1218" s="197" t="s">
        <v>1811</v>
      </c>
      <c r="C1218" s="197">
        <v>44795</v>
      </c>
      <c r="D1218" s="197" t="s">
        <v>758</v>
      </c>
      <c r="E1218" s="197" t="s">
        <v>56</v>
      </c>
      <c r="F1218" s="314" t="s">
        <v>56</v>
      </c>
      <c r="G1218" s="205" t="s">
        <v>57</v>
      </c>
      <c r="H1218" s="205" t="s">
        <v>1810</v>
      </c>
      <c r="I1218" s="198" t="s">
        <v>1812</v>
      </c>
      <c r="J1218" s="198" t="s">
        <v>1803</v>
      </c>
      <c r="K1218" s="410" t="s">
        <v>1813</v>
      </c>
    </row>
    <row r="1219" spans="1:11" ht="26.4" hidden="1">
      <c r="A1219" s="292" t="s">
        <v>42</v>
      </c>
      <c r="B1219" s="197" t="s">
        <v>1814</v>
      </c>
      <c r="C1219" s="197">
        <v>44811</v>
      </c>
      <c r="D1219" s="197" t="s">
        <v>758</v>
      </c>
      <c r="E1219" s="197" t="s">
        <v>56</v>
      </c>
      <c r="F1219" s="314" t="s">
        <v>56</v>
      </c>
      <c r="G1219" s="205" t="s">
        <v>522</v>
      </c>
      <c r="H1219" s="205" t="s">
        <v>1802</v>
      </c>
      <c r="I1219" s="198"/>
      <c r="J1219" s="198"/>
      <c r="K1219" s="410" t="s">
        <v>1816</v>
      </c>
    </row>
    <row r="1220" spans="1:11" ht="169.5" hidden="1" customHeight="1">
      <c r="A1220" s="292" t="s">
        <v>42</v>
      </c>
      <c r="B1220" s="197" t="s">
        <v>1814</v>
      </c>
      <c r="C1220" s="197">
        <v>44874</v>
      </c>
      <c r="D1220" s="197" t="s">
        <v>758</v>
      </c>
      <c r="E1220" s="197" t="s">
        <v>56</v>
      </c>
      <c r="F1220" s="314" t="s">
        <v>56</v>
      </c>
      <c r="G1220" s="205" t="s">
        <v>57</v>
      </c>
      <c r="H1220" s="315" t="s">
        <v>1815</v>
      </c>
      <c r="I1220" s="198" t="s">
        <v>1818</v>
      </c>
      <c r="J1220" s="198"/>
      <c r="K1220" s="410" t="s">
        <v>1819</v>
      </c>
    </row>
    <row r="1221" spans="1:11" ht="92.4" hidden="1">
      <c r="A1221" s="292" t="s">
        <v>42</v>
      </c>
      <c r="B1221" s="197" t="s">
        <v>1820</v>
      </c>
      <c r="C1221" s="197">
        <v>44874</v>
      </c>
      <c r="D1221" s="197" t="s">
        <v>758</v>
      </c>
      <c r="E1221" s="197" t="s">
        <v>56</v>
      </c>
      <c r="F1221" s="314" t="s">
        <v>56</v>
      </c>
      <c r="G1221" s="205" t="s">
        <v>57</v>
      </c>
      <c r="H1221" s="315" t="s">
        <v>1817</v>
      </c>
      <c r="I1221" s="198" t="s">
        <v>1822</v>
      </c>
      <c r="J1221" s="198" t="s">
        <v>1823</v>
      </c>
      <c r="K1221" s="410" t="s">
        <v>1824</v>
      </c>
    </row>
    <row r="1222" spans="1:11" ht="26.4" hidden="1">
      <c r="A1222" s="292" t="s">
        <v>42</v>
      </c>
      <c r="B1222" s="197" t="s">
        <v>1820</v>
      </c>
      <c r="C1222" s="197">
        <v>44880</v>
      </c>
      <c r="D1222" s="197" t="s">
        <v>758</v>
      </c>
      <c r="E1222" s="197" t="s">
        <v>758</v>
      </c>
      <c r="F1222" s="197" t="s">
        <v>758</v>
      </c>
      <c r="G1222" s="205" t="s">
        <v>69</v>
      </c>
      <c r="H1222" s="315" t="s">
        <v>1821</v>
      </c>
      <c r="I1222" s="198"/>
      <c r="J1222" s="198"/>
      <c r="K1222" s="410" t="s">
        <v>1826</v>
      </c>
    </row>
    <row r="1223" spans="1:11" ht="26.4" hidden="1">
      <c r="A1223" s="292" t="s">
        <v>42</v>
      </c>
      <c r="B1223" s="197" t="s">
        <v>1820</v>
      </c>
      <c r="C1223" s="197">
        <v>44889</v>
      </c>
      <c r="D1223" s="197" t="s">
        <v>758</v>
      </c>
      <c r="E1223" s="197" t="s">
        <v>758</v>
      </c>
      <c r="F1223" s="197" t="s">
        <v>758</v>
      </c>
      <c r="G1223" s="315" t="s">
        <v>1765</v>
      </c>
      <c r="H1223" s="315" t="s">
        <v>1825</v>
      </c>
      <c r="I1223" s="198"/>
      <c r="J1223" s="198"/>
      <c r="K1223" s="410" t="s">
        <v>1826</v>
      </c>
    </row>
    <row r="1224" spans="1:11" ht="26.4" hidden="1">
      <c r="A1224" s="292" t="s">
        <v>42</v>
      </c>
      <c r="B1224" s="197" t="s">
        <v>1820</v>
      </c>
      <c r="C1224" s="197">
        <v>44889</v>
      </c>
      <c r="D1224" s="197" t="s">
        <v>758</v>
      </c>
      <c r="E1224" s="197" t="s">
        <v>758</v>
      </c>
      <c r="F1224" s="197" t="s">
        <v>758</v>
      </c>
      <c r="G1224" s="315" t="s">
        <v>1714</v>
      </c>
      <c r="H1224" s="315" t="s">
        <v>1827</v>
      </c>
      <c r="I1224" s="198"/>
      <c r="J1224" s="198"/>
      <c r="K1224" s="410" t="s">
        <v>1829</v>
      </c>
    </row>
    <row r="1225" spans="1:11" hidden="1">
      <c r="B1225" s="198" t="s">
        <v>2721</v>
      </c>
      <c r="C1225" s="198">
        <v>44889</v>
      </c>
      <c r="D1225" s="198" t="s">
        <v>758</v>
      </c>
      <c r="E1225" s="198" t="s">
        <v>758</v>
      </c>
      <c r="F1225" s="198" t="s">
        <v>758</v>
      </c>
      <c r="G1225" s="198" t="s">
        <v>57</v>
      </c>
      <c r="H1225" s="198" t="s">
        <v>1828</v>
      </c>
      <c r="I1225" s="198"/>
      <c r="J1225" s="198"/>
      <c r="K1225" s="198"/>
    </row>
    <row r="1226" spans="1:11" ht="26.4" hidden="1">
      <c r="B1226" s="198" t="s">
        <v>2721</v>
      </c>
      <c r="C1226" s="198">
        <v>45350</v>
      </c>
      <c r="D1226" s="198" t="s">
        <v>2722</v>
      </c>
      <c r="E1226" s="198" t="s">
        <v>2722</v>
      </c>
      <c r="F1226" s="198" t="s">
        <v>2722</v>
      </c>
      <c r="G1226" s="205" t="s">
        <v>522</v>
      </c>
      <c r="H1226" s="198" t="s">
        <v>2723</v>
      </c>
      <c r="I1226" s="198" t="s">
        <v>2734</v>
      </c>
      <c r="J1226" s="198"/>
      <c r="K1226" s="198" t="s">
        <v>2732</v>
      </c>
    </row>
    <row r="1227" spans="1:11" ht="26.4" hidden="1">
      <c r="B1227" s="198" t="s">
        <v>2728</v>
      </c>
      <c r="C1227" s="198">
        <v>45588</v>
      </c>
      <c r="D1227" s="198" t="s">
        <v>2729</v>
      </c>
      <c r="E1227" s="198" t="s">
        <v>2729</v>
      </c>
      <c r="F1227" s="198" t="s">
        <v>2729</v>
      </c>
      <c r="G1227" s="198" t="s">
        <v>69</v>
      </c>
      <c r="H1227" s="198" t="s">
        <v>2730</v>
      </c>
      <c r="I1227" s="198" t="s">
        <v>2727</v>
      </c>
      <c r="J1227" s="198" t="s">
        <v>2731</v>
      </c>
      <c r="K1227" s="198" t="s">
        <v>2733</v>
      </c>
    </row>
    <row r="1228" spans="1:11" hidden="1"/>
    <row r="1229" spans="1:11" hidden="1"/>
  </sheetData>
  <sheetProtection algorithmName="SHA-512" hashValue="57PuhSGn0xIZ0KQ47HiAuRvW9f/cALrGHnUA4UcFX5shUx8fO+ecVJh8K4+TafdTXIf4xICpU+t6hCk7W3X9+Q==" saltValue="c7Jdsxy1lfrX9Z6OXgSs/g==" spinCount="100000" sheet="1" objects="1" scenarios="1"/>
  <sortState xmlns:xlrd2="http://schemas.microsoft.com/office/spreadsheetml/2017/richdata2" ref="H1178:J1185">
    <sortCondition ref="H1177:H1185"/>
  </sortState>
  <customSheetViews>
    <customSheetView guid="{C362DBBD-8226-4073-BE04-D615B3B4BF31}" scale="80" showGridLines="0" hiddenRows="1" topLeftCell="A1001">
      <selection activeCell="K1029" sqref="K1029"/>
      <pageMargins left="0" right="0" top="0" bottom="0" header="0" footer="0"/>
      <pageSetup paperSize="9" orientation="portrait" r:id="rId1"/>
    </customSheetView>
    <customSheetView guid="{9E23992E-45A8-4DF8-9DFB-C5F9BB498A06}" scale="80" showGridLines="0" hiddenRows="1" topLeftCell="A1194">
      <selection activeCell="K1196" sqref="K1196"/>
      <pageMargins left="0" right="0" top="0" bottom="0" header="0" footer="0"/>
      <pageSetup paperSize="9" orientation="portrait" r:id="rId2"/>
    </customSheetView>
  </customSheetViews>
  <mergeCells count="62">
    <mergeCell ref="K1046:K1160"/>
    <mergeCell ref="K972:K1045"/>
    <mergeCell ref="K795:K948"/>
    <mergeCell ref="K604:K613"/>
    <mergeCell ref="D25:H25"/>
    <mergeCell ref="K598:K603"/>
    <mergeCell ref="K614:K627"/>
    <mergeCell ref="K628:K637"/>
    <mergeCell ref="K585:K597"/>
    <mergeCell ref="K580:K584"/>
    <mergeCell ref="K502:K504"/>
    <mergeCell ref="K354:K361"/>
    <mergeCell ref="K362:K376"/>
    <mergeCell ref="K352:K353"/>
    <mergeCell ref="K638:K794"/>
    <mergeCell ref="K949:K971"/>
    <mergeCell ref="K511:K515"/>
    <mergeCell ref="K506:K507"/>
    <mergeCell ref="K564:K579"/>
    <mergeCell ref="K548:K563"/>
    <mergeCell ref="K532:K547"/>
    <mergeCell ref="K516:K531"/>
    <mergeCell ref="B2:H2"/>
    <mergeCell ref="B32:B33"/>
    <mergeCell ref="D18:H18"/>
    <mergeCell ref="D33:H33"/>
    <mergeCell ref="D34:H34"/>
    <mergeCell ref="D29:H29"/>
    <mergeCell ref="D24:H24"/>
    <mergeCell ref="D21:H21"/>
    <mergeCell ref="B18:B31"/>
    <mergeCell ref="D19:H19"/>
    <mergeCell ref="D7:H7"/>
    <mergeCell ref="D11:H11"/>
    <mergeCell ref="D6:H6"/>
    <mergeCell ref="D9:H9"/>
    <mergeCell ref="D8:H8"/>
    <mergeCell ref="D35:H35"/>
    <mergeCell ref="D32:H32"/>
    <mergeCell ref="B4:H4"/>
    <mergeCell ref="D26:H26"/>
    <mergeCell ref="D27:H27"/>
    <mergeCell ref="D28:H28"/>
    <mergeCell ref="D31:H31"/>
    <mergeCell ref="D30:H30"/>
    <mergeCell ref="D23:H23"/>
    <mergeCell ref="D22:H22"/>
    <mergeCell ref="D20:H20"/>
    <mergeCell ref="B7:B11"/>
    <mergeCell ref="D10:H10"/>
    <mergeCell ref="K495:K496"/>
    <mergeCell ref="K497:K499"/>
    <mergeCell ref="K380:K386"/>
    <mergeCell ref="K387:K391"/>
    <mergeCell ref="K464:K477"/>
    <mergeCell ref="K478:K494"/>
    <mergeCell ref="K447:K463"/>
    <mergeCell ref="K392:K411"/>
    <mergeCell ref="K412:K427"/>
    <mergeCell ref="K428:K432"/>
    <mergeCell ref="K433:K441"/>
    <mergeCell ref="K442:K446"/>
  </mergeCells>
  <phoneticPr fontId="136" type="noConversion"/>
  <pageMargins left="0.7" right="0.7" top="0.75" bottom="0.75" header="0.3" footer="0.3"/>
  <pageSetup paperSize="9" orientation="portrait"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sheetPr>
  <dimension ref="B1:D30"/>
  <sheetViews>
    <sheetView showGridLines="0" showRowColHeaders="0" workbookViewId="0">
      <selection activeCell="C1" sqref="C1"/>
    </sheetView>
  </sheetViews>
  <sheetFormatPr defaultColWidth="9.44140625" defaultRowHeight="13.2"/>
  <cols>
    <col min="1" max="1" width="4.44140625" style="78" customWidth="1"/>
    <col min="2" max="2" width="32.44140625" style="78" customWidth="1"/>
    <col min="3" max="3" width="42.5546875" style="78" customWidth="1"/>
    <col min="4" max="4" width="67.5546875" style="78" customWidth="1"/>
    <col min="5" max="5" width="56.44140625" style="78" customWidth="1"/>
    <col min="6" max="6" width="38.5546875" style="78" customWidth="1"/>
    <col min="7" max="16384" width="9.44140625" style="78"/>
  </cols>
  <sheetData>
    <row r="1" spans="2:4" ht="83.25" customHeight="1"/>
    <row r="3" spans="2:4" ht="33.75" customHeight="1">
      <c r="B3" s="583" t="s">
        <v>1830</v>
      </c>
      <c r="C3" s="583"/>
      <c r="D3" s="583"/>
    </row>
    <row r="4" spans="2:4" ht="26.25" customHeight="1"/>
    <row r="5" spans="2:4" ht="26.25" customHeight="1">
      <c r="B5" s="79" t="s">
        <v>1831</v>
      </c>
      <c r="C5" s="584" t="s">
        <v>1832</v>
      </c>
      <c r="D5" s="585"/>
    </row>
    <row r="6" spans="2:4" ht="26.25" customHeight="1">
      <c r="B6" s="80"/>
      <c r="C6" s="81"/>
      <c r="D6" s="81"/>
    </row>
    <row r="7" spans="2:4" ht="26.25" customHeight="1">
      <c r="B7" s="82" t="s">
        <v>1833</v>
      </c>
      <c r="C7" s="586" t="s">
        <v>1834</v>
      </c>
      <c r="D7" s="585"/>
    </row>
    <row r="8" spans="2:4" ht="26.25" customHeight="1">
      <c r="B8" s="80"/>
      <c r="C8" s="81"/>
      <c r="D8" s="81"/>
    </row>
    <row r="9" spans="2:4" ht="26.25" customHeight="1">
      <c r="B9" s="83" t="s">
        <v>1835</v>
      </c>
      <c r="C9" s="586" t="s">
        <v>1836</v>
      </c>
      <c r="D9" s="585"/>
    </row>
    <row r="10" spans="2:4" ht="26.25" customHeight="1">
      <c r="B10" s="84"/>
      <c r="C10" s="81"/>
      <c r="D10" s="81"/>
    </row>
    <row r="11" spans="2:4" ht="26.25" customHeight="1">
      <c r="B11" s="85" t="s">
        <v>1837</v>
      </c>
      <c r="C11" s="586" t="s">
        <v>1838</v>
      </c>
      <c r="D11" s="585"/>
    </row>
    <row r="12" spans="2:4" ht="22.5" customHeight="1"/>
    <row r="13" spans="2:4" ht="33.75" customHeight="1">
      <c r="B13" s="583" t="s">
        <v>1839</v>
      </c>
      <c r="C13" s="583"/>
      <c r="D13" s="583"/>
    </row>
    <row r="14" spans="2:4" ht="22.5" customHeight="1"/>
    <row r="15" spans="2:4" ht="182.25" customHeight="1">
      <c r="B15" s="581" t="s">
        <v>1840</v>
      </c>
      <c r="C15" s="582"/>
      <c r="D15" s="582"/>
    </row>
    <row r="16" spans="2:4" ht="22.5" customHeight="1"/>
    <row r="17" spans="2:4" ht="33.75" customHeight="1">
      <c r="B17" s="583" t="s">
        <v>1841</v>
      </c>
      <c r="C17" s="583"/>
      <c r="D17" s="583"/>
    </row>
    <row r="18" spans="2:4" ht="22.5" customHeight="1"/>
    <row r="19" spans="2:4" ht="66.75" customHeight="1">
      <c r="B19" s="581" t="s">
        <v>1842</v>
      </c>
      <c r="C19" s="582"/>
      <c r="D19" s="582"/>
    </row>
    <row r="20" spans="2:4" ht="22.5" customHeight="1"/>
    <row r="21" spans="2:4" ht="22.5" customHeight="1"/>
    <row r="22" spans="2:4" ht="22.5" customHeight="1"/>
    <row r="23" spans="2:4" ht="22.5" customHeight="1"/>
    <row r="24" spans="2:4" ht="22.5" customHeight="1"/>
    <row r="25" spans="2:4" ht="22.5" customHeight="1"/>
    <row r="26" spans="2:4" ht="22.5" customHeight="1"/>
    <row r="27" spans="2:4" ht="22.5" customHeight="1"/>
    <row r="28" spans="2:4" ht="22.5" customHeight="1"/>
    <row r="29" spans="2:4" ht="22.5" customHeight="1"/>
    <row r="30" spans="2:4" ht="22.5" customHeight="1"/>
  </sheetData>
  <sheetProtection algorithmName="SHA-512" hashValue="53V4ume7FQDoLrKJO0OoKBPHff6cq8ZVpRJe6huhmE0Sbi8uVcK50FJWS6XdSfuZ7E4m3HDHEJBH3VwrW49RMQ==" saltValue="b61EGkoLW2bcRha+yaCBcw==" spinCount="100000" sheet="1" selectLockedCells="1"/>
  <customSheetViews>
    <customSheetView guid="{555478C2-F620-47D7-88F9-4C1EE7AEE227}" showGridLines="0" showRowCol="0" topLeftCell="A10">
      <selection activeCell="C30" sqref="C30"/>
      <pageMargins left="0" right="0" top="0" bottom="0" header="0" footer="0"/>
      <pageSetup paperSize="9" orientation="portrait" r:id="rId1"/>
    </customSheetView>
    <customSheetView guid="{5E2E109E-4BFE-44CE-A2A0-BB9B6CC0D139}" showGridLines="0" showRowCol="0" topLeftCell="A10">
      <selection activeCell="B19" sqref="B19:D19"/>
      <pageMargins left="0" right="0" top="0" bottom="0" header="0" footer="0"/>
      <pageSetup paperSize="9" orientation="portrait" r:id="rId2"/>
    </customSheetView>
    <customSheetView guid="{3BAF3D14-B16A-4103-B9D6-D1D9B6381E90}" showGridLines="0" showRowCol="0" topLeftCell="A10">
      <selection activeCell="C30" sqref="C30"/>
      <pageMargins left="0" right="0" top="0" bottom="0" header="0" footer="0"/>
      <pageSetup paperSize="9" orientation="portrait" r:id="rId3"/>
    </customSheetView>
    <customSheetView guid="{C362DBBD-8226-4073-BE04-D615B3B4BF31}" showGridLines="0" showRowCol="0" topLeftCell="A13">
      <selection activeCell="C28" sqref="C28"/>
      <pageMargins left="0" right="0" top="0" bottom="0" header="0" footer="0"/>
      <pageSetup paperSize="9" orientation="portrait" r:id="rId4"/>
    </customSheetView>
    <customSheetView guid="{9E23992E-45A8-4DF8-9DFB-C5F9BB498A06}" showGridLines="0" showRowCol="0" topLeftCell="A13">
      <selection activeCell="C28" sqref="C28"/>
      <pageMargins left="0" right="0" top="0" bottom="0" header="0" footer="0"/>
      <pageSetup paperSize="9" orientation="portrait" r:id="rId5"/>
    </customSheetView>
  </customSheetViews>
  <mergeCells count="9">
    <mergeCell ref="B15:D15"/>
    <mergeCell ref="B17:D17"/>
    <mergeCell ref="B19:D19"/>
    <mergeCell ref="B3:D3"/>
    <mergeCell ref="C5:D5"/>
    <mergeCell ref="C7:D7"/>
    <mergeCell ref="C9:D9"/>
    <mergeCell ref="C11:D11"/>
    <mergeCell ref="B13:D13"/>
  </mergeCells>
  <pageMargins left="0.7" right="0.7" top="0.75" bottom="0.75" header="0.3" footer="0.3"/>
  <pageSetup paperSize="9" orientation="portrait" r:id="rId6"/>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0">
    <tabColor theme="3"/>
    <pageSetUpPr autoPageBreaks="0" fitToPage="1"/>
  </sheetPr>
  <dimension ref="A1:M370"/>
  <sheetViews>
    <sheetView showGridLines="0" tabSelected="1" zoomScale="80" zoomScaleNormal="80" workbookViewId="0">
      <selection activeCell="H8" sqref="H8"/>
    </sheetView>
  </sheetViews>
  <sheetFormatPr defaultColWidth="9.44140625" defaultRowHeight="13.2"/>
  <cols>
    <col min="1" max="1" width="2.5546875" style="15" customWidth="1"/>
    <col min="2" max="2" width="30.5546875" style="15" customWidth="1"/>
    <col min="3" max="3" width="40.5546875" style="15" customWidth="1"/>
    <col min="4" max="6" width="30.5546875" style="15" customWidth="1"/>
    <col min="7" max="9" width="25.5546875" style="15" customWidth="1"/>
    <col min="10" max="10" width="25.5546875" customWidth="1"/>
    <col min="11" max="11" width="30.5546875" customWidth="1"/>
    <col min="12" max="12" width="20.44140625" style="15" customWidth="1"/>
    <col min="13" max="13" width="13.44140625" style="15" hidden="1" customWidth="1"/>
    <col min="14" max="16384" width="9.44140625" style="15"/>
  </cols>
  <sheetData>
    <row r="1" spans="2:13" ht="100.35" customHeight="1">
      <c r="J1" s="17"/>
      <c r="K1" s="15"/>
      <c r="M1" s="163" t="s">
        <v>42</v>
      </c>
    </row>
    <row r="2" spans="2:13" ht="12.75" customHeight="1">
      <c r="J2" s="15"/>
      <c r="K2" s="15"/>
    </row>
    <row r="3" spans="2:13" s="201" customFormat="1" ht="35.1" customHeight="1">
      <c r="B3" s="119" t="s">
        <v>2727</v>
      </c>
      <c r="C3" s="119"/>
      <c r="D3" s="119"/>
      <c r="E3" s="119"/>
      <c r="F3" s="119"/>
      <c r="G3" s="119"/>
      <c r="H3" s="119"/>
      <c r="I3" s="119"/>
      <c r="J3" s="119"/>
      <c r="K3" s="119"/>
      <c r="M3" s="160" t="s">
        <v>771</v>
      </c>
    </row>
    <row r="4" spans="2:13">
      <c r="J4" s="17"/>
      <c r="K4" s="15"/>
      <c r="M4" s="160" t="s">
        <v>774</v>
      </c>
    </row>
    <row r="5" spans="2:13" ht="20.100000000000001" customHeight="1">
      <c r="B5" s="155" t="s">
        <v>1843</v>
      </c>
      <c r="C5" s="155"/>
      <c r="D5" s="155"/>
      <c r="E5" s="155"/>
      <c r="F5" s="155"/>
      <c r="G5" s="155"/>
      <c r="H5" s="155"/>
      <c r="I5"/>
      <c r="M5" s="160" t="s">
        <v>776</v>
      </c>
    </row>
    <row r="6" spans="2:13">
      <c r="I6" s="17"/>
      <c r="J6" s="15"/>
      <c r="K6" s="15"/>
      <c r="M6" s="160" t="s">
        <v>778</v>
      </c>
    </row>
    <row r="7" spans="2:13" ht="30" customHeight="1">
      <c r="B7" s="74" t="s">
        <v>1844</v>
      </c>
      <c r="C7" s="104"/>
      <c r="D7" s="104"/>
      <c r="G7" s="74" t="s">
        <v>1845</v>
      </c>
      <c r="H7" s="74" t="s">
        <v>1846</v>
      </c>
      <c r="J7" s="15"/>
      <c r="K7" s="15"/>
      <c r="M7" s="160" t="s">
        <v>780</v>
      </c>
    </row>
    <row r="8" spans="2:13" ht="30" customHeight="1">
      <c r="B8" s="215" t="s">
        <v>964</v>
      </c>
      <c r="C8" s="587"/>
      <c r="D8" s="588"/>
      <c r="G8" s="74" t="s">
        <v>1847</v>
      </c>
      <c r="H8" s="268"/>
      <c r="J8" s="15"/>
      <c r="K8" s="15"/>
      <c r="M8" s="160" t="s">
        <v>782</v>
      </c>
    </row>
    <row r="9" spans="2:13" ht="30" customHeight="1">
      <c r="B9" s="194" t="s">
        <v>769</v>
      </c>
      <c r="C9" s="603"/>
      <c r="D9" s="588"/>
      <c r="G9" s="74" t="s">
        <v>1848</v>
      </c>
      <c r="H9" s="269">
        <f>DATE(YEAR(H8)+1,MONTH(H8),DAY(H8)-1)</f>
        <v>365</v>
      </c>
      <c r="J9" s="15"/>
      <c r="K9" s="15"/>
      <c r="M9" s="160" t="s">
        <v>784</v>
      </c>
    </row>
    <row r="10" spans="2:13" ht="30" customHeight="1">
      <c r="B10" s="74" t="s">
        <v>1849</v>
      </c>
      <c r="C10" s="589"/>
      <c r="D10" s="588"/>
      <c r="G10" s="74" t="s">
        <v>1850</v>
      </c>
      <c r="H10" s="270">
        <f>YEAR(H9)</f>
        <v>1900</v>
      </c>
      <c r="J10" s="15"/>
      <c r="K10" s="15"/>
      <c r="M10" s="160" t="s">
        <v>786</v>
      </c>
    </row>
    <row r="11" spans="2:13" ht="30" customHeight="1">
      <c r="B11" s="74" t="s">
        <v>1851</v>
      </c>
      <c r="C11" s="589"/>
      <c r="D11" s="588"/>
      <c r="F11" s="202"/>
      <c r="J11" s="15"/>
      <c r="K11" s="15"/>
    </row>
    <row r="12" spans="2:13" ht="30" customHeight="1">
      <c r="B12" s="74" t="s">
        <v>1947</v>
      </c>
      <c r="C12" s="587"/>
      <c r="D12" s="588"/>
      <c r="E12" s="131">
        <f>IF((OR(C13="NZ-except Auckland", C13="NZ-Auckland")), CONCATENATE(0,C12),C12)</f>
        <v>0</v>
      </c>
      <c r="G12" s="343" t="str">
        <f>IF(C13="NZ", "Net Lettable Area (m2)", "Gross building area (m2)")</f>
        <v>Gross building area (m2)</v>
      </c>
      <c r="H12" s="346">
        <f>E71</f>
        <v>0</v>
      </c>
      <c r="J12" s="15"/>
      <c r="K12" s="15"/>
    </row>
    <row r="13" spans="2:13" ht="30" customHeight="1">
      <c r="B13" s="74" t="s">
        <v>1853</v>
      </c>
      <c r="C13" s="590"/>
      <c r="D13" s="591"/>
      <c r="G13" s="344" t="s">
        <v>1854</v>
      </c>
      <c r="H13" s="409" t="str">
        <f>IFERROR(VLOOKUP($E$12,'CDD &amp; HDD table'!$A:$D,3,FALSE),"")</f>
        <v/>
      </c>
      <c r="J13" s="15"/>
      <c r="K13" s="15"/>
    </row>
    <row r="14" spans="2:13" ht="30" customHeight="1">
      <c r="B14" s="74" t="s">
        <v>1855</v>
      </c>
      <c r="C14" s="587"/>
      <c r="D14" s="588"/>
      <c r="G14" s="344" t="s">
        <v>1856</v>
      </c>
      <c r="H14" s="409" t="str">
        <f>IFERROR(VLOOKUP($E$12,'CDD &amp; HDD table'!$A:$D,4,FALSE),"")</f>
        <v/>
      </c>
      <c r="J14" s="15"/>
      <c r="K14" s="15"/>
    </row>
    <row r="15" spans="2:13" ht="30" customHeight="1">
      <c r="B15" s="104"/>
      <c r="C15" s="336"/>
      <c r="D15" s="122"/>
      <c r="J15" s="15"/>
      <c r="K15" s="15"/>
    </row>
    <row r="16" spans="2:13">
      <c r="B16" s="23"/>
      <c r="C16" s="23"/>
      <c r="D16" s="25"/>
      <c r="J16" s="15"/>
      <c r="K16" s="15"/>
    </row>
    <row r="17" spans="2:11" ht="45" customHeight="1">
      <c r="B17" s="74" t="s">
        <v>1857</v>
      </c>
      <c r="C17" s="337"/>
      <c r="D17" s="597" t="s">
        <v>1858</v>
      </c>
      <c r="E17" s="597"/>
      <c r="F17" s="597"/>
      <c r="J17" s="15"/>
      <c r="K17" s="15"/>
    </row>
    <row r="18" spans="2:11" ht="45" customHeight="1">
      <c r="B18" s="74" t="s">
        <v>1859</v>
      </c>
      <c r="C18" s="337"/>
      <c r="D18" s="597" t="s">
        <v>1860</v>
      </c>
      <c r="E18" s="597"/>
      <c r="F18" s="597"/>
      <c r="J18" s="17"/>
      <c r="K18" s="15"/>
    </row>
    <row r="19" spans="2:11" ht="45" customHeight="1">
      <c r="B19" s="74" t="s">
        <v>1861</v>
      </c>
      <c r="C19" s="337"/>
      <c r="D19" s="600" t="s">
        <v>1862</v>
      </c>
      <c r="E19" s="597"/>
      <c r="F19" s="597"/>
      <c r="J19" s="15"/>
      <c r="K19" s="15"/>
    </row>
    <row r="20" spans="2:11" ht="57.75" customHeight="1">
      <c r="B20" s="74" t="s">
        <v>1863</v>
      </c>
      <c r="C20" s="337"/>
      <c r="D20" s="601" t="s">
        <v>1864</v>
      </c>
      <c r="E20" s="602"/>
      <c r="F20" s="602"/>
      <c r="J20" s="15"/>
      <c r="K20" s="15"/>
    </row>
    <row r="21" spans="2:11" ht="39.75" customHeight="1">
      <c r="B21" s="74" t="s">
        <v>1865</v>
      </c>
      <c r="C21" s="132"/>
      <c r="D21" s="598"/>
      <c r="E21" s="599"/>
      <c r="F21" s="599"/>
      <c r="J21" s="15"/>
      <c r="K21" s="15"/>
    </row>
    <row r="22" spans="2:11">
      <c r="J22" s="15"/>
      <c r="K22" s="15"/>
    </row>
    <row r="23" spans="2:11" ht="20.100000000000001" customHeight="1">
      <c r="B23" s="155" t="s">
        <v>1866</v>
      </c>
      <c r="C23" s="155"/>
      <c r="D23" s="155"/>
      <c r="E23" s="155"/>
      <c r="F23" s="155"/>
      <c r="G23"/>
      <c r="H23"/>
      <c r="I23"/>
    </row>
    <row r="24" spans="2:11">
      <c r="J24" s="15"/>
      <c r="K24" s="15"/>
    </row>
    <row r="25" spans="2:11" ht="30" customHeight="1">
      <c r="B25" s="90" t="s">
        <v>1210</v>
      </c>
      <c r="C25" s="345" t="s">
        <v>1010</v>
      </c>
      <c r="D25" s="90" t="s">
        <v>1867</v>
      </c>
      <c r="E25" s="90" t="s">
        <v>1868</v>
      </c>
      <c r="F25" s="90" t="s">
        <v>1869</v>
      </c>
      <c r="G25" s="147"/>
      <c r="H25" s="26"/>
      <c r="I25" s="26"/>
      <c r="J25" s="26"/>
      <c r="K25" s="26"/>
    </row>
    <row r="26" spans="2:11" ht="20.100000000000001" customHeight="1">
      <c r="B26" s="346">
        <v>1</v>
      </c>
      <c r="C26" s="347" t="str">
        <f>C78</f>
        <v>Electricity</v>
      </c>
      <c r="D26" s="121">
        <f>$C$80/$C$82</f>
        <v>0</v>
      </c>
      <c r="E26" s="121">
        <f>SUM(I85:I96)</f>
        <v>0</v>
      </c>
      <c r="F26" s="121">
        <f>IFERROR(E26*$D26,0)</f>
        <v>0</v>
      </c>
      <c r="G26" s="27"/>
      <c r="H26" s="17"/>
      <c r="J26" s="15"/>
      <c r="K26" s="15"/>
    </row>
    <row r="27" spans="2:11" ht="20.100000000000001" customHeight="1">
      <c r="B27" s="346">
        <v>2</v>
      </c>
      <c r="C27" s="347" t="str">
        <f>C101</f>
        <v>GreenPower</v>
      </c>
      <c r="D27" s="121">
        <f>C103</f>
        <v>0</v>
      </c>
      <c r="E27" s="121">
        <f>SUM(I108:I119)</f>
        <v>0</v>
      </c>
      <c r="F27" s="121">
        <f>IFERROR(E27*$D27,0)</f>
        <v>0</v>
      </c>
      <c r="G27" s="27"/>
      <c r="H27" s="17"/>
      <c r="J27" s="15"/>
      <c r="K27" s="15"/>
    </row>
    <row r="28" spans="2:11" ht="20.100000000000001" customHeight="1">
      <c r="B28" s="346">
        <v>3</v>
      </c>
      <c r="C28" s="347" t="str">
        <f>C123</f>
        <v>Natural gas distributed in a pipeline</v>
      </c>
      <c r="D28" s="282" t="b">
        <f>$C$125</f>
        <v>0</v>
      </c>
      <c r="E28" s="121">
        <f>SUM(I130:I141)</f>
        <v>0</v>
      </c>
      <c r="F28" s="121">
        <f t="shared" ref="F28:F33" si="0">IFERROR(E28*$D28,0)</f>
        <v>0</v>
      </c>
      <c r="G28" s="27"/>
      <c r="H28" s="17"/>
      <c r="J28" s="15"/>
      <c r="K28" s="15"/>
    </row>
    <row r="29" spans="2:11" ht="20.100000000000001" customHeight="1">
      <c r="B29" s="346">
        <v>4</v>
      </c>
      <c r="C29" s="347" t="str">
        <f>C145</f>
        <v>Liquefied Petroleum Gas</v>
      </c>
      <c r="D29" s="282" t="b">
        <f>$C$147</f>
        <v>0</v>
      </c>
      <c r="E29" s="121">
        <f>SUM(I152:I163)</f>
        <v>0</v>
      </c>
      <c r="F29" s="121">
        <f t="shared" si="0"/>
        <v>0</v>
      </c>
      <c r="G29" s="27"/>
      <c r="H29" s="17"/>
      <c r="J29" s="15"/>
      <c r="K29" s="15"/>
    </row>
    <row r="30" spans="2:11" ht="20.100000000000001" customHeight="1">
      <c r="B30" s="346">
        <v>5</v>
      </c>
      <c r="C30" s="347" t="str">
        <f>C167</f>
        <v>Diesel Oil</v>
      </c>
      <c r="D30" s="282" t="b">
        <f>$C$169</f>
        <v>0</v>
      </c>
      <c r="E30" s="121">
        <f>SUM(I174:I185)</f>
        <v>0</v>
      </c>
      <c r="F30" s="121">
        <f t="shared" si="0"/>
        <v>0</v>
      </c>
      <c r="G30" s="27"/>
      <c r="H30" s="17"/>
      <c r="J30" s="15"/>
      <c r="K30" s="15"/>
    </row>
    <row r="31" spans="2:11" ht="20.100000000000001" customHeight="1">
      <c r="B31" s="346">
        <v>6</v>
      </c>
      <c r="C31" s="347" t="str">
        <f>C189</f>
        <v>Bituminous coal</v>
      </c>
      <c r="D31" s="282" t="b">
        <f>C191</f>
        <v>0</v>
      </c>
      <c r="E31" s="121">
        <f>SUM(I196:I207)</f>
        <v>0</v>
      </c>
      <c r="F31" s="121">
        <f t="shared" si="0"/>
        <v>0</v>
      </c>
      <c r="G31" s="27"/>
      <c r="H31" s="17"/>
      <c r="J31" s="15"/>
      <c r="K31" s="15"/>
    </row>
    <row r="32" spans="2:11" ht="20.100000000000001" customHeight="1">
      <c r="B32" s="346">
        <v>7</v>
      </c>
      <c r="C32" s="347" t="str">
        <f>C212</f>
        <v>Carbon Neutral Certified electricity</v>
      </c>
      <c r="D32" s="121">
        <f>D26</f>
        <v>0</v>
      </c>
      <c r="E32" s="121">
        <f>SUM(I219:I230)</f>
        <v>0</v>
      </c>
      <c r="F32" s="121">
        <f>IFERROR(E32*$D32,0)</f>
        <v>0</v>
      </c>
      <c r="G32" s="27"/>
      <c r="H32" s="17"/>
      <c r="J32" s="15"/>
      <c r="K32" s="15"/>
    </row>
    <row r="33" spans="1:11" ht="20.100000000000001" customHeight="1">
      <c r="B33" s="346">
        <v>8</v>
      </c>
      <c r="C33" s="347" t="str">
        <f>C235</f>
        <v>Renewable electricity (PPA)</v>
      </c>
      <c r="D33" s="121">
        <v>0</v>
      </c>
      <c r="E33" s="121">
        <f>SUM(I241:I252)</f>
        <v>0</v>
      </c>
      <c r="F33" s="121">
        <f t="shared" si="0"/>
        <v>0</v>
      </c>
      <c r="G33" s="27"/>
      <c r="H33" s="17"/>
      <c r="J33" s="15"/>
      <c r="K33" s="15"/>
    </row>
    <row r="34" spans="1:11" ht="20.100000000000001" customHeight="1">
      <c r="B34" s="346" t="s">
        <v>1870</v>
      </c>
      <c r="C34" s="347" t="str">
        <f>C257</f>
        <v>On-site renewable generated &amp; used</v>
      </c>
      <c r="D34" s="121">
        <v>0</v>
      </c>
      <c r="E34" s="283">
        <f>SUM(I262:I273)+SUM(I325:I336)+SUM(I283:I294)</f>
        <v>0</v>
      </c>
      <c r="F34" s="121">
        <f>IFERROR(E34*$D34,0)</f>
        <v>0</v>
      </c>
      <c r="H34" s="17"/>
      <c r="J34" s="15"/>
      <c r="K34" s="15"/>
    </row>
    <row r="35" spans="1:11" ht="20.100000000000001" customHeight="1">
      <c r="B35" s="346">
        <v>11</v>
      </c>
      <c r="C35" s="347" t="str">
        <f>C299</f>
        <v>On-site renewable generated &amp; exported</v>
      </c>
      <c r="D35" s="121">
        <v>0</v>
      </c>
      <c r="E35" s="283">
        <f>SUM(I304:I315)</f>
        <v>0</v>
      </c>
      <c r="F35" s="121">
        <f>IFERROR(E35*$D35,0)</f>
        <v>0</v>
      </c>
      <c r="H35" s="17"/>
      <c r="J35" s="15"/>
      <c r="K35" s="15"/>
    </row>
    <row r="36" spans="1:11" ht="20.100000000000001" hidden="1" customHeight="1">
      <c r="A36" s="15" t="s">
        <v>42</v>
      </c>
      <c r="B36" s="346">
        <v>13</v>
      </c>
      <c r="C36" s="347" t="str">
        <f>C340</f>
        <v>Other</v>
      </c>
      <c r="D36" s="346" t="s">
        <v>759</v>
      </c>
      <c r="E36" s="346" t="s">
        <v>759</v>
      </c>
      <c r="F36" s="346" t="s">
        <v>759</v>
      </c>
      <c r="G36" s="27"/>
      <c r="H36" s="17"/>
      <c r="J36" s="15"/>
      <c r="K36" s="15"/>
    </row>
    <row r="37" spans="1:11" s="18" customFormat="1" ht="20.100000000000001" customHeight="1">
      <c r="B37" s="595" t="s">
        <v>1871</v>
      </c>
      <c r="C37" s="596"/>
      <c r="D37" s="596"/>
      <c r="E37" s="348">
        <f>SUM(E26:E33,E36)</f>
        <v>0</v>
      </c>
      <c r="F37" s="348">
        <f>SUM(F26:F33)</f>
        <v>0</v>
      </c>
      <c r="G37" s="28"/>
      <c r="H37" s="29"/>
    </row>
    <row r="38" spans="1:11" ht="20.100000000000001" customHeight="1">
      <c r="B38" s="604" t="s">
        <v>1872</v>
      </c>
      <c r="C38" s="605"/>
      <c r="D38" s="606"/>
      <c r="E38" s="348">
        <f>C369</f>
        <v>0</v>
      </c>
      <c r="F38" s="348"/>
      <c r="J38" s="15"/>
      <c r="K38" s="15"/>
    </row>
    <row r="39" spans="1:11">
      <c r="J39" s="17"/>
      <c r="K39" s="15"/>
    </row>
    <row r="40" spans="1:11" ht="20.100000000000001" customHeight="1">
      <c r="B40" s="155" t="s">
        <v>1873</v>
      </c>
      <c r="C40" s="155"/>
      <c r="D40"/>
      <c r="E40"/>
      <c r="F40"/>
      <c r="G40"/>
      <c r="H40"/>
      <c r="I40"/>
    </row>
    <row r="41" spans="1:11">
      <c r="J41" s="17"/>
      <c r="K41" s="15"/>
    </row>
    <row r="42" spans="1:11" ht="20.100000000000001" customHeight="1">
      <c r="B42" s="74" t="s">
        <v>1874</v>
      </c>
      <c r="C42" s="90" t="s">
        <v>1875</v>
      </c>
      <c r="J42" s="15"/>
      <c r="K42" s="15"/>
    </row>
    <row r="43" spans="1:11" ht="20.100000000000001" customHeight="1">
      <c r="B43" s="267" t="s">
        <v>1854</v>
      </c>
      <c r="C43" s="121" t="str">
        <f>H13</f>
        <v/>
      </c>
      <c r="J43" s="15"/>
      <c r="K43" s="15"/>
    </row>
    <row r="44" spans="1:11" ht="20.100000000000001" customHeight="1">
      <c r="B44" s="267" t="s">
        <v>1856</v>
      </c>
      <c r="C44" s="121" t="str">
        <f>H14</f>
        <v/>
      </c>
      <c r="J44" s="15"/>
      <c r="K44" s="15"/>
    </row>
    <row r="45" spans="1:11" ht="20.100000000000001" customHeight="1">
      <c r="B45" s="267" t="s">
        <v>1876</v>
      </c>
      <c r="C45" s="121">
        <f>E71</f>
        <v>0</v>
      </c>
      <c r="J45" s="15"/>
      <c r="K45" s="15"/>
    </row>
    <row r="46" spans="1:11" ht="20.100000000000001" customHeight="1">
      <c r="B46" s="267" t="s">
        <v>1877</v>
      </c>
      <c r="C46" s="121" t="e">
        <f>F71</f>
        <v>#DIV/0!</v>
      </c>
      <c r="J46" s="15"/>
      <c r="K46" s="15"/>
    </row>
    <row r="47" spans="1:11" ht="20.100000000000001" customHeight="1">
      <c r="B47" s="267" t="str">
        <f>G54</f>
        <v>Adjusted Operational Variable 1</v>
      </c>
      <c r="C47" s="121">
        <f>G71</f>
        <v>1</v>
      </c>
      <c r="J47" s="15"/>
      <c r="K47" s="15"/>
    </row>
    <row r="48" spans="1:11" ht="20.100000000000001" customHeight="1">
      <c r="B48" s="267" t="str">
        <f>H54</f>
        <v>Adjusted Operational Variable 2</v>
      </c>
      <c r="C48" s="121">
        <f>H71</f>
        <v>1</v>
      </c>
      <c r="J48" s="15"/>
      <c r="K48" s="15"/>
    </row>
    <row r="49" spans="2:11" ht="20.100000000000001" customHeight="1">
      <c r="B49" s="267" t="str">
        <f>I54</f>
        <v>Adjusted Operational Variable 3</v>
      </c>
      <c r="C49" s="121">
        <f>I71</f>
        <v>1</v>
      </c>
      <c r="J49" s="15"/>
      <c r="K49" s="15"/>
    </row>
    <row r="50" spans="2:11">
      <c r="J50" s="15"/>
      <c r="K50" s="15"/>
    </row>
    <row r="51" spans="2:11">
      <c r="J51" s="17"/>
      <c r="K51" s="15"/>
    </row>
    <row r="52" spans="2:11" ht="20.100000000000001" customHeight="1">
      <c r="B52" s="155" t="s">
        <v>1878</v>
      </c>
      <c r="C52" s="155"/>
      <c r="D52" s="155"/>
      <c r="E52" s="155"/>
      <c r="F52" s="155"/>
      <c r="G52" s="155"/>
      <c r="H52" s="155"/>
      <c r="I52" s="155"/>
      <c r="J52" s="155"/>
      <c r="K52" s="155"/>
    </row>
    <row r="53" spans="2:11">
      <c r="J53" s="17"/>
      <c r="K53" s="15"/>
    </row>
    <row r="54" spans="2:11" ht="39.6">
      <c r="B54" s="74" t="s">
        <v>1879</v>
      </c>
      <c r="C54" s="74" t="s">
        <v>1880</v>
      </c>
      <c r="D54" s="74" t="s">
        <v>1881</v>
      </c>
      <c r="E54" s="91" t="s">
        <v>1882</v>
      </c>
      <c r="F54" s="91" t="s">
        <v>1883</v>
      </c>
      <c r="G54" s="91" t="s">
        <v>1884</v>
      </c>
      <c r="H54" s="91" t="s">
        <v>1885</v>
      </c>
      <c r="I54" s="91" t="s">
        <v>1886</v>
      </c>
      <c r="J54" s="91" t="s">
        <v>1887</v>
      </c>
      <c r="K54" s="74" t="s">
        <v>53</v>
      </c>
    </row>
    <row r="55" spans="2:11" ht="30" customHeight="1">
      <c r="B55" s="262" t="s">
        <v>1888</v>
      </c>
      <c r="C55" s="338"/>
      <c r="D55" s="75" t="s">
        <v>1889</v>
      </c>
      <c r="E55" s="350"/>
      <c r="F55" s="350"/>
      <c r="G55" s="350"/>
      <c r="H55" s="350"/>
      <c r="I55" s="350"/>
      <c r="J55" s="350"/>
      <c r="K55" s="263"/>
    </row>
    <row r="56" spans="2:11" ht="30" customHeight="1">
      <c r="B56" s="262" t="s">
        <v>1890</v>
      </c>
      <c r="C56" s="338"/>
      <c r="D56" s="75" t="s">
        <v>1889</v>
      </c>
      <c r="E56" s="350"/>
      <c r="F56" s="350"/>
      <c r="G56" s="350"/>
      <c r="H56" s="350"/>
      <c r="I56" s="350"/>
      <c r="J56" s="350"/>
      <c r="K56" s="263"/>
    </row>
    <row r="57" spans="2:11" ht="30" customHeight="1">
      <c r="B57" s="262" t="s">
        <v>1891</v>
      </c>
      <c r="C57" s="338"/>
      <c r="D57" s="75" t="s">
        <v>1889</v>
      </c>
      <c r="E57" s="350"/>
      <c r="F57" s="350"/>
      <c r="G57" s="350"/>
      <c r="H57" s="350"/>
      <c r="I57" s="350"/>
      <c r="J57" s="350"/>
      <c r="K57" s="263"/>
    </row>
    <row r="58" spans="2:11" ht="30" customHeight="1">
      <c r="B58" s="262" t="s">
        <v>1892</v>
      </c>
      <c r="C58" s="338"/>
      <c r="D58" s="75" t="s">
        <v>1889</v>
      </c>
      <c r="E58" s="350"/>
      <c r="F58" s="350"/>
      <c r="G58" s="350"/>
      <c r="H58" s="350"/>
      <c r="I58" s="350"/>
      <c r="J58" s="350"/>
      <c r="K58" s="263"/>
    </row>
    <row r="59" spans="2:11" ht="30" customHeight="1">
      <c r="B59" s="262" t="s">
        <v>1893</v>
      </c>
      <c r="C59" s="338"/>
      <c r="D59" s="75" t="s">
        <v>1889</v>
      </c>
      <c r="E59" s="350"/>
      <c r="F59" s="350"/>
      <c r="G59" s="350"/>
      <c r="H59" s="350"/>
      <c r="I59" s="350"/>
      <c r="J59" s="350"/>
      <c r="K59" s="263"/>
    </row>
    <row r="60" spans="2:11" ht="30" customHeight="1">
      <c r="B60" s="262" t="s">
        <v>1894</v>
      </c>
      <c r="C60" s="338"/>
      <c r="D60" s="75" t="s">
        <v>1889</v>
      </c>
      <c r="E60" s="350"/>
      <c r="F60" s="350"/>
      <c r="G60" s="350"/>
      <c r="H60" s="350"/>
      <c r="I60" s="350"/>
      <c r="J60" s="350"/>
      <c r="K60" s="263"/>
    </row>
    <row r="61" spans="2:11" ht="30" customHeight="1">
      <c r="B61" s="262" t="s">
        <v>1895</v>
      </c>
      <c r="C61" s="338"/>
      <c r="D61" s="75" t="s">
        <v>1889</v>
      </c>
      <c r="E61" s="350"/>
      <c r="F61" s="350"/>
      <c r="G61" s="350"/>
      <c r="H61" s="350"/>
      <c r="I61" s="350"/>
      <c r="J61" s="350"/>
      <c r="K61" s="263"/>
    </row>
    <row r="62" spans="2:11" ht="30" customHeight="1">
      <c r="B62" s="262" t="s">
        <v>1896</v>
      </c>
      <c r="C62" s="338"/>
      <c r="D62" s="75" t="s">
        <v>1889</v>
      </c>
      <c r="E62" s="350"/>
      <c r="F62" s="350"/>
      <c r="G62" s="350"/>
      <c r="H62" s="350"/>
      <c r="I62" s="350"/>
      <c r="J62" s="350"/>
      <c r="K62" s="263"/>
    </row>
    <row r="63" spans="2:11" ht="30" customHeight="1">
      <c r="B63" s="262" t="s">
        <v>1897</v>
      </c>
      <c r="C63" s="338"/>
      <c r="D63" s="75" t="s">
        <v>1889</v>
      </c>
      <c r="E63" s="350"/>
      <c r="F63" s="350"/>
      <c r="G63" s="350"/>
      <c r="H63" s="350"/>
      <c r="I63" s="350"/>
      <c r="J63" s="350"/>
      <c r="K63" s="263"/>
    </row>
    <row r="64" spans="2:11" ht="30" customHeight="1">
      <c r="B64" s="262" t="s">
        <v>1898</v>
      </c>
      <c r="C64" s="338"/>
      <c r="D64" s="75" t="s">
        <v>1889</v>
      </c>
      <c r="E64" s="350"/>
      <c r="F64" s="350"/>
      <c r="G64" s="350"/>
      <c r="H64" s="350"/>
      <c r="I64" s="350"/>
      <c r="J64" s="350"/>
      <c r="K64" s="263"/>
    </row>
    <row r="65" spans="2:11" ht="30" customHeight="1">
      <c r="B65" s="262" t="s">
        <v>1899</v>
      </c>
      <c r="C65" s="338"/>
      <c r="D65" s="75" t="s">
        <v>1889</v>
      </c>
      <c r="E65" s="350"/>
      <c r="F65" s="350"/>
      <c r="G65" s="350"/>
      <c r="H65" s="350"/>
      <c r="I65" s="350"/>
      <c r="J65" s="350"/>
      <c r="K65" s="263"/>
    </row>
    <row r="66" spans="2:11" ht="30" customHeight="1">
      <c r="B66" s="262" t="s">
        <v>1900</v>
      </c>
      <c r="C66" s="338"/>
      <c r="D66" s="75" t="s">
        <v>1889</v>
      </c>
      <c r="E66" s="350"/>
      <c r="F66" s="350"/>
      <c r="G66" s="350"/>
      <c r="H66" s="350"/>
      <c r="I66" s="350"/>
      <c r="J66" s="350"/>
      <c r="K66" s="263"/>
    </row>
    <row r="67" spans="2:11" ht="30" customHeight="1">
      <c r="B67" s="262" t="s">
        <v>1901</v>
      </c>
      <c r="C67" s="338"/>
      <c r="D67" s="75" t="s">
        <v>1889</v>
      </c>
      <c r="E67" s="350"/>
      <c r="F67" s="350"/>
      <c r="G67" s="350"/>
      <c r="H67" s="350"/>
      <c r="I67" s="350"/>
      <c r="J67" s="350"/>
      <c r="K67" s="263"/>
    </row>
    <row r="68" spans="2:11" ht="30" customHeight="1">
      <c r="B68" s="262" t="s">
        <v>1902</v>
      </c>
      <c r="C68" s="338"/>
      <c r="D68" s="75" t="s">
        <v>1889</v>
      </c>
      <c r="E68" s="350"/>
      <c r="F68" s="350"/>
      <c r="G68" s="350"/>
      <c r="H68" s="350"/>
      <c r="I68" s="350"/>
      <c r="J68" s="350"/>
      <c r="K68" s="263"/>
    </row>
    <row r="69" spans="2:11" ht="30" customHeight="1">
      <c r="B69" s="264" t="s">
        <v>1903</v>
      </c>
      <c r="C69" s="339"/>
      <c r="D69" s="265" t="s">
        <v>1889</v>
      </c>
      <c r="E69" s="351"/>
      <c r="F69" s="351"/>
      <c r="G69" s="351"/>
      <c r="H69" s="351"/>
      <c r="I69" s="351"/>
      <c r="J69" s="351"/>
      <c r="K69" s="266"/>
    </row>
    <row r="70" spans="2:11" ht="30" customHeight="1">
      <c r="B70" s="15" t="s">
        <v>1904</v>
      </c>
      <c r="E70" s="349" t="s">
        <v>1905</v>
      </c>
      <c r="F70" s="349" t="s">
        <v>1906</v>
      </c>
      <c r="G70" s="349" t="str">
        <f>G54</f>
        <v>Adjusted Operational Variable 1</v>
      </c>
      <c r="H70" s="349" t="str">
        <f>H54</f>
        <v>Adjusted Operational Variable 2</v>
      </c>
      <c r="I70" s="349" t="str">
        <f>I54</f>
        <v>Adjusted Operational Variable 3</v>
      </c>
      <c r="J70" s="15"/>
      <c r="K70" s="17"/>
    </row>
    <row r="71" spans="2:11" ht="30" customHeight="1">
      <c r="E71" s="121">
        <f>SUMPRODUCT(E55:E69,J55:J69)/($H$9-$H$8+1)</f>
        <v>0</v>
      </c>
      <c r="F71" s="121" t="e">
        <f>SUMPRODUCT(F55:F69,$J55:$J69,$E55:$E69)/($H$9-$H$8+1)/SUM($E55:$E69)</f>
        <v>#DIV/0!</v>
      </c>
      <c r="G71" s="121">
        <f>IFERROR(SUMPRODUCT(G55:G69,$J55:$J69,$E55:$E69)/($H$9-$H$8+1)/SUM($E55:$E69),1)</f>
        <v>1</v>
      </c>
      <c r="H71" s="121">
        <f>IFERROR(SUMPRODUCT(H55:H69,$J55:$J69,$E55:$E69)/($H$9-$H$8+1)/SUM($E55:$E69),1)</f>
        <v>1</v>
      </c>
      <c r="I71" s="121">
        <f>IFERROR(SUMPRODUCT(I55:I69,$J55:$J69,$E55:$E69)/($H$9-$H$8+1)/SUM($E55:$E69),1)</f>
        <v>1</v>
      </c>
      <c r="J71" s="15"/>
      <c r="K71" s="17"/>
    </row>
    <row r="72" spans="2:11">
      <c r="J72" s="17"/>
      <c r="K72" s="15"/>
    </row>
    <row r="73" spans="2:11">
      <c r="J73" s="17"/>
      <c r="K73" s="15"/>
    </row>
    <row r="74" spans="2:11" ht="20.100000000000001" customHeight="1">
      <c r="B74" s="155" t="s">
        <v>1907</v>
      </c>
      <c r="C74" s="155"/>
      <c r="D74" s="155"/>
      <c r="E74" s="155"/>
      <c r="F74" s="155"/>
      <c r="G74" s="155"/>
      <c r="H74" s="155"/>
      <c r="I74" s="155"/>
    </row>
    <row r="76" spans="2:11" ht="20.100000000000001" customHeight="1">
      <c r="B76" s="155" t="s">
        <v>1908</v>
      </c>
      <c r="C76" s="155"/>
      <c r="D76" s="155"/>
      <c r="E76" s="155"/>
      <c r="F76" s="155"/>
      <c r="G76" s="155"/>
      <c r="H76" s="155"/>
      <c r="I76" s="155"/>
    </row>
    <row r="77" spans="2:11">
      <c r="J77" s="17"/>
      <c r="K77" s="15"/>
    </row>
    <row r="78" spans="2:11" ht="20.100000000000001" customHeight="1">
      <c r="B78" s="192" t="s">
        <v>1010</v>
      </c>
      <c r="C78" s="86" t="s">
        <v>673</v>
      </c>
      <c r="E78" s="192" t="s">
        <v>579</v>
      </c>
      <c r="F78" s="592"/>
      <c r="G78" s="593"/>
      <c r="H78" s="593"/>
      <c r="I78" s="594"/>
      <c r="J78" s="17"/>
      <c r="K78" s="15"/>
    </row>
    <row r="79" spans="2:11" ht="20.100000000000001" customHeight="1">
      <c r="B79" s="91" t="s">
        <v>581</v>
      </c>
      <c r="C79" s="87" t="s">
        <v>81</v>
      </c>
      <c r="E79" s="626" t="s">
        <v>583</v>
      </c>
      <c r="F79" s="627"/>
      <c r="G79" s="628"/>
      <c r="H79" s="628"/>
      <c r="I79" s="629"/>
      <c r="J79" s="17"/>
      <c r="K79" s="15"/>
    </row>
    <row r="80" spans="2:11" ht="20.100000000000001" customHeight="1">
      <c r="B80" s="91" t="s">
        <v>585</v>
      </c>
      <c r="C80" s="438" t="b" cm="1">
        <f t="array" ref="C80">IF(OR($C$13="NZ-except Auckland",$C$13="NZ-Auckland"),INDEX('NGER Emission Factors'!$D$54:$D$96,MATCH(1,($C$21='NGER Emission Factors'!$B$54:$B$96)*($H$10='NGER Emission Factors'!$C$54:$C$96),0),1))</f>
        <v>0</v>
      </c>
      <c r="D80" s="202"/>
      <c r="E80" s="626"/>
      <c r="F80" s="630"/>
      <c r="G80" s="631"/>
      <c r="H80" s="631"/>
      <c r="I80" s="632"/>
      <c r="J80" s="17"/>
      <c r="K80" s="15"/>
    </row>
    <row r="81" spans="2:10" s="15" customFormat="1" ht="20.100000000000001" customHeight="1">
      <c r="B81" s="91" t="s">
        <v>587</v>
      </c>
      <c r="C81" s="86" t="s">
        <v>87</v>
      </c>
      <c r="E81" s="15" t="s">
        <v>591</v>
      </c>
      <c r="J81" s="17"/>
    </row>
    <row r="82" spans="2:10" s="15" customFormat="1" ht="20.100000000000001" customHeight="1">
      <c r="B82" s="91" t="s">
        <v>589</v>
      </c>
      <c r="C82" s="88">
        <v>3.5999999999999999E-3</v>
      </c>
      <c r="D82" s="15" t="s">
        <v>1909</v>
      </c>
      <c r="J82" s="17"/>
    </row>
    <row r="83" spans="2:10" s="15" customFormat="1">
      <c r="J83" s="17"/>
    </row>
    <row r="84" spans="2:10" s="15" customFormat="1" ht="30" customHeight="1" thickBot="1">
      <c r="B84" s="90" t="s">
        <v>593</v>
      </c>
      <c r="C84" s="90" t="s">
        <v>595</v>
      </c>
      <c r="D84" s="90" t="s">
        <v>597</v>
      </c>
      <c r="E84" s="90" t="s">
        <v>599</v>
      </c>
      <c r="F84" s="90" t="str">
        <f>"Billed Quantity ("&amp;C81&amp;")"</f>
        <v>Billed Quantity (kWh)</v>
      </c>
      <c r="G84" s="91" t="s">
        <v>603</v>
      </c>
      <c r="H84" s="91" t="s">
        <v>589</v>
      </c>
      <c r="I84" s="91" t="s">
        <v>606</v>
      </c>
    </row>
    <row r="85" spans="2:10" s="15" customFormat="1" ht="20.100000000000001" customHeight="1">
      <c r="B85" s="501"/>
      <c r="C85" s="502"/>
      <c r="D85" s="517"/>
      <c r="E85" s="503"/>
      <c r="F85" s="518"/>
      <c r="G85" s="89" t="str">
        <f t="shared" ref="G85:G96" si="1">IF(ISBLANK(D85),"",E85-D85+1)</f>
        <v/>
      </c>
      <c r="H85" s="133">
        <f>$C$82</f>
        <v>3.5999999999999999E-3</v>
      </c>
      <c r="I85" s="142">
        <f t="shared" ref="I85:I96" si="2">IF(F85&gt;0,F85*H85*IF(OR(D85&gt;$H$9,E85&lt;$H$8), 0, IF(D85&lt;$H$8,E85-$H$8,IF($H$9&lt;E85,E85-$H$9,G85)))/G85,0)</f>
        <v>0</v>
      </c>
      <c r="J85" s="143"/>
    </row>
    <row r="86" spans="2:10" s="15" customFormat="1" ht="20.100000000000001" customHeight="1">
      <c r="B86" s="504"/>
      <c r="C86" s="505"/>
      <c r="D86" s="506"/>
      <c r="E86" s="506"/>
      <c r="F86" s="507"/>
      <c r="G86" s="89" t="str">
        <f t="shared" si="1"/>
        <v/>
      </c>
      <c r="H86" s="133">
        <f t="shared" ref="H86:H95" si="3">$C$82</f>
        <v>3.5999999999999999E-3</v>
      </c>
      <c r="I86" s="142">
        <f t="shared" si="2"/>
        <v>0</v>
      </c>
      <c r="J86" s="143"/>
    </row>
    <row r="87" spans="2:10" s="15" customFormat="1" ht="20.100000000000001" customHeight="1">
      <c r="B87" s="504"/>
      <c r="C87" s="505"/>
      <c r="D87" s="506"/>
      <c r="E87" s="506"/>
      <c r="F87" s="507"/>
      <c r="G87" s="89" t="str">
        <f t="shared" si="1"/>
        <v/>
      </c>
      <c r="H87" s="133">
        <f t="shared" si="3"/>
        <v>3.5999999999999999E-3</v>
      </c>
      <c r="I87" s="142">
        <f t="shared" si="2"/>
        <v>0</v>
      </c>
      <c r="J87" s="143"/>
    </row>
    <row r="88" spans="2:10" s="15" customFormat="1" ht="20.100000000000001" customHeight="1">
      <c r="B88" s="504"/>
      <c r="C88" s="505"/>
      <c r="D88" s="506"/>
      <c r="E88" s="506"/>
      <c r="F88" s="507"/>
      <c r="G88" s="89" t="str">
        <f t="shared" si="1"/>
        <v/>
      </c>
      <c r="H88" s="133">
        <f t="shared" si="3"/>
        <v>3.5999999999999999E-3</v>
      </c>
      <c r="I88" s="142">
        <f t="shared" si="2"/>
        <v>0</v>
      </c>
      <c r="J88" s="143"/>
    </row>
    <row r="89" spans="2:10" s="15" customFormat="1" ht="20.100000000000001" customHeight="1">
      <c r="B89" s="504"/>
      <c r="C89" s="505"/>
      <c r="D89" s="506"/>
      <c r="E89" s="506"/>
      <c r="F89" s="507"/>
      <c r="G89" s="89" t="str">
        <f t="shared" si="1"/>
        <v/>
      </c>
      <c r="H89" s="133">
        <f t="shared" si="3"/>
        <v>3.5999999999999999E-3</v>
      </c>
      <c r="I89" s="142">
        <f t="shared" si="2"/>
        <v>0</v>
      </c>
      <c r="J89" s="143"/>
    </row>
    <row r="90" spans="2:10" s="15" customFormat="1" ht="20.100000000000001" customHeight="1">
      <c r="B90" s="504"/>
      <c r="C90" s="505"/>
      <c r="D90" s="506"/>
      <c r="E90" s="506"/>
      <c r="F90" s="507"/>
      <c r="G90" s="89" t="str">
        <f t="shared" si="1"/>
        <v/>
      </c>
      <c r="H90" s="133">
        <f t="shared" si="3"/>
        <v>3.5999999999999999E-3</v>
      </c>
      <c r="I90" s="142">
        <f t="shared" si="2"/>
        <v>0</v>
      </c>
      <c r="J90" s="143"/>
    </row>
    <row r="91" spans="2:10" s="15" customFormat="1" ht="20.100000000000001" customHeight="1">
      <c r="B91" s="504"/>
      <c r="C91" s="505"/>
      <c r="D91" s="506"/>
      <c r="E91" s="506"/>
      <c r="F91" s="507"/>
      <c r="G91" s="89" t="str">
        <f t="shared" si="1"/>
        <v/>
      </c>
      <c r="H91" s="133">
        <f t="shared" si="3"/>
        <v>3.5999999999999999E-3</v>
      </c>
      <c r="I91" s="142">
        <f t="shared" si="2"/>
        <v>0</v>
      </c>
      <c r="J91" s="143"/>
    </row>
    <row r="92" spans="2:10" s="15" customFormat="1" ht="20.100000000000001" customHeight="1">
      <c r="B92" s="504"/>
      <c r="C92" s="505"/>
      <c r="D92" s="506"/>
      <c r="E92" s="506"/>
      <c r="F92" s="507"/>
      <c r="G92" s="89" t="str">
        <f t="shared" si="1"/>
        <v/>
      </c>
      <c r="H92" s="133">
        <f t="shared" si="3"/>
        <v>3.5999999999999999E-3</v>
      </c>
      <c r="I92" s="142">
        <f t="shared" si="2"/>
        <v>0</v>
      </c>
      <c r="J92" s="143"/>
    </row>
    <row r="93" spans="2:10" s="15" customFormat="1" ht="20.100000000000001" customHeight="1">
      <c r="B93" s="504"/>
      <c r="C93" s="505"/>
      <c r="D93" s="506"/>
      <c r="E93" s="506"/>
      <c r="F93" s="507"/>
      <c r="G93" s="89" t="str">
        <f t="shared" si="1"/>
        <v/>
      </c>
      <c r="H93" s="133">
        <f t="shared" si="3"/>
        <v>3.5999999999999999E-3</v>
      </c>
      <c r="I93" s="142">
        <f t="shared" si="2"/>
        <v>0</v>
      </c>
      <c r="J93" s="143"/>
    </row>
    <row r="94" spans="2:10" s="15" customFormat="1" ht="20.100000000000001" customHeight="1">
      <c r="B94" s="504"/>
      <c r="C94" s="505"/>
      <c r="D94" s="506"/>
      <c r="E94" s="506"/>
      <c r="F94" s="507"/>
      <c r="G94" s="89" t="str">
        <f t="shared" si="1"/>
        <v/>
      </c>
      <c r="H94" s="133">
        <f t="shared" si="3"/>
        <v>3.5999999999999999E-3</v>
      </c>
      <c r="I94" s="142">
        <f t="shared" si="2"/>
        <v>0</v>
      </c>
      <c r="J94" s="143"/>
    </row>
    <row r="95" spans="2:10" s="15" customFormat="1" ht="20.100000000000001" customHeight="1">
      <c r="B95" s="504"/>
      <c r="C95" s="505"/>
      <c r="D95" s="506"/>
      <c r="E95" s="506"/>
      <c r="F95" s="507"/>
      <c r="G95" s="89" t="str">
        <f t="shared" si="1"/>
        <v/>
      </c>
      <c r="H95" s="133">
        <f t="shared" si="3"/>
        <v>3.5999999999999999E-3</v>
      </c>
      <c r="I95" s="142">
        <f t="shared" si="2"/>
        <v>0</v>
      </c>
      <c r="J95" s="143"/>
    </row>
    <row r="96" spans="2:10" s="15" customFormat="1" ht="20.100000000000001" customHeight="1" thickBot="1">
      <c r="B96" s="508"/>
      <c r="C96" s="509"/>
      <c r="D96" s="510"/>
      <c r="E96" s="510"/>
      <c r="F96" s="511"/>
      <c r="G96" s="89" t="str">
        <f t="shared" si="1"/>
        <v/>
      </c>
      <c r="H96" s="133">
        <f>$C$82</f>
        <v>3.5999999999999999E-3</v>
      </c>
      <c r="I96" s="142">
        <f t="shared" si="2"/>
        <v>0</v>
      </c>
      <c r="J96" s="143"/>
    </row>
    <row r="97" spans="2:11">
      <c r="D97" s="30"/>
      <c r="E97" s="30"/>
      <c r="F97" s="31"/>
      <c r="J97" s="15"/>
      <c r="K97" s="15"/>
    </row>
    <row r="98" spans="2:11" ht="20.100000000000001" customHeight="1">
      <c r="B98" s="155" t="s">
        <v>1910</v>
      </c>
      <c r="C98" s="155"/>
      <c r="D98" s="155"/>
      <c r="E98" s="155"/>
      <c r="F98" s="155"/>
      <c r="G98" s="155"/>
      <c r="H98" s="155"/>
      <c r="I98" s="155"/>
    </row>
    <row r="99" spans="2:11" ht="60" customHeight="1">
      <c r="B99" s="633" t="s">
        <v>1911</v>
      </c>
      <c r="C99" s="633"/>
      <c r="D99" s="633"/>
      <c r="E99" s="633"/>
      <c r="F99" s="633"/>
      <c r="G99" s="633"/>
      <c r="H99" s="633"/>
      <c r="I99" s="633"/>
    </row>
    <row r="100" spans="2:11" ht="20.100000000000001" customHeight="1">
      <c r="J100" s="15"/>
      <c r="K100" s="15"/>
    </row>
    <row r="101" spans="2:11" ht="20.100000000000001" customHeight="1">
      <c r="B101" s="91" t="s">
        <v>1010</v>
      </c>
      <c r="C101" s="86" t="s">
        <v>1912</v>
      </c>
      <c r="D101" s="15" t="str">
        <f>IF($C$13="NZ", "Note: All NZ projects cannot utilise GreenPower in their ratings", "")</f>
        <v/>
      </c>
      <c r="E101" s="192" t="s">
        <v>579</v>
      </c>
      <c r="F101" s="617"/>
      <c r="G101" s="617"/>
      <c r="H101" s="617"/>
      <c r="I101" s="617"/>
      <c r="J101" s="15"/>
      <c r="K101" s="15"/>
    </row>
    <row r="102" spans="2:11" ht="20.100000000000001" customHeight="1">
      <c r="B102" s="91" t="s">
        <v>581</v>
      </c>
      <c r="C102" s="86" t="s">
        <v>81</v>
      </c>
      <c r="E102" s="613" t="s">
        <v>583</v>
      </c>
      <c r="F102" s="607" t="s">
        <v>1913</v>
      </c>
      <c r="G102" s="608"/>
      <c r="H102" s="608"/>
      <c r="I102" s="609"/>
      <c r="J102" s="15"/>
      <c r="K102" s="15"/>
    </row>
    <row r="103" spans="2:11" ht="20.100000000000001" customHeight="1">
      <c r="B103" s="91" t="s">
        <v>585</v>
      </c>
      <c r="C103" s="86">
        <v>0</v>
      </c>
      <c r="D103" s="202"/>
      <c r="E103" s="614"/>
      <c r="F103" s="610"/>
      <c r="G103" s="611"/>
      <c r="H103" s="611"/>
      <c r="I103" s="612"/>
      <c r="J103" s="15"/>
      <c r="K103" s="15"/>
    </row>
    <row r="104" spans="2:11" ht="20.100000000000001" customHeight="1">
      <c r="B104" s="91" t="s">
        <v>587</v>
      </c>
      <c r="C104" s="86" t="s">
        <v>87</v>
      </c>
      <c r="E104" s="15" t="s">
        <v>591</v>
      </c>
      <c r="F104"/>
      <c r="G104"/>
      <c r="H104"/>
      <c r="I104"/>
      <c r="J104" s="15"/>
      <c r="K104" s="15"/>
    </row>
    <row r="105" spans="2:11" ht="20.100000000000001" customHeight="1">
      <c r="B105" s="91" t="s">
        <v>589</v>
      </c>
      <c r="C105" s="88">
        <v>3.5999999999999999E-3</v>
      </c>
      <c r="E105"/>
      <c r="F105"/>
      <c r="G105"/>
      <c r="H105"/>
      <c r="I105"/>
      <c r="J105" s="15"/>
      <c r="K105" s="15"/>
    </row>
    <row r="106" spans="2:11">
      <c r="G106" s="17"/>
      <c r="J106" s="15"/>
      <c r="K106" s="15"/>
    </row>
    <row r="107" spans="2:11" ht="30" customHeight="1">
      <c r="B107" s="90" t="s">
        <v>593</v>
      </c>
      <c r="C107" s="90" t="s">
        <v>595</v>
      </c>
      <c r="D107" s="90" t="s">
        <v>597</v>
      </c>
      <c r="E107" s="90" t="s">
        <v>599</v>
      </c>
      <c r="F107" s="90" t="str">
        <f>"Billed Quantity ("&amp;C104&amp;")"</f>
        <v>Billed Quantity (kWh)</v>
      </c>
      <c r="G107" s="91" t="s">
        <v>603</v>
      </c>
      <c r="H107" s="91" t="s">
        <v>589</v>
      </c>
      <c r="I107" s="91" t="s">
        <v>606</v>
      </c>
      <c r="J107" s="15"/>
      <c r="K107" s="15"/>
    </row>
    <row r="108" spans="2:11" ht="20.100000000000001" customHeight="1">
      <c r="B108" s="94"/>
      <c r="C108" s="95"/>
      <c r="D108" s="96"/>
      <c r="E108" s="96"/>
      <c r="F108" s="97"/>
      <c r="G108" s="89" t="str">
        <f t="shared" ref="G108:G119" si="4">IF(ISBLANK(D108),"",E108-D108+1)</f>
        <v/>
      </c>
      <c r="H108" s="86">
        <f t="shared" ref="H108:H119" si="5">$C$105</f>
        <v>3.5999999999999999E-3</v>
      </c>
      <c r="I108" s="86">
        <f t="shared" ref="I108:I119" si="6">IF(F108&gt;0,F108*H108*IF(OR(D108&gt;$H$9,E108&lt;$H$8), 0, IF(D108&lt;$H$8,E108-$H$8,IF($H$9&lt;E108,E108-$H$9,G108)))/G108,0)</f>
        <v>0</v>
      </c>
      <c r="J108" s="15"/>
      <c r="K108" s="15"/>
    </row>
    <row r="109" spans="2:11" ht="20.100000000000001" customHeight="1">
      <c r="B109" s="98"/>
      <c r="C109" s="92"/>
      <c r="D109" s="93"/>
      <c r="E109" s="93"/>
      <c r="F109" s="99"/>
      <c r="G109" s="89" t="str">
        <f t="shared" si="4"/>
        <v/>
      </c>
      <c r="H109" s="86">
        <f t="shared" si="5"/>
        <v>3.5999999999999999E-3</v>
      </c>
      <c r="I109" s="86">
        <f t="shared" si="6"/>
        <v>0</v>
      </c>
      <c r="J109" s="15"/>
      <c r="K109" s="15"/>
    </row>
    <row r="110" spans="2:11" ht="20.100000000000001" customHeight="1">
      <c r="B110" s="98"/>
      <c r="C110" s="92"/>
      <c r="D110" s="93"/>
      <c r="E110" s="93"/>
      <c r="F110" s="99"/>
      <c r="G110" s="89" t="str">
        <f t="shared" si="4"/>
        <v/>
      </c>
      <c r="H110" s="86">
        <f t="shared" si="5"/>
        <v>3.5999999999999999E-3</v>
      </c>
      <c r="I110" s="86">
        <f t="shared" si="6"/>
        <v>0</v>
      </c>
      <c r="J110" s="15"/>
      <c r="K110" s="15"/>
    </row>
    <row r="111" spans="2:11" ht="20.100000000000001" customHeight="1">
      <c r="B111" s="98"/>
      <c r="C111" s="92"/>
      <c r="D111" s="93"/>
      <c r="E111" s="93"/>
      <c r="F111" s="99"/>
      <c r="G111" s="89" t="str">
        <f t="shared" si="4"/>
        <v/>
      </c>
      <c r="H111" s="86">
        <f t="shared" si="5"/>
        <v>3.5999999999999999E-3</v>
      </c>
      <c r="I111" s="86">
        <f t="shared" si="6"/>
        <v>0</v>
      </c>
      <c r="J111" s="15"/>
      <c r="K111" s="15"/>
    </row>
    <row r="112" spans="2:11" ht="20.100000000000001" customHeight="1">
      <c r="B112" s="98"/>
      <c r="C112" s="92"/>
      <c r="D112" s="93"/>
      <c r="E112" s="93"/>
      <c r="F112" s="99"/>
      <c r="G112" s="89" t="str">
        <f t="shared" si="4"/>
        <v/>
      </c>
      <c r="H112" s="86">
        <f t="shared" si="5"/>
        <v>3.5999999999999999E-3</v>
      </c>
      <c r="I112" s="86">
        <f t="shared" si="6"/>
        <v>0</v>
      </c>
      <c r="J112" s="15"/>
      <c r="K112" s="15"/>
    </row>
    <row r="113" spans="2:11" ht="20.100000000000001" customHeight="1">
      <c r="B113" s="98"/>
      <c r="C113" s="92"/>
      <c r="D113" s="93"/>
      <c r="E113" s="93"/>
      <c r="F113" s="99"/>
      <c r="G113" s="89" t="str">
        <f t="shared" si="4"/>
        <v/>
      </c>
      <c r="H113" s="86">
        <f t="shared" si="5"/>
        <v>3.5999999999999999E-3</v>
      </c>
      <c r="I113" s="86">
        <f t="shared" si="6"/>
        <v>0</v>
      </c>
      <c r="J113" s="15"/>
      <c r="K113" s="15"/>
    </row>
    <row r="114" spans="2:11" ht="20.100000000000001" customHeight="1">
      <c r="B114" s="98"/>
      <c r="C114" s="92"/>
      <c r="D114" s="93"/>
      <c r="E114" s="93"/>
      <c r="F114" s="99"/>
      <c r="G114" s="89" t="str">
        <f t="shared" si="4"/>
        <v/>
      </c>
      <c r="H114" s="86">
        <f t="shared" si="5"/>
        <v>3.5999999999999999E-3</v>
      </c>
      <c r="I114" s="86">
        <f t="shared" si="6"/>
        <v>0</v>
      </c>
      <c r="J114" s="15"/>
      <c r="K114" s="15"/>
    </row>
    <row r="115" spans="2:11" ht="20.100000000000001" customHeight="1">
      <c r="B115" s="98"/>
      <c r="C115" s="92"/>
      <c r="D115" s="93"/>
      <c r="E115" s="93"/>
      <c r="F115" s="99"/>
      <c r="G115" s="89" t="str">
        <f t="shared" si="4"/>
        <v/>
      </c>
      <c r="H115" s="86">
        <f t="shared" si="5"/>
        <v>3.5999999999999999E-3</v>
      </c>
      <c r="I115" s="86">
        <f t="shared" si="6"/>
        <v>0</v>
      </c>
      <c r="J115" s="15"/>
      <c r="K115" s="15"/>
    </row>
    <row r="116" spans="2:11" ht="20.100000000000001" customHeight="1">
      <c r="B116" s="98"/>
      <c r="C116" s="92"/>
      <c r="D116" s="93"/>
      <c r="E116" s="93"/>
      <c r="F116" s="99"/>
      <c r="G116" s="89" t="str">
        <f t="shared" si="4"/>
        <v/>
      </c>
      <c r="H116" s="86">
        <f t="shared" si="5"/>
        <v>3.5999999999999999E-3</v>
      </c>
      <c r="I116" s="86">
        <f t="shared" si="6"/>
        <v>0</v>
      </c>
      <c r="J116" s="15"/>
      <c r="K116" s="15"/>
    </row>
    <row r="117" spans="2:11" ht="20.100000000000001" customHeight="1">
      <c r="B117" s="98"/>
      <c r="C117" s="92"/>
      <c r="D117" s="93"/>
      <c r="E117" s="93"/>
      <c r="F117" s="99"/>
      <c r="G117" s="89" t="str">
        <f t="shared" si="4"/>
        <v/>
      </c>
      <c r="H117" s="86">
        <f t="shared" si="5"/>
        <v>3.5999999999999999E-3</v>
      </c>
      <c r="I117" s="86">
        <f t="shared" si="6"/>
        <v>0</v>
      </c>
      <c r="J117" s="15"/>
      <c r="K117" s="15"/>
    </row>
    <row r="118" spans="2:11" ht="20.100000000000001" customHeight="1">
      <c r="B118" s="98"/>
      <c r="C118" s="92"/>
      <c r="D118" s="93"/>
      <c r="E118" s="93"/>
      <c r="F118" s="99"/>
      <c r="G118" s="89" t="str">
        <f t="shared" si="4"/>
        <v/>
      </c>
      <c r="H118" s="86">
        <f t="shared" si="5"/>
        <v>3.5999999999999999E-3</v>
      </c>
      <c r="I118" s="86">
        <f t="shared" si="6"/>
        <v>0</v>
      </c>
      <c r="J118" s="15"/>
      <c r="K118" s="15"/>
    </row>
    <row r="119" spans="2:11" ht="20.100000000000001" customHeight="1">
      <c r="B119" s="100"/>
      <c r="C119" s="101"/>
      <c r="D119" s="102"/>
      <c r="E119" s="102"/>
      <c r="F119" s="103"/>
      <c r="G119" s="89" t="str">
        <f t="shared" si="4"/>
        <v/>
      </c>
      <c r="H119" s="86">
        <f t="shared" si="5"/>
        <v>3.5999999999999999E-3</v>
      </c>
      <c r="I119" s="86">
        <f t="shared" si="6"/>
        <v>0</v>
      </c>
      <c r="J119" s="15"/>
      <c r="K119" s="15"/>
    </row>
    <row r="120" spans="2:11">
      <c r="D120" s="30"/>
      <c r="E120" s="30"/>
      <c r="F120" s="31"/>
      <c r="J120" s="15"/>
      <c r="K120" s="15"/>
    </row>
    <row r="121" spans="2:11" ht="20.100000000000001" customHeight="1">
      <c r="B121" s="155" t="s">
        <v>1914</v>
      </c>
      <c r="C121" s="155"/>
      <c r="D121" s="155"/>
      <c r="E121" s="155"/>
      <c r="F121" s="155"/>
      <c r="G121" s="155"/>
      <c r="H121" s="155"/>
      <c r="I121" s="155"/>
    </row>
    <row r="123" spans="2:11" ht="20.100000000000001" customHeight="1">
      <c r="B123" s="91" t="s">
        <v>1010</v>
      </c>
      <c r="C123" s="86" t="s">
        <v>1915</v>
      </c>
      <c r="E123" s="192" t="s">
        <v>579</v>
      </c>
      <c r="F123" s="617"/>
      <c r="G123" s="617"/>
      <c r="H123" s="617"/>
      <c r="I123" s="617"/>
    </row>
    <row r="124" spans="2:11" ht="20.100000000000001" customHeight="1">
      <c r="B124" s="91" t="s">
        <v>581</v>
      </c>
      <c r="C124" s="86" t="s">
        <v>92</v>
      </c>
      <c r="E124" s="613" t="s">
        <v>583</v>
      </c>
      <c r="F124" s="615"/>
      <c r="G124" s="615"/>
      <c r="H124" s="615"/>
      <c r="I124" s="615"/>
    </row>
    <row r="125" spans="2:11" ht="20.100000000000001" customHeight="1">
      <c r="B125" s="91" t="s">
        <v>585</v>
      </c>
      <c r="C125" s="439" t="b" cm="1">
        <f t="array" ref="C125">IF(OR($C$13="NZ-except Auckland",$C$13="NZ-Auckland"),INDEX('NGER Emission Factors'!$G$33:$G$50,MATCH(1,(C123='NGER Emission Factors'!$B$33:$B$50)*($H$10='NGER Emission Factors'!$C$33:$C$50),0),1))</f>
        <v>0</v>
      </c>
      <c r="D125" s="202"/>
      <c r="E125" s="614"/>
      <c r="F125" s="616"/>
      <c r="G125" s="616"/>
      <c r="H125" s="616"/>
      <c r="I125" s="616"/>
    </row>
    <row r="126" spans="2:11" ht="20.100000000000001" customHeight="1">
      <c r="B126" s="91" t="s">
        <v>587</v>
      </c>
      <c r="C126" s="86" t="s">
        <v>98</v>
      </c>
      <c r="E126" s="15" t="s">
        <v>591</v>
      </c>
    </row>
    <row r="127" spans="2:11" ht="20.100000000000001" customHeight="1">
      <c r="B127" s="91" t="s">
        <v>589</v>
      </c>
      <c r="C127" s="88">
        <v>1E-3</v>
      </c>
    </row>
    <row r="129" spans="2:9" ht="30" customHeight="1" thickBot="1">
      <c r="B129" s="90" t="s">
        <v>593</v>
      </c>
      <c r="C129" s="90" t="s">
        <v>595</v>
      </c>
      <c r="D129" s="90" t="s">
        <v>597</v>
      </c>
      <c r="E129" s="90" t="s">
        <v>599</v>
      </c>
      <c r="F129" s="90" t="str">
        <f>"Billed Quantity ("&amp;C126&amp;")"</f>
        <v>Billed Quantity (MJ)</v>
      </c>
      <c r="G129" s="91" t="s">
        <v>603</v>
      </c>
      <c r="H129" s="91" t="s">
        <v>589</v>
      </c>
      <c r="I129" s="91" t="s">
        <v>606</v>
      </c>
    </row>
    <row r="130" spans="2:9" ht="20.100000000000001" customHeight="1">
      <c r="B130" s="501"/>
      <c r="C130" s="502"/>
      <c r="D130" s="515"/>
      <c r="E130" s="503"/>
      <c r="F130" s="516"/>
      <c r="G130" s="89" t="str">
        <f t="shared" ref="G130:G141" si="7">IF(ISBLANK(D130),"",E130-D130+1)</f>
        <v/>
      </c>
      <c r="H130" s="135">
        <f>$C$127</f>
        <v>1E-3</v>
      </c>
      <c r="I130" s="86">
        <f t="shared" ref="I130:I141" si="8">IF(F130&gt;0,F130*H130*IF(OR(D130&gt;$H$9,E130&lt;$H$8), 0, IF(D130&lt;$H$8,E130-$H$8,IF($H$9&lt;E130,E130-$H$9,G130)))/G130,0)</f>
        <v>0</v>
      </c>
    </row>
    <row r="131" spans="2:9" ht="20.100000000000001" customHeight="1">
      <c r="B131" s="504"/>
      <c r="C131" s="505"/>
      <c r="D131" s="506"/>
      <c r="E131" s="506"/>
      <c r="F131" s="507"/>
      <c r="G131" s="89" t="str">
        <f t="shared" si="7"/>
        <v/>
      </c>
      <c r="H131" s="135">
        <f t="shared" ref="H131:H141" si="9">$C$127</f>
        <v>1E-3</v>
      </c>
      <c r="I131" s="86">
        <f t="shared" si="8"/>
        <v>0</v>
      </c>
    </row>
    <row r="132" spans="2:9" ht="20.100000000000001" customHeight="1">
      <c r="B132" s="504"/>
      <c r="C132" s="505"/>
      <c r="D132" s="506"/>
      <c r="E132" s="506"/>
      <c r="F132" s="507"/>
      <c r="G132" s="89" t="str">
        <f t="shared" si="7"/>
        <v/>
      </c>
      <c r="H132" s="135">
        <f t="shared" si="9"/>
        <v>1E-3</v>
      </c>
      <c r="I132" s="86">
        <f t="shared" si="8"/>
        <v>0</v>
      </c>
    </row>
    <row r="133" spans="2:9" ht="20.100000000000001" customHeight="1">
      <c r="B133" s="504"/>
      <c r="C133" s="505"/>
      <c r="D133" s="506"/>
      <c r="E133" s="506"/>
      <c r="F133" s="507"/>
      <c r="G133" s="89" t="str">
        <f t="shared" si="7"/>
        <v/>
      </c>
      <c r="H133" s="135">
        <f t="shared" si="9"/>
        <v>1E-3</v>
      </c>
      <c r="I133" s="86">
        <f t="shared" si="8"/>
        <v>0</v>
      </c>
    </row>
    <row r="134" spans="2:9" ht="20.100000000000001" customHeight="1">
      <c r="B134" s="504"/>
      <c r="C134" s="505"/>
      <c r="D134" s="506"/>
      <c r="E134" s="506"/>
      <c r="F134" s="507"/>
      <c r="G134" s="89" t="str">
        <f t="shared" si="7"/>
        <v/>
      </c>
      <c r="H134" s="135">
        <f t="shared" si="9"/>
        <v>1E-3</v>
      </c>
      <c r="I134" s="86">
        <f t="shared" si="8"/>
        <v>0</v>
      </c>
    </row>
    <row r="135" spans="2:9" ht="20.100000000000001" customHeight="1">
      <c r="B135" s="504"/>
      <c r="C135" s="505"/>
      <c r="D135" s="506"/>
      <c r="E135" s="506"/>
      <c r="F135" s="507"/>
      <c r="G135" s="89" t="str">
        <f t="shared" si="7"/>
        <v/>
      </c>
      <c r="H135" s="135">
        <f t="shared" si="9"/>
        <v>1E-3</v>
      </c>
      <c r="I135" s="86">
        <f t="shared" si="8"/>
        <v>0</v>
      </c>
    </row>
    <row r="136" spans="2:9" ht="20.100000000000001" customHeight="1">
      <c r="B136" s="504"/>
      <c r="C136" s="505"/>
      <c r="D136" s="506"/>
      <c r="E136" s="506"/>
      <c r="F136" s="507"/>
      <c r="G136" s="89" t="str">
        <f t="shared" si="7"/>
        <v/>
      </c>
      <c r="H136" s="135">
        <f t="shared" si="9"/>
        <v>1E-3</v>
      </c>
      <c r="I136" s="86">
        <f t="shared" si="8"/>
        <v>0</v>
      </c>
    </row>
    <row r="137" spans="2:9" ht="20.100000000000001" customHeight="1">
      <c r="B137" s="504"/>
      <c r="C137" s="505"/>
      <c r="D137" s="506"/>
      <c r="E137" s="506"/>
      <c r="F137" s="507"/>
      <c r="G137" s="89" t="str">
        <f t="shared" si="7"/>
        <v/>
      </c>
      <c r="H137" s="135">
        <f t="shared" si="9"/>
        <v>1E-3</v>
      </c>
      <c r="I137" s="86">
        <f t="shared" si="8"/>
        <v>0</v>
      </c>
    </row>
    <row r="138" spans="2:9" ht="20.100000000000001" customHeight="1">
      <c r="B138" s="504"/>
      <c r="C138" s="505"/>
      <c r="D138" s="506"/>
      <c r="E138" s="506"/>
      <c r="F138" s="507"/>
      <c r="G138" s="89" t="str">
        <f t="shared" si="7"/>
        <v/>
      </c>
      <c r="H138" s="135">
        <f t="shared" si="9"/>
        <v>1E-3</v>
      </c>
      <c r="I138" s="86">
        <f t="shared" si="8"/>
        <v>0</v>
      </c>
    </row>
    <row r="139" spans="2:9" ht="20.100000000000001" customHeight="1">
      <c r="B139" s="504"/>
      <c r="C139" s="505"/>
      <c r="D139" s="506"/>
      <c r="E139" s="506"/>
      <c r="F139" s="507"/>
      <c r="G139" s="89" t="str">
        <f t="shared" si="7"/>
        <v/>
      </c>
      <c r="H139" s="135">
        <f t="shared" si="9"/>
        <v>1E-3</v>
      </c>
      <c r="I139" s="86">
        <f t="shared" si="8"/>
        <v>0</v>
      </c>
    </row>
    <row r="140" spans="2:9" ht="20.100000000000001" customHeight="1">
      <c r="B140" s="504"/>
      <c r="C140" s="505"/>
      <c r="D140" s="506"/>
      <c r="E140" s="506"/>
      <c r="F140" s="507"/>
      <c r="G140" s="89" t="str">
        <f t="shared" si="7"/>
        <v/>
      </c>
      <c r="H140" s="135">
        <f t="shared" si="9"/>
        <v>1E-3</v>
      </c>
      <c r="I140" s="86">
        <f t="shared" si="8"/>
        <v>0</v>
      </c>
    </row>
    <row r="141" spans="2:9" ht="20.100000000000001" customHeight="1" thickBot="1">
      <c r="B141" s="508"/>
      <c r="C141" s="509"/>
      <c r="D141" s="510"/>
      <c r="E141" s="510"/>
      <c r="F141" s="511"/>
      <c r="G141" s="89" t="str">
        <f t="shared" si="7"/>
        <v/>
      </c>
      <c r="H141" s="135">
        <f t="shared" si="9"/>
        <v>1E-3</v>
      </c>
      <c r="I141" s="86">
        <f t="shared" si="8"/>
        <v>0</v>
      </c>
    </row>
    <row r="142" spans="2:9">
      <c r="D142" s="30"/>
      <c r="E142" s="30"/>
      <c r="F142" s="31"/>
    </row>
    <row r="143" spans="2:9" ht="20.100000000000001" customHeight="1">
      <c r="B143" s="155" t="s">
        <v>1916</v>
      </c>
      <c r="C143" s="155"/>
      <c r="D143" s="155"/>
      <c r="E143" s="155"/>
      <c r="F143" s="155"/>
      <c r="G143" s="155"/>
      <c r="H143" s="155"/>
      <c r="I143" s="155"/>
    </row>
    <row r="145" spans="2:9" ht="20.100000000000001" customHeight="1">
      <c r="B145" s="91" t="s">
        <v>1010</v>
      </c>
      <c r="C145" s="86" t="s">
        <v>1917</v>
      </c>
      <c r="E145" s="192" t="s">
        <v>579</v>
      </c>
      <c r="F145" s="592"/>
      <c r="G145" s="593"/>
      <c r="H145" s="593"/>
      <c r="I145" s="594"/>
    </row>
    <row r="146" spans="2:9" ht="20.100000000000001" customHeight="1">
      <c r="B146" s="91" t="s">
        <v>581</v>
      </c>
      <c r="C146" s="86" t="s">
        <v>92</v>
      </c>
      <c r="E146" s="624" t="s">
        <v>583</v>
      </c>
      <c r="F146" s="618"/>
      <c r="G146" s="619"/>
      <c r="H146" s="619"/>
      <c r="I146" s="620"/>
    </row>
    <row r="147" spans="2:9" ht="20.100000000000001" customHeight="1">
      <c r="B147" s="91" t="s">
        <v>585</v>
      </c>
      <c r="C147" s="439" t="b" cm="1">
        <f t="array" ref="C147">IF(OR($C$13="NZ-except Auckland",$C$13="NZ-Auckland"),INDEX('NGER Emission Factors'!$G$33:$G$51,MATCH(1,(C145='NGER Emission Factors'!$B$33:$B$51)*($H$10='NGER Emission Factors'!$C$33:$C$51),0),1))</f>
        <v>0</v>
      </c>
      <c r="D147" s="202"/>
      <c r="E147" s="625"/>
      <c r="F147" s="621"/>
      <c r="G147" s="622"/>
      <c r="H147" s="622"/>
      <c r="I147" s="623"/>
    </row>
    <row r="148" spans="2:9" ht="20.100000000000001" customHeight="1">
      <c r="B148" s="91" t="s">
        <v>587</v>
      </c>
      <c r="C148" s="86" t="s">
        <v>108</v>
      </c>
      <c r="E148" s="15" t="s">
        <v>591</v>
      </c>
    </row>
    <row r="149" spans="2:9" ht="16.5" customHeight="1">
      <c r="B149" s="91" t="s">
        <v>589</v>
      </c>
      <c r="C149" s="88">
        <v>26.2</v>
      </c>
    </row>
    <row r="151" spans="2:9" ht="40.35" customHeight="1">
      <c r="B151" s="90" t="s">
        <v>593</v>
      </c>
      <c r="C151" s="90" t="s">
        <v>595</v>
      </c>
      <c r="D151" s="90" t="s">
        <v>597</v>
      </c>
      <c r="E151" s="90" t="s">
        <v>599</v>
      </c>
      <c r="F151" s="90" t="str">
        <f>"Billed Quantity ("&amp;C148&amp;")"</f>
        <v>Billed Quantity (kL)</v>
      </c>
      <c r="G151" s="91" t="s">
        <v>603</v>
      </c>
      <c r="H151" s="91" t="s">
        <v>589</v>
      </c>
      <c r="I151" s="91" t="s">
        <v>606</v>
      </c>
    </row>
    <row r="152" spans="2:9" ht="20.100000000000001" customHeight="1">
      <c r="B152" s="94"/>
      <c r="C152" s="95"/>
      <c r="D152" s="96"/>
      <c r="E152" s="96"/>
      <c r="F152" s="97"/>
      <c r="G152" s="89" t="str">
        <f t="shared" ref="G152:G163" si="10">IF(ISBLANK(D152),"",E152-D152+1)</f>
        <v/>
      </c>
      <c r="H152" s="134">
        <f t="shared" ref="H152:H163" si="11">$C$149</f>
        <v>26.2</v>
      </c>
      <c r="I152" s="86">
        <f t="shared" ref="I152:I163" si="12">IF(F152&gt;0,F152*H152*IF(OR(D152&gt;$H$9,E152&lt;$H$8), 0, IF(D152&lt;$H$8,E152-$H$8,IF($H$9&lt;E152,E152-$H$9,G152)))/G152,0)</f>
        <v>0</v>
      </c>
    </row>
    <row r="153" spans="2:9" ht="20.100000000000001" customHeight="1">
      <c r="B153" s="98"/>
      <c r="C153" s="92"/>
      <c r="D153" s="93"/>
      <c r="E153" s="93"/>
      <c r="F153" s="99"/>
      <c r="G153" s="89" t="str">
        <f t="shared" si="10"/>
        <v/>
      </c>
      <c r="H153" s="134">
        <f t="shared" si="11"/>
        <v>26.2</v>
      </c>
      <c r="I153" s="86">
        <f t="shared" si="12"/>
        <v>0</v>
      </c>
    </row>
    <row r="154" spans="2:9" ht="20.100000000000001" customHeight="1">
      <c r="B154" s="98"/>
      <c r="C154" s="92"/>
      <c r="D154" s="93"/>
      <c r="E154" s="93"/>
      <c r="F154" s="99"/>
      <c r="G154" s="89" t="str">
        <f t="shared" si="10"/>
        <v/>
      </c>
      <c r="H154" s="134">
        <f t="shared" si="11"/>
        <v>26.2</v>
      </c>
      <c r="I154" s="86">
        <f t="shared" si="12"/>
        <v>0</v>
      </c>
    </row>
    <row r="155" spans="2:9" ht="20.100000000000001" customHeight="1">
      <c r="B155" s="98"/>
      <c r="C155" s="92"/>
      <c r="D155" s="93"/>
      <c r="E155" s="93"/>
      <c r="F155" s="99"/>
      <c r="G155" s="89" t="str">
        <f t="shared" si="10"/>
        <v/>
      </c>
      <c r="H155" s="134">
        <f t="shared" si="11"/>
        <v>26.2</v>
      </c>
      <c r="I155" s="86">
        <f t="shared" si="12"/>
        <v>0</v>
      </c>
    </row>
    <row r="156" spans="2:9" ht="20.100000000000001" customHeight="1">
      <c r="B156" s="98"/>
      <c r="C156" s="92"/>
      <c r="D156" s="93"/>
      <c r="E156" s="93"/>
      <c r="F156" s="99"/>
      <c r="G156" s="89" t="str">
        <f t="shared" si="10"/>
        <v/>
      </c>
      <c r="H156" s="134">
        <f t="shared" si="11"/>
        <v>26.2</v>
      </c>
      <c r="I156" s="86">
        <f t="shared" si="12"/>
        <v>0</v>
      </c>
    </row>
    <row r="157" spans="2:9" ht="20.100000000000001" customHeight="1">
      <c r="B157" s="98"/>
      <c r="C157" s="92"/>
      <c r="D157" s="93"/>
      <c r="E157" s="93"/>
      <c r="F157" s="99"/>
      <c r="G157" s="89" t="str">
        <f t="shared" si="10"/>
        <v/>
      </c>
      <c r="H157" s="134">
        <f t="shared" si="11"/>
        <v>26.2</v>
      </c>
      <c r="I157" s="86">
        <f t="shared" si="12"/>
        <v>0</v>
      </c>
    </row>
    <row r="158" spans="2:9" ht="20.100000000000001" customHeight="1">
      <c r="B158" s="98"/>
      <c r="C158" s="92"/>
      <c r="D158" s="93"/>
      <c r="E158" s="93"/>
      <c r="F158" s="99"/>
      <c r="G158" s="89" t="str">
        <f t="shared" si="10"/>
        <v/>
      </c>
      <c r="H158" s="134">
        <f t="shared" si="11"/>
        <v>26.2</v>
      </c>
      <c r="I158" s="86">
        <f t="shared" si="12"/>
        <v>0</v>
      </c>
    </row>
    <row r="159" spans="2:9" ht="20.100000000000001" customHeight="1">
      <c r="B159" s="98"/>
      <c r="C159" s="92"/>
      <c r="D159" s="93"/>
      <c r="E159" s="93"/>
      <c r="F159" s="99"/>
      <c r="G159" s="89" t="str">
        <f t="shared" si="10"/>
        <v/>
      </c>
      <c r="H159" s="134">
        <f t="shared" si="11"/>
        <v>26.2</v>
      </c>
      <c r="I159" s="86">
        <f t="shared" si="12"/>
        <v>0</v>
      </c>
    </row>
    <row r="160" spans="2:9" ht="20.100000000000001" customHeight="1">
      <c r="B160" s="98"/>
      <c r="C160" s="92"/>
      <c r="D160" s="93"/>
      <c r="E160" s="93"/>
      <c r="F160" s="99"/>
      <c r="G160" s="89" t="str">
        <f t="shared" si="10"/>
        <v/>
      </c>
      <c r="H160" s="134">
        <f t="shared" si="11"/>
        <v>26.2</v>
      </c>
      <c r="I160" s="86">
        <f t="shared" si="12"/>
        <v>0</v>
      </c>
    </row>
    <row r="161" spans="2:9" ht="20.100000000000001" customHeight="1">
      <c r="B161" s="98"/>
      <c r="C161" s="92"/>
      <c r="D161" s="93"/>
      <c r="E161" s="93"/>
      <c r="F161" s="99"/>
      <c r="G161" s="89" t="str">
        <f t="shared" si="10"/>
        <v/>
      </c>
      <c r="H161" s="134">
        <f t="shared" si="11"/>
        <v>26.2</v>
      </c>
      <c r="I161" s="86">
        <f t="shared" si="12"/>
        <v>0</v>
      </c>
    </row>
    <row r="162" spans="2:9" ht="20.100000000000001" customHeight="1">
      <c r="B162" s="98"/>
      <c r="C162" s="92"/>
      <c r="D162" s="93"/>
      <c r="E162" s="93"/>
      <c r="F162" s="99"/>
      <c r="G162" s="89" t="str">
        <f t="shared" si="10"/>
        <v/>
      </c>
      <c r="H162" s="134">
        <f t="shared" si="11"/>
        <v>26.2</v>
      </c>
      <c r="I162" s="86">
        <f t="shared" si="12"/>
        <v>0</v>
      </c>
    </row>
    <row r="163" spans="2:9" ht="20.100000000000001" customHeight="1">
      <c r="B163" s="100"/>
      <c r="C163" s="101"/>
      <c r="D163" s="102"/>
      <c r="E163" s="102"/>
      <c r="F163" s="103"/>
      <c r="G163" s="89" t="str">
        <f t="shared" si="10"/>
        <v/>
      </c>
      <c r="H163" s="134">
        <f t="shared" si="11"/>
        <v>26.2</v>
      </c>
      <c r="I163" s="86">
        <f t="shared" si="12"/>
        <v>0</v>
      </c>
    </row>
    <row r="165" spans="2:9" ht="20.100000000000001" customHeight="1">
      <c r="B165" s="155" t="s">
        <v>1918</v>
      </c>
      <c r="C165" s="155"/>
      <c r="D165" s="155"/>
      <c r="E165" s="155"/>
      <c r="F165" s="155"/>
      <c r="G165" s="155"/>
      <c r="H165" s="155"/>
      <c r="I165" s="155"/>
    </row>
    <row r="167" spans="2:9" ht="20.100000000000001" customHeight="1">
      <c r="B167" s="91" t="s">
        <v>1010</v>
      </c>
      <c r="C167" s="86" t="s">
        <v>1919</v>
      </c>
      <c r="E167" s="192" t="s">
        <v>579</v>
      </c>
      <c r="F167" s="617"/>
      <c r="G167" s="617"/>
      <c r="H167" s="617"/>
      <c r="I167" s="617"/>
    </row>
    <row r="168" spans="2:9" ht="20.100000000000001" customHeight="1">
      <c r="B168" s="91" t="s">
        <v>581</v>
      </c>
      <c r="C168" s="86" t="s">
        <v>92</v>
      </c>
      <c r="E168" s="613" t="s">
        <v>583</v>
      </c>
      <c r="F168" s="615"/>
      <c r="G168" s="615"/>
      <c r="H168" s="615"/>
      <c r="I168" s="615"/>
    </row>
    <row r="169" spans="2:9" ht="20.100000000000001" customHeight="1">
      <c r="B169" s="91" t="s">
        <v>585</v>
      </c>
      <c r="C169" s="439" t="b" cm="1">
        <f t="array" ref="C169">IF(OR($C$13="NZ-except Auckland",$C$13="NZ-Auckland"),INDEX('NGER Emission Factors'!$G$33:$G$51,MATCH(1,(C167='NGER Emission Factors'!$B$33:$B$51)*($H$10='NGER Emission Factors'!$C$33:$C$51),0),1))</f>
        <v>0</v>
      </c>
      <c r="D169" s="202"/>
      <c r="E169" s="614"/>
      <c r="F169" s="616"/>
      <c r="G169" s="616"/>
      <c r="H169" s="616"/>
      <c r="I169" s="616"/>
    </row>
    <row r="170" spans="2:9" ht="20.100000000000001" customHeight="1">
      <c r="B170" s="91" t="s">
        <v>587</v>
      </c>
      <c r="C170" s="86" t="s">
        <v>108</v>
      </c>
      <c r="E170" s="15" t="s">
        <v>591</v>
      </c>
    </row>
    <row r="171" spans="2:9" ht="20.100000000000001" customHeight="1">
      <c r="B171" s="91" t="s">
        <v>589</v>
      </c>
      <c r="C171" s="88">
        <v>38.6</v>
      </c>
    </row>
    <row r="173" spans="2:9" ht="30" customHeight="1">
      <c r="B173" s="90" t="s">
        <v>593</v>
      </c>
      <c r="C173" s="90" t="s">
        <v>595</v>
      </c>
      <c r="D173" s="90" t="s">
        <v>597</v>
      </c>
      <c r="E173" s="90" t="s">
        <v>599</v>
      </c>
      <c r="F173" s="90" t="str">
        <f>"Billed Quantity ("&amp;C170&amp;")"</f>
        <v>Billed Quantity (kL)</v>
      </c>
      <c r="G173" s="91" t="s">
        <v>603</v>
      </c>
      <c r="H173" s="91" t="s">
        <v>589</v>
      </c>
      <c r="I173" s="91" t="s">
        <v>606</v>
      </c>
    </row>
    <row r="174" spans="2:9" ht="20.100000000000001" customHeight="1">
      <c r="B174" s="98"/>
      <c r="C174" s="92"/>
      <c r="D174" s="93"/>
      <c r="E174" s="93"/>
      <c r="F174" s="99"/>
      <c r="G174" s="89" t="str">
        <f t="shared" ref="G174:G185" si="13">IF(ISBLANK(D174),"",E174-D174+1)</f>
        <v/>
      </c>
      <c r="H174" s="134">
        <f>$C$171</f>
        <v>38.6</v>
      </c>
      <c r="I174" s="86">
        <f t="shared" ref="I174:I185" si="14">IF(F174&gt;0,F174*H174*IF(OR(D174&gt;$H$9,E174&lt;$H$8), 0, IF(D174&lt;$H$8,E174-$H$8,IF($H$9&lt;E174,E174-$H$9,G174)))/G174,0)</f>
        <v>0</v>
      </c>
    </row>
    <row r="175" spans="2:9" ht="20.100000000000001" customHeight="1">
      <c r="B175" s="98"/>
      <c r="C175" s="92"/>
      <c r="D175" s="93"/>
      <c r="E175" s="93"/>
      <c r="F175" s="99"/>
      <c r="G175" s="89" t="str">
        <f t="shared" si="13"/>
        <v/>
      </c>
      <c r="H175" s="134">
        <f t="shared" ref="H175:H185" si="15">$C$171</f>
        <v>38.6</v>
      </c>
      <c r="I175" s="86">
        <f t="shared" si="14"/>
        <v>0</v>
      </c>
    </row>
    <row r="176" spans="2:9" ht="20.100000000000001" customHeight="1">
      <c r="B176" s="98"/>
      <c r="C176" s="92"/>
      <c r="D176" s="93"/>
      <c r="E176" s="93"/>
      <c r="F176" s="99"/>
      <c r="G176" s="89" t="str">
        <f t="shared" si="13"/>
        <v/>
      </c>
      <c r="H176" s="134">
        <f t="shared" si="15"/>
        <v>38.6</v>
      </c>
      <c r="I176" s="86">
        <f t="shared" si="14"/>
        <v>0</v>
      </c>
    </row>
    <row r="177" spans="2:9" ht="20.100000000000001" customHeight="1">
      <c r="B177" s="98"/>
      <c r="C177" s="92"/>
      <c r="D177" s="93"/>
      <c r="E177" s="93"/>
      <c r="F177" s="99"/>
      <c r="G177" s="89" t="str">
        <f t="shared" ref="G177:G178" si="16">IF(ISBLANK(D177),"",E177-D177+1)</f>
        <v/>
      </c>
      <c r="H177" s="134">
        <f t="shared" si="15"/>
        <v>38.6</v>
      </c>
      <c r="I177" s="86">
        <f t="shared" si="14"/>
        <v>0</v>
      </c>
    </row>
    <row r="178" spans="2:9" ht="20.100000000000001" customHeight="1">
      <c r="B178" s="98"/>
      <c r="C178" s="92"/>
      <c r="D178" s="93"/>
      <c r="E178" s="93"/>
      <c r="F178" s="99"/>
      <c r="G178" s="89" t="str">
        <f t="shared" si="16"/>
        <v/>
      </c>
      <c r="H178" s="134">
        <f t="shared" si="15"/>
        <v>38.6</v>
      </c>
      <c r="I178" s="86">
        <f t="shared" si="14"/>
        <v>0</v>
      </c>
    </row>
    <row r="179" spans="2:9" ht="20.100000000000001" customHeight="1">
      <c r="B179" s="98"/>
      <c r="C179" s="92"/>
      <c r="D179" s="93"/>
      <c r="E179" s="93"/>
      <c r="F179" s="99"/>
      <c r="G179" s="89" t="str">
        <f t="shared" si="13"/>
        <v/>
      </c>
      <c r="H179" s="134">
        <f t="shared" si="15"/>
        <v>38.6</v>
      </c>
      <c r="I179" s="86">
        <f t="shared" si="14"/>
        <v>0</v>
      </c>
    </row>
    <row r="180" spans="2:9" ht="20.100000000000001" customHeight="1">
      <c r="B180" s="98"/>
      <c r="C180" s="92"/>
      <c r="D180" s="93"/>
      <c r="E180" s="93"/>
      <c r="F180" s="99"/>
      <c r="G180" s="89" t="str">
        <f t="shared" si="13"/>
        <v/>
      </c>
      <c r="H180" s="134">
        <f t="shared" si="15"/>
        <v>38.6</v>
      </c>
      <c r="I180" s="86">
        <f t="shared" si="14"/>
        <v>0</v>
      </c>
    </row>
    <row r="181" spans="2:9" ht="20.100000000000001" customHeight="1">
      <c r="B181" s="98"/>
      <c r="C181" s="92"/>
      <c r="D181" s="93"/>
      <c r="E181" s="93"/>
      <c r="F181" s="99"/>
      <c r="G181" s="89" t="str">
        <f t="shared" si="13"/>
        <v/>
      </c>
      <c r="H181" s="134">
        <f t="shared" si="15"/>
        <v>38.6</v>
      </c>
      <c r="I181" s="86">
        <f t="shared" si="14"/>
        <v>0</v>
      </c>
    </row>
    <row r="182" spans="2:9" ht="20.100000000000001" customHeight="1">
      <c r="B182" s="98"/>
      <c r="C182" s="92"/>
      <c r="D182" s="93"/>
      <c r="E182" s="93"/>
      <c r="F182" s="99"/>
      <c r="G182" s="89" t="str">
        <f t="shared" si="13"/>
        <v/>
      </c>
      <c r="H182" s="134">
        <f t="shared" si="15"/>
        <v>38.6</v>
      </c>
      <c r="I182" s="86">
        <f t="shared" si="14"/>
        <v>0</v>
      </c>
    </row>
    <row r="183" spans="2:9" ht="20.100000000000001" customHeight="1">
      <c r="B183" s="98"/>
      <c r="C183" s="92"/>
      <c r="D183" s="93"/>
      <c r="E183" s="93"/>
      <c r="F183" s="99"/>
      <c r="G183" s="89" t="str">
        <f t="shared" si="13"/>
        <v/>
      </c>
      <c r="H183" s="134">
        <f t="shared" si="15"/>
        <v>38.6</v>
      </c>
      <c r="I183" s="86">
        <f t="shared" si="14"/>
        <v>0</v>
      </c>
    </row>
    <row r="184" spans="2:9" ht="20.100000000000001" customHeight="1">
      <c r="B184" s="98"/>
      <c r="C184" s="92"/>
      <c r="D184" s="93"/>
      <c r="E184" s="93"/>
      <c r="F184" s="99"/>
      <c r="G184" s="89" t="str">
        <f t="shared" si="13"/>
        <v/>
      </c>
      <c r="H184" s="134">
        <f t="shared" si="15"/>
        <v>38.6</v>
      </c>
      <c r="I184" s="86">
        <f t="shared" si="14"/>
        <v>0</v>
      </c>
    </row>
    <row r="185" spans="2:9" ht="20.100000000000001" customHeight="1">
      <c r="B185" s="100"/>
      <c r="C185" s="101"/>
      <c r="D185" s="102"/>
      <c r="E185" s="102"/>
      <c r="F185" s="103"/>
      <c r="G185" s="89" t="str">
        <f t="shared" si="13"/>
        <v/>
      </c>
      <c r="H185" s="134">
        <f t="shared" si="15"/>
        <v>38.6</v>
      </c>
      <c r="I185" s="86">
        <f t="shared" si="14"/>
        <v>0</v>
      </c>
    </row>
    <row r="187" spans="2:9" ht="20.100000000000001" customHeight="1">
      <c r="B187" s="155" t="s">
        <v>1920</v>
      </c>
      <c r="C187" s="155"/>
      <c r="D187" s="155"/>
      <c r="E187" s="155"/>
      <c r="F187" s="155"/>
      <c r="G187" s="155"/>
      <c r="H187" s="155"/>
      <c r="I187" s="155"/>
    </row>
    <row r="189" spans="2:9" ht="20.100000000000001" customHeight="1">
      <c r="B189" s="91" t="s">
        <v>1010</v>
      </c>
      <c r="C189" s="86" t="s">
        <v>1921</v>
      </c>
      <c r="E189" s="192" t="s">
        <v>579</v>
      </c>
      <c r="F189" s="617"/>
      <c r="G189" s="617"/>
      <c r="H189" s="617"/>
      <c r="I189" s="617"/>
    </row>
    <row r="190" spans="2:9" ht="20.100000000000001" customHeight="1">
      <c r="B190" s="91" t="s">
        <v>581</v>
      </c>
      <c r="C190" s="86" t="s">
        <v>92</v>
      </c>
      <c r="E190" s="613" t="s">
        <v>583</v>
      </c>
      <c r="F190" s="615"/>
      <c r="G190" s="615"/>
      <c r="H190" s="615"/>
      <c r="I190" s="615"/>
    </row>
    <row r="191" spans="2:9" ht="20.100000000000001" customHeight="1">
      <c r="B191" s="91" t="s">
        <v>585</v>
      </c>
      <c r="C191" s="439" t="b" cm="1">
        <f t="array" ref="C191">IF(OR($C$13="NZ-except Auckland",$C$13="NZ-Auckland"),INDEX('NGER Emission Factors'!$G$33:$G$51,MATCH(1,(C189='NGER Emission Factors'!$B$33:$B$51)*($H$10='NGER Emission Factors'!$C$33:$C$51),0),1))</f>
        <v>0</v>
      </c>
      <c r="D191" s="202"/>
      <c r="E191" s="614"/>
      <c r="F191" s="616"/>
      <c r="G191" s="616"/>
      <c r="H191" s="616"/>
      <c r="I191" s="616"/>
    </row>
    <row r="192" spans="2:9" ht="20.100000000000001" customHeight="1">
      <c r="B192" s="91" t="s">
        <v>587</v>
      </c>
      <c r="C192" s="86" t="s">
        <v>127</v>
      </c>
      <c r="E192" s="15" t="s">
        <v>591</v>
      </c>
    </row>
    <row r="193" spans="2:9" ht="20.100000000000001" customHeight="1">
      <c r="B193" s="91" t="s">
        <v>589</v>
      </c>
      <c r="C193" s="88">
        <v>27</v>
      </c>
    </row>
    <row r="195" spans="2:9" ht="30" customHeight="1">
      <c r="B195" s="90" t="s">
        <v>593</v>
      </c>
      <c r="C195" s="90" t="s">
        <v>595</v>
      </c>
      <c r="D195" s="90" t="s">
        <v>597</v>
      </c>
      <c r="E195" s="90" t="s">
        <v>599</v>
      </c>
      <c r="F195" s="90" t="str">
        <f>"Billed Quantity ("&amp;C192&amp;")"</f>
        <v>Billed Quantity (Tonnes)</v>
      </c>
      <c r="G195" s="91" t="s">
        <v>603</v>
      </c>
      <c r="H195" s="91" t="s">
        <v>589</v>
      </c>
      <c r="I195" s="91" t="s">
        <v>606</v>
      </c>
    </row>
    <row r="196" spans="2:9" ht="20.100000000000001" customHeight="1">
      <c r="B196" s="94"/>
      <c r="C196" s="95"/>
      <c r="D196" s="96"/>
      <c r="E196" s="96"/>
      <c r="F196" s="97"/>
      <c r="G196" s="89" t="str">
        <f t="shared" ref="G196:G207" si="17">IF(ISBLANK(D196),"",E196-D196+1)</f>
        <v/>
      </c>
      <c r="H196" s="86">
        <f>$C$193</f>
        <v>27</v>
      </c>
      <c r="I196" s="86">
        <f t="shared" ref="I196:I207" si="18">IF(F196&gt;0,F196*H196*IF(OR(D196&gt;$H$9,E196&lt;$H$8), 0, IF(D196&lt;$H$8,E196-$H$8,IF($H$9&lt;E196,E196-$H$9,G196)))/G196,0)</f>
        <v>0</v>
      </c>
    </row>
    <row r="197" spans="2:9" ht="20.100000000000001" customHeight="1">
      <c r="B197" s="98"/>
      <c r="C197" s="92"/>
      <c r="D197" s="93"/>
      <c r="E197" s="93"/>
      <c r="F197" s="99"/>
      <c r="G197" s="89" t="str">
        <f t="shared" si="17"/>
        <v/>
      </c>
      <c r="H197" s="86">
        <f t="shared" ref="H197:H207" si="19">$C$193</f>
        <v>27</v>
      </c>
      <c r="I197" s="86">
        <f t="shared" si="18"/>
        <v>0</v>
      </c>
    </row>
    <row r="198" spans="2:9" ht="20.100000000000001" customHeight="1">
      <c r="B198" s="98"/>
      <c r="C198" s="92"/>
      <c r="D198" s="93"/>
      <c r="E198" s="93"/>
      <c r="F198" s="99"/>
      <c r="G198" s="89" t="str">
        <f t="shared" ref="G198:G199" si="20">IF(ISBLANK(D198),"",E198-D198+1)</f>
        <v/>
      </c>
      <c r="H198" s="86">
        <f t="shared" si="19"/>
        <v>27</v>
      </c>
      <c r="I198" s="86">
        <f t="shared" si="18"/>
        <v>0</v>
      </c>
    </row>
    <row r="199" spans="2:9" ht="20.100000000000001" customHeight="1">
      <c r="B199" s="98"/>
      <c r="C199" s="92"/>
      <c r="D199" s="93"/>
      <c r="E199" s="93"/>
      <c r="F199" s="99"/>
      <c r="G199" s="89" t="str">
        <f t="shared" si="20"/>
        <v/>
      </c>
      <c r="H199" s="86">
        <f t="shared" si="19"/>
        <v>27</v>
      </c>
      <c r="I199" s="86">
        <f t="shared" si="18"/>
        <v>0</v>
      </c>
    </row>
    <row r="200" spans="2:9" ht="20.100000000000001" customHeight="1">
      <c r="B200" s="98"/>
      <c r="C200" s="92"/>
      <c r="D200" s="93"/>
      <c r="E200" s="93"/>
      <c r="F200" s="99"/>
      <c r="G200" s="89" t="str">
        <f t="shared" si="17"/>
        <v/>
      </c>
      <c r="H200" s="86">
        <f t="shared" si="19"/>
        <v>27</v>
      </c>
      <c r="I200" s="86">
        <f t="shared" si="18"/>
        <v>0</v>
      </c>
    </row>
    <row r="201" spans="2:9" ht="20.100000000000001" customHeight="1">
      <c r="B201" s="98"/>
      <c r="C201" s="92"/>
      <c r="D201" s="93"/>
      <c r="E201" s="93"/>
      <c r="F201" s="99"/>
      <c r="G201" s="89" t="str">
        <f t="shared" si="17"/>
        <v/>
      </c>
      <c r="H201" s="86">
        <f t="shared" si="19"/>
        <v>27</v>
      </c>
      <c r="I201" s="86">
        <f t="shared" si="18"/>
        <v>0</v>
      </c>
    </row>
    <row r="202" spans="2:9" ht="20.100000000000001" customHeight="1">
      <c r="B202" s="98"/>
      <c r="C202" s="92"/>
      <c r="D202" s="93"/>
      <c r="E202" s="93"/>
      <c r="F202" s="99"/>
      <c r="G202" s="89" t="str">
        <f t="shared" si="17"/>
        <v/>
      </c>
      <c r="H202" s="86">
        <f t="shared" si="19"/>
        <v>27</v>
      </c>
      <c r="I202" s="86">
        <f t="shared" si="18"/>
        <v>0</v>
      </c>
    </row>
    <row r="203" spans="2:9" ht="20.100000000000001" customHeight="1">
      <c r="B203" s="98"/>
      <c r="C203" s="92"/>
      <c r="D203" s="93"/>
      <c r="E203" s="93"/>
      <c r="F203" s="99"/>
      <c r="G203" s="89" t="str">
        <f t="shared" si="17"/>
        <v/>
      </c>
      <c r="H203" s="86">
        <f t="shared" si="19"/>
        <v>27</v>
      </c>
      <c r="I203" s="86">
        <f t="shared" si="18"/>
        <v>0</v>
      </c>
    </row>
    <row r="204" spans="2:9" ht="20.100000000000001" customHeight="1">
      <c r="B204" s="98"/>
      <c r="C204" s="92"/>
      <c r="D204" s="93"/>
      <c r="E204" s="93"/>
      <c r="F204" s="99"/>
      <c r="G204" s="89" t="str">
        <f t="shared" si="17"/>
        <v/>
      </c>
      <c r="H204" s="86">
        <f t="shared" si="19"/>
        <v>27</v>
      </c>
      <c r="I204" s="86">
        <f t="shared" si="18"/>
        <v>0</v>
      </c>
    </row>
    <row r="205" spans="2:9" ht="20.100000000000001" customHeight="1">
      <c r="B205" s="98"/>
      <c r="C205" s="92"/>
      <c r="D205" s="93"/>
      <c r="E205" s="93"/>
      <c r="F205" s="99"/>
      <c r="G205" s="89" t="str">
        <f t="shared" si="17"/>
        <v/>
      </c>
      <c r="H205" s="86">
        <f t="shared" si="19"/>
        <v>27</v>
      </c>
      <c r="I205" s="86">
        <f t="shared" si="18"/>
        <v>0</v>
      </c>
    </row>
    <row r="206" spans="2:9" ht="20.100000000000001" customHeight="1">
      <c r="B206" s="98"/>
      <c r="C206" s="92"/>
      <c r="D206" s="93"/>
      <c r="E206" s="93"/>
      <c r="F206" s="99"/>
      <c r="G206" s="89" t="str">
        <f t="shared" si="17"/>
        <v/>
      </c>
      <c r="H206" s="86">
        <f t="shared" si="19"/>
        <v>27</v>
      </c>
      <c r="I206" s="86">
        <f t="shared" si="18"/>
        <v>0</v>
      </c>
    </row>
    <row r="207" spans="2:9" ht="20.100000000000001" customHeight="1">
      <c r="B207" s="100"/>
      <c r="C207" s="101"/>
      <c r="D207" s="102"/>
      <c r="E207" s="102"/>
      <c r="F207" s="103"/>
      <c r="G207" s="89" t="str">
        <f t="shared" si="17"/>
        <v/>
      </c>
      <c r="H207" s="86">
        <f t="shared" si="19"/>
        <v>27</v>
      </c>
      <c r="I207" s="86">
        <f t="shared" si="18"/>
        <v>0</v>
      </c>
    </row>
    <row r="209" spans="2:9" ht="20.100000000000001" customHeight="1">
      <c r="B209" s="155" t="s">
        <v>1922</v>
      </c>
      <c r="C209" s="155"/>
      <c r="D209" s="155"/>
      <c r="E209" s="155"/>
      <c r="F209" s="155"/>
      <c r="G209" s="155"/>
      <c r="H209" s="155"/>
      <c r="I209" s="155"/>
    </row>
    <row r="210" spans="2:9" ht="45" customHeight="1">
      <c r="B210" s="646" t="s">
        <v>1923</v>
      </c>
      <c r="C210" s="646"/>
      <c r="D210" s="646"/>
      <c r="E210" s="646"/>
      <c r="F210" s="646"/>
      <c r="G210" s="646"/>
      <c r="H210" s="646"/>
      <c r="I210" s="646"/>
    </row>
    <row r="212" spans="2:9" ht="20.100000000000001" customHeight="1">
      <c r="B212" s="91" t="s">
        <v>1010</v>
      </c>
      <c r="C212" s="86" t="s">
        <v>1924</v>
      </c>
      <c r="D212" s="15" t="str">
        <f>IF($C$13="NZ", "Note: All NZ projects cannot utilise GreenPower in their ratings", "")</f>
        <v/>
      </c>
      <c r="E212" s="308" t="s">
        <v>579</v>
      </c>
      <c r="F212" s="592"/>
      <c r="G212" s="593"/>
      <c r="H212" s="593"/>
      <c r="I212" s="594"/>
    </row>
    <row r="213" spans="2:9" ht="20.100000000000001" customHeight="1">
      <c r="B213" s="91" t="s">
        <v>581</v>
      </c>
      <c r="C213" s="87" t="s">
        <v>81</v>
      </c>
      <c r="E213" s="613" t="s">
        <v>583</v>
      </c>
      <c r="F213" s="607" t="s">
        <v>679</v>
      </c>
      <c r="G213" s="608"/>
      <c r="H213" s="608"/>
      <c r="I213" s="609"/>
    </row>
    <row r="214" spans="2:9" ht="20.100000000000001" customHeight="1">
      <c r="B214" s="91" t="s">
        <v>585</v>
      </c>
      <c r="C214" s="438" t="e" cm="1">
        <f t="array" ref="C214">IF(OR($C$13="NZ-except Auckland",$C$13="NZ-Auckland"),'NGER Emission Factors'!D54,INDEX('NGER Emission Factors'!$D$54:$D$96,MATCH(1,($C$21='NGER Emission Factors'!$B$54:$B$96)*($H$10='NGER Emission Factors'!$C$54:$C$96),0),1))</f>
        <v>#N/A</v>
      </c>
      <c r="D214" s="202"/>
      <c r="E214" s="614"/>
      <c r="F214" s="610"/>
      <c r="G214" s="611"/>
      <c r="H214" s="611"/>
      <c r="I214" s="612"/>
    </row>
    <row r="215" spans="2:9" ht="20.100000000000001" customHeight="1">
      <c r="B215" s="91" t="s">
        <v>587</v>
      </c>
      <c r="C215" s="86" t="s">
        <v>87</v>
      </c>
      <c r="E215" s="15" t="s">
        <v>591</v>
      </c>
      <c r="F215"/>
      <c r="G215"/>
      <c r="H215"/>
      <c r="I215"/>
    </row>
    <row r="216" spans="2:9" ht="20.100000000000001" customHeight="1">
      <c r="B216" s="91" t="s">
        <v>589</v>
      </c>
      <c r="C216" s="88">
        <v>3.5999999999999999E-3</v>
      </c>
    </row>
    <row r="217" spans="2:9">
      <c r="G217" s="17"/>
    </row>
    <row r="218" spans="2:9" ht="30" customHeight="1">
      <c r="B218" s="90" t="s">
        <v>593</v>
      </c>
      <c r="C218" s="90" t="s">
        <v>595</v>
      </c>
      <c r="D218" s="90" t="s">
        <v>597</v>
      </c>
      <c r="E218" s="90" t="s">
        <v>599</v>
      </c>
      <c r="F218" s="90" t="str">
        <f>"Billed Quantity ("&amp;C215&amp;")"</f>
        <v>Billed Quantity (kWh)</v>
      </c>
      <c r="G218" s="91" t="s">
        <v>603</v>
      </c>
      <c r="H218" s="91" t="s">
        <v>589</v>
      </c>
      <c r="I218" s="91" t="s">
        <v>606</v>
      </c>
    </row>
    <row r="219" spans="2:9" ht="20.100000000000001" customHeight="1">
      <c r="B219" s="94"/>
      <c r="C219" s="95"/>
      <c r="D219" s="96"/>
      <c r="E219" s="96"/>
      <c r="F219" s="97"/>
      <c r="G219" s="89" t="str">
        <f t="shared" ref="G219:G230" si="21">IF(ISBLANK(D219),"",E219-D219+1)</f>
        <v/>
      </c>
      <c r="H219" s="86">
        <f t="shared" ref="H219:H230" si="22">$C$105</f>
        <v>3.5999999999999999E-3</v>
      </c>
      <c r="I219" s="86">
        <f t="shared" ref="I219:I230" si="23">IF(F219&gt;0,F219*H219*IF(OR(D219&gt;$H$9,E219&lt;$H$8), 0, IF(D219&lt;$H$8,E219-$H$8,IF($H$9&lt;E219,E219-$H$9,G219)))/G219,0)</f>
        <v>0</v>
      </c>
    </row>
    <row r="220" spans="2:9" ht="20.100000000000001" customHeight="1">
      <c r="B220" s="166"/>
      <c r="C220" s="164"/>
      <c r="D220" s="165"/>
      <c r="E220" s="165"/>
      <c r="F220" s="167"/>
      <c r="G220" s="89" t="str">
        <f t="shared" si="21"/>
        <v/>
      </c>
      <c r="H220" s="86">
        <f t="shared" si="22"/>
        <v>3.5999999999999999E-3</v>
      </c>
      <c r="I220" s="86">
        <f t="shared" si="23"/>
        <v>0</v>
      </c>
    </row>
    <row r="221" spans="2:9" ht="20.100000000000001" customHeight="1">
      <c r="B221" s="98"/>
      <c r="C221" s="92"/>
      <c r="D221" s="93"/>
      <c r="E221" s="93"/>
      <c r="F221" s="99"/>
      <c r="G221" s="89" t="str">
        <f t="shared" si="21"/>
        <v/>
      </c>
      <c r="H221" s="86">
        <f t="shared" si="22"/>
        <v>3.5999999999999999E-3</v>
      </c>
      <c r="I221" s="86">
        <f t="shared" si="23"/>
        <v>0</v>
      </c>
    </row>
    <row r="222" spans="2:9" ht="20.100000000000001" customHeight="1">
      <c r="B222" s="98"/>
      <c r="C222" s="92"/>
      <c r="D222" s="93"/>
      <c r="E222" s="93"/>
      <c r="F222" s="99"/>
      <c r="G222" s="89" t="str">
        <f t="shared" si="21"/>
        <v/>
      </c>
      <c r="H222" s="86">
        <f t="shared" si="22"/>
        <v>3.5999999999999999E-3</v>
      </c>
      <c r="I222" s="86">
        <f t="shared" si="23"/>
        <v>0</v>
      </c>
    </row>
    <row r="223" spans="2:9" ht="20.100000000000001" customHeight="1">
      <c r="B223" s="98"/>
      <c r="C223" s="92"/>
      <c r="D223" s="93"/>
      <c r="E223" s="93"/>
      <c r="F223" s="99"/>
      <c r="G223" s="89" t="str">
        <f t="shared" si="21"/>
        <v/>
      </c>
      <c r="H223" s="86">
        <f t="shared" si="22"/>
        <v>3.5999999999999999E-3</v>
      </c>
      <c r="I223" s="86">
        <f t="shared" si="23"/>
        <v>0</v>
      </c>
    </row>
    <row r="224" spans="2:9" ht="20.100000000000001" customHeight="1">
      <c r="B224" s="98"/>
      <c r="C224" s="92"/>
      <c r="D224" s="93"/>
      <c r="E224" s="93"/>
      <c r="F224" s="99"/>
      <c r="G224" s="89" t="str">
        <f t="shared" si="21"/>
        <v/>
      </c>
      <c r="H224" s="86">
        <f t="shared" si="22"/>
        <v>3.5999999999999999E-3</v>
      </c>
      <c r="I224" s="86">
        <f t="shared" si="23"/>
        <v>0</v>
      </c>
    </row>
    <row r="225" spans="2:9" ht="20.100000000000001" customHeight="1">
      <c r="B225" s="98"/>
      <c r="C225" s="92"/>
      <c r="D225" s="93"/>
      <c r="E225" s="93"/>
      <c r="F225" s="99"/>
      <c r="G225" s="89" t="str">
        <f t="shared" si="21"/>
        <v/>
      </c>
      <c r="H225" s="86">
        <f t="shared" si="22"/>
        <v>3.5999999999999999E-3</v>
      </c>
      <c r="I225" s="86">
        <f t="shared" si="23"/>
        <v>0</v>
      </c>
    </row>
    <row r="226" spans="2:9" ht="20.100000000000001" customHeight="1">
      <c r="B226" s="98"/>
      <c r="C226" s="92"/>
      <c r="D226" s="93"/>
      <c r="E226" s="93"/>
      <c r="F226" s="99"/>
      <c r="G226" s="89" t="str">
        <f t="shared" si="21"/>
        <v/>
      </c>
      <c r="H226" s="86">
        <f t="shared" si="22"/>
        <v>3.5999999999999999E-3</v>
      </c>
      <c r="I226" s="86">
        <f t="shared" si="23"/>
        <v>0</v>
      </c>
    </row>
    <row r="227" spans="2:9" ht="20.100000000000001" customHeight="1">
      <c r="B227" s="98"/>
      <c r="C227" s="92"/>
      <c r="D227" s="93"/>
      <c r="E227" s="93"/>
      <c r="F227" s="99"/>
      <c r="G227" s="89" t="str">
        <f t="shared" si="21"/>
        <v/>
      </c>
      <c r="H227" s="86">
        <f t="shared" si="22"/>
        <v>3.5999999999999999E-3</v>
      </c>
      <c r="I227" s="86">
        <f t="shared" si="23"/>
        <v>0</v>
      </c>
    </row>
    <row r="228" spans="2:9" ht="20.100000000000001" customHeight="1">
      <c r="B228" s="98"/>
      <c r="C228" s="92"/>
      <c r="D228" s="93"/>
      <c r="E228" s="93"/>
      <c r="F228" s="99"/>
      <c r="G228" s="89" t="str">
        <f t="shared" si="21"/>
        <v/>
      </c>
      <c r="H228" s="86">
        <f t="shared" si="22"/>
        <v>3.5999999999999999E-3</v>
      </c>
      <c r="I228" s="86">
        <f t="shared" si="23"/>
        <v>0</v>
      </c>
    </row>
    <row r="229" spans="2:9" ht="20.100000000000001" customHeight="1">
      <c r="B229" s="98"/>
      <c r="C229" s="92"/>
      <c r="D229" s="93"/>
      <c r="E229" s="93"/>
      <c r="F229" s="99"/>
      <c r="G229" s="89" t="str">
        <f t="shared" si="21"/>
        <v/>
      </c>
      <c r="H229" s="86">
        <f t="shared" si="22"/>
        <v>3.5999999999999999E-3</v>
      </c>
      <c r="I229" s="86">
        <f t="shared" si="23"/>
        <v>0</v>
      </c>
    </row>
    <row r="230" spans="2:9" ht="20.100000000000001" customHeight="1">
      <c r="B230" s="100"/>
      <c r="C230" s="101"/>
      <c r="D230" s="102"/>
      <c r="E230" s="102"/>
      <c r="F230" s="103"/>
      <c r="G230" s="89" t="str">
        <f t="shared" si="21"/>
        <v/>
      </c>
      <c r="H230" s="86">
        <f t="shared" si="22"/>
        <v>3.5999999999999999E-3</v>
      </c>
      <c r="I230" s="86">
        <f t="shared" si="23"/>
        <v>0</v>
      </c>
    </row>
    <row r="232" spans="2:9" ht="20.100000000000001" customHeight="1">
      <c r="B232" s="155" t="s">
        <v>1925</v>
      </c>
      <c r="C232" s="155"/>
      <c r="D232" s="155"/>
      <c r="E232" s="155"/>
      <c r="F232" s="155"/>
      <c r="G232" s="155"/>
      <c r="H232" s="155"/>
      <c r="I232" s="155"/>
    </row>
    <row r="233" spans="2:9" ht="100.35" customHeight="1">
      <c r="B233" s="633" t="s">
        <v>1926</v>
      </c>
      <c r="C233" s="633"/>
      <c r="D233" s="633"/>
      <c r="E233" s="633"/>
      <c r="F233" s="633"/>
      <c r="G233" s="633"/>
      <c r="H233" s="633"/>
      <c r="I233" s="633"/>
    </row>
    <row r="235" spans="2:9" ht="20.100000000000001" customHeight="1">
      <c r="B235" s="195" t="s">
        <v>1010</v>
      </c>
      <c r="C235" s="86" t="s">
        <v>1927</v>
      </c>
      <c r="E235" s="195" t="s">
        <v>579</v>
      </c>
      <c r="F235" s="592"/>
      <c r="G235" s="593"/>
      <c r="H235" s="593"/>
      <c r="I235" s="594"/>
    </row>
    <row r="236" spans="2:9" ht="20.100000000000001" customHeight="1">
      <c r="B236" s="195" t="s">
        <v>587</v>
      </c>
      <c r="C236" s="86" t="s">
        <v>87</v>
      </c>
      <c r="E236" s="643" t="s">
        <v>583</v>
      </c>
      <c r="F236" s="618"/>
      <c r="G236" s="619"/>
      <c r="H236" s="619"/>
      <c r="I236" s="620"/>
    </row>
    <row r="237" spans="2:9" ht="20.100000000000001" customHeight="1">
      <c r="B237" s="195" t="s">
        <v>589</v>
      </c>
      <c r="C237" s="133">
        <v>3.5999999999999999E-3</v>
      </c>
      <c r="D237" s="202"/>
      <c r="E237" s="644"/>
      <c r="F237" s="621"/>
      <c r="G237" s="622"/>
      <c r="H237" s="622"/>
      <c r="I237" s="623"/>
    </row>
    <row r="238" spans="2:9" ht="20.100000000000001" customHeight="1">
      <c r="B238" s="195" t="s">
        <v>1928</v>
      </c>
      <c r="C238" s="341"/>
      <c r="E238" s="332"/>
    </row>
    <row r="239" spans="2:9">
      <c r="F239" s="333"/>
      <c r="G239" s="333"/>
      <c r="H239" s="333"/>
      <c r="I239" s="333"/>
    </row>
    <row r="240" spans="2:9" ht="30" customHeight="1">
      <c r="B240" s="193" t="s">
        <v>593</v>
      </c>
      <c r="C240" s="193" t="s">
        <v>595</v>
      </c>
      <c r="D240" s="193" t="s">
        <v>1016</v>
      </c>
      <c r="E240" s="193" t="s">
        <v>1018</v>
      </c>
      <c r="F240" s="271" t="s">
        <v>1929</v>
      </c>
      <c r="G240" s="118" t="s">
        <v>603</v>
      </c>
      <c r="H240" s="118" t="s">
        <v>589</v>
      </c>
      <c r="I240" s="118" t="s">
        <v>606</v>
      </c>
    </row>
    <row r="241" spans="2:13" ht="20.100000000000001" customHeight="1">
      <c r="B241" s="94"/>
      <c r="C241" s="95"/>
      <c r="D241" s="96"/>
      <c r="E241" s="96"/>
      <c r="F241" s="97"/>
      <c r="G241" s="89" t="str">
        <f t="shared" ref="G241:G252" si="24">IF(ISBLANK(D241),"",E241-D241+1)</f>
        <v/>
      </c>
      <c r="H241" s="133">
        <f t="shared" ref="H241:H252" si="25">$C$237</f>
        <v>3.5999999999999999E-3</v>
      </c>
      <c r="I241" s="86">
        <f t="shared" ref="I241:I252" si="26">IF(F241&gt;0,F241*H241*IF(OR(D241&gt;$H$9,E241&lt;$H$8), 0, IF(D241&lt;$H$8,E241-$H$8,IF($H$9&lt;E241,E241-$H$9,G241)))/G241,0)</f>
        <v>0</v>
      </c>
    </row>
    <row r="242" spans="2:13" ht="20.100000000000001" customHeight="1">
      <c r="B242" s="166"/>
      <c r="C242" s="164"/>
      <c r="D242" s="165"/>
      <c r="E242" s="165"/>
      <c r="F242" s="167"/>
      <c r="G242" s="89" t="str">
        <f t="shared" si="24"/>
        <v/>
      </c>
      <c r="H242" s="133">
        <f t="shared" si="25"/>
        <v>3.5999999999999999E-3</v>
      </c>
      <c r="I242" s="86">
        <f t="shared" si="26"/>
        <v>0</v>
      </c>
    </row>
    <row r="243" spans="2:13" ht="20.100000000000001" customHeight="1">
      <c r="B243" s="98"/>
      <c r="C243" s="92"/>
      <c r="D243" s="93"/>
      <c r="E243" s="93"/>
      <c r="F243" s="99"/>
      <c r="G243" s="89" t="str">
        <f t="shared" si="24"/>
        <v/>
      </c>
      <c r="H243" s="133">
        <f t="shared" si="25"/>
        <v>3.5999999999999999E-3</v>
      </c>
      <c r="I243" s="86">
        <f t="shared" si="26"/>
        <v>0</v>
      </c>
    </row>
    <row r="244" spans="2:13" ht="20.100000000000001" customHeight="1">
      <c r="B244" s="98"/>
      <c r="C244" s="92"/>
      <c r="D244" s="93"/>
      <c r="E244" s="93"/>
      <c r="F244" s="99"/>
      <c r="G244" s="89" t="str">
        <f t="shared" si="24"/>
        <v/>
      </c>
      <c r="H244" s="133">
        <f t="shared" si="25"/>
        <v>3.5999999999999999E-3</v>
      </c>
      <c r="I244" s="86">
        <f t="shared" si="26"/>
        <v>0</v>
      </c>
    </row>
    <row r="245" spans="2:13" ht="20.100000000000001" customHeight="1">
      <c r="B245" s="98"/>
      <c r="C245" s="92"/>
      <c r="D245" s="93"/>
      <c r="E245" s="93"/>
      <c r="F245" s="99"/>
      <c r="G245" s="89" t="str">
        <f t="shared" si="24"/>
        <v/>
      </c>
      <c r="H245" s="133">
        <f t="shared" si="25"/>
        <v>3.5999999999999999E-3</v>
      </c>
      <c r="I245" s="86">
        <f t="shared" si="26"/>
        <v>0</v>
      </c>
    </row>
    <row r="246" spans="2:13" ht="20.100000000000001" customHeight="1">
      <c r="B246" s="98"/>
      <c r="C246" s="92"/>
      <c r="D246" s="93"/>
      <c r="E246" s="93"/>
      <c r="F246" s="99"/>
      <c r="G246" s="89" t="str">
        <f t="shared" si="24"/>
        <v/>
      </c>
      <c r="H246" s="133">
        <f t="shared" si="25"/>
        <v>3.5999999999999999E-3</v>
      </c>
      <c r="I246" s="86">
        <f t="shared" si="26"/>
        <v>0</v>
      </c>
    </row>
    <row r="247" spans="2:13" ht="20.100000000000001" customHeight="1">
      <c r="B247" s="98"/>
      <c r="C247" s="92"/>
      <c r="D247" s="93"/>
      <c r="E247" s="93"/>
      <c r="F247" s="99"/>
      <c r="G247" s="89" t="str">
        <f t="shared" si="24"/>
        <v/>
      </c>
      <c r="H247" s="133">
        <f t="shared" si="25"/>
        <v>3.5999999999999999E-3</v>
      </c>
      <c r="I247" s="86">
        <f t="shared" si="26"/>
        <v>0</v>
      </c>
    </row>
    <row r="248" spans="2:13" ht="20.100000000000001" customHeight="1">
      <c r="B248" s="98"/>
      <c r="C248" s="92"/>
      <c r="D248" s="93"/>
      <c r="E248" s="93"/>
      <c r="F248" s="99"/>
      <c r="G248" s="89" t="str">
        <f t="shared" si="24"/>
        <v/>
      </c>
      <c r="H248" s="133">
        <f t="shared" si="25"/>
        <v>3.5999999999999999E-3</v>
      </c>
      <c r="I248" s="86">
        <f t="shared" si="26"/>
        <v>0</v>
      </c>
    </row>
    <row r="249" spans="2:13" ht="20.100000000000001" customHeight="1">
      <c r="B249" s="98"/>
      <c r="C249" s="92"/>
      <c r="D249" s="93"/>
      <c r="E249" s="93"/>
      <c r="F249" s="99"/>
      <c r="G249" s="89" t="str">
        <f t="shared" si="24"/>
        <v/>
      </c>
      <c r="H249" s="133">
        <f t="shared" si="25"/>
        <v>3.5999999999999999E-3</v>
      </c>
      <c r="I249" s="86">
        <f t="shared" si="26"/>
        <v>0</v>
      </c>
    </row>
    <row r="250" spans="2:13" ht="20.100000000000001" customHeight="1">
      <c r="B250" s="98"/>
      <c r="C250" s="92"/>
      <c r="D250" s="93"/>
      <c r="E250" s="93"/>
      <c r="F250" s="99"/>
      <c r="G250" s="89" t="str">
        <f t="shared" si="24"/>
        <v/>
      </c>
      <c r="H250" s="133">
        <f t="shared" si="25"/>
        <v>3.5999999999999999E-3</v>
      </c>
      <c r="I250" s="86">
        <f t="shared" si="26"/>
        <v>0</v>
      </c>
    </row>
    <row r="251" spans="2:13" ht="20.100000000000001" customHeight="1">
      <c r="B251" s="98"/>
      <c r="C251" s="92"/>
      <c r="D251" s="93"/>
      <c r="E251" s="93"/>
      <c r="F251" s="99"/>
      <c r="G251" s="89" t="str">
        <f t="shared" si="24"/>
        <v/>
      </c>
      <c r="H251" s="133">
        <f t="shared" si="25"/>
        <v>3.5999999999999999E-3</v>
      </c>
      <c r="I251" s="86">
        <f t="shared" si="26"/>
        <v>0</v>
      </c>
    </row>
    <row r="252" spans="2:13" ht="20.100000000000001" customHeight="1">
      <c r="B252" s="100"/>
      <c r="C252" s="101"/>
      <c r="D252" s="102"/>
      <c r="E252" s="102"/>
      <c r="F252" s="103"/>
      <c r="G252" s="89" t="str">
        <f t="shared" si="24"/>
        <v/>
      </c>
      <c r="H252" s="133">
        <f t="shared" si="25"/>
        <v>3.5999999999999999E-3</v>
      </c>
      <c r="I252" s="86">
        <f t="shared" si="26"/>
        <v>0</v>
      </c>
    </row>
    <row r="253" spans="2:13">
      <c r="M253" s="15" t="s">
        <v>771</v>
      </c>
    </row>
    <row r="254" spans="2:13" ht="20.100000000000001" customHeight="1">
      <c r="B254" s="639" t="s">
        <v>1005</v>
      </c>
      <c r="C254" s="640"/>
      <c r="D254" s="640"/>
      <c r="E254" s="640"/>
      <c r="F254" s="640"/>
      <c r="G254" s="640"/>
      <c r="H254" s="640"/>
      <c r="I254" s="641"/>
      <c r="M254" s="397" t="s">
        <v>1930</v>
      </c>
    </row>
    <row r="255" spans="2:13" ht="53.25" customHeight="1">
      <c r="B255" s="642" t="s">
        <v>1931</v>
      </c>
      <c r="C255" s="642"/>
      <c r="D255" s="642"/>
      <c r="E255" s="642"/>
      <c r="F255" s="642"/>
      <c r="G255" s="642"/>
      <c r="H255" s="642"/>
      <c r="I255" s="642"/>
      <c r="K255" s="405"/>
      <c r="M255" s="204" t="s">
        <v>1932</v>
      </c>
    </row>
    <row r="257" spans="2:9" ht="20.100000000000001" customHeight="1">
      <c r="B257" s="195" t="s">
        <v>1010</v>
      </c>
      <c r="C257" s="86" t="s">
        <v>1933</v>
      </c>
      <c r="E257" s="118" t="s">
        <v>579</v>
      </c>
      <c r="F257" s="617"/>
      <c r="G257" s="617"/>
      <c r="H257" s="617"/>
      <c r="I257" s="617"/>
    </row>
    <row r="258" spans="2:9" ht="20.100000000000001" customHeight="1">
      <c r="B258" s="195" t="s">
        <v>587</v>
      </c>
      <c r="C258" s="86" t="s">
        <v>87</v>
      </c>
      <c r="E258" s="634" t="s">
        <v>583</v>
      </c>
      <c r="F258" s="615"/>
      <c r="G258" s="615"/>
      <c r="H258" s="615"/>
      <c r="I258" s="615"/>
    </row>
    <row r="259" spans="2:9" ht="20.100000000000001" customHeight="1">
      <c r="B259" s="195" t="s">
        <v>589</v>
      </c>
      <c r="C259" s="133">
        <v>3.5999999999999999E-3</v>
      </c>
      <c r="D259" s="202"/>
      <c r="E259" s="634"/>
      <c r="F259" s="616"/>
      <c r="G259" s="616"/>
      <c r="H259" s="616"/>
      <c r="I259" s="616"/>
    </row>
    <row r="261" spans="2:9" ht="30" customHeight="1">
      <c r="B261" s="193" t="s">
        <v>593</v>
      </c>
      <c r="C261" s="193" t="s">
        <v>595</v>
      </c>
      <c r="D261" s="193" t="s">
        <v>1016</v>
      </c>
      <c r="E261" s="193" t="s">
        <v>1018</v>
      </c>
      <c r="F261" s="271" t="s">
        <v>1929</v>
      </c>
      <c r="G261" s="118" t="s">
        <v>603</v>
      </c>
      <c r="H261" s="91" t="s">
        <v>589</v>
      </c>
      <c r="I261" s="91" t="s">
        <v>606</v>
      </c>
    </row>
    <row r="262" spans="2:9" ht="20.100000000000001" customHeight="1">
      <c r="B262" s="94"/>
      <c r="C262" s="95"/>
      <c r="D262" s="96"/>
      <c r="E262" s="96"/>
      <c r="F262" s="97"/>
      <c r="G262" s="86" t="str">
        <f>IF(ISBLANK(D262),"",E262-D262+1)</f>
        <v/>
      </c>
      <c r="H262" s="133">
        <f t="shared" ref="H262:H273" si="27">$C$259</f>
        <v>3.5999999999999999E-3</v>
      </c>
      <c r="I262" s="86">
        <f t="shared" ref="I262:I273" si="28">IF(F262&gt;0,F262*H262*IF(OR(D262&gt;$H$9,E262&lt;$H$8), 0, IF(D262&lt;$H$8,E262-$H$8,IF($H$9&lt;E262,E262-$H$9,G262)))/G262,0)</f>
        <v>0</v>
      </c>
    </row>
    <row r="263" spans="2:9" ht="20.100000000000001" customHeight="1">
      <c r="B263" s="166"/>
      <c r="C263" s="164"/>
      <c r="D263" s="320"/>
      <c r="E263" s="320"/>
      <c r="F263" s="167"/>
      <c r="G263" s="86" t="str">
        <f t="shared" ref="G263:G273" si="29">IF(ISBLANK(D263),"",E263-D263+1)</f>
        <v/>
      </c>
      <c r="H263" s="133">
        <f t="shared" si="27"/>
        <v>3.5999999999999999E-3</v>
      </c>
      <c r="I263" s="86">
        <f t="shared" si="28"/>
        <v>0</v>
      </c>
    </row>
    <row r="264" spans="2:9" ht="20.100000000000001" customHeight="1">
      <c r="B264" s="98"/>
      <c r="C264" s="92"/>
      <c r="D264" s="321"/>
      <c r="E264" s="321"/>
      <c r="F264" s="99"/>
      <c r="G264" s="86" t="str">
        <f t="shared" si="29"/>
        <v/>
      </c>
      <c r="H264" s="133">
        <f t="shared" si="27"/>
        <v>3.5999999999999999E-3</v>
      </c>
      <c r="I264" s="86">
        <f t="shared" si="28"/>
        <v>0</v>
      </c>
    </row>
    <row r="265" spans="2:9" ht="20.100000000000001" customHeight="1">
      <c r="B265" s="98"/>
      <c r="C265" s="92"/>
      <c r="D265" s="321"/>
      <c r="E265" s="321"/>
      <c r="F265" s="99"/>
      <c r="G265" s="86" t="str">
        <f t="shared" si="29"/>
        <v/>
      </c>
      <c r="H265" s="133">
        <f t="shared" si="27"/>
        <v>3.5999999999999999E-3</v>
      </c>
      <c r="I265" s="86">
        <f t="shared" si="28"/>
        <v>0</v>
      </c>
    </row>
    <row r="266" spans="2:9" ht="20.100000000000001" customHeight="1">
      <c r="B266" s="98"/>
      <c r="C266" s="92"/>
      <c r="D266" s="321"/>
      <c r="E266" s="321"/>
      <c r="F266" s="99"/>
      <c r="G266" s="86" t="str">
        <f t="shared" si="29"/>
        <v/>
      </c>
      <c r="H266" s="133">
        <f t="shared" si="27"/>
        <v>3.5999999999999999E-3</v>
      </c>
      <c r="I266" s="86">
        <f t="shared" si="28"/>
        <v>0</v>
      </c>
    </row>
    <row r="267" spans="2:9" ht="20.100000000000001" customHeight="1">
      <c r="B267" s="98"/>
      <c r="C267" s="92"/>
      <c r="D267" s="321"/>
      <c r="E267" s="321"/>
      <c r="F267" s="99"/>
      <c r="G267" s="86" t="str">
        <f t="shared" si="29"/>
        <v/>
      </c>
      <c r="H267" s="133">
        <f t="shared" si="27"/>
        <v>3.5999999999999999E-3</v>
      </c>
      <c r="I267" s="86">
        <f t="shared" si="28"/>
        <v>0</v>
      </c>
    </row>
    <row r="268" spans="2:9" ht="20.100000000000001" customHeight="1">
      <c r="B268" s="98"/>
      <c r="C268" s="92"/>
      <c r="D268" s="321"/>
      <c r="E268" s="321"/>
      <c r="F268" s="99"/>
      <c r="G268" s="86" t="str">
        <f t="shared" si="29"/>
        <v/>
      </c>
      <c r="H268" s="133">
        <f t="shared" si="27"/>
        <v>3.5999999999999999E-3</v>
      </c>
      <c r="I268" s="86">
        <f t="shared" si="28"/>
        <v>0</v>
      </c>
    </row>
    <row r="269" spans="2:9" ht="20.100000000000001" customHeight="1">
      <c r="B269" s="98"/>
      <c r="C269" s="92"/>
      <c r="D269" s="321"/>
      <c r="E269" s="321"/>
      <c r="F269" s="99"/>
      <c r="G269" s="86" t="str">
        <f t="shared" si="29"/>
        <v/>
      </c>
      <c r="H269" s="133">
        <f t="shared" si="27"/>
        <v>3.5999999999999999E-3</v>
      </c>
      <c r="I269" s="86">
        <f t="shared" si="28"/>
        <v>0</v>
      </c>
    </row>
    <row r="270" spans="2:9" ht="20.100000000000001" customHeight="1">
      <c r="B270" s="98"/>
      <c r="C270" s="92"/>
      <c r="D270" s="321"/>
      <c r="E270" s="321"/>
      <c r="F270" s="99"/>
      <c r="G270" s="86" t="str">
        <f t="shared" si="29"/>
        <v/>
      </c>
      <c r="H270" s="133">
        <f t="shared" si="27"/>
        <v>3.5999999999999999E-3</v>
      </c>
      <c r="I270" s="86">
        <f t="shared" si="28"/>
        <v>0</v>
      </c>
    </row>
    <row r="271" spans="2:9" ht="20.100000000000001" customHeight="1">
      <c r="B271" s="98"/>
      <c r="C271" s="92"/>
      <c r="D271" s="321"/>
      <c r="E271" s="321"/>
      <c r="F271" s="99"/>
      <c r="G271" s="86" t="str">
        <f t="shared" si="29"/>
        <v/>
      </c>
      <c r="H271" s="133">
        <f t="shared" si="27"/>
        <v>3.5999999999999999E-3</v>
      </c>
      <c r="I271" s="86">
        <f t="shared" si="28"/>
        <v>0</v>
      </c>
    </row>
    <row r="272" spans="2:9" ht="20.100000000000001" customHeight="1">
      <c r="B272" s="98"/>
      <c r="C272" s="92"/>
      <c r="D272" s="321"/>
      <c r="E272" s="321"/>
      <c r="F272" s="99"/>
      <c r="G272" s="86" t="str">
        <f t="shared" si="29"/>
        <v/>
      </c>
      <c r="H272" s="133">
        <f t="shared" si="27"/>
        <v>3.5999999999999999E-3</v>
      </c>
      <c r="I272" s="86">
        <f t="shared" si="28"/>
        <v>0</v>
      </c>
    </row>
    <row r="273" spans="2:11" ht="20.100000000000001" customHeight="1">
      <c r="B273" s="100"/>
      <c r="C273" s="101"/>
      <c r="D273" s="322"/>
      <c r="E273" s="322"/>
      <c r="F273" s="103"/>
      <c r="G273" s="86" t="str">
        <f t="shared" si="29"/>
        <v/>
      </c>
      <c r="H273" s="133">
        <f t="shared" si="27"/>
        <v>3.5999999999999999E-3</v>
      </c>
      <c r="I273" s="86">
        <f t="shared" si="28"/>
        <v>0</v>
      </c>
    </row>
    <row r="274" spans="2:11">
      <c r="I274" s="17"/>
    </row>
    <row r="275" spans="2:11" ht="20.100000000000001" customHeight="1">
      <c r="B275" s="639" t="s">
        <v>1031</v>
      </c>
      <c r="C275" s="640"/>
      <c r="D275" s="640"/>
      <c r="E275" s="640"/>
      <c r="F275" s="640"/>
      <c r="G275" s="640"/>
      <c r="H275" s="640"/>
      <c r="I275" s="641"/>
    </row>
    <row r="276" spans="2:11" ht="54.75" customHeight="1">
      <c r="B276" s="645" t="s">
        <v>1934</v>
      </c>
      <c r="C276" s="642"/>
      <c r="D276" s="642"/>
      <c r="E276" s="642"/>
      <c r="F276" s="642"/>
      <c r="G276" s="642"/>
      <c r="H276" s="642"/>
      <c r="I276" s="642"/>
      <c r="K276" s="406"/>
    </row>
    <row r="278" spans="2:11" ht="20.100000000000001" customHeight="1">
      <c r="B278" s="195" t="s">
        <v>1010</v>
      </c>
      <c r="C278" s="86" t="s">
        <v>1933</v>
      </c>
      <c r="E278" s="118" t="s">
        <v>579</v>
      </c>
      <c r="F278" s="617"/>
      <c r="G278" s="617"/>
      <c r="H278" s="617"/>
      <c r="I278" s="617"/>
    </row>
    <row r="279" spans="2:11" ht="20.100000000000001" customHeight="1">
      <c r="B279" s="195" t="s">
        <v>587</v>
      </c>
      <c r="C279" s="86" t="s">
        <v>87</v>
      </c>
      <c r="E279" s="634" t="s">
        <v>583</v>
      </c>
      <c r="F279" s="615"/>
      <c r="G279" s="615"/>
      <c r="H279" s="615"/>
      <c r="I279" s="615"/>
    </row>
    <row r="280" spans="2:11" ht="20.100000000000001" customHeight="1">
      <c r="B280" s="195" t="s">
        <v>589</v>
      </c>
      <c r="C280" s="133">
        <v>3.5999999999999999E-3</v>
      </c>
      <c r="D280" s="202"/>
      <c r="E280" s="634"/>
      <c r="F280" s="616"/>
      <c r="G280" s="616"/>
      <c r="H280" s="616"/>
      <c r="I280" s="616"/>
    </row>
    <row r="282" spans="2:11" ht="30" customHeight="1">
      <c r="B282" s="193" t="s">
        <v>593</v>
      </c>
      <c r="C282" s="193" t="s">
        <v>595</v>
      </c>
      <c r="D282" s="193" t="s">
        <v>1016</v>
      </c>
      <c r="E282" s="193" t="s">
        <v>1018</v>
      </c>
      <c r="F282" s="271" t="s">
        <v>1929</v>
      </c>
      <c r="G282" s="118" t="s">
        <v>603</v>
      </c>
      <c r="H282" s="91" t="s">
        <v>589</v>
      </c>
      <c r="I282" s="91" t="s">
        <v>606</v>
      </c>
    </row>
    <row r="283" spans="2:11" ht="20.100000000000001" customHeight="1">
      <c r="B283" s="94"/>
      <c r="C283" s="95"/>
      <c r="D283" s="96"/>
      <c r="E283" s="96"/>
      <c r="F283" s="97"/>
      <c r="G283" s="86" t="str">
        <f>IF(ISBLANK(D283),"",E283-D283+1)</f>
        <v/>
      </c>
      <c r="H283" s="133">
        <f t="shared" ref="H283:H294" si="30">$C$280</f>
        <v>3.5999999999999999E-3</v>
      </c>
      <c r="I283" s="86">
        <f>IF(F283&gt;0,F283*H283*IF(OR(D283&gt;$H$9,E283&lt;$H$8), 0, IF(D283&lt;$H$8,E283-$H$8,IF($H$9&lt;E283,E283-$H$9,G283)))/G283,0)</f>
        <v>0</v>
      </c>
    </row>
    <row r="284" spans="2:11" ht="20.100000000000001" customHeight="1">
      <c r="B284" s="166"/>
      <c r="C284" s="164"/>
      <c r="D284" s="165"/>
      <c r="E284" s="165"/>
      <c r="F284" s="167"/>
      <c r="G284" s="86" t="str">
        <f>IF(ISBLANK(D284),"",E284-D284+1)</f>
        <v/>
      </c>
      <c r="H284" s="133">
        <f t="shared" si="30"/>
        <v>3.5999999999999999E-3</v>
      </c>
      <c r="I284" s="86">
        <f>IF(F284&gt;0,F284*H284*IF(OR(D284&gt;$H$9,E284&lt;$H$8), 0, IF(D284&lt;$H$8,E284-$H$8,IF($H$9&lt;E284,E284-$H$9,G284)))/G284,0)</f>
        <v>0</v>
      </c>
    </row>
    <row r="285" spans="2:11" ht="20.100000000000001" customHeight="1">
      <c r="B285" s="98"/>
      <c r="C285" s="92"/>
      <c r="D285" s="93"/>
      <c r="E285" s="93"/>
      <c r="F285" s="99"/>
      <c r="G285" s="86" t="str">
        <f t="shared" ref="G285:G294" si="31">IF(ISBLANK(D285),"",E285-D285+1)</f>
        <v/>
      </c>
      <c r="H285" s="133">
        <f t="shared" si="30"/>
        <v>3.5999999999999999E-3</v>
      </c>
      <c r="I285" s="86">
        <f t="shared" ref="I285:I294" si="32">IF(F285&gt;0,F285*H285*IF(OR(D285&gt;$H$9,E285&lt;$H$8), 0, IF(D285&lt;$H$8,E285-$H$8,IF($H$9&lt;E285,E285-$H$9,G285)))/G285,0)</f>
        <v>0</v>
      </c>
    </row>
    <row r="286" spans="2:11" ht="20.100000000000001" customHeight="1">
      <c r="B286" s="98"/>
      <c r="C286" s="92"/>
      <c r="D286" s="93"/>
      <c r="E286" s="93"/>
      <c r="F286" s="99"/>
      <c r="G286" s="86" t="str">
        <f t="shared" si="31"/>
        <v/>
      </c>
      <c r="H286" s="133">
        <f t="shared" si="30"/>
        <v>3.5999999999999999E-3</v>
      </c>
      <c r="I286" s="86">
        <f t="shared" si="32"/>
        <v>0</v>
      </c>
    </row>
    <row r="287" spans="2:11" ht="20.100000000000001" customHeight="1">
      <c r="B287" s="98"/>
      <c r="C287" s="92"/>
      <c r="D287" s="93"/>
      <c r="E287" s="93"/>
      <c r="F287" s="99"/>
      <c r="G287" s="86" t="str">
        <f t="shared" si="31"/>
        <v/>
      </c>
      <c r="H287" s="133">
        <f t="shared" si="30"/>
        <v>3.5999999999999999E-3</v>
      </c>
      <c r="I287" s="86">
        <f t="shared" si="32"/>
        <v>0</v>
      </c>
    </row>
    <row r="288" spans="2:11" ht="20.100000000000001" customHeight="1">
      <c r="B288" s="98"/>
      <c r="C288" s="92"/>
      <c r="D288" s="93"/>
      <c r="E288" s="93"/>
      <c r="F288" s="99"/>
      <c r="G288" s="86" t="str">
        <f t="shared" si="31"/>
        <v/>
      </c>
      <c r="H288" s="133">
        <f t="shared" si="30"/>
        <v>3.5999999999999999E-3</v>
      </c>
      <c r="I288" s="86">
        <f t="shared" si="32"/>
        <v>0</v>
      </c>
    </row>
    <row r="289" spans="2:9" ht="20.100000000000001" customHeight="1">
      <c r="B289" s="98"/>
      <c r="C289" s="92"/>
      <c r="D289" s="93"/>
      <c r="E289" s="93"/>
      <c r="F289" s="99"/>
      <c r="G289" s="86" t="str">
        <f t="shared" si="31"/>
        <v/>
      </c>
      <c r="H289" s="133">
        <f t="shared" si="30"/>
        <v>3.5999999999999999E-3</v>
      </c>
      <c r="I289" s="86">
        <f t="shared" si="32"/>
        <v>0</v>
      </c>
    </row>
    <row r="290" spans="2:9" ht="20.100000000000001" customHeight="1">
      <c r="B290" s="98"/>
      <c r="C290" s="92"/>
      <c r="D290" s="93"/>
      <c r="E290" s="93"/>
      <c r="F290" s="99"/>
      <c r="G290" s="86" t="str">
        <f t="shared" si="31"/>
        <v/>
      </c>
      <c r="H290" s="133">
        <f t="shared" si="30"/>
        <v>3.5999999999999999E-3</v>
      </c>
      <c r="I290" s="86">
        <f t="shared" si="32"/>
        <v>0</v>
      </c>
    </row>
    <row r="291" spans="2:9" ht="20.100000000000001" customHeight="1">
      <c r="B291" s="98"/>
      <c r="C291" s="92"/>
      <c r="D291" s="93"/>
      <c r="E291" s="93"/>
      <c r="F291" s="99"/>
      <c r="G291" s="86" t="str">
        <f t="shared" si="31"/>
        <v/>
      </c>
      <c r="H291" s="133">
        <f t="shared" si="30"/>
        <v>3.5999999999999999E-3</v>
      </c>
      <c r="I291" s="86">
        <f t="shared" si="32"/>
        <v>0</v>
      </c>
    </row>
    <row r="292" spans="2:9" ht="20.100000000000001" customHeight="1">
      <c r="B292" s="98"/>
      <c r="C292" s="92"/>
      <c r="D292" s="93"/>
      <c r="E292" s="93"/>
      <c r="F292" s="99"/>
      <c r="G292" s="86" t="str">
        <f t="shared" si="31"/>
        <v/>
      </c>
      <c r="H292" s="133">
        <f t="shared" si="30"/>
        <v>3.5999999999999999E-3</v>
      </c>
      <c r="I292" s="86">
        <f t="shared" si="32"/>
        <v>0</v>
      </c>
    </row>
    <row r="293" spans="2:9" ht="20.100000000000001" customHeight="1">
      <c r="B293" s="98"/>
      <c r="C293" s="92"/>
      <c r="D293" s="93"/>
      <c r="E293" s="93"/>
      <c r="F293" s="99"/>
      <c r="G293" s="86" t="str">
        <f t="shared" si="31"/>
        <v/>
      </c>
      <c r="H293" s="133">
        <f t="shared" si="30"/>
        <v>3.5999999999999999E-3</v>
      </c>
      <c r="I293" s="86">
        <f t="shared" si="32"/>
        <v>0</v>
      </c>
    </row>
    <row r="294" spans="2:9" ht="20.100000000000001" customHeight="1">
      <c r="B294" s="100"/>
      <c r="C294" s="101"/>
      <c r="D294" s="102"/>
      <c r="E294" s="102"/>
      <c r="F294" s="103"/>
      <c r="G294" s="86" t="str">
        <f t="shared" si="31"/>
        <v/>
      </c>
      <c r="H294" s="133">
        <f t="shared" si="30"/>
        <v>3.5999999999999999E-3</v>
      </c>
      <c r="I294" s="86">
        <f t="shared" si="32"/>
        <v>0</v>
      </c>
    </row>
    <row r="296" spans="2:9" ht="20.100000000000001" customHeight="1">
      <c r="B296" s="647" t="s">
        <v>1049</v>
      </c>
      <c r="C296" s="647"/>
      <c r="D296" s="647"/>
      <c r="E296" s="647"/>
      <c r="F296" s="647"/>
      <c r="G296" s="647"/>
      <c r="H296" s="647"/>
      <c r="I296" s="647"/>
    </row>
    <row r="297" spans="2:9" ht="62.25" customHeight="1">
      <c r="B297" s="636" t="s">
        <v>1935</v>
      </c>
      <c r="C297" s="633"/>
      <c r="D297" s="633"/>
      <c r="E297" s="633"/>
      <c r="F297" s="633"/>
      <c r="G297" s="633"/>
      <c r="H297" s="633"/>
      <c r="I297" s="633"/>
    </row>
    <row r="299" spans="2:9" ht="20.100000000000001" customHeight="1">
      <c r="B299" s="195" t="s">
        <v>1010</v>
      </c>
      <c r="C299" s="86" t="s">
        <v>1936</v>
      </c>
      <c r="E299" s="118" t="s">
        <v>579</v>
      </c>
      <c r="F299" s="617"/>
      <c r="G299" s="617"/>
      <c r="H299" s="617"/>
      <c r="I299" s="617"/>
    </row>
    <row r="300" spans="2:9" ht="20.100000000000001" customHeight="1">
      <c r="B300" s="195" t="s">
        <v>587</v>
      </c>
      <c r="C300" s="86" t="s">
        <v>87</v>
      </c>
      <c r="E300" s="634" t="s">
        <v>583</v>
      </c>
      <c r="F300" s="615"/>
      <c r="G300" s="615"/>
      <c r="H300" s="615"/>
      <c r="I300" s="615"/>
    </row>
    <row r="301" spans="2:9" ht="20.100000000000001" customHeight="1">
      <c r="B301" s="195" t="s">
        <v>589</v>
      </c>
      <c r="C301" s="133">
        <v>3.5999999999999999E-3</v>
      </c>
      <c r="D301" s="202"/>
      <c r="E301" s="634"/>
      <c r="F301" s="616"/>
      <c r="G301" s="616"/>
      <c r="H301" s="616"/>
      <c r="I301" s="616"/>
    </row>
    <row r="303" spans="2:9" ht="30" customHeight="1">
      <c r="B303" s="193" t="s">
        <v>593</v>
      </c>
      <c r="C303" s="193" t="s">
        <v>595</v>
      </c>
      <c r="D303" s="193" t="s">
        <v>1016</v>
      </c>
      <c r="E303" s="193" t="s">
        <v>1018</v>
      </c>
      <c r="F303" s="271" t="s">
        <v>1929</v>
      </c>
      <c r="G303" s="118" t="s">
        <v>603</v>
      </c>
      <c r="H303" s="91" t="s">
        <v>589</v>
      </c>
      <c r="I303" s="91" t="s">
        <v>606</v>
      </c>
    </row>
    <row r="304" spans="2:9" ht="20.100000000000001" customHeight="1">
      <c r="B304" s="94"/>
      <c r="C304" s="95"/>
      <c r="D304" s="96"/>
      <c r="E304" s="96"/>
      <c r="F304" s="97"/>
      <c r="G304" s="86" t="str">
        <f t="shared" ref="G304:G315" si="33">IF(ISBLANK(D304),"",E304-D304+1)</f>
        <v/>
      </c>
      <c r="H304" s="133">
        <f t="shared" ref="H304:H315" si="34">$C$301</f>
        <v>3.5999999999999999E-3</v>
      </c>
      <c r="I304" s="86">
        <f t="shared" ref="I304:I315" si="35">IF(F304&gt;0,F304*H304*IF(OR(D304&gt;$H$9,E304&lt;$H$8), 0, IF(D304&lt;$H$8,E304-$H$8,IF($H$9&lt;E304,E304-$H$9,G304)))/G304,0)</f>
        <v>0</v>
      </c>
    </row>
    <row r="305" spans="1:10" ht="20.100000000000001" customHeight="1">
      <c r="B305" s="166"/>
      <c r="C305" s="164"/>
      <c r="D305" s="165"/>
      <c r="E305" s="165"/>
      <c r="F305" s="167"/>
      <c r="G305" s="86" t="str">
        <f t="shared" si="33"/>
        <v/>
      </c>
      <c r="H305" s="133">
        <f t="shared" si="34"/>
        <v>3.5999999999999999E-3</v>
      </c>
      <c r="I305" s="86">
        <f t="shared" si="35"/>
        <v>0</v>
      </c>
    </row>
    <row r="306" spans="1:10" ht="20.100000000000001" customHeight="1">
      <c r="B306" s="98"/>
      <c r="C306" s="92"/>
      <c r="D306" s="93"/>
      <c r="E306" s="93"/>
      <c r="F306" s="99"/>
      <c r="G306" s="86" t="str">
        <f t="shared" si="33"/>
        <v/>
      </c>
      <c r="H306" s="133">
        <f t="shared" si="34"/>
        <v>3.5999999999999999E-3</v>
      </c>
      <c r="I306" s="86">
        <f t="shared" si="35"/>
        <v>0</v>
      </c>
    </row>
    <row r="307" spans="1:10" ht="20.100000000000001" customHeight="1">
      <c r="B307" s="98"/>
      <c r="C307" s="92"/>
      <c r="D307" s="93"/>
      <c r="E307" s="93"/>
      <c r="F307" s="99"/>
      <c r="G307" s="86" t="str">
        <f t="shared" si="33"/>
        <v/>
      </c>
      <c r="H307" s="133">
        <f t="shared" si="34"/>
        <v>3.5999999999999999E-3</v>
      </c>
      <c r="I307" s="86">
        <f t="shared" si="35"/>
        <v>0</v>
      </c>
    </row>
    <row r="308" spans="1:10" ht="20.100000000000001" customHeight="1">
      <c r="B308" s="98"/>
      <c r="C308" s="92"/>
      <c r="D308" s="93"/>
      <c r="E308" s="93"/>
      <c r="F308" s="99"/>
      <c r="G308" s="86" t="str">
        <f t="shared" si="33"/>
        <v/>
      </c>
      <c r="H308" s="133">
        <f t="shared" si="34"/>
        <v>3.5999999999999999E-3</v>
      </c>
      <c r="I308" s="86">
        <f t="shared" si="35"/>
        <v>0</v>
      </c>
    </row>
    <row r="309" spans="1:10" ht="20.100000000000001" customHeight="1">
      <c r="B309" s="98"/>
      <c r="C309" s="92"/>
      <c r="D309" s="93"/>
      <c r="E309" s="93"/>
      <c r="F309" s="99"/>
      <c r="G309" s="86" t="str">
        <f t="shared" si="33"/>
        <v/>
      </c>
      <c r="H309" s="133">
        <f t="shared" si="34"/>
        <v>3.5999999999999999E-3</v>
      </c>
      <c r="I309" s="86">
        <f t="shared" si="35"/>
        <v>0</v>
      </c>
    </row>
    <row r="310" spans="1:10" ht="20.100000000000001" customHeight="1">
      <c r="B310" s="98"/>
      <c r="C310" s="92"/>
      <c r="D310" s="93"/>
      <c r="E310" s="93"/>
      <c r="F310" s="99"/>
      <c r="G310" s="86" t="str">
        <f t="shared" si="33"/>
        <v/>
      </c>
      <c r="H310" s="133">
        <f t="shared" si="34"/>
        <v>3.5999999999999999E-3</v>
      </c>
      <c r="I310" s="86">
        <f t="shared" si="35"/>
        <v>0</v>
      </c>
    </row>
    <row r="311" spans="1:10" ht="20.100000000000001" customHeight="1">
      <c r="B311" s="98"/>
      <c r="C311" s="92"/>
      <c r="D311" s="93"/>
      <c r="E311" s="93"/>
      <c r="F311" s="99"/>
      <c r="G311" s="86" t="str">
        <f t="shared" si="33"/>
        <v/>
      </c>
      <c r="H311" s="133">
        <f t="shared" si="34"/>
        <v>3.5999999999999999E-3</v>
      </c>
      <c r="I311" s="86">
        <f t="shared" si="35"/>
        <v>0</v>
      </c>
    </row>
    <row r="312" spans="1:10" ht="20.100000000000001" customHeight="1">
      <c r="B312" s="98"/>
      <c r="C312" s="92"/>
      <c r="D312" s="93"/>
      <c r="E312" s="93"/>
      <c r="F312" s="99"/>
      <c r="G312" s="86" t="str">
        <f t="shared" si="33"/>
        <v/>
      </c>
      <c r="H312" s="133">
        <f t="shared" si="34"/>
        <v>3.5999999999999999E-3</v>
      </c>
      <c r="I312" s="86">
        <f t="shared" si="35"/>
        <v>0</v>
      </c>
    </row>
    <row r="313" spans="1:10" ht="20.100000000000001" customHeight="1">
      <c r="B313" s="98"/>
      <c r="C313" s="92"/>
      <c r="D313" s="93"/>
      <c r="E313" s="93"/>
      <c r="F313" s="99"/>
      <c r="G313" s="86" t="str">
        <f t="shared" si="33"/>
        <v/>
      </c>
      <c r="H313" s="133">
        <f t="shared" si="34"/>
        <v>3.5999999999999999E-3</v>
      </c>
      <c r="I313" s="86">
        <f t="shared" si="35"/>
        <v>0</v>
      </c>
    </row>
    <row r="314" spans="1:10" ht="20.100000000000001" customHeight="1">
      <c r="B314" s="98"/>
      <c r="C314" s="92"/>
      <c r="D314" s="93"/>
      <c r="E314" s="93"/>
      <c r="F314" s="99"/>
      <c r="G314" s="86" t="str">
        <f t="shared" si="33"/>
        <v/>
      </c>
      <c r="H314" s="133">
        <f t="shared" si="34"/>
        <v>3.5999999999999999E-3</v>
      </c>
      <c r="I314" s="86">
        <f t="shared" si="35"/>
        <v>0</v>
      </c>
    </row>
    <row r="315" spans="1:10" ht="20.100000000000001" customHeight="1">
      <c r="B315" s="100"/>
      <c r="C315" s="101"/>
      <c r="D315" s="102"/>
      <c r="E315" s="102"/>
      <c r="F315" s="103"/>
      <c r="G315" s="86" t="str">
        <f t="shared" si="33"/>
        <v/>
      </c>
      <c r="H315" s="133">
        <f t="shared" si="34"/>
        <v>3.5999999999999999E-3</v>
      </c>
      <c r="I315" s="86">
        <f t="shared" si="35"/>
        <v>0</v>
      </c>
    </row>
    <row r="316" spans="1:10">
      <c r="I316" s="17"/>
    </row>
    <row r="317" spans="1:10" ht="20.100000000000001" customHeight="1">
      <c r="B317" s="639" t="s">
        <v>1071</v>
      </c>
      <c r="C317" s="640"/>
      <c r="D317" s="640"/>
      <c r="E317" s="640"/>
      <c r="F317" s="640"/>
      <c r="G317" s="640"/>
      <c r="H317" s="640"/>
      <c r="I317" s="641"/>
    </row>
    <row r="318" spans="1:10" ht="55.35" customHeight="1">
      <c r="B318" s="633" t="s">
        <v>1937</v>
      </c>
      <c r="C318" s="633"/>
      <c r="D318" s="633"/>
      <c r="E318" s="633"/>
      <c r="F318" s="633"/>
      <c r="G318" s="633"/>
      <c r="H318" s="633"/>
      <c r="I318" s="633"/>
      <c r="J318" s="398"/>
    </row>
    <row r="319" spans="1:10">
      <c r="A319" s="15" t="s">
        <v>1938</v>
      </c>
    </row>
    <row r="320" spans="1:10" ht="20.100000000000001" customHeight="1">
      <c r="B320" s="195" t="s">
        <v>1010</v>
      </c>
      <c r="C320" s="86" t="s">
        <v>1933</v>
      </c>
      <c r="E320" s="193" t="s">
        <v>579</v>
      </c>
      <c r="F320" s="592"/>
      <c r="G320" s="593"/>
      <c r="H320" s="593"/>
      <c r="I320" s="594"/>
    </row>
    <row r="321" spans="2:9" ht="20.100000000000001" customHeight="1">
      <c r="B321" s="195" t="s">
        <v>587</v>
      </c>
      <c r="C321" s="86" t="s">
        <v>87</v>
      </c>
      <c r="E321" s="634" t="s">
        <v>583</v>
      </c>
      <c r="F321" s="615"/>
      <c r="G321" s="615"/>
      <c r="H321" s="615"/>
      <c r="I321" s="615"/>
    </row>
    <row r="322" spans="2:9" ht="20.100000000000001" customHeight="1">
      <c r="B322" s="195" t="s">
        <v>589</v>
      </c>
      <c r="C322" s="133">
        <v>3.5999999999999999E-3</v>
      </c>
      <c r="D322" s="202"/>
      <c r="E322" s="634"/>
      <c r="F322" s="616"/>
      <c r="G322" s="616"/>
      <c r="H322" s="616"/>
      <c r="I322" s="616"/>
    </row>
    <row r="324" spans="2:9" ht="30" customHeight="1">
      <c r="B324" s="193" t="s">
        <v>593</v>
      </c>
      <c r="C324" s="193" t="s">
        <v>595</v>
      </c>
      <c r="D324" s="193" t="s">
        <v>1016</v>
      </c>
      <c r="E324" s="193" t="s">
        <v>1018</v>
      </c>
      <c r="F324" s="271" t="s">
        <v>1929</v>
      </c>
      <c r="G324" s="118" t="s">
        <v>603</v>
      </c>
      <c r="H324" s="91" t="s">
        <v>589</v>
      </c>
      <c r="I324" s="91" t="s">
        <v>606</v>
      </c>
    </row>
    <row r="325" spans="2:9" ht="20.100000000000001" customHeight="1">
      <c r="B325" s="94"/>
      <c r="C325" s="95"/>
      <c r="D325" s="96"/>
      <c r="E325" s="96"/>
      <c r="F325" s="97"/>
      <c r="G325" s="86" t="str">
        <f t="shared" ref="G325:G336" si="36">IF(ISBLANK(D325),"",E325-D325+1)</f>
        <v/>
      </c>
      <c r="H325" s="133">
        <f t="shared" ref="H325:H336" si="37">$C$322</f>
        <v>3.5999999999999999E-3</v>
      </c>
      <c r="I325" s="86">
        <f t="shared" ref="I325:I336" si="38">IF(F325&gt;0,F325*H325*IF(OR(D325&gt;$H$9,E325&lt;$H$8), 0, IF(D325&lt;$H$8,E325-$H$8,IF($H$9&lt;E325,E325-$H$9,G325)))/G325,0)</f>
        <v>0</v>
      </c>
    </row>
    <row r="326" spans="2:9" ht="20.100000000000001" customHeight="1">
      <c r="B326" s="166"/>
      <c r="C326" s="164"/>
      <c r="D326" s="165"/>
      <c r="E326" s="165"/>
      <c r="F326" s="167"/>
      <c r="G326" s="86" t="str">
        <f t="shared" si="36"/>
        <v/>
      </c>
      <c r="H326" s="133">
        <f t="shared" si="37"/>
        <v>3.5999999999999999E-3</v>
      </c>
      <c r="I326" s="86">
        <f t="shared" si="38"/>
        <v>0</v>
      </c>
    </row>
    <row r="327" spans="2:9" ht="20.100000000000001" customHeight="1">
      <c r="B327" s="98"/>
      <c r="C327" s="92"/>
      <c r="D327" s="93"/>
      <c r="E327" s="93"/>
      <c r="F327" s="99"/>
      <c r="G327" s="86" t="str">
        <f t="shared" si="36"/>
        <v/>
      </c>
      <c r="H327" s="133">
        <f t="shared" si="37"/>
        <v>3.5999999999999999E-3</v>
      </c>
      <c r="I327" s="86">
        <f t="shared" si="38"/>
        <v>0</v>
      </c>
    </row>
    <row r="328" spans="2:9" ht="20.100000000000001" customHeight="1">
      <c r="B328" s="98"/>
      <c r="C328" s="92"/>
      <c r="D328" s="93"/>
      <c r="E328" s="93"/>
      <c r="F328" s="99"/>
      <c r="G328" s="86" t="str">
        <f t="shared" si="36"/>
        <v/>
      </c>
      <c r="H328" s="133">
        <f t="shared" si="37"/>
        <v>3.5999999999999999E-3</v>
      </c>
      <c r="I328" s="86">
        <f t="shared" si="38"/>
        <v>0</v>
      </c>
    </row>
    <row r="329" spans="2:9" ht="20.100000000000001" customHeight="1">
      <c r="B329" s="98"/>
      <c r="C329" s="92"/>
      <c r="D329" s="93"/>
      <c r="E329" s="93"/>
      <c r="F329" s="99"/>
      <c r="G329" s="86" t="str">
        <f t="shared" si="36"/>
        <v/>
      </c>
      <c r="H329" s="133">
        <f t="shared" si="37"/>
        <v>3.5999999999999999E-3</v>
      </c>
      <c r="I329" s="86">
        <f t="shared" si="38"/>
        <v>0</v>
      </c>
    </row>
    <row r="330" spans="2:9" ht="20.100000000000001" customHeight="1">
      <c r="B330" s="98"/>
      <c r="C330" s="92"/>
      <c r="D330" s="93"/>
      <c r="E330" s="93"/>
      <c r="F330" s="99"/>
      <c r="G330" s="86" t="str">
        <f t="shared" si="36"/>
        <v/>
      </c>
      <c r="H330" s="133">
        <f t="shared" si="37"/>
        <v>3.5999999999999999E-3</v>
      </c>
      <c r="I330" s="86">
        <f t="shared" si="38"/>
        <v>0</v>
      </c>
    </row>
    <row r="331" spans="2:9" ht="20.100000000000001" customHeight="1">
      <c r="B331" s="98"/>
      <c r="C331" s="92"/>
      <c r="D331" s="93"/>
      <c r="E331" s="93"/>
      <c r="F331" s="99"/>
      <c r="G331" s="86" t="str">
        <f t="shared" si="36"/>
        <v/>
      </c>
      <c r="H331" s="133">
        <f t="shared" si="37"/>
        <v>3.5999999999999999E-3</v>
      </c>
      <c r="I331" s="86">
        <f t="shared" si="38"/>
        <v>0</v>
      </c>
    </row>
    <row r="332" spans="2:9" ht="20.100000000000001" customHeight="1">
      <c r="B332" s="98"/>
      <c r="C332" s="92"/>
      <c r="D332" s="93"/>
      <c r="E332" s="93"/>
      <c r="F332" s="99"/>
      <c r="G332" s="86" t="str">
        <f t="shared" si="36"/>
        <v/>
      </c>
      <c r="H332" s="133">
        <f t="shared" si="37"/>
        <v>3.5999999999999999E-3</v>
      </c>
      <c r="I332" s="86">
        <f t="shared" si="38"/>
        <v>0</v>
      </c>
    </row>
    <row r="333" spans="2:9" ht="20.100000000000001" customHeight="1">
      <c r="B333" s="98"/>
      <c r="C333" s="92"/>
      <c r="D333" s="93"/>
      <c r="E333" s="93"/>
      <c r="F333" s="99"/>
      <c r="G333" s="86" t="str">
        <f t="shared" si="36"/>
        <v/>
      </c>
      <c r="H333" s="133">
        <f t="shared" si="37"/>
        <v>3.5999999999999999E-3</v>
      </c>
      <c r="I333" s="86">
        <f t="shared" si="38"/>
        <v>0</v>
      </c>
    </row>
    <row r="334" spans="2:9" ht="20.100000000000001" customHeight="1">
      <c r="B334" s="98"/>
      <c r="C334" s="92"/>
      <c r="D334" s="93"/>
      <c r="E334" s="93"/>
      <c r="F334" s="99"/>
      <c r="G334" s="86" t="str">
        <f t="shared" si="36"/>
        <v/>
      </c>
      <c r="H334" s="133">
        <f t="shared" si="37"/>
        <v>3.5999999999999999E-3</v>
      </c>
      <c r="I334" s="86">
        <f t="shared" si="38"/>
        <v>0</v>
      </c>
    </row>
    <row r="335" spans="2:9" ht="20.100000000000001" customHeight="1">
      <c r="B335" s="98"/>
      <c r="C335" s="92"/>
      <c r="D335" s="93"/>
      <c r="E335" s="93"/>
      <c r="F335" s="99"/>
      <c r="G335" s="86" t="str">
        <f t="shared" si="36"/>
        <v/>
      </c>
      <c r="H335" s="133">
        <f t="shared" si="37"/>
        <v>3.5999999999999999E-3</v>
      </c>
      <c r="I335" s="86">
        <f t="shared" si="38"/>
        <v>0</v>
      </c>
    </row>
    <row r="336" spans="2:9" ht="20.100000000000001" customHeight="1">
      <c r="B336" s="100"/>
      <c r="C336" s="101"/>
      <c r="D336" s="102"/>
      <c r="E336" s="102"/>
      <c r="F336" s="103"/>
      <c r="G336" s="86" t="str">
        <f t="shared" si="36"/>
        <v/>
      </c>
      <c r="H336" s="133">
        <f t="shared" si="37"/>
        <v>3.5999999999999999E-3</v>
      </c>
      <c r="I336" s="86">
        <f t="shared" si="38"/>
        <v>0</v>
      </c>
    </row>
    <row r="337" spans="1:9">
      <c r="I337" s="17"/>
    </row>
    <row r="338" spans="1:9" ht="15.6" hidden="1">
      <c r="A338" s="15" t="s">
        <v>42</v>
      </c>
      <c r="B338" s="155" t="s">
        <v>1939</v>
      </c>
      <c r="C338" s="155"/>
      <c r="D338" s="155"/>
      <c r="E338" s="155"/>
      <c r="F338" s="155"/>
      <c r="G338" s="155"/>
      <c r="H338" s="155"/>
      <c r="I338" s="155"/>
    </row>
    <row r="339" spans="1:9" hidden="1">
      <c r="A339" s="15" t="s">
        <v>42</v>
      </c>
    </row>
    <row r="340" spans="1:9" ht="20.100000000000001" hidden="1" customHeight="1">
      <c r="A340" s="15" t="s">
        <v>42</v>
      </c>
      <c r="B340" s="192" t="s">
        <v>1010</v>
      </c>
      <c r="C340" s="334" t="s">
        <v>1940</v>
      </c>
      <c r="E340" s="192" t="s">
        <v>579</v>
      </c>
      <c r="F340" s="617"/>
      <c r="G340" s="617"/>
      <c r="H340" s="617"/>
      <c r="I340" s="617"/>
    </row>
    <row r="341" spans="1:9" ht="20.100000000000001" hidden="1" customHeight="1">
      <c r="A341" s="15" t="s">
        <v>42</v>
      </c>
      <c r="B341" s="192" t="s">
        <v>581</v>
      </c>
      <c r="C341" s="334" t="s">
        <v>1092</v>
      </c>
      <c r="E341" s="613" t="s">
        <v>583</v>
      </c>
      <c r="F341" s="637" t="s">
        <v>1102</v>
      </c>
      <c r="G341" s="637"/>
      <c r="H341" s="637"/>
      <c r="I341" s="637"/>
    </row>
    <row r="342" spans="1:9" ht="20.100000000000001" hidden="1" customHeight="1">
      <c r="A342" s="15" t="s">
        <v>42</v>
      </c>
      <c r="B342" s="192" t="s">
        <v>585</v>
      </c>
      <c r="C342" s="334" t="s">
        <v>1092</v>
      </c>
      <c r="D342" s="202"/>
      <c r="E342" s="614"/>
      <c r="F342" s="638"/>
      <c r="G342" s="638"/>
      <c r="H342" s="638"/>
      <c r="I342" s="638"/>
    </row>
    <row r="343" spans="1:9" ht="20.100000000000001" hidden="1" customHeight="1">
      <c r="A343" s="15" t="s">
        <v>42</v>
      </c>
      <c r="B343" s="192" t="s">
        <v>587</v>
      </c>
      <c r="C343" s="334" t="s">
        <v>1092</v>
      </c>
      <c r="E343" s="15" t="s">
        <v>591</v>
      </c>
    </row>
    <row r="344" spans="1:9" ht="20.100000000000001" hidden="1" customHeight="1">
      <c r="A344" s="15" t="s">
        <v>42</v>
      </c>
      <c r="B344" s="192" t="s">
        <v>589</v>
      </c>
      <c r="C344" s="334" t="s">
        <v>1092</v>
      </c>
    </row>
    <row r="345" spans="1:9" hidden="1">
      <c r="A345" s="15" t="s">
        <v>42</v>
      </c>
    </row>
    <row r="346" spans="1:9" ht="40.35" hidden="1" customHeight="1">
      <c r="A346" s="15" t="s">
        <v>42</v>
      </c>
      <c r="B346" s="90" t="s">
        <v>593</v>
      </c>
      <c r="C346" s="90" t="s">
        <v>595</v>
      </c>
      <c r="D346" s="90" t="s">
        <v>597</v>
      </c>
      <c r="E346" s="90" t="s">
        <v>599</v>
      </c>
      <c r="F346" s="90" t="str">
        <f>"Billed Quantity ("&amp;C343&amp;")"</f>
        <v>Billed Quantity (Please Contact the GBCA)</v>
      </c>
      <c r="G346" s="91" t="s">
        <v>603</v>
      </c>
      <c r="H346" s="91" t="s">
        <v>589</v>
      </c>
      <c r="I346" s="91" t="s">
        <v>606</v>
      </c>
    </row>
    <row r="347" spans="1:9" ht="20.100000000000001" hidden="1" customHeight="1">
      <c r="A347" s="15" t="s">
        <v>42</v>
      </c>
      <c r="B347" s="94"/>
      <c r="C347" s="95"/>
      <c r="D347" s="96"/>
      <c r="E347" s="96"/>
      <c r="F347" s="97"/>
      <c r="G347" s="89" t="str">
        <f t="shared" ref="G347:G358" si="39">IF(ISBLANK(D347),"",E347-D347+1)</f>
        <v/>
      </c>
      <c r="H347" s="86" t="str">
        <f>$C$344</f>
        <v>Please Contact the GBCA</v>
      </c>
      <c r="I347" s="134">
        <f t="shared" ref="I347:I358" si="40">IF(F347&gt;0,F347*H347*IF(OR(D347&gt;$H$9,E347&lt;$H$8), 0, IF(D347&lt;$H$8,E347-$H$8,IF($H$9&lt;E347,E347-$H$9,G347)))/G347,0)</f>
        <v>0</v>
      </c>
    </row>
    <row r="348" spans="1:9" ht="20.100000000000001" hidden="1" customHeight="1">
      <c r="A348" s="15" t="s">
        <v>42</v>
      </c>
      <c r="B348" s="98"/>
      <c r="C348" s="92"/>
      <c r="D348" s="93"/>
      <c r="E348" s="93"/>
      <c r="F348" s="99"/>
      <c r="G348" s="89" t="str">
        <f t="shared" si="39"/>
        <v/>
      </c>
      <c r="H348" s="86" t="str">
        <f t="shared" ref="H348:H358" si="41">$C$344</f>
        <v>Please Contact the GBCA</v>
      </c>
      <c r="I348" s="134">
        <f t="shared" si="40"/>
        <v>0</v>
      </c>
    </row>
    <row r="349" spans="1:9" ht="20.100000000000001" hidden="1" customHeight="1">
      <c r="A349" s="15" t="s">
        <v>42</v>
      </c>
      <c r="B349" s="98"/>
      <c r="C349" s="92"/>
      <c r="D349" s="93"/>
      <c r="E349" s="93"/>
      <c r="F349" s="99"/>
      <c r="G349" s="89" t="str">
        <f t="shared" si="39"/>
        <v/>
      </c>
      <c r="H349" s="86" t="str">
        <f t="shared" si="41"/>
        <v>Please Contact the GBCA</v>
      </c>
      <c r="I349" s="134">
        <f t="shared" si="40"/>
        <v>0</v>
      </c>
    </row>
    <row r="350" spans="1:9" ht="20.100000000000001" hidden="1" customHeight="1">
      <c r="A350" s="15" t="s">
        <v>42</v>
      </c>
      <c r="B350" s="98"/>
      <c r="C350" s="92"/>
      <c r="D350" s="93"/>
      <c r="E350" s="93"/>
      <c r="F350" s="99"/>
      <c r="G350" s="89" t="str">
        <f t="shared" si="39"/>
        <v/>
      </c>
      <c r="H350" s="86" t="str">
        <f t="shared" si="41"/>
        <v>Please Contact the GBCA</v>
      </c>
      <c r="I350" s="134">
        <f t="shared" si="40"/>
        <v>0</v>
      </c>
    </row>
    <row r="351" spans="1:9" ht="20.100000000000001" hidden="1" customHeight="1">
      <c r="A351" s="15" t="s">
        <v>42</v>
      </c>
      <c r="B351" s="98"/>
      <c r="C351" s="92"/>
      <c r="D351" s="93"/>
      <c r="E351" s="93"/>
      <c r="F351" s="99"/>
      <c r="G351" s="89" t="str">
        <f t="shared" si="39"/>
        <v/>
      </c>
      <c r="H351" s="86" t="str">
        <f t="shared" si="41"/>
        <v>Please Contact the GBCA</v>
      </c>
      <c r="I351" s="134">
        <f t="shared" si="40"/>
        <v>0</v>
      </c>
    </row>
    <row r="352" spans="1:9" ht="20.100000000000001" hidden="1" customHeight="1">
      <c r="A352" s="15" t="s">
        <v>42</v>
      </c>
      <c r="B352" s="98"/>
      <c r="C352" s="92"/>
      <c r="D352" s="93"/>
      <c r="E352" s="93"/>
      <c r="F352" s="99"/>
      <c r="G352" s="89" t="str">
        <f t="shared" si="39"/>
        <v/>
      </c>
      <c r="H352" s="86" t="str">
        <f t="shared" si="41"/>
        <v>Please Contact the GBCA</v>
      </c>
      <c r="I352" s="134">
        <f t="shared" si="40"/>
        <v>0</v>
      </c>
    </row>
    <row r="353" spans="1:9" ht="20.100000000000001" hidden="1" customHeight="1">
      <c r="A353" s="15" t="s">
        <v>42</v>
      </c>
      <c r="B353" s="98"/>
      <c r="C353" s="92"/>
      <c r="D353" s="93"/>
      <c r="E353" s="93"/>
      <c r="F353" s="99"/>
      <c r="G353" s="89" t="str">
        <f t="shared" si="39"/>
        <v/>
      </c>
      <c r="H353" s="86" t="str">
        <f t="shared" si="41"/>
        <v>Please Contact the GBCA</v>
      </c>
      <c r="I353" s="134">
        <f t="shared" si="40"/>
        <v>0</v>
      </c>
    </row>
    <row r="354" spans="1:9" ht="20.100000000000001" hidden="1" customHeight="1">
      <c r="A354" s="15" t="s">
        <v>42</v>
      </c>
      <c r="B354" s="98"/>
      <c r="C354" s="92"/>
      <c r="D354" s="93"/>
      <c r="E354" s="93"/>
      <c r="F354" s="99"/>
      <c r="G354" s="89" t="str">
        <f t="shared" si="39"/>
        <v/>
      </c>
      <c r="H354" s="86" t="str">
        <f t="shared" si="41"/>
        <v>Please Contact the GBCA</v>
      </c>
      <c r="I354" s="134">
        <f t="shared" si="40"/>
        <v>0</v>
      </c>
    </row>
    <row r="355" spans="1:9" ht="20.100000000000001" hidden="1" customHeight="1">
      <c r="A355" s="15" t="s">
        <v>42</v>
      </c>
      <c r="B355" s="98"/>
      <c r="C355" s="92"/>
      <c r="D355" s="93"/>
      <c r="E355" s="93"/>
      <c r="F355" s="99"/>
      <c r="G355" s="89" t="str">
        <f t="shared" si="39"/>
        <v/>
      </c>
      <c r="H355" s="86" t="str">
        <f t="shared" si="41"/>
        <v>Please Contact the GBCA</v>
      </c>
      <c r="I355" s="134">
        <f t="shared" si="40"/>
        <v>0</v>
      </c>
    </row>
    <row r="356" spans="1:9" ht="20.100000000000001" hidden="1" customHeight="1">
      <c r="A356" s="15" t="s">
        <v>42</v>
      </c>
      <c r="B356" s="98"/>
      <c r="C356" s="92"/>
      <c r="D356" s="93"/>
      <c r="E356" s="93"/>
      <c r="F356" s="99"/>
      <c r="G356" s="89" t="str">
        <f t="shared" si="39"/>
        <v/>
      </c>
      <c r="H356" s="86" t="str">
        <f t="shared" si="41"/>
        <v>Please Contact the GBCA</v>
      </c>
      <c r="I356" s="134">
        <f t="shared" si="40"/>
        <v>0</v>
      </c>
    </row>
    <row r="357" spans="1:9" ht="20.100000000000001" hidden="1" customHeight="1">
      <c r="A357" s="15" t="s">
        <v>42</v>
      </c>
      <c r="B357" s="98"/>
      <c r="C357" s="92"/>
      <c r="D357" s="93"/>
      <c r="E357" s="93"/>
      <c r="F357" s="99"/>
      <c r="G357" s="89" t="str">
        <f t="shared" si="39"/>
        <v/>
      </c>
      <c r="H357" s="86" t="str">
        <f t="shared" si="41"/>
        <v>Please Contact the GBCA</v>
      </c>
      <c r="I357" s="134">
        <f t="shared" si="40"/>
        <v>0</v>
      </c>
    </row>
    <row r="358" spans="1:9" ht="18.75" hidden="1" customHeight="1">
      <c r="A358" s="15" t="s">
        <v>42</v>
      </c>
      <c r="B358" s="100"/>
      <c r="C358" s="101"/>
      <c r="D358" s="102"/>
      <c r="E358" s="102"/>
      <c r="F358" s="103"/>
      <c r="G358" s="89" t="str">
        <f t="shared" si="39"/>
        <v/>
      </c>
      <c r="H358" s="86" t="str">
        <f t="shared" si="41"/>
        <v>Please Contact the GBCA</v>
      </c>
      <c r="I358" s="134">
        <f t="shared" si="40"/>
        <v>0</v>
      </c>
    </row>
    <row r="359" spans="1:9" ht="16.5" hidden="1" customHeight="1">
      <c r="A359" s="15" t="s">
        <v>42</v>
      </c>
    </row>
    <row r="360" spans="1:9" ht="20.100000000000001" customHeight="1">
      <c r="B360" s="155" t="s">
        <v>1104</v>
      </c>
      <c r="C360" s="155"/>
      <c r="D360" s="155"/>
      <c r="E360" s="155"/>
      <c r="F360" s="155"/>
      <c r="G360" s="155"/>
      <c r="H360" s="155"/>
      <c r="I360" s="155"/>
    </row>
    <row r="361" spans="1:9" ht="60" customHeight="1">
      <c r="B361" s="635" t="s">
        <v>1941</v>
      </c>
      <c r="C361" s="635"/>
      <c r="D361" s="635"/>
      <c r="E361" s="635"/>
      <c r="F361" s="635"/>
      <c r="G361" s="635"/>
      <c r="H361" s="635"/>
      <c r="I361" s="635"/>
    </row>
    <row r="363" spans="1:9" ht="20.100000000000001" customHeight="1">
      <c r="B363" s="192" t="s">
        <v>1010</v>
      </c>
      <c r="C363" s="86" t="s">
        <v>1110</v>
      </c>
    </row>
    <row r="364" spans="1:9" ht="20.100000000000001" customHeight="1">
      <c r="B364" s="192" t="s">
        <v>581</v>
      </c>
      <c r="C364" s="86" t="s">
        <v>81</v>
      </c>
    </row>
    <row r="365" spans="1:9" ht="20.100000000000001" customHeight="1">
      <c r="B365" s="192" t="s">
        <v>587</v>
      </c>
      <c r="C365" s="86" t="s">
        <v>1115</v>
      </c>
    </row>
    <row r="366" spans="1:9" ht="20.100000000000001" customHeight="1">
      <c r="B366" s="192" t="s">
        <v>589</v>
      </c>
      <c r="C366" s="134">
        <v>3.6</v>
      </c>
    </row>
    <row r="368" spans="1:9" ht="20.100000000000001" customHeight="1">
      <c r="B368" s="192" t="s">
        <v>1119</v>
      </c>
      <c r="C368" s="91" t="s">
        <v>1121</v>
      </c>
      <c r="D368"/>
      <c r="E368"/>
      <c r="F368"/>
      <c r="G368"/>
    </row>
    <row r="369" spans="2:7" ht="20.100000000000001" customHeight="1">
      <c r="B369" s="399"/>
      <c r="C369" s="86">
        <f>B369*3.6</f>
        <v>0</v>
      </c>
      <c r="D369"/>
      <c r="E369"/>
      <c r="F369"/>
      <c r="G369"/>
    </row>
    <row r="370" spans="2:7">
      <c r="D370"/>
      <c r="E370"/>
      <c r="F370"/>
      <c r="G370"/>
    </row>
  </sheetData>
  <sheetProtection algorithmName="SHA-512" hashValue="C0IYfCHbWi9YyCvBGqyydhdMWNL7S+qXjSW10UAZbVc8fqkeiO+IPzVEobWLIwFeTUw88sAdMr2zA8BTd/xi6Q==" saltValue="fiq/xyJ9SZ5RPTSt0gtxgQ==" spinCount="100000" sheet="1" objects="1" scenarios="1"/>
  <customSheetViews>
    <customSheetView guid="{555478C2-F620-47D7-88F9-4C1EE7AEE227}" scale="70" showGridLines="0" fitToPage="1" hiddenColumns="1" topLeftCell="A16">
      <selection activeCell="F32" sqref="F32:F33"/>
      <pageMargins left="0" right="0" top="0" bottom="0" header="0" footer="0"/>
      <pageSetup paperSize="9" scale="20" orientation="portrait" r:id="rId1"/>
    </customSheetView>
    <customSheetView guid="{5E2E109E-4BFE-44CE-A2A0-BB9B6CC0D139}" scale="115" showGridLines="0" fitToPage="1" hiddenColumns="1" topLeftCell="A73">
      <selection activeCell="B7" sqref="B7"/>
      <pageMargins left="0" right="0" top="0" bottom="0" header="0" footer="0"/>
      <pageSetup paperSize="9" scale="20" orientation="portrait" r:id="rId2"/>
    </customSheetView>
    <customSheetView guid="{3BAF3D14-B16A-4103-B9D6-D1D9B6381E90}" scale="70" showGridLines="0" fitToPage="1" hiddenColumns="1" topLeftCell="A16">
      <selection activeCell="C19" sqref="C19"/>
      <pageMargins left="0" right="0" top="0" bottom="0" header="0" footer="0"/>
      <pageSetup paperSize="9" scale="20" orientation="portrait" r:id="rId3"/>
    </customSheetView>
    <customSheetView guid="{C362DBBD-8226-4073-BE04-D615B3B4BF31}" scale="70" showGridLines="0" fitToPage="1" hiddenRows="1" hiddenColumns="1" topLeftCell="A190">
      <selection activeCell="C237" sqref="C237"/>
      <pageMargins left="0" right="0" top="0" bottom="0" header="0" footer="0"/>
      <pageSetup paperSize="9" scale="20" orientation="portrait" r:id="rId4"/>
    </customSheetView>
    <customSheetView guid="{9E23992E-45A8-4DF8-9DFB-C5F9BB498A06}" scale="85" showGridLines="0" fitToPage="1" hiddenRows="1" hiddenColumns="1" topLeftCell="A40">
      <selection activeCell="C28" sqref="C28"/>
      <pageMargins left="0" right="0" top="0" bottom="0" header="0" footer="0"/>
      <pageSetup paperSize="9" scale="10" orientation="portrait" r:id="rId5"/>
    </customSheetView>
  </customSheetViews>
  <mergeCells count="65">
    <mergeCell ref="B210:I210"/>
    <mergeCell ref="F190:I191"/>
    <mergeCell ref="E190:E191"/>
    <mergeCell ref="B275:I275"/>
    <mergeCell ref="B296:I296"/>
    <mergeCell ref="F212:I212"/>
    <mergeCell ref="E213:E214"/>
    <mergeCell ref="F213:I214"/>
    <mergeCell ref="B233:I233"/>
    <mergeCell ref="F279:I280"/>
    <mergeCell ref="E279:E280"/>
    <mergeCell ref="F258:I259"/>
    <mergeCell ref="E258:E259"/>
    <mergeCell ref="F236:I237"/>
    <mergeCell ref="B254:I254"/>
    <mergeCell ref="F257:I257"/>
    <mergeCell ref="B255:I255"/>
    <mergeCell ref="E236:E237"/>
    <mergeCell ref="F235:I235"/>
    <mergeCell ref="F278:I278"/>
    <mergeCell ref="B276:I276"/>
    <mergeCell ref="F321:I322"/>
    <mergeCell ref="E321:E322"/>
    <mergeCell ref="B361:I361"/>
    <mergeCell ref="F299:I299"/>
    <mergeCell ref="B297:I297"/>
    <mergeCell ref="F300:I301"/>
    <mergeCell ref="E300:E301"/>
    <mergeCell ref="E341:E342"/>
    <mergeCell ref="F340:I340"/>
    <mergeCell ref="F341:I342"/>
    <mergeCell ref="B317:I317"/>
    <mergeCell ref="F320:I320"/>
    <mergeCell ref="B318:I318"/>
    <mergeCell ref="E79:E80"/>
    <mergeCell ref="F123:I123"/>
    <mergeCell ref="F101:I101"/>
    <mergeCell ref="F79:I80"/>
    <mergeCell ref="E102:E103"/>
    <mergeCell ref="B99:I99"/>
    <mergeCell ref="F145:I145"/>
    <mergeCell ref="F102:I103"/>
    <mergeCell ref="E124:E125"/>
    <mergeCell ref="F168:I169"/>
    <mergeCell ref="F189:I189"/>
    <mergeCell ref="F124:I125"/>
    <mergeCell ref="F167:I167"/>
    <mergeCell ref="E168:E169"/>
    <mergeCell ref="F146:I147"/>
    <mergeCell ref="E146:E147"/>
    <mergeCell ref="C8:D8"/>
    <mergeCell ref="C11:D11"/>
    <mergeCell ref="C13:D13"/>
    <mergeCell ref="C14:D14"/>
    <mergeCell ref="F78:I78"/>
    <mergeCell ref="B37:D37"/>
    <mergeCell ref="D17:F17"/>
    <mergeCell ref="D18:F18"/>
    <mergeCell ref="C10:D10"/>
    <mergeCell ref="D21:F21"/>
    <mergeCell ref="C12:D12"/>
    <mergeCell ref="D19:F19"/>
    <mergeCell ref="D20:F20"/>
    <mergeCell ref="C9:D9"/>
    <mergeCell ref="B38:D38"/>
  </mergeCells>
  <conditionalFormatting sqref="C9:D9">
    <cfRule type="expression" dxfId="11" priority="34">
      <formula>$C$9=$M$3</formula>
    </cfRule>
  </conditionalFormatting>
  <dataValidations count="6">
    <dataValidation type="list" allowBlank="1" showInputMessage="1" showErrorMessage="1" sqref="D55:D69" xr:uid="{00000000-0002-0000-0300-000000000000}">
      <formula1>FunctionalUses</formula1>
    </dataValidation>
    <dataValidation type="list" allowBlank="1" showInputMessage="1" showErrorMessage="1" sqref="C14:C15" xr:uid="{00000000-0002-0000-0300-000002000000}">
      <formula1>Metro</formula1>
    </dataValidation>
    <dataValidation type="list" allowBlank="1" showInputMessage="1" showErrorMessage="1" sqref="C17" xr:uid="{00000000-0002-0000-0300-000003000000}">
      <formula1>BldUse</formula1>
    </dataValidation>
    <dataValidation type="list" allowBlank="1" showInputMessage="1" showErrorMessage="1" sqref="C18" xr:uid="{00000000-0002-0000-0300-000004000000}">
      <formula1>ANZSIC</formula1>
    </dataValidation>
    <dataValidation type="list" allowBlank="1" showInputMessage="1" showErrorMessage="1" sqref="C20" xr:uid="{00000000-0002-0000-0300-000005000000}">
      <formula1>RatingType</formula1>
    </dataValidation>
    <dataValidation type="list" allowBlank="1" showInputMessage="1" showErrorMessage="1" sqref="C9:D9" xr:uid="{00000000-0002-0000-0300-000006000000}">
      <formula1>$M$3:$M$10</formula1>
    </dataValidation>
  </dataValidations>
  <pageMargins left="0.70866141732283472" right="0.70866141732283472" top="0.74803149606299213" bottom="0.74803149606299213" header="0.31496062992125984" footer="0.31496062992125984"/>
  <pageSetup paperSize="9" scale="10" orientation="portrait" r:id="rId6"/>
  <drawing r:id="rId7"/>
  <legacyDrawingHF r:id="rId8"/>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7000000}">
          <x14:formula1>
            <xm:f>'NGER Emission Factors'!$B$54:$B$66</xm:f>
          </x14:formula1>
          <xm:sqref>C21</xm:sqref>
        </x14:dataValidation>
        <x14:dataValidation type="list" allowBlank="1" showInputMessage="1" showErrorMessage="1" xr:uid="{0EB06799-1B98-43EF-A732-8201083F50C4}">
          <x14:formula1>
            <xm:f>'15B Baseline Tables'!$A$111:$A$120</xm:f>
          </x14:formula1>
          <xm:sqref>C13:D13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1">
    <tabColor theme="0"/>
    <pageSetUpPr autoPageBreaks="0" fitToPage="1"/>
  </sheetPr>
  <dimension ref="A1:Z186"/>
  <sheetViews>
    <sheetView showGridLines="0" topLeftCell="A77" zoomScale="85" zoomScaleNormal="85" zoomScaleSheetLayoutView="85" workbookViewId="0">
      <selection activeCell="E73" sqref="E73"/>
    </sheetView>
  </sheetViews>
  <sheetFormatPr defaultColWidth="9.44140625" defaultRowHeight="13.2"/>
  <cols>
    <col min="1" max="1" width="2.5546875" style="15" customWidth="1"/>
    <col min="2" max="2" width="30.5546875" style="15" customWidth="1"/>
    <col min="3" max="3" width="40.5546875" style="15" customWidth="1"/>
    <col min="4" max="7" width="30.5546875" style="15" customWidth="1"/>
    <col min="8" max="9" width="15.5546875" style="15" customWidth="1"/>
    <col min="10" max="10" width="15.5546875" style="17" customWidth="1"/>
    <col min="11" max="17" width="15.5546875" style="15" customWidth="1"/>
    <col min="18" max="18" width="5.5546875" style="15" customWidth="1"/>
    <col min="19" max="19" width="11.5546875" style="15" customWidth="1"/>
    <col min="20" max="20" width="5.5546875" style="15" customWidth="1"/>
    <col min="21" max="21" width="9.44140625" style="15" customWidth="1"/>
    <col min="22" max="22" width="26.44140625" style="15" customWidth="1"/>
    <col min="23" max="23" width="9.44140625" style="15" customWidth="1"/>
    <col min="24" max="24" width="56.44140625" style="15" customWidth="1"/>
    <col min="25" max="25" width="12.5546875" style="15" customWidth="1"/>
    <col min="26" max="16384" width="9.44140625" style="15"/>
  </cols>
  <sheetData>
    <row r="1" spans="2:25" ht="100.35" customHeight="1">
      <c r="J1" s="15"/>
      <c r="K1" s="17"/>
      <c r="R1" s="15" t="s">
        <v>42</v>
      </c>
      <c r="S1" s="15" t="s">
        <v>42</v>
      </c>
      <c r="T1" s="15" t="s">
        <v>42</v>
      </c>
      <c r="U1" s="15" t="s">
        <v>42</v>
      </c>
      <c r="V1" s="15" t="s">
        <v>42</v>
      </c>
      <c r="W1" s="15" t="s">
        <v>42</v>
      </c>
      <c r="X1" s="15" t="s">
        <v>42</v>
      </c>
      <c r="Y1" s="15" t="s">
        <v>42</v>
      </c>
    </row>
    <row r="2" spans="2:25" ht="12.75" customHeight="1">
      <c r="J2" s="15"/>
      <c r="K2" s="17"/>
    </row>
    <row r="3" spans="2:25" s="201" customFormat="1" ht="35.1" customHeight="1">
      <c r="B3" s="119" t="s">
        <v>1942</v>
      </c>
      <c r="C3" s="119"/>
      <c r="D3" s="119"/>
      <c r="E3" s="119"/>
      <c r="F3" s="119"/>
      <c r="G3" s="119"/>
      <c r="H3" s="119"/>
      <c r="I3" s="119"/>
      <c r="J3" s="119"/>
      <c r="K3" s="661"/>
      <c r="L3" s="661"/>
      <c r="M3" s="661"/>
      <c r="N3" s="661"/>
      <c r="O3" s="661"/>
      <c r="P3" s="661"/>
      <c r="Q3" s="661"/>
    </row>
    <row r="4" spans="2:25">
      <c r="J4" s="15"/>
    </row>
    <row r="5" spans="2:25" ht="20.100000000000001" customHeight="1">
      <c r="B5" s="662" t="s">
        <v>1943</v>
      </c>
      <c r="C5" s="662"/>
      <c r="D5" s="662"/>
      <c r="E5" s="662"/>
      <c r="F5" s="662"/>
      <c r="G5" s="662"/>
      <c r="H5" s="662"/>
      <c r="I5" s="662"/>
      <c r="J5" s="662"/>
      <c r="K5" s="662"/>
      <c r="L5" s="662"/>
      <c r="M5" s="662"/>
      <c r="N5" s="662"/>
      <c r="O5" s="662"/>
      <c r="P5" s="662"/>
      <c r="Q5" s="662"/>
    </row>
    <row r="6" spans="2:25">
      <c r="J6" s="15"/>
    </row>
    <row r="7" spans="2:25" ht="20.100000000000001" customHeight="1">
      <c r="B7" s="18" t="s">
        <v>1944</v>
      </c>
      <c r="J7" s="15"/>
    </row>
    <row r="8" spans="2:25" ht="20.100000000000001" customHeight="1">
      <c r="B8" s="118" t="s">
        <v>1844</v>
      </c>
      <c r="C8" s="196" t="s">
        <v>1945</v>
      </c>
      <c r="J8" s="15"/>
    </row>
    <row r="9" spans="2:25" ht="20.100000000000001" customHeight="1">
      <c r="B9" s="106" t="s">
        <v>1946</v>
      </c>
      <c r="C9" s="519">
        <f>'15B Building Details'!C8</f>
        <v>0</v>
      </c>
      <c r="J9" s="15"/>
    </row>
    <row r="10" spans="2:25" ht="20.100000000000001" customHeight="1">
      <c r="B10" s="106" t="s">
        <v>1849</v>
      </c>
      <c r="C10" s="519">
        <f>'15B Building Details'!C10</f>
        <v>0</v>
      </c>
      <c r="J10" s="15"/>
    </row>
    <row r="11" spans="2:25" ht="20.100000000000001" customHeight="1">
      <c r="B11" s="106" t="s">
        <v>1851</v>
      </c>
      <c r="C11" s="519">
        <f>'15B Building Details'!C11</f>
        <v>0</v>
      </c>
      <c r="J11" s="15"/>
    </row>
    <row r="12" spans="2:25" ht="20.100000000000001" customHeight="1">
      <c r="B12" s="106" t="s">
        <v>1947</v>
      </c>
      <c r="C12" s="519">
        <f>'15B Building Details'!C12</f>
        <v>0</v>
      </c>
      <c r="J12" s="15"/>
    </row>
    <row r="13" spans="2:25" ht="20.100000000000001" customHeight="1">
      <c r="B13" s="106" t="s">
        <v>1853</v>
      </c>
      <c r="C13" s="519">
        <f>'15B Building Details'!C13</f>
        <v>0</v>
      </c>
      <c r="J13" s="15"/>
    </row>
    <row r="14" spans="2:25" ht="20.100000000000001" customHeight="1">
      <c r="B14" s="106" t="s">
        <v>1855</v>
      </c>
      <c r="C14" s="519">
        <f>'15B Building Details'!C14</f>
        <v>0</v>
      </c>
      <c r="J14" s="15"/>
    </row>
    <row r="15" spans="2:25">
      <c r="J15" s="15"/>
    </row>
    <row r="16" spans="2:25" ht="20.100000000000001" customHeight="1">
      <c r="B16" s="18" t="s">
        <v>1948</v>
      </c>
      <c r="J16" s="15"/>
    </row>
    <row r="17" spans="1:9" s="15" customFormat="1" ht="60" customHeight="1">
      <c r="B17" s="118" t="s">
        <v>1210</v>
      </c>
      <c r="C17" s="215" t="s">
        <v>1010</v>
      </c>
      <c r="D17" s="118" t="s">
        <v>1949</v>
      </c>
      <c r="E17" s="118" t="s">
        <v>1121</v>
      </c>
      <c r="F17" s="118" t="s">
        <v>1950</v>
      </c>
      <c r="G17" s="118" t="s">
        <v>1951</v>
      </c>
    </row>
    <row r="18" spans="1:9" s="15" customFormat="1" ht="20.100000000000001" customHeight="1">
      <c r="B18" s="361">
        <f>'15B Building Details'!B26</f>
        <v>1</v>
      </c>
      <c r="C18" s="360" t="str">
        <f>'15B Building Details'!C26</f>
        <v>Electricity</v>
      </c>
      <c r="D18" s="352">
        <f>'15B Building Details'!D26</f>
        <v>0</v>
      </c>
      <c r="E18" s="519">
        <f>'15B Building Details'!E26</f>
        <v>0</v>
      </c>
      <c r="F18" s="519">
        <f>E18*D18</f>
        <v>0</v>
      </c>
      <c r="G18" s="519">
        <f>IF(C18="GreenPower",E18*$D$18,E18*D18)</f>
        <v>0</v>
      </c>
      <c r="H18" s="19"/>
      <c r="I18" s="19"/>
    </row>
    <row r="19" spans="1:9" s="15" customFormat="1" ht="20.100000000000001" customHeight="1">
      <c r="B19" s="361">
        <f>'15B Building Details'!B27</f>
        <v>2</v>
      </c>
      <c r="C19" s="360" t="str">
        <f>'15B Building Details'!C27</f>
        <v>GreenPower</v>
      </c>
      <c r="D19" s="352">
        <f>'15B Building Details'!D27</f>
        <v>0</v>
      </c>
      <c r="E19" s="519">
        <f>'15B Building Details'!E27</f>
        <v>0</v>
      </c>
      <c r="F19" s="519">
        <f t="shared" ref="F19:F26" si="0">E19*D19</f>
        <v>0</v>
      </c>
      <c r="G19" s="519">
        <f t="shared" ref="G19:G23" si="1">IF(C19="GreenPower",E19*$D$18,E19*D19)</f>
        <v>0</v>
      </c>
    </row>
    <row r="20" spans="1:9" s="15" customFormat="1" ht="20.100000000000001" customHeight="1">
      <c r="B20" s="361">
        <f>'15B Building Details'!B28</f>
        <v>3</v>
      </c>
      <c r="C20" s="360" t="str">
        <f>'15B Building Details'!C28</f>
        <v>Natural gas distributed in a pipeline</v>
      </c>
      <c r="D20" s="352" t="b">
        <f>'15B Building Details'!D28</f>
        <v>0</v>
      </c>
      <c r="E20" s="519">
        <f>'15B Building Details'!E28</f>
        <v>0</v>
      </c>
      <c r="F20" s="519">
        <f t="shared" si="0"/>
        <v>0</v>
      </c>
      <c r="G20" s="519">
        <f t="shared" si="1"/>
        <v>0</v>
      </c>
    </row>
    <row r="21" spans="1:9" s="15" customFormat="1" ht="20.100000000000001" customHeight="1">
      <c r="B21" s="361">
        <f>'15B Building Details'!B29</f>
        <v>4</v>
      </c>
      <c r="C21" s="360" t="str">
        <f>'15B Building Details'!C29</f>
        <v>Liquefied Petroleum Gas</v>
      </c>
      <c r="D21" s="352" t="b">
        <f>'15B Building Details'!D29</f>
        <v>0</v>
      </c>
      <c r="E21" s="519">
        <f>'15B Building Details'!E29</f>
        <v>0</v>
      </c>
      <c r="F21" s="519">
        <f t="shared" si="0"/>
        <v>0</v>
      </c>
      <c r="G21" s="519">
        <f t="shared" si="1"/>
        <v>0</v>
      </c>
    </row>
    <row r="22" spans="1:9" s="15" customFormat="1" ht="20.100000000000001" customHeight="1">
      <c r="B22" s="106">
        <f>'15B Building Details'!B30</f>
        <v>5</v>
      </c>
      <c r="C22" s="360" t="str">
        <f>'15B Building Details'!C30</f>
        <v>Diesel Oil</v>
      </c>
      <c r="D22" s="352" t="b">
        <f>'15B Building Details'!D30</f>
        <v>0</v>
      </c>
      <c r="E22" s="519">
        <f>'15B Building Details'!E30</f>
        <v>0</v>
      </c>
      <c r="F22" s="519">
        <f t="shared" si="0"/>
        <v>0</v>
      </c>
      <c r="G22" s="519">
        <f t="shared" si="1"/>
        <v>0</v>
      </c>
    </row>
    <row r="23" spans="1:9" s="15" customFormat="1" ht="20.100000000000001" customHeight="1">
      <c r="B23" s="361">
        <f>'15B Building Details'!B31</f>
        <v>6</v>
      </c>
      <c r="C23" s="360" t="str">
        <f>'15B Building Details'!C31</f>
        <v>Bituminous coal</v>
      </c>
      <c r="D23" s="352" t="b">
        <f>'15B Building Details'!D31</f>
        <v>0</v>
      </c>
      <c r="E23" s="519">
        <f>'15B Building Details'!E31</f>
        <v>0</v>
      </c>
      <c r="F23" s="519">
        <f t="shared" si="0"/>
        <v>0</v>
      </c>
      <c r="G23" s="519">
        <f t="shared" si="1"/>
        <v>0</v>
      </c>
    </row>
    <row r="24" spans="1:9" s="15" customFormat="1" ht="20.100000000000001" customHeight="1">
      <c r="B24" s="346">
        <f>'15B Building Details'!B32</f>
        <v>7</v>
      </c>
      <c r="C24" s="347" t="str">
        <f>'15B Building Details'!C32</f>
        <v>Carbon Neutral Certified electricity</v>
      </c>
      <c r="D24" s="352">
        <f>'15B Building Details'!D32</f>
        <v>0</v>
      </c>
      <c r="E24" s="519">
        <f>'15B Building Details'!E32</f>
        <v>0</v>
      </c>
      <c r="F24" s="519">
        <f>E24*D24</f>
        <v>0</v>
      </c>
      <c r="G24" s="519">
        <f>IF(C24="Purchased renewable electricty",E24*$D$18,E24*D24)</f>
        <v>0</v>
      </c>
    </row>
    <row r="25" spans="1:9" s="15" customFormat="1" ht="20.100000000000001" customHeight="1">
      <c r="B25" s="362">
        <f>'15B Building Details'!B33</f>
        <v>8</v>
      </c>
      <c r="C25" s="347" t="str">
        <f>'15B Building Details'!C33</f>
        <v>Renewable electricity (PPA)</v>
      </c>
      <c r="D25" s="352">
        <f>'15B Building Details'!D33</f>
        <v>0</v>
      </c>
      <c r="E25" s="519">
        <f>'15B Building Details'!E33</f>
        <v>0</v>
      </c>
      <c r="F25" s="519">
        <f>E25*D25</f>
        <v>0</v>
      </c>
      <c r="G25" s="519">
        <f>IF(C25="Carbon Neutral Electricity",E25*$D$18,E25*D25)</f>
        <v>0</v>
      </c>
    </row>
    <row r="26" spans="1:9" s="204" customFormat="1" ht="20.100000000000001" customHeight="1">
      <c r="B26" s="346" t="str">
        <f>'15B Building Details'!B34</f>
        <v>9,10,12</v>
      </c>
      <c r="C26" s="317" t="str">
        <f>'15B Building Details'!C34</f>
        <v>On-site renewable generated &amp; used</v>
      </c>
      <c r="D26" s="352">
        <f>'15B Building Details'!D34</f>
        <v>0</v>
      </c>
      <c r="E26" s="519">
        <f>'15B Building Details'!E34</f>
        <v>0</v>
      </c>
      <c r="F26" s="519">
        <f t="shared" si="0"/>
        <v>0</v>
      </c>
      <c r="G26" s="519">
        <f>IF(C26="GreenPower",E26*$D$18,E26*D26)</f>
        <v>0</v>
      </c>
    </row>
    <row r="27" spans="1:9" s="204" customFormat="1" ht="20.100000000000001" customHeight="1">
      <c r="B27" s="346">
        <f>'15B Building Details'!B35</f>
        <v>11</v>
      </c>
      <c r="C27" s="317" t="str">
        <f>'15B Building Details'!C35</f>
        <v>On-site renewable generated &amp; exported</v>
      </c>
      <c r="D27" s="352">
        <f>'15B Building Details'!D35</f>
        <v>0</v>
      </c>
      <c r="E27" s="519">
        <f>'15B Building Details'!E35</f>
        <v>0</v>
      </c>
      <c r="F27" s="519">
        <f>-E27*D18</f>
        <v>0</v>
      </c>
      <c r="G27" s="519">
        <f>E27*D27</f>
        <v>0</v>
      </c>
    </row>
    <row r="28" spans="1:9" s="15" customFormat="1" ht="20.100000000000001" hidden="1" customHeight="1">
      <c r="A28" s="15" t="s">
        <v>42</v>
      </c>
      <c r="B28" s="361">
        <f>'15B Building Details'!B36</f>
        <v>13</v>
      </c>
      <c r="C28" s="360" t="str">
        <f>'15B Building Details'!C36</f>
        <v>Other</v>
      </c>
      <c r="D28" s="352" t="str">
        <f>IFERROR('15B Building Details'!C342,0)</f>
        <v>Please Contact the GBCA</v>
      </c>
      <c r="E28" s="519">
        <f ca="1">SUMIF('15B Building Details'!$C$26:$C$37,$C28,'15B Building Details'!$E$26:$E$36)</f>
        <v>0</v>
      </c>
      <c r="F28" s="519" t="str">
        <f ca="1">IFERROR(E28*D28,"")</f>
        <v/>
      </c>
      <c r="G28" s="519" t="str">
        <f ca="1">IFERROR(E28*D28,"")</f>
        <v/>
      </c>
    </row>
    <row r="29" spans="1:9" s="15" customFormat="1" ht="20.100000000000001" customHeight="1">
      <c r="B29" s="670" t="s">
        <v>1952</v>
      </c>
      <c r="C29" s="670"/>
      <c r="D29" s="670"/>
      <c r="E29" s="107">
        <f>SUM(E18:E25)</f>
        <v>0</v>
      </c>
      <c r="F29" s="107">
        <f>SUM(F18:F27)</f>
        <v>0</v>
      </c>
      <c r="G29" s="107">
        <f>SUM(G18:G27)</f>
        <v>0</v>
      </c>
    </row>
    <row r="30" spans="1:9" s="15" customFormat="1" ht="20.100000000000001" customHeight="1">
      <c r="B30" s="670" t="s">
        <v>1138</v>
      </c>
      <c r="C30" s="670"/>
      <c r="D30" s="670"/>
      <c r="E30" s="107">
        <f>'15B Building Details'!E38</f>
        <v>0</v>
      </c>
      <c r="F30" s="107">
        <f>(E30*D18)</f>
        <v>0</v>
      </c>
      <c r="G30" s="107"/>
    </row>
    <row r="31" spans="1:9" s="15" customFormat="1" ht="20.100000000000001" customHeight="1">
      <c r="B31" s="670" t="s">
        <v>1953</v>
      </c>
      <c r="C31" s="670"/>
      <c r="D31" s="670"/>
      <c r="E31" s="514" t="e">
        <f>(E29-E30)/$E$54</f>
        <v>#DIV/0!</v>
      </c>
      <c r="F31" s="404" t="e">
        <f>(F29-F30)/$E$54</f>
        <v>#DIV/0!</v>
      </c>
      <c r="G31" s="404" t="e">
        <f>G29/$E$54</f>
        <v>#DIV/0!</v>
      </c>
    </row>
    <row r="32" spans="1:9" s="15" customFormat="1" ht="20.100000000000001" customHeight="1">
      <c r="B32" s="670" t="s">
        <v>1148</v>
      </c>
      <c r="C32" s="670"/>
      <c r="D32" s="670"/>
      <c r="E32" s="408">
        <f>IFERROR((E19+E25+E30)/E29,0)</f>
        <v>0</v>
      </c>
      <c r="F32" s="363"/>
      <c r="G32" s="363"/>
    </row>
    <row r="33" spans="2:26">
      <c r="J33" s="15"/>
    </row>
    <row r="34" spans="2:26" ht="20.100000000000001" customHeight="1">
      <c r="B34" s="662" t="s">
        <v>1954</v>
      </c>
      <c r="C34" s="662"/>
      <c r="D34" s="662"/>
      <c r="E34" s="662"/>
      <c r="F34" s="662"/>
      <c r="G34" s="662"/>
      <c r="H34" s="662"/>
      <c r="I34" s="662"/>
      <c r="J34" s="662"/>
      <c r="K34" s="662"/>
      <c r="L34" s="662"/>
      <c r="M34" s="662"/>
      <c r="N34" s="662"/>
      <c r="O34" s="662"/>
      <c r="P34" s="662"/>
      <c r="Q34" s="662"/>
    </row>
    <row r="35" spans="2:26" ht="16.5" customHeight="1">
      <c r="B35" s="20"/>
      <c r="C35" s="20"/>
      <c r="D35" s="20"/>
      <c r="E35" s="20"/>
      <c r="F35" s="20"/>
      <c r="G35" s="20"/>
      <c r="I35" s="21"/>
      <c r="J35" s="21"/>
      <c r="K35" s="20"/>
      <c r="O35" s="20"/>
      <c r="P35" s="20"/>
      <c r="Q35" s="20"/>
    </row>
    <row r="36" spans="2:26" ht="20.100000000000001" customHeight="1">
      <c r="B36" s="68" t="s">
        <v>1955</v>
      </c>
      <c r="C36" s="18"/>
      <c r="D36" s="18"/>
      <c r="E36" s="18"/>
      <c r="F36" s="18"/>
      <c r="G36" s="20"/>
      <c r="I36" s="671" t="s">
        <v>1956</v>
      </c>
      <c r="J36" s="672"/>
      <c r="K36" s="672"/>
      <c r="L36" s="673"/>
      <c r="M36" s="671" t="s">
        <v>1957</v>
      </c>
      <c r="N36" s="672"/>
      <c r="O36" s="673"/>
    </row>
    <row r="37" spans="2:26" ht="45" customHeight="1">
      <c r="B37" s="118" t="s">
        <v>1844</v>
      </c>
      <c r="C37" s="118" t="s">
        <v>1958</v>
      </c>
      <c r="D37" s="382" t="s">
        <v>1959</v>
      </c>
      <c r="E37" s="118" t="s">
        <v>1960</v>
      </c>
      <c r="F37" s="118" t="s">
        <v>1961</v>
      </c>
      <c r="G37" s="118" t="s">
        <v>1962</v>
      </c>
      <c r="H37" s="118" t="s">
        <v>1963</v>
      </c>
      <c r="I37" s="118" t="s">
        <v>673</v>
      </c>
      <c r="J37" s="118" t="s">
        <v>1964</v>
      </c>
      <c r="K37" s="118" t="s">
        <v>1965</v>
      </c>
      <c r="L37" s="118" t="s">
        <v>1919</v>
      </c>
      <c r="M37" s="118" t="s">
        <v>1966</v>
      </c>
      <c r="N37" s="118" t="s">
        <v>1967</v>
      </c>
      <c r="O37" s="118" t="str">
        <f>'15B Building Details'!F54</f>
        <v>Hours of operation 
(hours / week)*</v>
      </c>
    </row>
    <row r="38" spans="2:26" ht="27.75" customHeight="1">
      <c r="B38" s="106" t="s">
        <v>1888</v>
      </c>
      <c r="C38" s="109" t="str">
        <f>TEXT('15B Building Details'!C55,"#")</f>
        <v/>
      </c>
      <c r="D38" s="381" t="str">
        <f>SUBSTITUTE('15B Building Details'!D55,"[Select functional use from drop down list]","")</f>
        <v/>
      </c>
      <c r="E38" s="513">
        <f>'15B Building Details'!E55</f>
        <v>0</v>
      </c>
      <c r="F38" s="512" t="str">
        <f t="shared" ref="F38:F52" si="2">IFERROR(E38/$E$54,"")</f>
        <v/>
      </c>
      <c r="G38" s="110" t="str">
        <f>IF(OR($D38="[Select functional use from drop down list]",$D38=""),"",IF($D38="Custom","Custom",IFERROR(IF(VLOOKUP($C$13&amp;"-"&amp;$C$14,'15B Baseline Tables'!$6:$38,MATCH($D38,'15B Baseline Tables'!$6:$6,0),FALSE)="",IF(VLOOKUP($C$13&amp;"-ALL",'15B Baseline Tables'!$6:$38,MATCH($D38,'15B Baseline Tables'!$6:$6,0),FALSE)="",IF(VLOOKUP("AUST-"&amp;$C$14,'15B Baseline Tables'!$6:$38,MATCH($D38,'15B Baseline Tables'!$6:$6,0),FALSE)="","AUST-ALL","AUST-"&amp;$C$14),$C$13&amp;"-ALL"),$C$13&amp;"-"&amp;$C$14),"No Matching Baseline")))</f>
        <v/>
      </c>
      <c r="H38" s="513" t="str">
        <f>IF($G38="","",IF($G38="Custom",0,INDEX('15B Baseline Tables'!$6:$38,MATCH($G38,'15B Baseline Tables'!$A$6:$A$38,0),MATCH($D38,'15B Baseline Tables'!$6:$6,0))))</f>
        <v/>
      </c>
      <c r="I38" s="512" t="str">
        <f>IFERROR(VLOOKUP(I$37,'15B Baseline Tables'!$49:$52,MATCH($D38,'15B Baseline Tables'!$6:$6,0),FALSE),"")</f>
        <v/>
      </c>
      <c r="J38" s="512" t="str">
        <f>IFERROR(VLOOKUP(J$37,'15B Baseline Tables'!$49:$52,MATCH($D38,'15B Baseline Tables'!$6:$6,0),FALSE),"")</f>
        <v/>
      </c>
      <c r="K38" s="512" t="str">
        <f>IFERROR(VLOOKUP(K$37,'15B Baseline Tables'!$49:$52,MATCH($D38,'15B Baseline Tables'!$6:$6,0),FALSE),"0.0%")</f>
        <v>0.0%</v>
      </c>
      <c r="L38" s="512" t="str">
        <f>IFERROR(VLOOKUP(L$37,'15B Baseline Tables'!$49:$52,MATCH($D38,'15B Baseline Tables'!$6:$6,0),FALSE),"0.0%")</f>
        <v>0.0%</v>
      </c>
      <c r="M38" s="513" t="str">
        <f>IF($G38="","",VLOOKUP($G38,'15B Baseline Tables'!$A:$E,4,FALSE))</f>
        <v/>
      </c>
      <c r="N38" s="513" t="str">
        <f>IF($G38="","",VLOOKUP($G38,'15B Baseline Tables'!$A:$E,5,FALSE))</f>
        <v/>
      </c>
      <c r="O38" s="513" t="str">
        <f>IF($G38="","",IF($G38="Custom",0,INDEX('15B Baseline Tables'!$65:$69,2,MATCH($D38,'15B Baseline Tables'!$6:$6,0))))</f>
        <v/>
      </c>
      <c r="R38" s="72"/>
      <c r="S38" s="20"/>
      <c r="T38" s="20"/>
      <c r="U38" s="20"/>
      <c r="V38" s="20"/>
      <c r="W38" s="20"/>
      <c r="X38" s="20"/>
      <c r="Y38" s="20"/>
      <c r="Z38" s="20"/>
    </row>
    <row r="39" spans="2:26" ht="27.75" customHeight="1">
      <c r="B39" s="106" t="s">
        <v>1890</v>
      </c>
      <c r="C39" s="109" t="str">
        <f>TEXT('15B Building Details'!C56,"#")</f>
        <v/>
      </c>
      <c r="D39" s="381" t="str">
        <f>SUBSTITUTE('15B Building Details'!D56,"[Select functional use from drop down list]","")</f>
        <v/>
      </c>
      <c r="E39" s="513">
        <f>'15B Building Details'!E56</f>
        <v>0</v>
      </c>
      <c r="F39" s="512" t="str">
        <f t="shared" si="2"/>
        <v/>
      </c>
      <c r="G39" s="110" t="str">
        <f>IF(OR($D39="[Select functional use from drop down list]",$D39=""),"",IF($D39="Custom","Custom",IFERROR(IF(VLOOKUP($C$13&amp;"-"&amp;$C$14,'15B Baseline Tables'!$6:$38,MATCH($D39,'15B Baseline Tables'!$6:$6,0),FALSE)="",IF(VLOOKUP($C$13&amp;"-ALL",'15B Baseline Tables'!$6:$38,MATCH($D39,'15B Baseline Tables'!$6:$6,0),FALSE)="",IF(VLOOKUP("AUST-"&amp;$C$14,'15B Baseline Tables'!$6:$38,MATCH($D39,'15B Baseline Tables'!$6:$6,0),FALSE)="","AUST-ALL","AUST-"&amp;$C$14),$C$13&amp;"-ALL"),$C$13&amp;"-"&amp;$C$14),"No Matching Baseline")))</f>
        <v/>
      </c>
      <c r="H39" s="513" t="str">
        <f>IF($G39="","",IF($G39="Custom",0,INDEX('15B Baseline Tables'!$6:$38,MATCH($G39,'15B Baseline Tables'!$A$6:$A$38,0),MATCH($D39,'15B Baseline Tables'!$6:$6,0))))</f>
        <v/>
      </c>
      <c r="I39" s="512" t="str">
        <f>IFERROR(VLOOKUP(I$37,'15B Baseline Tables'!$49:$52,MATCH($D39,'15B Baseline Tables'!$6:$6,0),FALSE),"")</f>
        <v/>
      </c>
      <c r="J39" s="512" t="str">
        <f>IFERROR(VLOOKUP(J$37,'15B Baseline Tables'!$49:$52,MATCH($D39,'15B Baseline Tables'!$6:$6,0),FALSE),"")</f>
        <v/>
      </c>
      <c r="K39" s="512" t="str">
        <f>IFERROR(VLOOKUP(K$37,'15B Baseline Tables'!$49:$52,MATCH($D39,'15B Baseline Tables'!$6:$6,0),FALSE),"0.0%")</f>
        <v>0.0%</v>
      </c>
      <c r="L39" s="512" t="str">
        <f>IFERROR(VLOOKUP(L$37,'15B Baseline Tables'!$49:$52,MATCH($D39,'15B Baseline Tables'!$6:$6,0),FALSE),"0.0%")</f>
        <v>0.0%</v>
      </c>
      <c r="M39" s="513" t="str">
        <f>IF($G39="","",VLOOKUP($G39,'15B Baseline Tables'!$A:$E,4,FALSE))</f>
        <v/>
      </c>
      <c r="N39" s="513" t="str">
        <f>IF($G39="","",VLOOKUP($G39,'15B Baseline Tables'!$A:$E,5,FALSE))</f>
        <v/>
      </c>
      <c r="O39" s="513" t="str">
        <f>IF($G39="","",IF($G39="Custom",0,INDEX('15B Baseline Tables'!$65:$69,2,MATCH($D39,'15B Baseline Tables'!$6:$6,0))))</f>
        <v/>
      </c>
      <c r="R39" s="72"/>
    </row>
    <row r="40" spans="2:26" ht="27.75" customHeight="1">
      <c r="B40" s="106" t="s">
        <v>1891</v>
      </c>
      <c r="C40" s="109" t="str">
        <f>TEXT('15B Building Details'!C57,"#")</f>
        <v/>
      </c>
      <c r="D40" s="381" t="str">
        <f>SUBSTITUTE('15B Building Details'!D57,"[Select functional use from drop down list]","")</f>
        <v/>
      </c>
      <c r="E40" s="513">
        <f>'15B Building Details'!E57</f>
        <v>0</v>
      </c>
      <c r="F40" s="512" t="str">
        <f t="shared" si="2"/>
        <v/>
      </c>
      <c r="G40" s="110" t="str">
        <f>IF(OR($D40="[Select functional use from drop down list]",$D40=""),"",IF($D40="Custom","Custom",IFERROR(IF(VLOOKUP($C$13&amp;"-"&amp;$C$14,'15B Baseline Tables'!$6:$38,MATCH($D40,'15B Baseline Tables'!$6:$6,0),FALSE)="",IF(VLOOKUP($C$13&amp;"-ALL",'15B Baseline Tables'!$6:$38,MATCH($D40,'15B Baseline Tables'!$6:$6,0),FALSE)="",IF(VLOOKUP("AUST-"&amp;$C$14,'15B Baseline Tables'!$6:$38,MATCH($D40,'15B Baseline Tables'!$6:$6,0),FALSE)="","AUST-ALL","AUST-"&amp;$C$14),$C$13&amp;"-ALL"),$C$13&amp;"-"&amp;$C$14),"No Matching Baseline")))</f>
        <v/>
      </c>
      <c r="H40" s="513" t="str">
        <f>IF($G40="","",IF($G40="Custom",0,INDEX('15B Baseline Tables'!$6:$38,MATCH($G40,'15B Baseline Tables'!$A$6:$A$38,0),MATCH($D40,'15B Baseline Tables'!$6:$6,0))))</f>
        <v/>
      </c>
      <c r="I40" s="512" t="str">
        <f>IFERROR(VLOOKUP(I$37,'15B Baseline Tables'!$49:$52,MATCH($D40,'15B Baseline Tables'!$6:$6,0),FALSE),"")</f>
        <v/>
      </c>
      <c r="J40" s="512" t="str">
        <f>IFERROR(VLOOKUP(J$37,'15B Baseline Tables'!$49:$52,MATCH($D40,'15B Baseline Tables'!$6:$6,0),FALSE),"")</f>
        <v/>
      </c>
      <c r="K40" s="512" t="str">
        <f>IFERROR(VLOOKUP(K$37,'15B Baseline Tables'!$49:$52,MATCH($D40,'15B Baseline Tables'!$6:$6,0),FALSE),"0.0%")</f>
        <v>0.0%</v>
      </c>
      <c r="L40" s="512" t="str">
        <f>IFERROR(VLOOKUP(L$37,'15B Baseline Tables'!$49:$52,MATCH($D40,'15B Baseline Tables'!$6:$6,0),FALSE),"0.0%")</f>
        <v>0.0%</v>
      </c>
      <c r="M40" s="513" t="str">
        <f>IF($G40="","",VLOOKUP($G40,'15B Baseline Tables'!$A:$E,4,FALSE))</f>
        <v/>
      </c>
      <c r="N40" s="513" t="str">
        <f>IF($G40="","",VLOOKUP($G40,'15B Baseline Tables'!$A:$E,5,FALSE))</f>
        <v/>
      </c>
      <c r="O40" s="513" t="str">
        <f>IF($G40="","",IF($G40="Custom",0,INDEX('15B Baseline Tables'!$65:$69,2,MATCH($D40,'15B Baseline Tables'!$6:$6,0))))</f>
        <v/>
      </c>
      <c r="R40" s="72"/>
    </row>
    <row r="41" spans="2:26" ht="27.75" customHeight="1">
      <c r="B41" s="106" t="s">
        <v>1892</v>
      </c>
      <c r="C41" s="109" t="str">
        <f>TEXT('15B Building Details'!C58,"#")</f>
        <v/>
      </c>
      <c r="D41" s="381" t="str">
        <f>SUBSTITUTE('15B Building Details'!D58,"[Select functional use from drop down list]","")</f>
        <v/>
      </c>
      <c r="E41" s="513">
        <f>'15B Building Details'!E58</f>
        <v>0</v>
      </c>
      <c r="F41" s="512" t="str">
        <f t="shared" si="2"/>
        <v/>
      </c>
      <c r="G41" s="110" t="str">
        <f>IF(OR($D41="[Select functional use from drop down list]",$D41=""),"",IF($D41="Custom","Custom",IFERROR(IF(VLOOKUP($C$13&amp;"-"&amp;$C$14,'15B Baseline Tables'!$6:$38,MATCH($D41,'15B Baseline Tables'!$6:$6,0),FALSE)="",IF(VLOOKUP($C$13&amp;"-ALL",'15B Baseline Tables'!$6:$38,MATCH($D41,'15B Baseline Tables'!$6:$6,0),FALSE)="",IF(VLOOKUP("AUST-"&amp;$C$14,'15B Baseline Tables'!$6:$38,MATCH($D41,'15B Baseline Tables'!$6:$6,0),FALSE)="","AUST-ALL","AUST-"&amp;$C$14),$C$13&amp;"-ALL"),$C$13&amp;"-"&amp;$C$14),"No Matching Baseline")))</f>
        <v/>
      </c>
      <c r="H41" s="513" t="str">
        <f>IF($G41="","",IF($G41="Custom",0,INDEX('15B Baseline Tables'!$6:$38,MATCH($G41,'15B Baseline Tables'!$A$6:$A$38,0),MATCH($D41,'15B Baseline Tables'!$6:$6,0))))</f>
        <v/>
      </c>
      <c r="I41" s="512" t="str">
        <f>IFERROR(VLOOKUP(I$37,'15B Baseline Tables'!$49:$52,MATCH($D41,'15B Baseline Tables'!$6:$6,0),FALSE),"")</f>
        <v/>
      </c>
      <c r="J41" s="512" t="str">
        <f>IFERROR(VLOOKUP(J$37,'15B Baseline Tables'!$49:$52,MATCH($D41,'15B Baseline Tables'!$6:$6,0),FALSE),"")</f>
        <v/>
      </c>
      <c r="K41" s="512" t="str">
        <f>IFERROR(VLOOKUP(K$37,'15B Baseline Tables'!$49:$52,MATCH($D41,'15B Baseline Tables'!$6:$6,0),FALSE),"0.0%")</f>
        <v>0.0%</v>
      </c>
      <c r="L41" s="512" t="str">
        <f>IFERROR(VLOOKUP(L$37,'15B Baseline Tables'!$49:$52,MATCH($D41,'15B Baseline Tables'!$6:$6,0),FALSE),"0.0%")</f>
        <v>0.0%</v>
      </c>
      <c r="M41" s="513" t="str">
        <f>IF($G41="","",VLOOKUP($G41,'15B Baseline Tables'!$A:$E,4,FALSE))</f>
        <v/>
      </c>
      <c r="N41" s="513" t="str">
        <f>IF($G41="","",VLOOKUP($G41,'15B Baseline Tables'!$A:$E,5,FALSE))</f>
        <v/>
      </c>
      <c r="O41" s="513" t="str">
        <f>IF($G41="","",IF($G41="Custom",0,INDEX('15B Baseline Tables'!$65:$69,2,MATCH($D41,'15B Baseline Tables'!$6:$6,0))))</f>
        <v/>
      </c>
      <c r="R41" s="72"/>
    </row>
    <row r="42" spans="2:26" ht="27.75" customHeight="1">
      <c r="B42" s="106" t="s">
        <v>1893</v>
      </c>
      <c r="C42" s="109" t="str">
        <f>TEXT('15B Building Details'!C59,"#")</f>
        <v/>
      </c>
      <c r="D42" s="381" t="str">
        <f>SUBSTITUTE('15B Building Details'!D59,"[Select functional use from drop down list]","")</f>
        <v/>
      </c>
      <c r="E42" s="513">
        <f>'15B Building Details'!E59</f>
        <v>0</v>
      </c>
      <c r="F42" s="512" t="str">
        <f t="shared" si="2"/>
        <v/>
      </c>
      <c r="G42" s="110" t="str">
        <f>IF(OR($D42="[Select functional use from drop down list]",$D42=""),"",IF($D42="Custom","Custom",IFERROR(IF(VLOOKUP($C$13&amp;"-"&amp;$C$14,'15B Baseline Tables'!$6:$38,MATCH($D42,'15B Baseline Tables'!$6:$6,0),FALSE)="",IF(VLOOKUP($C$13&amp;"-ALL",'15B Baseline Tables'!$6:$38,MATCH($D42,'15B Baseline Tables'!$6:$6,0),FALSE)="",IF(VLOOKUP("AUST-"&amp;$C$14,'15B Baseline Tables'!$6:$38,MATCH($D42,'15B Baseline Tables'!$6:$6,0),FALSE)="","AUST-ALL","AUST-"&amp;$C$14),$C$13&amp;"-ALL"),$C$13&amp;"-"&amp;$C$14),"No Matching Baseline")))</f>
        <v/>
      </c>
      <c r="H42" s="513" t="str">
        <f>IF($G42="","",IF($G42="Custom",0,INDEX('15B Baseline Tables'!$6:$38,MATCH($G42,'15B Baseline Tables'!$A$6:$A$38,0),MATCH($D42,'15B Baseline Tables'!$6:$6,0))))</f>
        <v/>
      </c>
      <c r="I42" s="512" t="str">
        <f>IFERROR(VLOOKUP(I$37,'15B Baseline Tables'!$49:$52,MATCH($D42,'15B Baseline Tables'!$6:$6,0),FALSE),"")</f>
        <v/>
      </c>
      <c r="J42" s="512" t="str">
        <f>IFERROR(VLOOKUP(J$37,'15B Baseline Tables'!$49:$52,MATCH($D42,'15B Baseline Tables'!$6:$6,0),FALSE),"")</f>
        <v/>
      </c>
      <c r="K42" s="512" t="str">
        <f>IFERROR(VLOOKUP(K$37,'15B Baseline Tables'!$49:$52,MATCH($D42,'15B Baseline Tables'!$6:$6,0),FALSE),"0.0%")</f>
        <v>0.0%</v>
      </c>
      <c r="L42" s="512" t="str">
        <f>IFERROR(VLOOKUP(L$37,'15B Baseline Tables'!$49:$52,MATCH($D42,'15B Baseline Tables'!$6:$6,0),FALSE),"0.0%")</f>
        <v>0.0%</v>
      </c>
      <c r="M42" s="513" t="str">
        <f>IF($G42="","",VLOOKUP($G42,'15B Baseline Tables'!$A:$E,4,FALSE))</f>
        <v/>
      </c>
      <c r="N42" s="513" t="str">
        <f>IF($G42="","",VLOOKUP($G42,'15B Baseline Tables'!$A:$E,5,FALSE))</f>
        <v/>
      </c>
      <c r="O42" s="513" t="str">
        <f>IF($G42="","",IF($G42="Custom",0,INDEX('15B Baseline Tables'!$65:$69,2,MATCH($D42,'15B Baseline Tables'!$6:$6,0))))</f>
        <v/>
      </c>
      <c r="R42" s="72"/>
      <c r="S42" s="19"/>
    </row>
    <row r="43" spans="2:26" ht="27.75" customHeight="1">
      <c r="B43" s="106" t="s">
        <v>1894</v>
      </c>
      <c r="C43" s="109" t="str">
        <f>TEXT('15B Building Details'!C60,"#")</f>
        <v/>
      </c>
      <c r="D43" s="381" t="str">
        <f>SUBSTITUTE('15B Building Details'!D60,"[Select functional use from drop down list]","")</f>
        <v/>
      </c>
      <c r="E43" s="513">
        <f>'15B Building Details'!E60</f>
        <v>0</v>
      </c>
      <c r="F43" s="512" t="str">
        <f t="shared" si="2"/>
        <v/>
      </c>
      <c r="G43" s="110" t="str">
        <f>IF(OR($D43="[Select functional use from drop down list]",$D43=""),"",IF($D43="Custom","Custom",IFERROR(IF(VLOOKUP($C$13&amp;"-"&amp;$C$14,'15B Baseline Tables'!$6:$38,MATCH($D43,'15B Baseline Tables'!$6:$6,0),FALSE)="",IF(VLOOKUP($C$13&amp;"-ALL",'15B Baseline Tables'!$6:$38,MATCH($D43,'15B Baseline Tables'!$6:$6,0),FALSE)="",IF(VLOOKUP("AUST-"&amp;$C$14,'15B Baseline Tables'!$6:$38,MATCH($D43,'15B Baseline Tables'!$6:$6,0),FALSE)="","AUST-ALL","AUST-"&amp;$C$14),$C$13&amp;"-ALL"),$C$13&amp;"-"&amp;$C$14),"No Matching Baseline")))</f>
        <v/>
      </c>
      <c r="H43" s="513" t="str">
        <f>IF($G43="","",IF($G43="Custom",0,INDEX('15B Baseline Tables'!$6:$38,MATCH($G43,'15B Baseline Tables'!$A$6:$A$38,0),MATCH($D43,'15B Baseline Tables'!$6:$6,0))))</f>
        <v/>
      </c>
      <c r="I43" s="512" t="str">
        <f>IFERROR(VLOOKUP(I$37,'15B Baseline Tables'!$49:$52,MATCH($D43,'15B Baseline Tables'!$6:$6,0),FALSE),"")</f>
        <v/>
      </c>
      <c r="J43" s="512" t="str">
        <f>IFERROR(VLOOKUP(J$37,'15B Baseline Tables'!$49:$52,MATCH($D43,'15B Baseline Tables'!$6:$6,0),FALSE),"")</f>
        <v/>
      </c>
      <c r="K43" s="512" t="str">
        <f>IFERROR(VLOOKUP(K$37,'15B Baseline Tables'!$49:$52,MATCH($D43,'15B Baseline Tables'!$6:$6,0),FALSE),"0.0%")</f>
        <v>0.0%</v>
      </c>
      <c r="L43" s="512" t="str">
        <f>IFERROR(VLOOKUP(L$37,'15B Baseline Tables'!$49:$52,MATCH($D43,'15B Baseline Tables'!$6:$6,0),FALSE),"0.0%")</f>
        <v>0.0%</v>
      </c>
      <c r="M43" s="513" t="str">
        <f>IF($G43="","",VLOOKUP($G43,'15B Baseline Tables'!$A:$E,4,FALSE))</f>
        <v/>
      </c>
      <c r="N43" s="513" t="str">
        <f>IF($G43="","",VLOOKUP($G43,'15B Baseline Tables'!$A:$E,5,FALSE))</f>
        <v/>
      </c>
      <c r="O43" s="513" t="str">
        <f>IF($G43="","",IF($G43="Custom",0,INDEX('15B Baseline Tables'!$65:$69,2,MATCH($D43,'15B Baseline Tables'!$6:$6,0))))</f>
        <v/>
      </c>
      <c r="R43" s="72"/>
    </row>
    <row r="44" spans="2:26" ht="27.75" customHeight="1">
      <c r="B44" s="106" t="s">
        <v>1895</v>
      </c>
      <c r="C44" s="109" t="str">
        <f>TEXT('15B Building Details'!C61,"#")</f>
        <v/>
      </c>
      <c r="D44" s="381" t="str">
        <f>SUBSTITUTE('15B Building Details'!D61,"[Select functional use from drop down list]","")</f>
        <v/>
      </c>
      <c r="E44" s="513">
        <f>'15B Building Details'!E61</f>
        <v>0</v>
      </c>
      <c r="F44" s="512" t="str">
        <f t="shared" si="2"/>
        <v/>
      </c>
      <c r="G44" s="110" t="str">
        <f>IF(OR($D44="[Select functional use from drop down list]",$D44=""),"",IF($D44="Custom","Custom",IFERROR(IF(VLOOKUP($C$13&amp;"-"&amp;$C$14,'15B Baseline Tables'!$6:$38,MATCH($D44,'15B Baseline Tables'!$6:$6,0),FALSE)="",IF(VLOOKUP($C$13&amp;"-ALL",'15B Baseline Tables'!$6:$38,MATCH($D44,'15B Baseline Tables'!$6:$6,0),FALSE)="",IF(VLOOKUP("AUST-"&amp;$C$14,'15B Baseline Tables'!$6:$38,MATCH($D44,'15B Baseline Tables'!$6:$6,0),FALSE)="","AUST-ALL","AUST-"&amp;$C$14),$C$13&amp;"-ALL"),$C$13&amp;"-"&amp;$C$14),"No Matching Baseline")))</f>
        <v/>
      </c>
      <c r="H44" s="513" t="str">
        <f>IF($G44="","",IF($G44="Custom",0,INDEX('15B Baseline Tables'!$6:$38,MATCH($G44,'15B Baseline Tables'!$A$6:$A$38,0),MATCH($D44,'15B Baseline Tables'!$6:$6,0))))</f>
        <v/>
      </c>
      <c r="I44" s="512" t="str">
        <f>IFERROR(VLOOKUP(I$37,'15B Baseline Tables'!$49:$52,MATCH($D44,'15B Baseline Tables'!$6:$6,0),FALSE),"")</f>
        <v/>
      </c>
      <c r="J44" s="512" t="str">
        <f>IFERROR(VLOOKUP(J$37,'15B Baseline Tables'!$49:$52,MATCH($D44,'15B Baseline Tables'!$6:$6,0),FALSE),"")</f>
        <v/>
      </c>
      <c r="K44" s="512" t="str">
        <f>IFERROR(VLOOKUP(K$37,'15B Baseline Tables'!$49:$52,MATCH($D44,'15B Baseline Tables'!$6:$6,0),FALSE),"0.0%")</f>
        <v>0.0%</v>
      </c>
      <c r="L44" s="512" t="str">
        <f>IFERROR(VLOOKUP(L$37,'15B Baseline Tables'!$49:$52,MATCH($D44,'15B Baseline Tables'!$6:$6,0),FALSE),"0.0%")</f>
        <v>0.0%</v>
      </c>
      <c r="M44" s="513" t="str">
        <f>IF($G44="","",VLOOKUP($G44,'15B Baseline Tables'!$A:$E,4,FALSE))</f>
        <v/>
      </c>
      <c r="N44" s="513" t="str">
        <f>IF($G44="","",VLOOKUP($G44,'15B Baseline Tables'!$A:$E,5,FALSE))</f>
        <v/>
      </c>
      <c r="O44" s="513" t="str">
        <f>IF($G44="","",IF($G44="Custom",0,INDEX('15B Baseline Tables'!$65:$69,2,MATCH($D44,'15B Baseline Tables'!$6:$6,0))))</f>
        <v/>
      </c>
      <c r="R44" s="72"/>
    </row>
    <row r="45" spans="2:26" ht="27.75" customHeight="1">
      <c r="B45" s="106" t="s">
        <v>1896</v>
      </c>
      <c r="C45" s="109" t="str">
        <f>TEXT('15B Building Details'!C62,"#")</f>
        <v/>
      </c>
      <c r="D45" s="381" t="str">
        <f>SUBSTITUTE('15B Building Details'!D62,"[Select functional use from drop down list]","")</f>
        <v/>
      </c>
      <c r="E45" s="513">
        <f>'15B Building Details'!E62</f>
        <v>0</v>
      </c>
      <c r="F45" s="512" t="str">
        <f t="shared" si="2"/>
        <v/>
      </c>
      <c r="G45" s="110" t="str">
        <f>IF(OR($D45="[Select functional use from drop down list]",$D45=""),"",IF($D45="Custom","Custom",IFERROR(IF(VLOOKUP($C$13&amp;"-"&amp;$C$14,'15B Baseline Tables'!$6:$38,MATCH($D45,'15B Baseline Tables'!$6:$6,0),FALSE)="",IF(VLOOKUP($C$13&amp;"-ALL",'15B Baseline Tables'!$6:$38,MATCH($D45,'15B Baseline Tables'!$6:$6,0),FALSE)="",IF(VLOOKUP("AUST-"&amp;$C$14,'15B Baseline Tables'!$6:$38,MATCH($D45,'15B Baseline Tables'!$6:$6,0),FALSE)="","AUST-ALL","AUST-"&amp;$C$14),$C$13&amp;"-ALL"),$C$13&amp;"-"&amp;$C$14),"No Matching Baseline")))</f>
        <v/>
      </c>
      <c r="H45" s="513" t="str">
        <f>IF($G45="","",IF($G45="Custom",0,INDEX('15B Baseline Tables'!$6:$38,MATCH($G45,'15B Baseline Tables'!$A$6:$A$38,0),MATCH($D45,'15B Baseline Tables'!$6:$6,0))))</f>
        <v/>
      </c>
      <c r="I45" s="512" t="str">
        <f>IFERROR(VLOOKUP(I$37,'15B Baseline Tables'!$49:$52,MATCH($D45,'15B Baseline Tables'!$6:$6,0),FALSE),"")</f>
        <v/>
      </c>
      <c r="J45" s="512" t="str">
        <f>IFERROR(VLOOKUP(J$37,'15B Baseline Tables'!$49:$52,MATCH($D45,'15B Baseline Tables'!$6:$6,0),FALSE),"")</f>
        <v/>
      </c>
      <c r="K45" s="512" t="str">
        <f>IFERROR(VLOOKUP(K$37,'15B Baseline Tables'!$49:$52,MATCH($D45,'15B Baseline Tables'!$6:$6,0),FALSE),"")</f>
        <v/>
      </c>
      <c r="L45" s="512" t="str">
        <f>IFERROR(VLOOKUP(L$37,'15B Baseline Tables'!$49:$52,MATCH($D45,'15B Baseline Tables'!$6:$6,0),FALSE),"")</f>
        <v/>
      </c>
      <c r="M45" s="513" t="str">
        <f>IF($G45="","",VLOOKUP($G45,'15B Baseline Tables'!$A:$E,4,FALSE))</f>
        <v/>
      </c>
      <c r="N45" s="513" t="str">
        <f>IF($G45="","",VLOOKUP($G45,'15B Baseline Tables'!$A:$E,5,FALSE))</f>
        <v/>
      </c>
      <c r="O45" s="513" t="str">
        <f>IF($G45="","",IF($G45="Custom",0,INDEX('15B Baseline Tables'!$65:$69,2,MATCH($D45,'15B Baseline Tables'!$6:$6,0))))</f>
        <v/>
      </c>
      <c r="R45" s="72"/>
    </row>
    <row r="46" spans="2:26" ht="27.75" customHeight="1">
      <c r="B46" s="106" t="s">
        <v>1897</v>
      </c>
      <c r="C46" s="109" t="str">
        <f>TEXT('15B Building Details'!C63,"#")</f>
        <v/>
      </c>
      <c r="D46" s="381" t="str">
        <f>SUBSTITUTE('15B Building Details'!D63,"[Select functional use from drop down list]","")</f>
        <v/>
      </c>
      <c r="E46" s="513">
        <f>'15B Building Details'!E63</f>
        <v>0</v>
      </c>
      <c r="F46" s="512" t="str">
        <f t="shared" si="2"/>
        <v/>
      </c>
      <c r="G46" s="110" t="str">
        <f>IF(OR($D46="[Select functional use from drop down list]",$D46=""),"",IF($D46="Custom","Custom",IFERROR(IF(VLOOKUP($C$13&amp;"-"&amp;$C$14,'15B Baseline Tables'!$6:$38,MATCH($D46,'15B Baseline Tables'!$6:$6,0),FALSE)="",IF(VLOOKUP($C$13&amp;"-ALL",'15B Baseline Tables'!$6:$38,MATCH($D46,'15B Baseline Tables'!$6:$6,0),FALSE)="",IF(VLOOKUP("AUST-"&amp;$C$14,'15B Baseline Tables'!$6:$38,MATCH($D46,'15B Baseline Tables'!$6:$6,0),FALSE)="","AUST-ALL","AUST-"&amp;$C$14),$C$13&amp;"-ALL"),$C$13&amp;"-"&amp;$C$14),"No Matching Baseline")))</f>
        <v/>
      </c>
      <c r="H46" s="513" t="str">
        <f>IF($G46="","",IF($G46="Custom",0,INDEX('15B Baseline Tables'!$6:$38,MATCH($G46,'15B Baseline Tables'!$A$6:$A$38,0),MATCH($D46,'15B Baseline Tables'!$6:$6,0))))</f>
        <v/>
      </c>
      <c r="I46" s="512" t="str">
        <f>IFERROR(VLOOKUP(I$37,'15B Baseline Tables'!$49:$52,MATCH($D46,'15B Baseline Tables'!$6:$6,0),FALSE),"")</f>
        <v/>
      </c>
      <c r="J46" s="512" t="str">
        <f>IFERROR(VLOOKUP(J$37,'15B Baseline Tables'!$49:$52,MATCH($D46,'15B Baseline Tables'!$6:$6,0),FALSE),"")</f>
        <v/>
      </c>
      <c r="K46" s="512" t="str">
        <f>IFERROR(VLOOKUP(K$37,'15B Baseline Tables'!$49:$52,MATCH($D46,'15B Baseline Tables'!$6:$6,0),FALSE),"")</f>
        <v/>
      </c>
      <c r="L46" s="512" t="str">
        <f>IFERROR(VLOOKUP(L$37,'15B Baseline Tables'!$49:$52,MATCH($D46,'15B Baseline Tables'!$6:$6,0),FALSE),"")</f>
        <v/>
      </c>
      <c r="M46" s="513" t="str">
        <f>IF($G46="","",VLOOKUP($G46,'15B Baseline Tables'!$A:$E,4,FALSE))</f>
        <v/>
      </c>
      <c r="N46" s="513" t="str">
        <f>IF($G46="","",VLOOKUP($G46,'15B Baseline Tables'!$A:$E,5,FALSE))</f>
        <v/>
      </c>
      <c r="O46" s="513" t="str">
        <f>IF($G46="","",IF($G46="Custom",0,INDEX('15B Baseline Tables'!$65:$69,2,MATCH($D46,'15B Baseline Tables'!$6:$6,0))))</f>
        <v/>
      </c>
      <c r="R46" s="72"/>
    </row>
    <row r="47" spans="2:26" ht="27.75" customHeight="1">
      <c r="B47" s="106" t="s">
        <v>1898</v>
      </c>
      <c r="C47" s="109" t="str">
        <f>TEXT('15B Building Details'!C64,"#")</f>
        <v/>
      </c>
      <c r="D47" s="381" t="str">
        <f>SUBSTITUTE('15B Building Details'!D64,"[Select functional use from drop down list]","")</f>
        <v/>
      </c>
      <c r="E47" s="513">
        <f>'15B Building Details'!E64</f>
        <v>0</v>
      </c>
      <c r="F47" s="512" t="str">
        <f t="shared" si="2"/>
        <v/>
      </c>
      <c r="G47" s="110" t="str">
        <f>IF(OR($D47="[Select functional use from drop down list]",$D47=""),"",IF($D47="Custom","Custom",IFERROR(IF(VLOOKUP($C$13&amp;"-"&amp;$C$14,'15B Baseline Tables'!$6:$38,MATCH($D47,'15B Baseline Tables'!$6:$6,0),FALSE)="",IF(VLOOKUP($C$13&amp;"-ALL",'15B Baseline Tables'!$6:$38,MATCH($D47,'15B Baseline Tables'!$6:$6,0),FALSE)="",IF(VLOOKUP("AUST-"&amp;$C$14,'15B Baseline Tables'!$6:$38,MATCH($D47,'15B Baseline Tables'!$6:$6,0),FALSE)="","AUST-ALL","AUST-"&amp;$C$14),$C$13&amp;"-ALL"),$C$13&amp;"-"&amp;$C$14),"No Matching Baseline")))</f>
        <v/>
      </c>
      <c r="H47" s="513" t="str">
        <f>IF($G47="","",IF($G47="Custom",0,INDEX('15B Baseline Tables'!$6:$38,MATCH($G47,'15B Baseline Tables'!$A$6:$A$38,0),MATCH($D47,'15B Baseline Tables'!$6:$6,0))))</f>
        <v/>
      </c>
      <c r="I47" s="512" t="str">
        <f>IFERROR(VLOOKUP(I$37,'15B Baseline Tables'!$49:$52,MATCH($D47,'15B Baseline Tables'!$6:$6,0),FALSE),"")</f>
        <v/>
      </c>
      <c r="J47" s="512" t="str">
        <f>IFERROR(VLOOKUP(J$37,'15B Baseline Tables'!$49:$52,MATCH($D47,'15B Baseline Tables'!$6:$6,0),FALSE),"")</f>
        <v/>
      </c>
      <c r="K47" s="512" t="str">
        <f>IFERROR(VLOOKUP(K$37,'15B Baseline Tables'!$49:$52,MATCH($D47,'15B Baseline Tables'!$6:$6,0),FALSE),"")</f>
        <v/>
      </c>
      <c r="L47" s="512" t="str">
        <f>IFERROR(VLOOKUP(L$37,'15B Baseline Tables'!$49:$52,MATCH($D47,'15B Baseline Tables'!$6:$6,0),FALSE),"")</f>
        <v/>
      </c>
      <c r="M47" s="513" t="str">
        <f>IF($G47="","",VLOOKUP($G47,'15B Baseline Tables'!$A:$E,4,FALSE))</f>
        <v/>
      </c>
      <c r="N47" s="513" t="str">
        <f>IF($G47="","",VLOOKUP($G47,'15B Baseline Tables'!$A:$E,5,FALSE))</f>
        <v/>
      </c>
      <c r="O47" s="513" t="str">
        <f>IF($G47="","",IF($G47="Custom",0,INDEX('15B Baseline Tables'!$65:$69,2,MATCH($D47,'15B Baseline Tables'!$6:$6,0))))</f>
        <v/>
      </c>
      <c r="R47" s="72"/>
    </row>
    <row r="48" spans="2:26" ht="27.75" customHeight="1">
      <c r="B48" s="106" t="s">
        <v>1899</v>
      </c>
      <c r="C48" s="109" t="str">
        <f>TEXT('15B Building Details'!C65,"#")</f>
        <v/>
      </c>
      <c r="D48" s="381" t="str">
        <f>SUBSTITUTE('15B Building Details'!D65,"[Select functional use from drop down list]","")</f>
        <v/>
      </c>
      <c r="E48" s="513">
        <f>'15B Building Details'!E65</f>
        <v>0</v>
      </c>
      <c r="F48" s="512" t="str">
        <f t="shared" si="2"/>
        <v/>
      </c>
      <c r="G48" s="110" t="str">
        <f>IF(OR($D48="[Select functional use from drop down list]",$D48=""),"",IF($D48="Custom","Custom",IFERROR(IF(VLOOKUP($C$13&amp;"-"&amp;$C$14,'15B Baseline Tables'!$6:$38,MATCH($D48,'15B Baseline Tables'!$6:$6,0),FALSE)="",IF(VLOOKUP($C$13&amp;"-ALL",'15B Baseline Tables'!$6:$38,MATCH($D48,'15B Baseline Tables'!$6:$6,0),FALSE)="",IF(VLOOKUP("AUST-"&amp;$C$14,'15B Baseline Tables'!$6:$38,MATCH($D48,'15B Baseline Tables'!$6:$6,0),FALSE)="","AUST-ALL","AUST-"&amp;$C$14),$C$13&amp;"-ALL"),$C$13&amp;"-"&amp;$C$14),"No Matching Baseline")))</f>
        <v/>
      </c>
      <c r="H48" s="513" t="str">
        <f>IF($G48="","",IF($G48="Custom",0,INDEX('15B Baseline Tables'!$6:$38,MATCH($G48,'15B Baseline Tables'!$A$6:$A$38,0),MATCH($D48,'15B Baseline Tables'!$6:$6,0))))</f>
        <v/>
      </c>
      <c r="I48" s="512" t="str">
        <f>IFERROR(VLOOKUP(I$37,'15B Baseline Tables'!$49:$52,MATCH($D48,'15B Baseline Tables'!$6:$6,0),FALSE),"")</f>
        <v/>
      </c>
      <c r="J48" s="512" t="str">
        <f>IFERROR(VLOOKUP(J$37,'15B Baseline Tables'!$49:$52,MATCH($D48,'15B Baseline Tables'!$6:$6,0),FALSE),"")</f>
        <v/>
      </c>
      <c r="K48" s="512" t="str">
        <f>IFERROR(VLOOKUP(K$37,'15B Baseline Tables'!$49:$52,MATCH($D48,'15B Baseline Tables'!$6:$6,0),FALSE),"")</f>
        <v/>
      </c>
      <c r="L48" s="512" t="str">
        <f>IFERROR(VLOOKUP(L$37,'15B Baseline Tables'!$49:$52,MATCH($D48,'15B Baseline Tables'!$6:$6,0),FALSE),"")</f>
        <v/>
      </c>
      <c r="M48" s="513" t="str">
        <f>IF($G48="","",VLOOKUP($G48,'15B Baseline Tables'!$A:$E,4,FALSE))</f>
        <v/>
      </c>
      <c r="N48" s="513" t="str">
        <f>IF($G48="","",VLOOKUP($G48,'15B Baseline Tables'!$A:$E,5,FALSE))</f>
        <v/>
      </c>
      <c r="O48" s="513" t="str">
        <f>IF($G48="","",IF($G48="Custom",0,INDEX('15B Baseline Tables'!$65:$69,2,MATCH($D48,'15B Baseline Tables'!$6:$6,0))))</f>
        <v/>
      </c>
      <c r="R48" s="72"/>
    </row>
    <row r="49" spans="2:18" ht="27.75" customHeight="1">
      <c r="B49" s="106" t="s">
        <v>1900</v>
      </c>
      <c r="C49" s="109" t="str">
        <f>TEXT('15B Building Details'!C66,"#")</f>
        <v/>
      </c>
      <c r="D49" s="381" t="str">
        <f>SUBSTITUTE('15B Building Details'!D66,"[Select functional use from drop down list]","")</f>
        <v/>
      </c>
      <c r="E49" s="513">
        <f>'15B Building Details'!E66</f>
        <v>0</v>
      </c>
      <c r="F49" s="512" t="str">
        <f t="shared" si="2"/>
        <v/>
      </c>
      <c r="G49" s="110" t="str">
        <f>IF(OR($D49="[Select functional use from drop down list]",$D49=""),"",IF($D49="Custom","Custom",IFERROR(IF(VLOOKUP($C$13&amp;"-"&amp;$C$14,'15B Baseline Tables'!$6:$38,MATCH($D49,'15B Baseline Tables'!$6:$6,0),FALSE)="",IF(VLOOKUP($C$13&amp;"-ALL",'15B Baseline Tables'!$6:$38,MATCH($D49,'15B Baseline Tables'!$6:$6,0),FALSE)="",IF(VLOOKUP("AUST-"&amp;$C$14,'15B Baseline Tables'!$6:$38,MATCH($D49,'15B Baseline Tables'!$6:$6,0),FALSE)="","AUST-ALL","AUST-"&amp;$C$14),$C$13&amp;"-ALL"),$C$13&amp;"-"&amp;$C$14),"No Matching Baseline")))</f>
        <v/>
      </c>
      <c r="H49" s="513" t="str">
        <f>IF($G49="","",IF($G49="Custom",0,INDEX('15B Baseline Tables'!$6:$38,MATCH($G49,'15B Baseline Tables'!$A$6:$A$38,0),MATCH($D49,'15B Baseline Tables'!$6:$6,0))))</f>
        <v/>
      </c>
      <c r="I49" s="512" t="str">
        <f>IFERROR(VLOOKUP(I$37,'15B Baseline Tables'!$49:$52,MATCH($D49,'15B Baseline Tables'!$6:$6,0),FALSE),"")</f>
        <v/>
      </c>
      <c r="J49" s="512" t="str">
        <f>IFERROR(VLOOKUP(J$37,'15B Baseline Tables'!$49:$52,MATCH($D49,'15B Baseline Tables'!$6:$6,0),FALSE),"")</f>
        <v/>
      </c>
      <c r="K49" s="512" t="str">
        <f>IFERROR(VLOOKUP(K$37,'15B Baseline Tables'!$49:$52,MATCH($D49,'15B Baseline Tables'!$6:$6,0),FALSE),"")</f>
        <v/>
      </c>
      <c r="L49" s="512" t="str">
        <f>IFERROR(VLOOKUP(L$37,'15B Baseline Tables'!$49:$52,MATCH($D49,'15B Baseline Tables'!$6:$6,0),FALSE),"")</f>
        <v/>
      </c>
      <c r="M49" s="513" t="str">
        <f>IF($G49="","",VLOOKUP($G49,'15B Baseline Tables'!$A:$E,4,FALSE))</f>
        <v/>
      </c>
      <c r="N49" s="513" t="str">
        <f>IF($G49="","",VLOOKUP($G49,'15B Baseline Tables'!$A:$E,5,FALSE))</f>
        <v/>
      </c>
      <c r="O49" s="513" t="str">
        <f>IF($G49="","",IF($G49="Custom",0,INDEX('15B Baseline Tables'!$65:$69,2,MATCH($D49,'15B Baseline Tables'!$6:$6,0))))</f>
        <v/>
      </c>
      <c r="R49" s="72"/>
    </row>
    <row r="50" spans="2:18" ht="27.75" customHeight="1">
      <c r="B50" s="106" t="s">
        <v>1901</v>
      </c>
      <c r="C50" s="109" t="str">
        <f>TEXT('15B Building Details'!C67,"#")</f>
        <v/>
      </c>
      <c r="D50" s="381" t="str">
        <f>SUBSTITUTE('15B Building Details'!D67,"[Select functional use from drop down list]","")</f>
        <v/>
      </c>
      <c r="E50" s="513">
        <f>'15B Building Details'!E67</f>
        <v>0</v>
      </c>
      <c r="F50" s="512" t="str">
        <f t="shared" si="2"/>
        <v/>
      </c>
      <c r="G50" s="110" t="str">
        <f>IF(OR($D50="[Select functional use from drop down list]",$D50=""),"",IF($D50="Custom","Custom",IFERROR(IF(VLOOKUP($C$13&amp;"-"&amp;$C$14,'15B Baseline Tables'!$6:$38,MATCH($D50,'15B Baseline Tables'!$6:$6,0),FALSE)="",IF(VLOOKUP($C$13&amp;"-ALL",'15B Baseline Tables'!$6:$38,MATCH($D50,'15B Baseline Tables'!$6:$6,0),FALSE)="",IF(VLOOKUP("AUST-"&amp;$C$14,'15B Baseline Tables'!$6:$38,MATCH($D50,'15B Baseline Tables'!$6:$6,0),FALSE)="","AUST-ALL","AUST-"&amp;$C$14),$C$13&amp;"-ALL"),$C$13&amp;"-"&amp;$C$14),"No Matching Baseline")))</f>
        <v/>
      </c>
      <c r="H50" s="513" t="str">
        <f>IF($G50="","",IF($G50="Custom",0,INDEX('15B Baseline Tables'!$6:$38,MATCH($G50,'15B Baseline Tables'!$A$6:$A$38,0),MATCH($D50,'15B Baseline Tables'!$6:$6,0))))</f>
        <v/>
      </c>
      <c r="I50" s="512" t="str">
        <f>IFERROR(VLOOKUP(I$37,'15B Baseline Tables'!$49:$52,MATCH($D50,'15B Baseline Tables'!$6:$6,0),FALSE),"")</f>
        <v/>
      </c>
      <c r="J50" s="512" t="str">
        <f>IFERROR(VLOOKUP(J$37,'15B Baseline Tables'!$49:$52,MATCH($D50,'15B Baseline Tables'!$6:$6,0),FALSE),"")</f>
        <v/>
      </c>
      <c r="K50" s="512" t="str">
        <f>IFERROR(VLOOKUP(K$37,'15B Baseline Tables'!$49:$52,MATCH($D50,'15B Baseline Tables'!$6:$6,0),FALSE),"")</f>
        <v/>
      </c>
      <c r="L50" s="512" t="str">
        <f>IFERROR(VLOOKUP(L$37,'15B Baseline Tables'!$49:$52,MATCH($D50,'15B Baseline Tables'!$6:$6,0),FALSE),"")</f>
        <v/>
      </c>
      <c r="M50" s="513" t="str">
        <f>IF($G50="","",VLOOKUP($G50,'15B Baseline Tables'!$A:$E,4,FALSE))</f>
        <v/>
      </c>
      <c r="N50" s="513" t="str">
        <f>IF($G50="","",VLOOKUP($G50,'15B Baseline Tables'!$A:$E,5,FALSE))</f>
        <v/>
      </c>
      <c r="O50" s="513" t="str">
        <f>IF($G50="","",IF($G50="Custom",0,INDEX('15B Baseline Tables'!$65:$69,2,MATCH($D50,'15B Baseline Tables'!$6:$6,0))))</f>
        <v/>
      </c>
      <c r="R50" s="72"/>
    </row>
    <row r="51" spans="2:18" ht="27.75" customHeight="1">
      <c r="B51" s="106" t="s">
        <v>1902</v>
      </c>
      <c r="C51" s="109" t="str">
        <f>TEXT('15B Building Details'!C68,"#")</f>
        <v/>
      </c>
      <c r="D51" s="381" t="str">
        <f>SUBSTITUTE('15B Building Details'!D68,"[Select functional use from drop down list]","")</f>
        <v/>
      </c>
      <c r="E51" s="513">
        <f>'15B Building Details'!E68</f>
        <v>0</v>
      </c>
      <c r="F51" s="512" t="str">
        <f t="shared" si="2"/>
        <v/>
      </c>
      <c r="G51" s="110" t="str">
        <f>IF(OR($D51="[Select functional use from drop down list]",$D51=""),"",IF($D51="Custom","Custom",IFERROR(IF(VLOOKUP($C$13&amp;"-"&amp;$C$14,'15B Baseline Tables'!$6:$38,MATCH($D51,'15B Baseline Tables'!$6:$6,0),FALSE)="",IF(VLOOKUP($C$13&amp;"-ALL",'15B Baseline Tables'!$6:$38,MATCH($D51,'15B Baseline Tables'!$6:$6,0),FALSE)="",IF(VLOOKUP("AUST-"&amp;$C$14,'15B Baseline Tables'!$6:$38,MATCH($D51,'15B Baseline Tables'!$6:$6,0),FALSE)="","AUST-ALL","AUST-"&amp;$C$14),$C$13&amp;"-ALL"),$C$13&amp;"-"&amp;$C$14),"No Matching Baseline")))</f>
        <v/>
      </c>
      <c r="H51" s="513" t="str">
        <f>IF($G51="","",IF($G51="Custom",0,INDEX('15B Baseline Tables'!$6:$38,MATCH($G51,'15B Baseline Tables'!$A$6:$A$38,0),MATCH($D51,'15B Baseline Tables'!$6:$6,0))))</f>
        <v/>
      </c>
      <c r="I51" s="512" t="str">
        <f>IFERROR(VLOOKUP(I$37,'15B Baseline Tables'!$49:$52,MATCH($D51,'15B Baseline Tables'!$6:$6,0),FALSE),"")</f>
        <v/>
      </c>
      <c r="J51" s="512" t="str">
        <f>IFERROR(VLOOKUP(J$37,'15B Baseline Tables'!$49:$52,MATCH($D51,'15B Baseline Tables'!$6:$6,0),FALSE),"")</f>
        <v/>
      </c>
      <c r="K51" s="512" t="str">
        <f>IFERROR(VLOOKUP(K$37,'15B Baseline Tables'!$49:$52,MATCH($D51,'15B Baseline Tables'!$6:$6,0),FALSE),"")</f>
        <v/>
      </c>
      <c r="L51" s="512" t="str">
        <f>IFERROR(VLOOKUP(L$37,'15B Baseline Tables'!$49:$52,MATCH($D51,'15B Baseline Tables'!$6:$6,0),FALSE),"")</f>
        <v/>
      </c>
      <c r="M51" s="513" t="str">
        <f>IF($G51="","",VLOOKUP($G51,'15B Baseline Tables'!$A:$E,4,FALSE))</f>
        <v/>
      </c>
      <c r="N51" s="513" t="str">
        <f>IF($G51="","",VLOOKUP($G51,'15B Baseline Tables'!$A:$E,5,FALSE))</f>
        <v/>
      </c>
      <c r="O51" s="513" t="str">
        <f>IF($G51="","",IF($G51="Custom",0,INDEX('15B Baseline Tables'!$65:$69,2,MATCH($D51,'15B Baseline Tables'!$6:$6,0))))</f>
        <v/>
      </c>
      <c r="R51" s="72"/>
    </row>
    <row r="52" spans="2:18" ht="27.75" customHeight="1">
      <c r="B52" s="106" t="s">
        <v>1903</v>
      </c>
      <c r="C52" s="109" t="str">
        <f>TEXT('15B Building Details'!C69,"#")</f>
        <v/>
      </c>
      <c r="D52" s="381" t="str">
        <f>SUBSTITUTE('15B Building Details'!D69,"[Select functional use from drop down list]","")</f>
        <v/>
      </c>
      <c r="E52" s="513">
        <f>'15B Building Details'!E69</f>
        <v>0</v>
      </c>
      <c r="F52" s="512" t="str">
        <f t="shared" si="2"/>
        <v/>
      </c>
      <c r="G52" s="110" t="str">
        <f>IF(OR($D52="[Select functional use from drop down list]",$D52=""),"",IF($D52="Custom","Custom",IFERROR(IF(VLOOKUP($C$13&amp;"-"&amp;$C$14,'15B Baseline Tables'!$6:$38,MATCH($D52,'15B Baseline Tables'!$6:$6,0),FALSE)="",IF(VLOOKUP($C$13&amp;"-ALL",'15B Baseline Tables'!$6:$38,MATCH($D52,'15B Baseline Tables'!$6:$6,0),FALSE)="",IF(VLOOKUP("AUST-"&amp;$C$14,'15B Baseline Tables'!$6:$38,MATCH($D52,'15B Baseline Tables'!$6:$6,0),FALSE)="","AUST-ALL","AUST-"&amp;$C$14),$C$13&amp;"-ALL"),$C$13&amp;"-"&amp;$C$14),"No Matching Baseline")))</f>
        <v/>
      </c>
      <c r="H52" s="513" t="str">
        <f>IF($G52="","",IF($G52="Custom",0,INDEX('15B Baseline Tables'!$6:$38,MATCH($G52,'15B Baseline Tables'!$A$6:$A$38,0),MATCH($D52,'15B Baseline Tables'!$6:$6,0))))</f>
        <v/>
      </c>
      <c r="I52" s="512" t="str">
        <f>IFERROR(VLOOKUP(I$37,'15B Baseline Tables'!$49:$52,MATCH($D52,'15B Baseline Tables'!$6:$6,0),FALSE),"")</f>
        <v/>
      </c>
      <c r="J52" s="512" t="str">
        <f>IFERROR(VLOOKUP(J$37,'15B Baseline Tables'!$49:$52,MATCH($D52,'15B Baseline Tables'!$6:$6,0),FALSE),"")</f>
        <v/>
      </c>
      <c r="K52" s="512" t="str">
        <f>IFERROR(VLOOKUP(K$37,'15B Baseline Tables'!$49:$52,MATCH($D52,'15B Baseline Tables'!$6:$6,0),FALSE),"")</f>
        <v/>
      </c>
      <c r="L52" s="512" t="str">
        <f>IFERROR(VLOOKUP(L$37,'15B Baseline Tables'!$49:$52,MATCH($D52,'15B Baseline Tables'!$6:$6,0),FALSE),"")</f>
        <v/>
      </c>
      <c r="M52" s="513" t="str">
        <f>IF($G52="","",VLOOKUP($G52,'15B Baseline Tables'!$A:$E,4,FALSE))</f>
        <v/>
      </c>
      <c r="N52" s="513" t="str">
        <f>IF($G52="","",VLOOKUP($G52,'15B Baseline Tables'!$A:$E,5,FALSE))</f>
        <v/>
      </c>
      <c r="O52" s="513" t="str">
        <f>IF($G52="","",IF($G52="Custom",0,INDEX('15B Baseline Tables'!$65:$69,2,MATCH($D52,'15B Baseline Tables'!$6:$6,0))))</f>
        <v/>
      </c>
      <c r="R52" s="72"/>
    </row>
    <row r="53" spans="2:18" ht="45" customHeight="1">
      <c r="B53" s="22"/>
      <c r="E53" s="118" t="s">
        <v>1968</v>
      </c>
      <c r="F53" s="118" t="s">
        <v>1969</v>
      </c>
      <c r="G53" s="118"/>
      <c r="H53" s="118" t="s">
        <v>1970</v>
      </c>
      <c r="I53" s="118" t="s">
        <v>1971</v>
      </c>
      <c r="J53" s="118" t="s">
        <v>1972</v>
      </c>
      <c r="K53" s="118" t="s">
        <v>1973</v>
      </c>
      <c r="L53" s="118" t="s">
        <v>1974</v>
      </c>
      <c r="M53" s="118" t="s">
        <v>1975</v>
      </c>
      <c r="N53" s="118" t="s">
        <v>1976</v>
      </c>
      <c r="O53" s="118" t="s">
        <v>1977</v>
      </c>
    </row>
    <row r="54" spans="2:18" ht="20.100000000000001" customHeight="1">
      <c r="E54" s="513">
        <f>SUM(E38:E52)</f>
        <v>0</v>
      </c>
      <c r="F54" s="512">
        <f>SUM(F38:F52)</f>
        <v>0</v>
      </c>
      <c r="G54" s="110"/>
      <c r="H54" s="513">
        <f>SUMPRODUCT($H$38:$H$52,$F$38:$F$52)</f>
        <v>0</v>
      </c>
      <c r="I54" s="520">
        <f>SUMPRODUCT(I$38:I$52,$F$38:$F$52)</f>
        <v>0</v>
      </c>
      <c r="J54" s="520">
        <f>SUMPRODUCT(J$38:J$52,$F$38:$F$52)</f>
        <v>0</v>
      </c>
      <c r="K54" s="520">
        <f>SUMPRODUCT(K$38:K$52,$F$38:$F$52)</f>
        <v>0</v>
      </c>
      <c r="L54" s="520">
        <f>SUMPRODUCT(L$38:L$52,$F$38:$F$52)</f>
        <v>0</v>
      </c>
      <c r="M54" s="513">
        <f>SUMPRODUCT($M$38:$M$52,$F$38:$F$52)</f>
        <v>0</v>
      </c>
      <c r="N54" s="513">
        <f>SUMPRODUCT($N$38:$N$52,$F$38:$F$52)</f>
        <v>0</v>
      </c>
      <c r="O54" s="513">
        <f>SUMPRODUCT($O$38:$O$52,$F$38:$F$52)</f>
        <v>0</v>
      </c>
    </row>
    <row r="55" spans="2:18" ht="12.75" customHeight="1">
      <c r="G55" s="12"/>
      <c r="I55" s="17"/>
      <c r="J55" s="20"/>
      <c r="K55" s="20"/>
      <c r="L55" s="20"/>
    </row>
    <row r="56" spans="2:18" ht="28.2">
      <c r="G56" s="401" t="s">
        <v>1978</v>
      </c>
      <c r="H56" s="402" t="str">
        <f>IF(COUNTIF(E38:E52,"&gt;0")&lt;&gt;COUNTIF(H38:H52,"&gt;0"),"Incomplete",IF(SUM(I54:L54)&lt;&gt;1,"Check Energy Mix","OK"))</f>
        <v>Check Energy Mix</v>
      </c>
      <c r="J56" s="20"/>
      <c r="K56" s="20"/>
      <c r="L56" s="20"/>
    </row>
    <row r="57" spans="2:18" ht="12.75" customHeight="1">
      <c r="J57" s="15"/>
      <c r="K57" s="17"/>
      <c r="L57" s="20"/>
      <c r="M57" s="20"/>
      <c r="N57" s="20"/>
    </row>
    <row r="58" spans="2:18" ht="20.100000000000001" customHeight="1">
      <c r="B58" s="155" t="s">
        <v>1979</v>
      </c>
      <c r="C58" s="155"/>
      <c r="D58" s="155"/>
      <c r="E58" s="155"/>
      <c r="F58" s="155"/>
      <c r="G58" s="155"/>
      <c r="H58" s="155"/>
      <c r="I58" s="155"/>
      <c r="J58" s="155"/>
      <c r="K58" s="155"/>
      <c r="L58"/>
      <c r="M58"/>
      <c r="N58"/>
      <c r="O58"/>
      <c r="P58"/>
      <c r="Q58"/>
    </row>
    <row r="59" spans="2:18" ht="12.75" customHeight="1">
      <c r="J59" s="15"/>
    </row>
    <row r="60" spans="2:18" ht="30" customHeight="1">
      <c r="E60" s="118" t="s">
        <v>1854</v>
      </c>
      <c r="F60" s="118" t="s">
        <v>1856</v>
      </c>
      <c r="G60" s="118" t="s">
        <v>1980</v>
      </c>
      <c r="J60" s="15"/>
    </row>
    <row r="61" spans="2:18" ht="20.100000000000001" customHeight="1">
      <c r="B61"/>
      <c r="C61" s="663" t="s">
        <v>1981</v>
      </c>
      <c r="D61" s="664"/>
      <c r="E61" s="86" t="str">
        <f>'15B Building Details'!H13</f>
        <v/>
      </c>
      <c r="F61" s="86" t="str">
        <f>'15B Building Details'!H14</f>
        <v/>
      </c>
      <c r="G61" s="86">
        <f>IFERROR('15B Building Details'!F71,)</f>
        <v>0</v>
      </c>
      <c r="J61" s="15"/>
    </row>
    <row r="62" spans="2:18" ht="20.100000000000001" customHeight="1">
      <c r="C62" s="663" t="s">
        <v>1982</v>
      </c>
      <c r="D62" s="664"/>
      <c r="E62" s="86">
        <f>M54</f>
        <v>0</v>
      </c>
      <c r="F62" s="86">
        <f>N54</f>
        <v>0</v>
      </c>
      <c r="G62" s="86">
        <f>O54</f>
        <v>0</v>
      </c>
      <c r="J62" s="15"/>
    </row>
    <row r="63" spans="2:18" ht="12.75" customHeight="1">
      <c r="J63" s="15"/>
    </row>
    <row r="64" spans="2:18" ht="12.75" customHeight="1">
      <c r="J64" s="15"/>
    </row>
    <row r="65" spans="2:11" ht="20.100000000000001" customHeight="1">
      <c r="B65" s="643" t="s">
        <v>1983</v>
      </c>
      <c r="C65" s="643" t="s">
        <v>1984</v>
      </c>
      <c r="D65" s="643" t="s">
        <v>1985</v>
      </c>
      <c r="E65" s="634" t="s">
        <v>1986</v>
      </c>
      <c r="F65" s="634"/>
      <c r="G65" s="634"/>
      <c r="H65" s="634" t="s">
        <v>1987</v>
      </c>
      <c r="I65" s="634"/>
      <c r="J65" s="634"/>
      <c r="K65" s="643" t="s">
        <v>1988</v>
      </c>
    </row>
    <row r="66" spans="2:11" ht="45" customHeight="1">
      <c r="B66" s="665"/>
      <c r="C66" s="665"/>
      <c r="D66" s="644"/>
      <c r="E66" s="193" t="s">
        <v>1854</v>
      </c>
      <c r="F66" s="193" t="s">
        <v>1856</v>
      </c>
      <c r="G66" s="193" t="s">
        <v>1989</v>
      </c>
      <c r="H66" s="118" t="s">
        <v>1990</v>
      </c>
      <c r="I66" s="118" t="s">
        <v>1991</v>
      </c>
      <c r="J66" s="193" t="s">
        <v>1989</v>
      </c>
      <c r="K66" s="644"/>
    </row>
    <row r="67" spans="2:11" ht="20.100000000000001" customHeight="1">
      <c r="B67" s="364" t="s">
        <v>1992</v>
      </c>
      <c r="C67" s="365">
        <v>1</v>
      </c>
      <c r="D67" s="521">
        <f t="shared" ref="D67:D80" si="3">$H$54*C67</f>
        <v>0</v>
      </c>
      <c r="E67" s="370"/>
      <c r="F67" s="371"/>
      <c r="G67" s="372" t="b">
        <v>1</v>
      </c>
      <c r="H67" s="211">
        <f t="shared" ref="H67:H80" si="4">IF(E67=TRUE,IF($E$62=0,$E$61/($E$62+1),$E$61/$E$62),1)</f>
        <v>1</v>
      </c>
      <c r="I67" s="212">
        <f t="shared" ref="I67:I80" si="5">IF(F67=TRUE,IF($F$62=0,$F$61/($F$62+1),$F$61/$F$62),1)</f>
        <v>1</v>
      </c>
      <c r="J67" s="212">
        <f>IF(G67=TRUE,IF($G$62=0,1,$G$61/$G$62),1)</f>
        <v>1</v>
      </c>
      <c r="K67" s="513">
        <f>D67*H67*I67*J67</f>
        <v>0</v>
      </c>
    </row>
    <row r="68" spans="2:11" ht="20.100000000000001" customHeight="1">
      <c r="B68" s="364" t="s">
        <v>1993</v>
      </c>
      <c r="C68" s="365"/>
      <c r="D68" s="521">
        <f t="shared" si="3"/>
        <v>0</v>
      </c>
      <c r="E68" s="373"/>
      <c r="F68" s="374"/>
      <c r="G68" s="375"/>
      <c r="H68" s="211">
        <f t="shared" si="4"/>
        <v>1</v>
      </c>
      <c r="I68" s="212">
        <f t="shared" si="5"/>
        <v>1</v>
      </c>
      <c r="J68" s="212">
        <f t="shared" ref="J68:J80" si="6">IF(G68=TRUE,IF($G$62=0,1,$G$61/$G$62),1)</f>
        <v>1</v>
      </c>
      <c r="K68" s="513">
        <f t="shared" ref="K68:K80" si="7">D68*H68*I68*J68</f>
        <v>0</v>
      </c>
    </row>
    <row r="69" spans="2:11" ht="20.100000000000001" customHeight="1">
      <c r="B69" s="364" t="s">
        <v>1994</v>
      </c>
      <c r="C69" s="365"/>
      <c r="D69" s="521">
        <f t="shared" si="3"/>
        <v>0</v>
      </c>
      <c r="E69" s="376"/>
      <c r="F69" s="374"/>
      <c r="G69" s="377"/>
      <c r="H69" s="211">
        <f t="shared" si="4"/>
        <v>1</v>
      </c>
      <c r="I69" s="212">
        <f t="shared" si="5"/>
        <v>1</v>
      </c>
      <c r="J69" s="212">
        <f t="shared" si="6"/>
        <v>1</v>
      </c>
      <c r="K69" s="513">
        <f t="shared" si="7"/>
        <v>0</v>
      </c>
    </row>
    <row r="70" spans="2:11" ht="20.100000000000001" customHeight="1">
      <c r="B70" s="364" t="s">
        <v>1995</v>
      </c>
      <c r="C70" s="365"/>
      <c r="D70" s="521">
        <f t="shared" si="3"/>
        <v>0</v>
      </c>
      <c r="E70" s="376"/>
      <c r="F70" s="374"/>
      <c r="G70" s="377"/>
      <c r="H70" s="211">
        <f t="shared" si="4"/>
        <v>1</v>
      </c>
      <c r="I70" s="212">
        <f t="shared" si="5"/>
        <v>1</v>
      </c>
      <c r="J70" s="212">
        <f t="shared" si="6"/>
        <v>1</v>
      </c>
      <c r="K70" s="513">
        <f t="shared" si="7"/>
        <v>0</v>
      </c>
    </row>
    <row r="71" spans="2:11" ht="20.100000000000001" customHeight="1">
      <c r="B71" s="364" t="s">
        <v>1996</v>
      </c>
      <c r="C71" s="365"/>
      <c r="D71" s="521">
        <f t="shared" si="3"/>
        <v>0</v>
      </c>
      <c r="E71" s="376"/>
      <c r="F71" s="374"/>
      <c r="G71" s="375"/>
      <c r="H71" s="211">
        <f t="shared" si="4"/>
        <v>1</v>
      </c>
      <c r="I71" s="212">
        <f t="shared" si="5"/>
        <v>1</v>
      </c>
      <c r="J71" s="212">
        <f t="shared" si="6"/>
        <v>1</v>
      </c>
      <c r="K71" s="513">
        <f t="shared" si="7"/>
        <v>0</v>
      </c>
    </row>
    <row r="72" spans="2:11" ht="20.100000000000001" customHeight="1">
      <c r="B72" s="364" t="s">
        <v>1997</v>
      </c>
      <c r="C72" s="365"/>
      <c r="D72" s="521">
        <f t="shared" si="3"/>
        <v>0</v>
      </c>
      <c r="E72" s="376"/>
      <c r="F72" s="374"/>
      <c r="G72" s="375"/>
      <c r="H72" s="211">
        <f t="shared" si="4"/>
        <v>1</v>
      </c>
      <c r="I72" s="212">
        <f t="shared" si="5"/>
        <v>1</v>
      </c>
      <c r="J72" s="212">
        <f t="shared" si="6"/>
        <v>1</v>
      </c>
      <c r="K72" s="513">
        <f t="shared" si="7"/>
        <v>0</v>
      </c>
    </row>
    <row r="73" spans="2:11" ht="20.100000000000001" customHeight="1">
      <c r="B73" s="364" t="s">
        <v>1997</v>
      </c>
      <c r="C73" s="365"/>
      <c r="D73" s="521">
        <f t="shared" si="3"/>
        <v>0</v>
      </c>
      <c r="E73" s="376"/>
      <c r="F73" s="374"/>
      <c r="G73" s="375"/>
      <c r="H73" s="211">
        <f t="shared" si="4"/>
        <v>1</v>
      </c>
      <c r="I73" s="212">
        <f t="shared" si="5"/>
        <v>1</v>
      </c>
      <c r="J73" s="212">
        <f t="shared" si="6"/>
        <v>1</v>
      </c>
      <c r="K73" s="513">
        <f t="shared" si="7"/>
        <v>0</v>
      </c>
    </row>
    <row r="74" spans="2:11" ht="20.100000000000001" customHeight="1">
      <c r="B74" s="364" t="s">
        <v>1998</v>
      </c>
      <c r="C74" s="365"/>
      <c r="D74" s="521">
        <f t="shared" si="3"/>
        <v>0</v>
      </c>
      <c r="E74" s="376"/>
      <c r="F74" s="374"/>
      <c r="G74" s="375"/>
      <c r="H74" s="211">
        <f t="shared" si="4"/>
        <v>1</v>
      </c>
      <c r="I74" s="212">
        <f t="shared" si="5"/>
        <v>1</v>
      </c>
      <c r="J74" s="212">
        <f t="shared" si="6"/>
        <v>1</v>
      </c>
      <c r="K74" s="513">
        <f t="shared" si="7"/>
        <v>0</v>
      </c>
    </row>
    <row r="75" spans="2:11" ht="20.100000000000001" customHeight="1">
      <c r="B75" s="364" t="s">
        <v>1995</v>
      </c>
      <c r="C75" s="365"/>
      <c r="D75" s="521">
        <f t="shared" si="3"/>
        <v>0</v>
      </c>
      <c r="E75" s="376"/>
      <c r="F75" s="374"/>
      <c r="G75" s="375"/>
      <c r="H75" s="211">
        <f t="shared" si="4"/>
        <v>1</v>
      </c>
      <c r="I75" s="212">
        <f t="shared" si="5"/>
        <v>1</v>
      </c>
      <c r="J75" s="212">
        <f t="shared" si="6"/>
        <v>1</v>
      </c>
      <c r="K75" s="513">
        <f t="shared" si="7"/>
        <v>0</v>
      </c>
    </row>
    <row r="76" spans="2:11" ht="20.100000000000001" customHeight="1">
      <c r="B76" s="364" t="s">
        <v>1999</v>
      </c>
      <c r="C76" s="365"/>
      <c r="D76" s="521">
        <f t="shared" si="3"/>
        <v>0</v>
      </c>
      <c r="E76" s="376"/>
      <c r="F76" s="374"/>
      <c r="G76" s="375"/>
      <c r="H76" s="211">
        <f t="shared" si="4"/>
        <v>1</v>
      </c>
      <c r="I76" s="212">
        <f t="shared" si="5"/>
        <v>1</v>
      </c>
      <c r="J76" s="212">
        <f t="shared" si="6"/>
        <v>1</v>
      </c>
      <c r="K76" s="513">
        <f t="shared" si="7"/>
        <v>0</v>
      </c>
    </row>
    <row r="77" spans="2:11" ht="20.100000000000001" customHeight="1">
      <c r="B77" s="366" t="s">
        <v>2000</v>
      </c>
      <c r="C77" s="365"/>
      <c r="D77" s="521">
        <f t="shared" si="3"/>
        <v>0</v>
      </c>
      <c r="E77" s="376"/>
      <c r="F77" s="374"/>
      <c r="G77" s="375"/>
      <c r="H77" s="211">
        <f t="shared" si="4"/>
        <v>1</v>
      </c>
      <c r="I77" s="212">
        <f t="shared" si="5"/>
        <v>1</v>
      </c>
      <c r="J77" s="212">
        <f t="shared" si="6"/>
        <v>1</v>
      </c>
      <c r="K77" s="513">
        <f t="shared" si="7"/>
        <v>0</v>
      </c>
    </row>
    <row r="78" spans="2:11" ht="20.100000000000001" customHeight="1">
      <c r="B78" s="366"/>
      <c r="C78" s="367"/>
      <c r="D78" s="521">
        <f t="shared" si="3"/>
        <v>0</v>
      </c>
      <c r="E78" s="376"/>
      <c r="F78" s="374"/>
      <c r="G78" s="375"/>
      <c r="H78" s="211">
        <f t="shared" si="4"/>
        <v>1</v>
      </c>
      <c r="I78" s="212">
        <f t="shared" si="5"/>
        <v>1</v>
      </c>
      <c r="J78" s="212">
        <f t="shared" si="6"/>
        <v>1</v>
      </c>
      <c r="K78" s="513">
        <f t="shared" si="7"/>
        <v>0</v>
      </c>
    </row>
    <row r="79" spans="2:11" ht="20.100000000000001" customHeight="1">
      <c r="B79" s="366"/>
      <c r="C79" s="367"/>
      <c r="D79" s="521">
        <f t="shared" si="3"/>
        <v>0</v>
      </c>
      <c r="E79" s="376"/>
      <c r="F79" s="374"/>
      <c r="G79" s="375"/>
      <c r="H79" s="211">
        <f t="shared" si="4"/>
        <v>1</v>
      </c>
      <c r="I79" s="212">
        <f t="shared" si="5"/>
        <v>1</v>
      </c>
      <c r="J79" s="212">
        <f t="shared" si="6"/>
        <v>1</v>
      </c>
      <c r="K79" s="513">
        <f t="shared" si="7"/>
        <v>0</v>
      </c>
    </row>
    <row r="80" spans="2:11" ht="20.100000000000001" customHeight="1">
      <c r="B80" s="368"/>
      <c r="C80" s="369"/>
      <c r="D80" s="521">
        <f t="shared" si="3"/>
        <v>0</v>
      </c>
      <c r="E80" s="378"/>
      <c r="F80" s="379"/>
      <c r="G80" s="380"/>
      <c r="H80" s="211">
        <f t="shared" si="4"/>
        <v>1</v>
      </c>
      <c r="I80" s="212">
        <f t="shared" si="5"/>
        <v>1</v>
      </c>
      <c r="J80" s="212">
        <f t="shared" si="6"/>
        <v>1</v>
      </c>
      <c r="K80" s="513">
        <f t="shared" si="7"/>
        <v>0</v>
      </c>
    </row>
    <row r="81" spans="2:17" ht="20.100000000000001" customHeight="1">
      <c r="C81" s="522">
        <f>SUM(C67:C80)</f>
        <v>1</v>
      </c>
      <c r="D81" s="513">
        <f>SUM(D67:D80)</f>
        <v>0</v>
      </c>
      <c r="J81" s="15"/>
      <c r="K81" s="513">
        <f>SUM(K67:K80)</f>
        <v>0</v>
      </c>
    </row>
    <row r="82" spans="2:17">
      <c r="J82" s="15"/>
    </row>
    <row r="83" spans="2:17">
      <c r="J83" s="15"/>
    </row>
    <row r="84" spans="2:17">
      <c r="J84" s="15"/>
    </row>
    <row r="85" spans="2:17" ht="20.100000000000001" customHeight="1">
      <c r="B85" s="155" t="s">
        <v>2001</v>
      </c>
      <c r="C85" s="155"/>
      <c r="D85" s="155"/>
      <c r="E85" s="155"/>
      <c r="F85"/>
      <c r="G85"/>
      <c r="H85"/>
      <c r="I85"/>
      <c r="J85"/>
      <c r="K85"/>
      <c r="L85"/>
      <c r="M85"/>
      <c r="N85"/>
      <c r="O85"/>
      <c r="P85"/>
      <c r="Q85"/>
    </row>
    <row r="86" spans="2:17">
      <c r="J86" s="15"/>
      <c r="K86" s="17"/>
    </row>
    <row r="87" spans="2:17">
      <c r="B87" s="18" t="s">
        <v>2002</v>
      </c>
      <c r="C87" s="18"/>
      <c r="D87" s="18"/>
      <c r="E87" s="18"/>
      <c r="F87" s="18"/>
      <c r="G87" s="18"/>
      <c r="H87" s="18"/>
      <c r="J87" s="15"/>
      <c r="K87" s="17"/>
    </row>
    <row r="88" spans="2:17" ht="30" customHeight="1">
      <c r="B88" s="118" t="s">
        <v>2003</v>
      </c>
      <c r="C88" s="193" t="s">
        <v>2004</v>
      </c>
      <c r="D88" s="193" t="s">
        <v>1949</v>
      </c>
      <c r="E88" s="193" t="s">
        <v>2005</v>
      </c>
      <c r="I88" s="17"/>
      <c r="J88" s="15"/>
    </row>
    <row r="89" spans="2:17" ht="25.35" customHeight="1">
      <c r="B89" s="111" t="s">
        <v>673</v>
      </c>
      <c r="C89" s="523">
        <f>I54*$K$81</f>
        <v>0</v>
      </c>
      <c r="D89" s="524">
        <f>'15B Building Details'!D26</f>
        <v>0</v>
      </c>
      <c r="E89" s="523">
        <f>C89/1000*D89</f>
        <v>0</v>
      </c>
      <c r="I89" s="17"/>
      <c r="J89" s="15"/>
    </row>
    <row r="90" spans="2:17" ht="25.35" customHeight="1">
      <c r="B90" s="111" t="s">
        <v>1915</v>
      </c>
      <c r="C90" s="523">
        <f>J54*$K$81</f>
        <v>0</v>
      </c>
      <c r="D90" s="524" t="b">
        <f>'15B Building Details'!D28</f>
        <v>0</v>
      </c>
      <c r="E90" s="523">
        <f t="shared" ref="E90:E91" si="8">C90/1000*D90</f>
        <v>0</v>
      </c>
      <c r="I90" s="17"/>
      <c r="J90" s="15"/>
    </row>
    <row r="91" spans="2:17" ht="25.35" customHeight="1">
      <c r="B91" s="111" t="s">
        <v>1917</v>
      </c>
      <c r="C91" s="523">
        <f>K54*$K$81</f>
        <v>0</v>
      </c>
      <c r="D91" s="524" t="b">
        <f>'15B Building Details'!D29</f>
        <v>0</v>
      </c>
      <c r="E91" s="523">
        <f t="shared" si="8"/>
        <v>0</v>
      </c>
      <c r="I91" s="17"/>
      <c r="J91" s="15"/>
    </row>
    <row r="92" spans="2:17" ht="25.35" customHeight="1">
      <c r="B92" s="111" t="s">
        <v>1919</v>
      </c>
      <c r="C92" s="523">
        <f>L54*$K$81</f>
        <v>0</v>
      </c>
      <c r="D92" s="524" t="b">
        <f>'15B Building Details'!D30</f>
        <v>0</v>
      </c>
      <c r="E92" s="523">
        <f t="shared" ref="E92" si="9">C92/1000*D92</f>
        <v>0</v>
      </c>
      <c r="I92" s="17"/>
      <c r="J92" s="15"/>
    </row>
    <row r="93" spans="2:17" ht="25.35" customHeight="1">
      <c r="B93" s="118" t="s">
        <v>334</v>
      </c>
      <c r="C93" s="107">
        <f>SUM(C89:C92)</f>
        <v>0</v>
      </c>
      <c r="D93" s="108"/>
      <c r="E93" s="107">
        <f>SUM(E89:E92)</f>
        <v>0</v>
      </c>
      <c r="I93" s="17"/>
      <c r="J93" s="15"/>
    </row>
    <row r="94" spans="2:17">
      <c r="J94" s="15"/>
      <c r="K94" s="17"/>
    </row>
    <row r="96" spans="2:17" ht="20.100000000000001" customHeight="1">
      <c r="B96" s="155" t="s">
        <v>2006</v>
      </c>
      <c r="C96" s="155"/>
      <c r="D96" s="155"/>
      <c r="E96" s="155"/>
      <c r="F96"/>
      <c r="G96"/>
      <c r="H96"/>
      <c r="I96"/>
      <c r="J96"/>
      <c r="K96"/>
      <c r="L96"/>
      <c r="M96"/>
      <c r="N96"/>
      <c r="O96"/>
      <c r="P96"/>
      <c r="Q96"/>
    </row>
    <row r="97" spans="2:25">
      <c r="J97" s="15"/>
    </row>
    <row r="98" spans="2:25" ht="20.100000000000001" customHeight="1">
      <c r="B98" s="118" t="s">
        <v>2007</v>
      </c>
      <c r="C98" s="193" t="s">
        <v>2008</v>
      </c>
      <c r="J98" s="15"/>
      <c r="V98" s="655" t="s">
        <v>788</v>
      </c>
      <c r="W98" s="655"/>
      <c r="Y98" s="160" t="s">
        <v>771</v>
      </c>
    </row>
    <row r="99" spans="2:25" ht="20.100000000000001" customHeight="1">
      <c r="B99" s="118" t="s">
        <v>2009</v>
      </c>
      <c r="C99" s="86">
        <f>E93</f>
        <v>0</v>
      </c>
      <c r="E99" s="17"/>
      <c r="F99" s="17"/>
      <c r="J99" s="15"/>
      <c r="V99" s="160" t="s">
        <v>791</v>
      </c>
      <c r="W99" s="162">
        <f>'15B Building Details'!C9</f>
        <v>0</v>
      </c>
      <c r="Y99" s="160" t="s">
        <v>774</v>
      </c>
    </row>
    <row r="100" spans="2:25" ht="20.100000000000001" customHeight="1">
      <c r="B100" s="118" t="s">
        <v>2010</v>
      </c>
      <c r="C100" s="86">
        <f>C99/70</f>
        <v>0</v>
      </c>
      <c r="J100" s="15"/>
      <c r="V100" s="168" t="s">
        <v>793</v>
      </c>
      <c r="W100" s="160" t="e">
        <f>C108</f>
        <v>#DIV/0!</v>
      </c>
      <c r="Y100" s="160" t="s">
        <v>776</v>
      </c>
    </row>
    <row r="101" spans="2:25" ht="20.100000000000001" customHeight="1">
      <c r="B101" s="118" t="s">
        <v>2011</v>
      </c>
      <c r="C101" s="86">
        <f>C100*100</f>
        <v>0</v>
      </c>
      <c r="J101" s="15"/>
      <c r="V101" s="168" t="s">
        <v>797</v>
      </c>
      <c r="W101" s="160" t="e">
        <f>IF(AND(W100="No",IF(ISNUMBER(MATCH(W99,Y103:Y105,0)),1,0)=1),"No","")</f>
        <v>#DIV/0!</v>
      </c>
      <c r="Y101" s="160" t="s">
        <v>778</v>
      </c>
    </row>
    <row r="102" spans="2:25">
      <c r="D102" s="17"/>
      <c r="E102" s="17"/>
      <c r="J102" s="15"/>
      <c r="Y102" s="160" t="s">
        <v>780</v>
      </c>
    </row>
    <row r="103" spans="2:25" ht="60" customHeight="1">
      <c r="B103" s="118" t="s">
        <v>1846</v>
      </c>
      <c r="C103" s="193" t="str">
        <f>F17</f>
        <v>Greenhouse Gas Emissions with GreenPower, Purchased Renewable electricity, Carbon Neutral Electricity (kg.CO2-e p.a.)</v>
      </c>
      <c r="D103" s="193" t="str">
        <f>G17</f>
        <v>Greenhouse Gas Emissions without GreenPower, Purchased Renewable electricity, Carbon Neutral Electricity (kg.CO2-e p.a.)</v>
      </c>
      <c r="E103" s="24"/>
      <c r="H103" s="17"/>
      <c r="J103" s="15"/>
      <c r="Y103" s="160" t="s">
        <v>782</v>
      </c>
    </row>
    <row r="104" spans="2:25" ht="30" customHeight="1">
      <c r="B104" s="118" t="s">
        <v>2012</v>
      </c>
      <c r="C104" s="86" t="e">
        <f>F31</f>
        <v>#DIV/0!</v>
      </c>
      <c r="D104" s="86" t="e">
        <f>G31</f>
        <v>#DIV/0!</v>
      </c>
      <c r="E104" s="24"/>
      <c r="H104" s="17"/>
      <c r="J104" s="15"/>
      <c r="Y104" s="160" t="s">
        <v>784</v>
      </c>
    </row>
    <row r="105" spans="2:25" ht="30" customHeight="1">
      <c r="B105" s="118" t="s">
        <v>2013</v>
      </c>
      <c r="C105" s="112">
        <f>MAX(0,IFERROR(1-(C104/C100/100),0))</f>
        <v>0</v>
      </c>
      <c r="D105" s="112">
        <f>MAX(0,IFERROR(1-(D104/C100/100),0))</f>
        <v>0</v>
      </c>
      <c r="H105" s="17"/>
      <c r="J105" s="15"/>
      <c r="Y105" s="160" t="s">
        <v>786</v>
      </c>
    </row>
    <row r="106" spans="2:25" ht="30" customHeight="1">
      <c r="B106" s="118" t="s">
        <v>2014</v>
      </c>
      <c r="C106" s="112" t="e">
        <f>(1-C104/C99)</f>
        <v>#DIV/0!</v>
      </c>
      <c r="D106" s="112" t="e">
        <f>(1-D104/C99)</f>
        <v>#DIV/0!</v>
      </c>
      <c r="H106" s="17"/>
      <c r="J106" s="15"/>
    </row>
    <row r="107" spans="2:25">
      <c r="H107" s="17"/>
      <c r="J107" s="15"/>
      <c r="P107" s="17"/>
      <c r="V107" s="160" t="s">
        <v>1163</v>
      </c>
      <c r="W107" s="280">
        <f>SUM(E18:E19,E24,E25)</f>
        <v>0</v>
      </c>
    </row>
    <row r="108" spans="2:25" ht="30" customHeight="1">
      <c r="B108" s="16" t="s">
        <v>2015</v>
      </c>
      <c r="C108" s="113" t="e">
        <f>IF(D106&gt;0.1,"YES","NO")</f>
        <v>#DIV/0!</v>
      </c>
      <c r="H108" s="17"/>
      <c r="J108" s="15"/>
      <c r="P108" s="17"/>
      <c r="V108" s="157" t="s">
        <v>1165</v>
      </c>
      <c r="W108" s="280">
        <f>E24</f>
        <v>0</v>
      </c>
    </row>
    <row r="109" spans="2:25" ht="30" customHeight="1">
      <c r="B109" s="16" t="s">
        <v>2016</v>
      </c>
      <c r="C109" s="16" t="str">
        <f>IF(OR(W99="Please Select",W99=""),"Please select the Green Star Rating targeted",IF('15B Building Details'!C20='AGO Emission Factors'!E8,VLOOKUP(C105,'Points Table'!B7:C30,2,TRUE),IF('15B Building Details'!C20='AGO Emission Factors'!E7,VLOOKUP(C105,'Points Table'!E7:F27,2,TRUE),"Please nominate scope of emissions in Building Details Tab")))</f>
        <v>Please nominate scope of emissions in Building Details Tab</v>
      </c>
      <c r="D109" s="656" t="str">
        <f>IFERROR(IF(W101="No","Conditional Requirement not met for the Green Star Rating targeted",""),"")</f>
        <v/>
      </c>
      <c r="E109" s="657"/>
      <c r="F109" s="17"/>
      <c r="G109" s="17"/>
      <c r="H109" s="17"/>
      <c r="J109" s="15"/>
      <c r="P109" s="17"/>
      <c r="V109" s="157" t="s">
        <v>1167</v>
      </c>
      <c r="W109" s="281" t="e">
        <f>W108/W107</f>
        <v>#DIV/0!</v>
      </c>
      <c r="X109" s="323">
        <v>1</v>
      </c>
    </row>
    <row r="110" spans="2:25" ht="30" customHeight="1">
      <c r="B110" s="16" t="s">
        <v>1154</v>
      </c>
      <c r="C110" s="394" t="e">
        <f>W111</f>
        <v>#VALUE!</v>
      </c>
      <c r="D110" s="274"/>
      <c r="E110" s="274"/>
      <c r="F110" s="17"/>
      <c r="G110" s="17"/>
      <c r="H110" s="17"/>
      <c r="J110" s="15"/>
      <c r="P110" s="17"/>
      <c r="V110" s="157" t="s">
        <v>1169</v>
      </c>
      <c r="W110" s="160" t="str">
        <f>C109</f>
        <v>Please nominate scope of emissions in Building Details Tab</v>
      </c>
      <c r="X110" s="15">
        <v>1</v>
      </c>
    </row>
    <row r="111" spans="2:25" ht="30" customHeight="1">
      <c r="B111" s="16" t="s">
        <v>1159</v>
      </c>
      <c r="C111" s="394" t="e">
        <f>IF('15B Building Details'!C20="Base Building",MIN(SUM(C109:C110),20),MIN(SUM(C109:C110),23))</f>
        <v>#VALUE!</v>
      </c>
      <c r="D111" s="274"/>
      <c r="E111" s="274"/>
      <c r="F111" s="17"/>
      <c r="G111" s="17"/>
      <c r="H111" s="17"/>
      <c r="J111" s="15"/>
      <c r="P111" s="17"/>
      <c r="V111" s="160" t="s">
        <v>1171</v>
      </c>
      <c r="W111" s="395" t="e">
        <f>(C109/3)*W109</f>
        <v>#VALUE!</v>
      </c>
    </row>
    <row r="112" spans="2:25">
      <c r="D112" s="17"/>
      <c r="J112" s="15"/>
    </row>
    <row r="113" spans="2:17" ht="20.100000000000001" customHeight="1">
      <c r="B113" s="155" t="s">
        <v>2017</v>
      </c>
      <c r="C113" s="155"/>
      <c r="D113" s="155"/>
      <c r="E113" s="155"/>
      <c r="F113" s="155"/>
      <c r="G113"/>
      <c r="H113"/>
      <c r="I113"/>
      <c r="J113"/>
      <c r="K113"/>
      <c r="L113"/>
      <c r="M113"/>
      <c r="N113"/>
      <c r="O113"/>
      <c r="P113"/>
      <c r="Q113"/>
    </row>
    <row r="114" spans="2:17" ht="12.75" customHeight="1"/>
    <row r="115" spans="2:17" ht="20.100000000000001" customHeight="1">
      <c r="B115" s="648" t="s">
        <v>969</v>
      </c>
      <c r="C115" s="649"/>
      <c r="D115" s="400"/>
    </row>
    <row r="116" spans="2:17" ht="12.75" customHeight="1"/>
    <row r="117" spans="2:17" ht="20.100000000000001" customHeight="1">
      <c r="D117" s="74" t="s">
        <v>2018</v>
      </c>
      <c r="E117" s="104"/>
    </row>
    <row r="118" spans="2:17" ht="20.100000000000001" customHeight="1">
      <c r="B118" s="650" t="s">
        <v>2019</v>
      </c>
      <c r="C118" s="650"/>
      <c r="D118" s="116"/>
      <c r="E118" s="658" t="s">
        <v>2020</v>
      </c>
    </row>
    <row r="119" spans="2:17" ht="20.100000000000001" customHeight="1">
      <c r="B119" s="650" t="s">
        <v>2021</v>
      </c>
      <c r="C119" s="650"/>
      <c r="D119" s="117"/>
      <c r="E119" s="659"/>
    </row>
    <row r="120" spans="2:17" ht="20.100000000000001" customHeight="1">
      <c r="B120" s="650" t="s">
        <v>2022</v>
      </c>
      <c r="C120" s="650"/>
      <c r="D120" s="116"/>
      <c r="E120" s="659"/>
    </row>
    <row r="121" spans="2:17" ht="20.100000000000001" customHeight="1">
      <c r="B121" s="650" t="s">
        <v>2023</v>
      </c>
      <c r="C121" s="650"/>
      <c r="D121" s="116"/>
      <c r="E121" s="660"/>
    </row>
    <row r="122" spans="2:17" ht="20.100000000000001" customHeight="1">
      <c r="B122" s="650" t="s">
        <v>2024</v>
      </c>
      <c r="C122" s="650"/>
      <c r="D122" s="76"/>
    </row>
    <row r="123" spans="2:17" ht="20.100000000000001" customHeight="1">
      <c r="B123" s="650" t="str">
        <f>IF(D118="NABERS Energy Tenancy Rating","NABERS Energy Tenancy rating greenhouse gas emissions performance (kgCO2/m2 p.a.)",IF(D118="Tenant Collaboration","Tenant greenhouse gas emissions performance (kgCO2/m2 p.a.)", "Greenhouse Gas Emissions"))</f>
        <v>Greenhouse Gas Emissions</v>
      </c>
      <c r="C123" s="650"/>
      <c r="D123" s="77"/>
      <c r="E123" s="105"/>
    </row>
    <row r="124" spans="2:17" ht="20.100000000000001" customHeight="1">
      <c r="D124" s="74" t="s">
        <v>2025</v>
      </c>
      <c r="E124" s="104"/>
    </row>
    <row r="125" spans="2:17" ht="20.100000000000001" customHeight="1">
      <c r="B125" s="650" t="s">
        <v>2019</v>
      </c>
      <c r="C125" s="650"/>
      <c r="D125" s="76"/>
      <c r="E125" s="105"/>
    </row>
    <row r="126" spans="2:17" ht="20.100000000000001" customHeight="1">
      <c r="B126" s="650" t="s">
        <v>2021</v>
      </c>
      <c r="C126" s="650"/>
      <c r="D126" s="76"/>
      <c r="E126" s="105"/>
    </row>
    <row r="127" spans="2:17" ht="20.100000000000001" customHeight="1">
      <c r="B127" s="650" t="s">
        <v>2022</v>
      </c>
      <c r="C127" s="650"/>
      <c r="D127" s="76"/>
      <c r="E127" s="105"/>
    </row>
    <row r="128" spans="2:17" ht="20.100000000000001" customHeight="1">
      <c r="B128" s="650" t="s">
        <v>2023</v>
      </c>
      <c r="C128" s="650"/>
      <c r="D128" s="76"/>
      <c r="E128" s="105"/>
    </row>
    <row r="129" spans="2:5" ht="20.100000000000001" customHeight="1">
      <c r="B129" s="650" t="s">
        <v>2024</v>
      </c>
      <c r="C129" s="650"/>
      <c r="D129" s="76"/>
      <c r="E129" s="105"/>
    </row>
    <row r="130" spans="2:5" ht="20.100000000000001" customHeight="1">
      <c r="B130" s="650" t="str">
        <f>IF(D125="NABERS Energy Tenancy Rating","NABERS Energy Tenancy rating greenhouse gas emissions performance (kgCO2/m2 p.a.)",IF(D125="Tenant Collaboration","Tenant greenhouse gas emissions performance (kgCO2/m2 p.a.)", "Greenhouse Gas Emissions"))</f>
        <v>Greenhouse Gas Emissions</v>
      </c>
      <c r="C130" s="650"/>
      <c r="D130" s="77"/>
      <c r="E130" s="105"/>
    </row>
    <row r="131" spans="2:5" ht="20.100000000000001" customHeight="1">
      <c r="D131" s="74" t="s">
        <v>2026</v>
      </c>
      <c r="E131" s="104"/>
    </row>
    <row r="132" spans="2:5" ht="20.100000000000001" customHeight="1">
      <c r="B132" s="650" t="s">
        <v>2019</v>
      </c>
      <c r="C132" s="650"/>
      <c r="D132" s="76"/>
      <c r="E132" s="105"/>
    </row>
    <row r="133" spans="2:5" ht="20.100000000000001" customHeight="1">
      <c r="B133" s="650" t="s">
        <v>2021</v>
      </c>
      <c r="C133" s="650"/>
      <c r="D133" s="76"/>
      <c r="E133" s="105"/>
    </row>
    <row r="134" spans="2:5" ht="20.100000000000001" customHeight="1">
      <c r="B134" s="650" t="s">
        <v>2022</v>
      </c>
      <c r="C134" s="650"/>
      <c r="D134" s="76"/>
      <c r="E134" s="105"/>
    </row>
    <row r="135" spans="2:5" ht="20.100000000000001" customHeight="1">
      <c r="B135" s="650" t="s">
        <v>2023</v>
      </c>
      <c r="C135" s="650"/>
      <c r="D135" s="76"/>
      <c r="E135" s="105"/>
    </row>
    <row r="136" spans="2:5" ht="20.100000000000001" customHeight="1">
      <c r="B136" s="650" t="s">
        <v>2024</v>
      </c>
      <c r="C136" s="650"/>
      <c r="D136" s="76"/>
      <c r="E136" s="105"/>
    </row>
    <row r="137" spans="2:5" ht="20.100000000000001" customHeight="1">
      <c r="B137" s="650" t="str">
        <f>IF(D132="NABERS Energy Tenancy Rating","NABERS Energy Tenancy rating greenhouse gas emissions performance (kgCO2/m2 p.a.)",IF(D132="Tenant Collaboration","Tenant greenhouse gas emissions performance (kgCO2/m2 p.a.)", "Greenhouse Gas Emissions"))</f>
        <v>Greenhouse Gas Emissions</v>
      </c>
      <c r="C137" s="650"/>
      <c r="D137" s="76"/>
      <c r="E137" s="105"/>
    </row>
    <row r="138" spans="2:5" ht="20.100000000000001" customHeight="1">
      <c r="D138" s="74" t="s">
        <v>2027</v>
      </c>
      <c r="E138" s="104"/>
    </row>
    <row r="139" spans="2:5" ht="20.100000000000001" customHeight="1">
      <c r="B139" s="650" t="s">
        <v>2019</v>
      </c>
      <c r="C139" s="650"/>
      <c r="D139" s="76"/>
      <c r="E139" s="105"/>
    </row>
    <row r="140" spans="2:5" ht="20.100000000000001" customHeight="1">
      <c r="B140" s="650" t="s">
        <v>2021</v>
      </c>
      <c r="C140" s="650"/>
      <c r="D140" s="76"/>
      <c r="E140" s="105"/>
    </row>
    <row r="141" spans="2:5" ht="20.100000000000001" customHeight="1">
      <c r="B141" s="650" t="s">
        <v>2022</v>
      </c>
      <c r="C141" s="650"/>
      <c r="D141" s="76"/>
      <c r="E141" s="105"/>
    </row>
    <row r="142" spans="2:5" ht="20.100000000000001" customHeight="1">
      <c r="B142" s="650" t="s">
        <v>2023</v>
      </c>
      <c r="C142" s="650"/>
      <c r="D142" s="76"/>
      <c r="E142" s="105"/>
    </row>
    <row r="143" spans="2:5" ht="20.100000000000001" customHeight="1">
      <c r="B143" s="650" t="s">
        <v>2024</v>
      </c>
      <c r="C143" s="650"/>
      <c r="D143" s="76"/>
      <c r="E143" s="105"/>
    </row>
    <row r="144" spans="2:5" ht="20.100000000000001" customHeight="1">
      <c r="B144" s="650" t="str">
        <f>IF(D139="NABERS Energy Tenancy Rating","NABERS Energy Tenancy rating greenhouse gas emissions performance (kgCO2/m2 p.a.)",IF(D139="Tenant Collaboration","Tenant greenhouse gas emissions performance (kgCO2/m2 p.a.)", "Greenhouse Gas Emissions"))</f>
        <v>Greenhouse Gas Emissions</v>
      </c>
      <c r="C144" s="650"/>
      <c r="D144" s="77"/>
      <c r="E144" s="105"/>
    </row>
    <row r="145" spans="2:19" ht="20.100000000000001" customHeight="1">
      <c r="D145" s="74" t="s">
        <v>2028</v>
      </c>
      <c r="E145" s="104"/>
    </row>
    <row r="146" spans="2:19" ht="20.100000000000001" customHeight="1">
      <c r="B146" s="650" t="s">
        <v>2019</v>
      </c>
      <c r="C146" s="650"/>
      <c r="D146" s="76"/>
      <c r="E146" s="105"/>
    </row>
    <row r="147" spans="2:19" ht="20.100000000000001" customHeight="1">
      <c r="B147" s="650" t="s">
        <v>2021</v>
      </c>
      <c r="C147" s="650"/>
      <c r="D147" s="76"/>
      <c r="E147" s="105"/>
    </row>
    <row r="148" spans="2:19" ht="20.100000000000001" customHeight="1">
      <c r="B148" s="650" t="s">
        <v>2022</v>
      </c>
      <c r="C148" s="650"/>
      <c r="D148" s="76"/>
      <c r="E148" s="105"/>
    </row>
    <row r="149" spans="2:19" ht="20.100000000000001" customHeight="1">
      <c r="B149" s="650" t="s">
        <v>2023</v>
      </c>
      <c r="C149" s="650"/>
      <c r="D149" s="76"/>
      <c r="E149" s="105"/>
    </row>
    <row r="150" spans="2:19" ht="20.100000000000001" customHeight="1">
      <c r="B150" s="650" t="s">
        <v>2024</v>
      </c>
      <c r="C150" s="650"/>
      <c r="D150" s="76"/>
      <c r="E150" s="105"/>
    </row>
    <row r="151" spans="2:19" ht="20.100000000000001" customHeight="1">
      <c r="B151" s="650" t="str">
        <f>IF(D146="NABERS Energy Tenancy Rating","NABERS Energy Tenancy rating greenhouse gas emissions performance (kgCO2/m2 p.a.)",IF(D146="Tenant Collaboration","Tenant greenhouse gas emissions performance (kgCO2/m2 p.a.)", "Greenhouse Gas Emissions"))</f>
        <v>Greenhouse Gas Emissions</v>
      </c>
      <c r="C151" s="650"/>
      <c r="D151" s="77"/>
      <c r="E151" s="105"/>
    </row>
    <row r="152" spans="2:19" ht="20.100000000000001" customHeight="1">
      <c r="B152" s="650" t="s">
        <v>2029</v>
      </c>
      <c r="C152" s="650"/>
      <c r="D152" s="513">
        <f>SUM(D120,D127,D134,D141,D148)</f>
        <v>0</v>
      </c>
    </row>
    <row r="153" spans="2:19" ht="20.100000000000001" customHeight="1">
      <c r="B153" s="650" t="s">
        <v>2030</v>
      </c>
      <c r="C153" s="650"/>
      <c r="D153" s="525">
        <f>IFERROR(D152/D115,0)</f>
        <v>0</v>
      </c>
    </row>
    <row r="154" spans="2:19" ht="30" customHeight="1">
      <c r="B154" s="666" t="s">
        <v>2031</v>
      </c>
      <c r="C154" s="666"/>
      <c r="D154" s="114" t="s">
        <v>2032</v>
      </c>
    </row>
    <row r="155" spans="2:19" ht="30" customHeight="1">
      <c r="B155" s="668" t="s">
        <v>2033</v>
      </c>
      <c r="C155" s="668"/>
      <c r="D155" s="115">
        <f>IF('15B Building Details'!C20='AGO Emission Factors'!E7,VLOOKUP(D153,'Points Table'!E32:F35,2,TRUE),0)</f>
        <v>0</v>
      </c>
    </row>
    <row r="156" spans="2:19" ht="12.75" customHeight="1">
      <c r="B156" s="342"/>
      <c r="C156" s="342"/>
    </row>
    <row r="157" spans="2:19" ht="30" customHeight="1">
      <c r="B157" s="669" t="s">
        <v>2034</v>
      </c>
      <c r="C157" s="669"/>
      <c r="D157" s="115" t="e">
        <f>IF('15B Building Details'!C20='AGO Emission Factors'!E8,'15B Calculation'!C109,D155+C109)</f>
        <v>#VALUE!</v>
      </c>
    </row>
    <row r="160" spans="2:19" ht="20.100000000000001" hidden="1" customHeight="1">
      <c r="B160" s="213" t="s">
        <v>300</v>
      </c>
      <c r="C160" s="213"/>
      <c r="D160" s="213"/>
      <c r="E160" s="213"/>
      <c r="F160" s="213"/>
      <c r="G160" s="213"/>
      <c r="H160"/>
      <c r="I160"/>
      <c r="J160"/>
      <c r="K160"/>
      <c r="L160"/>
      <c r="M160"/>
      <c r="S160" s="15" t="s">
        <v>2035</v>
      </c>
    </row>
    <row r="161" spans="2:24" ht="26.4" hidden="1">
      <c r="E161" s="17"/>
      <c r="J161" s="15"/>
      <c r="R161" s="157" t="s">
        <v>2036</v>
      </c>
      <c r="S161" s="158" t="s">
        <v>2037</v>
      </c>
      <c r="T161" s="159" t="s">
        <v>2036</v>
      </c>
      <c r="U161" s="160" t="s">
        <v>1618</v>
      </c>
      <c r="V161" s="161" t="s">
        <v>2038</v>
      </c>
      <c r="W161" s="161" t="s">
        <v>2036</v>
      </c>
      <c r="X161" s="160" t="s">
        <v>1654</v>
      </c>
    </row>
    <row r="162" spans="2:24" ht="30" hidden="1" customHeight="1">
      <c r="B162" s="653" t="s">
        <v>2039</v>
      </c>
      <c r="C162" s="654"/>
      <c r="D162" s="352">
        <f>E18+E19+E26+E24+E25</f>
        <v>0</v>
      </c>
      <c r="E162" s="17"/>
      <c r="J162" s="15"/>
      <c r="R162" s="157">
        <f t="shared" ref="R162:R167" si="10">T162*W162</f>
        <v>0</v>
      </c>
      <c r="S162" s="158" t="s">
        <v>2040</v>
      </c>
      <c r="T162" s="159">
        <f>IF($D$167=0,1,0)</f>
        <v>0</v>
      </c>
      <c r="U162" s="160"/>
      <c r="V162" s="161"/>
      <c r="W162" s="161">
        <v>1</v>
      </c>
      <c r="X162" s="160"/>
    </row>
    <row r="163" spans="2:24" ht="30" hidden="1" customHeight="1">
      <c r="B163" s="653" t="s">
        <v>2041</v>
      </c>
      <c r="C163" s="654"/>
      <c r="D163" s="352">
        <f>SUM(E20:E23)</f>
        <v>0</v>
      </c>
      <c r="E163" s="17"/>
      <c r="J163" s="15"/>
      <c r="R163" s="157">
        <f t="shared" si="10"/>
        <v>0</v>
      </c>
      <c r="S163" s="158" t="s">
        <v>2042</v>
      </c>
      <c r="T163" s="159">
        <f>IF(AND($D$167&gt;0,$D$167&lt;=0.01),1,0)</f>
        <v>0</v>
      </c>
      <c r="U163" s="160" t="s">
        <v>2043</v>
      </c>
      <c r="V163" s="161" t="s">
        <v>2044</v>
      </c>
      <c r="W163" s="161">
        <f>IF(OR($G$167="Yes",$G$167=""),1,0)</f>
        <v>0</v>
      </c>
      <c r="X163" s="160"/>
    </row>
    <row r="164" spans="2:24" ht="30" hidden="1" customHeight="1">
      <c r="B164" s="653" t="s">
        <v>1182</v>
      </c>
      <c r="C164" s="654"/>
      <c r="D164" s="352">
        <f>E26+E27</f>
        <v>0</v>
      </c>
      <c r="J164" s="15"/>
      <c r="R164" s="157">
        <f t="shared" si="10"/>
        <v>0</v>
      </c>
      <c r="S164" s="158"/>
      <c r="T164" s="159">
        <f>IF(AND($D$167&gt;0,$D$167&lt;=0.01),1,0)</f>
        <v>0</v>
      </c>
      <c r="U164" s="160" t="s">
        <v>2043</v>
      </c>
      <c r="V164" s="161" t="s">
        <v>2045</v>
      </c>
      <c r="W164" s="161">
        <f>IF($G$167="No",1,0)</f>
        <v>1</v>
      </c>
      <c r="X164" s="160" t="s">
        <v>2046</v>
      </c>
    </row>
    <row r="165" spans="2:24" ht="30" hidden="1" customHeight="1">
      <c r="B165" s="653" t="s">
        <v>1188</v>
      </c>
      <c r="C165" s="654"/>
      <c r="D165" s="353">
        <f>IFERROR(D164/D162,0)</f>
        <v>0</v>
      </c>
      <c r="G165" s="154"/>
      <c r="H165" s="154"/>
      <c r="I165" s="154"/>
      <c r="J165" s="15"/>
      <c r="R165" s="157">
        <f t="shared" si="10"/>
        <v>0</v>
      </c>
      <c r="S165" s="158" t="s">
        <v>2047</v>
      </c>
      <c r="T165" s="159">
        <f>IF(AND($D$167&gt;0.01,$D$167&lt;=0.05),1,0)</f>
        <v>0</v>
      </c>
      <c r="U165" s="160" t="s">
        <v>2048</v>
      </c>
      <c r="V165" s="161" t="s">
        <v>2049</v>
      </c>
      <c r="W165" s="161">
        <f>IF($G$167="Yes",1,0)</f>
        <v>0</v>
      </c>
      <c r="X165" s="160" t="s">
        <v>2046</v>
      </c>
    </row>
    <row r="166" spans="2:24" ht="30" hidden="1" customHeight="1">
      <c r="B166" s="653" t="s">
        <v>2050</v>
      </c>
      <c r="C166" s="654"/>
      <c r="D166" s="352">
        <f>E26</f>
        <v>0</v>
      </c>
      <c r="E166" s="17"/>
      <c r="F166" s="154"/>
      <c r="G166" s="275" t="str">
        <f>IF(VLOOKUP(1,R161:X167,7,0)=0,"",VLOOKUP(1,R161:X167,7,0))</f>
        <v/>
      </c>
      <c r="H166" s="8" t="s">
        <v>2049</v>
      </c>
      <c r="J166" s="15"/>
      <c r="R166" s="157">
        <f t="shared" si="10"/>
        <v>0</v>
      </c>
      <c r="S166" s="158"/>
      <c r="T166" s="159">
        <f>IF(AND($D$167&gt;0.01,$D$167&lt;=0.05),1,0)</f>
        <v>0</v>
      </c>
      <c r="U166" s="160" t="s">
        <v>2048</v>
      </c>
      <c r="V166" s="161" t="s">
        <v>2051</v>
      </c>
      <c r="W166" s="161">
        <f>IF(OR($G$167="No",$G$167=""),1,0)</f>
        <v>1</v>
      </c>
      <c r="X166" s="160"/>
    </row>
    <row r="167" spans="2:24" ht="30" hidden="1" customHeight="1">
      <c r="B167" s="653" t="s">
        <v>2052</v>
      </c>
      <c r="C167" s="654"/>
      <c r="D167" s="354" t="str">
        <f>IFERROR(D163/E29,"0%")</f>
        <v>0%</v>
      </c>
      <c r="E167" s="667" t="str">
        <f>IF(VLOOKUP(1,R161:X167,4,0)=0,"",VLOOKUP(1,R161:X167,4,0))</f>
        <v/>
      </c>
      <c r="F167" s="667"/>
      <c r="G167" s="156" t="s">
        <v>2045</v>
      </c>
      <c r="H167" s="154"/>
      <c r="I167" s="154"/>
      <c r="J167" s="15"/>
      <c r="R167" s="157">
        <f t="shared" si="10"/>
        <v>1</v>
      </c>
      <c r="S167" s="158" t="s">
        <v>2053</v>
      </c>
      <c r="T167" s="159">
        <f>IF(D$167&gt;0.05,1,0)</f>
        <v>1</v>
      </c>
      <c r="U167" s="160"/>
      <c r="V167" s="161"/>
      <c r="W167" s="161">
        <v>1</v>
      </c>
      <c r="X167" s="160"/>
    </row>
    <row r="168" spans="2:24" ht="30" hidden="1" customHeight="1">
      <c r="B168" s="653" t="s">
        <v>1193</v>
      </c>
      <c r="C168" s="654"/>
      <c r="D168" s="353" t="str">
        <f>IFERROR(D166/D162,"0%")</f>
        <v>0%</v>
      </c>
      <c r="E168" s="667" t="str">
        <f>IFERROR(IF(D168&gt;=0.15,"Is the renewable energy metered, monitored and validated?",""),"")</f>
        <v>Is the renewable energy metered, monitored and validated?</v>
      </c>
      <c r="F168" s="667"/>
      <c r="G168" s="156" t="s">
        <v>2045</v>
      </c>
      <c r="J168" s="15"/>
      <c r="R168" s="160" t="s">
        <v>2049</v>
      </c>
      <c r="S168" s="160" t="s">
        <v>2045</v>
      </c>
      <c r="T168" s="160"/>
      <c r="U168" s="160"/>
      <c r="V168" s="160"/>
      <c r="W168" s="160"/>
      <c r="X168" s="160"/>
    </row>
    <row r="169" spans="2:24" ht="30" hidden="1" customHeight="1">
      <c r="B169" s="653" t="s">
        <v>1199</v>
      </c>
      <c r="C169" s="654"/>
      <c r="D169" s="354" t="str">
        <f>IFERROR((E19+E26+E24+E30)/D162,"0%")</f>
        <v>0%</v>
      </c>
      <c r="E169" s="17"/>
      <c r="J169" s="15"/>
    </row>
    <row r="170" spans="2:24" hidden="1">
      <c r="J170" s="15"/>
      <c r="W170" s="15" t="b">
        <f>IF(D172="Requirement Met", 1)</f>
        <v>0</v>
      </c>
    </row>
    <row r="171" spans="2:24" ht="45" hidden="1" customHeight="1">
      <c r="B171" s="651" t="s">
        <v>2054</v>
      </c>
      <c r="C171" s="652"/>
      <c r="D171" s="356" t="s">
        <v>2049</v>
      </c>
      <c r="E171" s="17"/>
      <c r="J171" s="15"/>
      <c r="R171" s="15" t="s">
        <v>2055</v>
      </c>
      <c r="W171" s="15" t="b">
        <f>IF(D173="Requirement Met", 1)</f>
        <v>0</v>
      </c>
    </row>
    <row r="172" spans="2:24" ht="20.100000000000001" hidden="1" customHeight="1">
      <c r="B172" s="651" t="s">
        <v>2056</v>
      </c>
      <c r="C172" s="652"/>
      <c r="D172" s="356" t="str">
        <f>IF(R172&gt;=9, "Yes", "No")</f>
        <v>Yes</v>
      </c>
      <c r="E172" s="17"/>
      <c r="J172" s="15"/>
      <c r="R172" s="17" t="str">
        <f>IF('15B Building Details'!C20='AGO Emission Factors'!E8,VLOOKUP(D105,'Points Table'!B7:C30,2,TRUE),IF('15B Building Details'!C20='AGO Emission Factors'!E7,VLOOKUP(D105,'Points Table'!E7:F27,2,TRUE),"Please nominate scope of emissions in building details "))</f>
        <v xml:space="preserve">Please nominate scope of emissions in building details </v>
      </c>
      <c r="W172" s="15" t="b">
        <f>IF(D174="Requirement Met", 1)</f>
        <v>0</v>
      </c>
    </row>
    <row r="173" spans="2:24" ht="20.100000000000001" hidden="1" customHeight="1">
      <c r="B173" s="651" t="s">
        <v>2057</v>
      </c>
      <c r="C173" s="652"/>
      <c r="D173" s="348" t="b">
        <f>IF(D167=0,"Yes",IF(D167&lt;=0.01,IF(AND(G168="No",G167="Yes"),"Yes","No"),IF(D167&lt;=0.05,IF(AND(G168="Yes",G167="Yes"),"Yes","No"))))</f>
        <v>0</v>
      </c>
      <c r="E173" s="17"/>
      <c r="J173" s="15"/>
      <c r="W173" s="15" t="e">
        <f>IF(W170:W172=3, 1)</f>
        <v>#VALUE!</v>
      </c>
    </row>
    <row r="174" spans="2:24" ht="20.100000000000001" hidden="1" customHeight="1">
      <c r="B174" s="651" t="s">
        <v>2058</v>
      </c>
      <c r="C174" s="652"/>
      <c r="D174" s="356" t="str">
        <f>IF(D169&gt;=1, "Yes", "No")</f>
        <v>Yes</v>
      </c>
      <c r="E174" s="17"/>
      <c r="J174" s="15"/>
    </row>
    <row r="175" spans="2:24" ht="20.100000000000001" hidden="1" customHeight="1">
      <c r="B175" s="651" t="s">
        <v>2059</v>
      </c>
      <c r="C175" s="652"/>
      <c r="D175" s="348" t="str">
        <f>IF(D171="No","Minimum requirement not met",IF(AND(D172="Yes",D173="Yes",D174="Yes"),"1 point achieved","No points achieved"))</f>
        <v>No points achieved</v>
      </c>
      <c r="E175" s="17" t="s">
        <v>2060</v>
      </c>
      <c r="J175" s="15"/>
    </row>
    <row r="176" spans="2:24" ht="20.100000000000001" hidden="1" customHeight="1">
      <c r="B176" s="144"/>
      <c r="C176" s="144"/>
      <c r="D176" s="145"/>
      <c r="E176" s="17"/>
      <c r="J176" s="15"/>
    </row>
    <row r="177" spans="2:10" ht="30" hidden="1" customHeight="1">
      <c r="B177" s="355" t="s">
        <v>2061</v>
      </c>
      <c r="C177" s="318"/>
      <c r="D177" s="146" t="str">
        <f>IF(D171="No","Minimum requirement not met",IF(D168&lt;0.15,"No points achieved",IF(D168&lt;0.3,IF(G168="Yes","1 point achieved","No points achieved"),IF(G168="Yes","2 points achieved","No points achieved"))))</f>
        <v>No points achieved</v>
      </c>
      <c r="E177" s="17"/>
      <c r="J177" s="15"/>
    </row>
    <row r="178" spans="2:10" ht="20.100000000000001" hidden="1" customHeight="1">
      <c r="E178" s="17"/>
      <c r="J178" s="15"/>
    </row>
    <row r="179" spans="2:10" ht="20.100000000000001" hidden="1" customHeight="1">
      <c r="B179" s="284" t="s">
        <v>2062</v>
      </c>
      <c r="C179" s="276"/>
      <c r="D179" s="357" t="s">
        <v>2063</v>
      </c>
      <c r="E179" s="17"/>
      <c r="J179" s="15"/>
    </row>
    <row r="180" spans="2:10" ht="20.100000000000001" hidden="1" customHeight="1">
      <c r="B180" s="526" t="s">
        <v>2064</v>
      </c>
      <c r="C180" s="358"/>
      <c r="D180" s="357" t="s">
        <v>2065</v>
      </c>
      <c r="E180" s="17"/>
      <c r="J180" s="15"/>
    </row>
    <row r="181" spans="2:10" ht="20.100000000000001" hidden="1" customHeight="1">
      <c r="B181" s="359" t="s">
        <v>2066</v>
      </c>
      <c r="C181" s="358"/>
      <c r="D181" s="357" t="s">
        <v>2067</v>
      </c>
      <c r="E181" s="17"/>
      <c r="J181" s="15"/>
    </row>
    <row r="182" spans="2:10" ht="12.75" customHeight="1">
      <c r="E182" s="17"/>
      <c r="J182" s="15"/>
    </row>
    <row r="183" spans="2:10" ht="12.75" customHeight="1">
      <c r="E183" s="17"/>
      <c r="J183" s="15"/>
    </row>
    <row r="184" spans="2:10">
      <c r="E184" s="17"/>
    </row>
    <row r="185" spans="2:10">
      <c r="E185" s="17"/>
    </row>
    <row r="186" spans="2:10">
      <c r="E186" s="17"/>
    </row>
  </sheetData>
  <sheetProtection algorithmName="SHA-512" hashValue="POX2i77csIs7XWDQqVcfEYjAaO+yRZuZE+RNub8nN6t3ziCm12Iq5iqaZk8XHFK/QEv+juBbnzYJxpF7UG60HQ==" saltValue="MxQugZzNI0WzWA9zLrLOTQ==" spinCount="100000" sheet="1" objects="1" scenarios="1"/>
  <customSheetViews>
    <customSheetView guid="{555478C2-F620-47D7-88F9-4C1EE7AEE227}" scale="85" showGridLines="0" fitToPage="1" hiddenRows="1" topLeftCell="A7">
      <selection activeCell="G25" sqref="G25"/>
      <pageMargins left="0" right="0" top="0" bottom="0" header="0" footer="0"/>
      <pageSetup paperSize="9" scale="15" orientation="landscape" r:id="rId1"/>
    </customSheetView>
    <customSheetView guid="{5E2E109E-4BFE-44CE-A2A0-BB9B6CC0D139}" scale="85" showGridLines="0" fitToPage="1" hiddenRows="1">
      <selection activeCell="D25" sqref="B25:D26"/>
      <pageMargins left="0" right="0" top="0" bottom="0" header="0" footer="0"/>
      <pageSetup paperSize="9" scale="15" orientation="landscape" r:id="rId2"/>
    </customSheetView>
    <customSheetView guid="{3BAF3D14-B16A-4103-B9D6-D1D9B6381E90}" scale="70" showGridLines="0" fitToPage="1" hiddenRows="1" topLeftCell="A169">
      <selection activeCell="F180" sqref="F180"/>
      <pageMargins left="0" right="0" top="0" bottom="0" header="0" footer="0"/>
      <pageSetup paperSize="9" scale="15" orientation="landscape" r:id="rId3"/>
    </customSheetView>
    <customSheetView guid="{C362DBBD-8226-4073-BE04-D615B3B4BF31}" scale="90" showPageBreaks="1" showGridLines="0" fitToPage="1" printArea="1" hiddenRows="1" topLeftCell="A10">
      <selection activeCell="E25" sqref="E25"/>
      <pageMargins left="0" right="0" top="0" bottom="0" header="0" footer="0"/>
      <pageSetup paperSize="9" scale="23" orientation="landscape" r:id="rId4"/>
    </customSheetView>
    <customSheetView guid="{9E23992E-45A8-4DF8-9DFB-C5F9BB498A06}" scale="90" showGridLines="0" fitToPage="1" printArea="1" hiddenRows="1" topLeftCell="D1">
      <selection activeCell="C28" sqref="C28"/>
      <pageMargins left="0" right="0" top="0" bottom="0" header="0" footer="0"/>
      <pageSetup paperSize="9" scale="23" orientation="landscape" r:id="rId5"/>
    </customSheetView>
  </customSheetViews>
  <mergeCells count="71">
    <mergeCell ref="B29:D29"/>
    <mergeCell ref="B30:D30"/>
    <mergeCell ref="B31:D31"/>
    <mergeCell ref="B32:D32"/>
    <mergeCell ref="M36:O36"/>
    <mergeCell ref="I36:L36"/>
    <mergeCell ref="E168:F168"/>
    <mergeCell ref="E167:F167"/>
    <mergeCell ref="B162:C162"/>
    <mergeCell ref="B155:C155"/>
    <mergeCell ref="B144:C144"/>
    <mergeCell ref="B152:C152"/>
    <mergeCell ref="B157:C157"/>
    <mergeCell ref="B139:C139"/>
    <mergeCell ref="B140:C140"/>
    <mergeCell ref="B141:C141"/>
    <mergeCell ref="B142:C142"/>
    <mergeCell ref="B163:C163"/>
    <mergeCell ref="B154:C154"/>
    <mergeCell ref="B153:C153"/>
    <mergeCell ref="B143:C143"/>
    <mergeCell ref="B151:C151"/>
    <mergeCell ref="B146:C146"/>
    <mergeCell ref="B147:C147"/>
    <mergeCell ref="B148:C148"/>
    <mergeCell ref="B149:C149"/>
    <mergeCell ref="B150:C150"/>
    <mergeCell ref="V98:W98"/>
    <mergeCell ref="D109:E109"/>
    <mergeCell ref="B118:C118"/>
    <mergeCell ref="E118:E121"/>
    <mergeCell ref="K3:Q3"/>
    <mergeCell ref="B5:Q5"/>
    <mergeCell ref="B34:Q34"/>
    <mergeCell ref="K65:K66"/>
    <mergeCell ref="E65:G65"/>
    <mergeCell ref="H65:J65"/>
    <mergeCell ref="C61:D61"/>
    <mergeCell ref="C62:D62"/>
    <mergeCell ref="B65:B66"/>
    <mergeCell ref="C65:C66"/>
    <mergeCell ref="D65:D66"/>
    <mergeCell ref="B119:C119"/>
    <mergeCell ref="B123:C123"/>
    <mergeCell ref="B125:C125"/>
    <mergeCell ref="B126:C126"/>
    <mergeCell ref="B137:C137"/>
    <mergeCell ref="B127:C127"/>
    <mergeCell ref="B128:C128"/>
    <mergeCell ref="B130:C130"/>
    <mergeCell ref="B132:C132"/>
    <mergeCell ref="B133:C133"/>
    <mergeCell ref="B134:C134"/>
    <mergeCell ref="B135:C135"/>
    <mergeCell ref="B136:C136"/>
    <mergeCell ref="B115:C115"/>
    <mergeCell ref="B129:C129"/>
    <mergeCell ref="B175:C175"/>
    <mergeCell ref="B171:C171"/>
    <mergeCell ref="B164:C164"/>
    <mergeCell ref="B172:C172"/>
    <mergeCell ref="B173:C173"/>
    <mergeCell ref="B174:C174"/>
    <mergeCell ref="B165:C165"/>
    <mergeCell ref="B166:C166"/>
    <mergeCell ref="B167:C167"/>
    <mergeCell ref="B168:C168"/>
    <mergeCell ref="B169:C169"/>
    <mergeCell ref="B120:C120"/>
    <mergeCell ref="B121:C121"/>
    <mergeCell ref="B122:C122"/>
  </mergeCells>
  <conditionalFormatting sqref="B115 D115">
    <cfRule type="expression" dxfId="10" priority="3">
      <formula>$D$11="Hotel"</formula>
    </cfRule>
    <cfRule type="expression" dxfId="9" priority="4">
      <formula>$D$11="Whole Building"</formula>
    </cfRule>
  </conditionalFormatting>
  <conditionalFormatting sqref="D109:D111">
    <cfRule type="expression" dxfId="8" priority="5">
      <formula>$D$109="Conditional Requirements not met for the Green Star Rating targeted"</formula>
    </cfRule>
  </conditionalFormatting>
  <conditionalFormatting sqref="E167">
    <cfRule type="expression" dxfId="7" priority="10">
      <formula>ISNUMBER(SEARCH("s",E167))</formula>
    </cfRule>
  </conditionalFormatting>
  <conditionalFormatting sqref="E168">
    <cfRule type="expression" dxfId="6" priority="11">
      <formula>ISNUMBER(SEARCH("Is",E168))</formula>
    </cfRule>
  </conditionalFormatting>
  <conditionalFormatting sqref="G166">
    <cfRule type="expression" dxfId="5" priority="9">
      <formula>ISNUMBER(SEARCH("s",G166))</formula>
    </cfRule>
  </conditionalFormatting>
  <conditionalFormatting sqref="G167">
    <cfRule type="expression" dxfId="4" priority="8">
      <formula>ISNUMBER(SEARCH("a",E167))</formula>
    </cfRule>
  </conditionalFormatting>
  <conditionalFormatting sqref="G168">
    <cfRule type="expression" dxfId="3" priority="7">
      <formula>ISNUMBER(SEARCH("s",E168))</formula>
    </cfRule>
  </conditionalFormatting>
  <conditionalFormatting sqref="H56">
    <cfRule type="cellIs" dxfId="2" priority="33" operator="notEqual">
      <formula>"OK"</formula>
    </cfRule>
  </conditionalFormatting>
  <conditionalFormatting sqref="H166">
    <cfRule type="expression" dxfId="1" priority="6">
      <formula>G166:H166=""</formula>
    </cfRule>
  </conditionalFormatting>
  <conditionalFormatting sqref="H38:O52">
    <cfRule type="expression" dxfId="0" priority="1">
      <formula>$G38="Custom"</formula>
    </cfRule>
  </conditionalFormatting>
  <dataValidations count="2">
    <dataValidation type="list" allowBlank="1" showInputMessage="1" showErrorMessage="1" sqref="E67:G80" xr:uid="{00000000-0002-0000-0400-000000000000}">
      <formula1>truefalse</formula1>
    </dataValidation>
    <dataValidation type="list" allowBlank="1" showInputMessage="1" showErrorMessage="1" sqref="H166 D171 G167:G168" xr:uid="{00000000-0002-0000-0400-000001000000}">
      <formula1>$R$168:$S$168</formula1>
    </dataValidation>
  </dataValidations>
  <pageMargins left="0.70866141732283472" right="0.70866141732283472" top="0.74803149606299213" bottom="0.74803149606299213" header="0.31496062992125984" footer="0.31496062992125984"/>
  <pageSetup paperSize="9" scale="23" orientation="landscape" r:id="rId6"/>
  <ignoredErrors>
    <ignoredError sqref="C92 C90 C91 C38:D39 C9:C13 D81 D68:D80 C40:D52 E90 E91 E92" unlockedFormula="1"/>
  </ignoredErrors>
  <drawing r:id="rId7"/>
  <legacyDrawing r:id="rId8"/>
  <legacyDrawingHF r:id="rId9"/>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2000000}">
          <x14:formula1>
            <xm:f>'AGO Emission Factors'!$F$13:$F$14</xm:f>
          </x14:formula1>
          <xm:sqref>D118 D125 D132 D139 D146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tabColor theme="0" tint="-0.14999847407452621"/>
    <pageSetUpPr autoPageBreaks="0" fitToPage="1"/>
  </sheetPr>
  <dimension ref="A1:AE120"/>
  <sheetViews>
    <sheetView showGridLines="0" topLeftCell="H3" zoomScale="90" zoomScaleNormal="90" workbookViewId="0">
      <selection activeCell="Y34" sqref="Y34:AA36"/>
    </sheetView>
  </sheetViews>
  <sheetFormatPr defaultColWidth="9.44140625" defaultRowHeight="13.2"/>
  <cols>
    <col min="1" max="1" width="29.44140625" style="15" customWidth="1"/>
    <col min="2" max="2" width="14" style="15" customWidth="1"/>
    <col min="3" max="5" width="15.44140625" style="15" customWidth="1"/>
    <col min="6" max="24" width="21.5546875" style="15" customWidth="1"/>
    <col min="25" max="28" width="22.5546875" style="15" customWidth="1"/>
    <col min="29" max="29" width="9.44140625" style="15"/>
    <col min="30" max="31" width="22.5546875" style="15" customWidth="1"/>
    <col min="32" max="16384" width="9.44140625" style="15"/>
  </cols>
  <sheetData>
    <row r="1" spans="1:31" ht="45.75" customHeight="1"/>
    <row r="2" spans="1:31" ht="33" customHeight="1"/>
    <row r="4" spans="1:31" ht="18">
      <c r="A4" s="155" t="s">
        <v>2068</v>
      </c>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D4" s="155" t="s">
        <v>2069</v>
      </c>
      <c r="AE4" s="155"/>
    </row>
    <row r="6" spans="1:31" s="204" customFormat="1" ht="79.2">
      <c r="A6" s="118" t="s">
        <v>2070</v>
      </c>
      <c r="B6" s="118" t="s">
        <v>1378</v>
      </c>
      <c r="C6" s="118" t="s">
        <v>2071</v>
      </c>
      <c r="D6" s="118" t="s">
        <v>1966</v>
      </c>
      <c r="E6" s="118" t="s">
        <v>1967</v>
      </c>
      <c r="F6" s="118" t="s">
        <v>524</v>
      </c>
      <c r="G6" s="118" t="s">
        <v>2072</v>
      </c>
      <c r="H6" s="118" t="s">
        <v>2073</v>
      </c>
      <c r="I6" s="118" t="s">
        <v>2074</v>
      </c>
      <c r="J6" s="118" t="s">
        <v>2075</v>
      </c>
      <c r="K6" s="118" t="s">
        <v>2076</v>
      </c>
      <c r="L6" s="118" t="s">
        <v>2077</v>
      </c>
      <c r="M6" s="118" t="s">
        <v>2078</v>
      </c>
      <c r="N6" s="118" t="s">
        <v>2079</v>
      </c>
      <c r="O6" s="118" t="s">
        <v>2080</v>
      </c>
      <c r="P6" s="118" t="s">
        <v>2081</v>
      </c>
      <c r="Q6" s="118" t="s">
        <v>2082</v>
      </c>
      <c r="R6" s="118" t="s">
        <v>2083</v>
      </c>
      <c r="S6" s="118" t="s">
        <v>2084</v>
      </c>
      <c r="T6" s="118" t="s">
        <v>2085</v>
      </c>
      <c r="U6" s="118" t="s">
        <v>2086</v>
      </c>
      <c r="V6" s="118" t="s">
        <v>2087</v>
      </c>
      <c r="W6" s="118" t="s">
        <v>2088</v>
      </c>
      <c r="X6" s="118" t="s">
        <v>2089</v>
      </c>
      <c r="Y6" s="118" t="s">
        <v>2090</v>
      </c>
      <c r="Z6" s="118" t="s">
        <v>2091</v>
      </c>
      <c r="AA6" s="118" t="s">
        <v>2092</v>
      </c>
      <c r="AB6" s="118" t="s">
        <v>2093</v>
      </c>
      <c r="AD6" s="118" t="s">
        <v>2094</v>
      </c>
      <c r="AE6" s="118" t="s">
        <v>2095</v>
      </c>
    </row>
    <row r="7" spans="1:31">
      <c r="A7" s="2" t="str">
        <f>B7&amp;"-"&amp;IF(C7="Capital City","Metro",IF(C7="Regional Area","Non-Metro",IF(C7="All","All","")))</f>
        <v>ACT-Metro</v>
      </c>
      <c r="B7" s="2" t="s">
        <v>2096</v>
      </c>
      <c r="C7" s="2" t="s">
        <v>2097</v>
      </c>
      <c r="D7" s="4">
        <v>112</v>
      </c>
      <c r="E7" s="4">
        <v>1879</v>
      </c>
      <c r="F7" s="4">
        <v>426</v>
      </c>
      <c r="G7" s="4">
        <v>536</v>
      </c>
      <c r="H7" s="4"/>
      <c r="I7" s="4">
        <v>392</v>
      </c>
      <c r="J7" s="4"/>
      <c r="K7" s="5">
        <v>1337</v>
      </c>
      <c r="L7" s="5"/>
      <c r="M7" s="5"/>
      <c r="N7" s="5"/>
      <c r="O7" s="5">
        <v>2600</v>
      </c>
      <c r="P7" s="5"/>
      <c r="Q7" s="6"/>
      <c r="R7" s="6"/>
      <c r="S7" s="6">
        <v>443</v>
      </c>
      <c r="T7" s="6">
        <v>443</v>
      </c>
      <c r="U7" s="6"/>
      <c r="V7" s="6"/>
      <c r="W7" s="5">
        <v>1094</v>
      </c>
      <c r="X7" s="5">
        <v>654</v>
      </c>
      <c r="Y7" s="5"/>
      <c r="Z7" s="5"/>
      <c r="AA7" s="5"/>
      <c r="AB7" s="5"/>
      <c r="AD7" s="5" t="str">
        <f t="shared" ref="AD7:AD33" si="0">IF(OR(Q7=0,Q7=""),"",Q7*Q$62/1000)</f>
        <v/>
      </c>
      <c r="AE7" s="5" t="str">
        <f t="shared" ref="AE7:AE33" si="1">IF(OR(R7=0,R7=""),"",R7*R$62/1000)</f>
        <v/>
      </c>
    </row>
    <row r="8" spans="1:31">
      <c r="A8" s="2" t="str">
        <f t="shared" ref="A8:A33" si="2">B8&amp;"-"&amp;IF(C8="Capital City","Metro",IF(C8="Regional Area","Non-Metro",IF(C8="All","All","")))</f>
        <v>ACT-Non-Metro</v>
      </c>
      <c r="B8" s="2" t="s">
        <v>2096</v>
      </c>
      <c r="C8" s="214" t="s">
        <v>2098</v>
      </c>
      <c r="D8" s="4">
        <v>112</v>
      </c>
      <c r="E8" s="4">
        <v>1879</v>
      </c>
      <c r="F8" s="4"/>
      <c r="G8" s="4"/>
      <c r="H8" s="4"/>
      <c r="I8" s="4"/>
      <c r="J8" s="4"/>
      <c r="K8" s="5"/>
      <c r="L8" s="5"/>
      <c r="M8" s="5"/>
      <c r="N8" s="5"/>
      <c r="O8" s="5">
        <v>2600</v>
      </c>
      <c r="P8" s="5"/>
      <c r="Q8" s="6"/>
      <c r="R8" s="6"/>
      <c r="S8" s="205"/>
      <c r="T8" s="205"/>
      <c r="U8" s="6"/>
      <c r="V8" s="6"/>
      <c r="W8" s="5"/>
      <c r="X8" s="5"/>
      <c r="Y8" s="5"/>
      <c r="Z8" s="5"/>
      <c r="AA8" s="5"/>
      <c r="AB8" s="5"/>
      <c r="AD8" s="5" t="str">
        <f t="shared" si="0"/>
        <v/>
      </c>
      <c r="AE8" s="5" t="str">
        <f t="shared" si="1"/>
        <v/>
      </c>
    </row>
    <row r="9" spans="1:31">
      <c r="A9" s="2" t="str">
        <f t="shared" si="2"/>
        <v>ACT-All</v>
      </c>
      <c r="B9" s="2" t="s">
        <v>2096</v>
      </c>
      <c r="C9" s="2" t="s">
        <v>1204</v>
      </c>
      <c r="D9" s="7">
        <f>AVERAGE(D7:D8)</f>
        <v>112</v>
      </c>
      <c r="E9" s="7">
        <f>AVERAGE(E7:E8)</f>
        <v>1879</v>
      </c>
      <c r="F9" s="7">
        <f>IFERROR(AVERAGE(F7:F8),"")</f>
        <v>426</v>
      </c>
      <c r="G9" s="7">
        <f t="shared" ref="G9:X9" si="3">IFERROR(AVERAGE(G7:G8),"")</f>
        <v>536</v>
      </c>
      <c r="H9" s="7" t="str">
        <f t="shared" si="3"/>
        <v/>
      </c>
      <c r="I9" s="7">
        <f t="shared" si="3"/>
        <v>392</v>
      </c>
      <c r="J9" s="7" t="str">
        <f t="shared" si="3"/>
        <v/>
      </c>
      <c r="K9" s="7">
        <f t="shared" si="3"/>
        <v>1337</v>
      </c>
      <c r="L9" s="7" t="str">
        <f t="shared" si="3"/>
        <v/>
      </c>
      <c r="M9" s="7" t="str">
        <f t="shared" si="3"/>
        <v/>
      </c>
      <c r="N9" s="7" t="str">
        <f t="shared" si="3"/>
        <v/>
      </c>
      <c r="O9" s="7">
        <f t="shared" si="3"/>
        <v>2600</v>
      </c>
      <c r="P9" s="7" t="str">
        <f t="shared" si="3"/>
        <v/>
      </c>
      <c r="Q9" s="7" t="str">
        <f t="shared" si="3"/>
        <v/>
      </c>
      <c r="R9" s="7" t="str">
        <f t="shared" si="3"/>
        <v/>
      </c>
      <c r="S9" s="7">
        <f t="shared" si="3"/>
        <v>443</v>
      </c>
      <c r="T9" s="7">
        <f t="shared" si="3"/>
        <v>443</v>
      </c>
      <c r="U9" s="7" t="str">
        <f t="shared" si="3"/>
        <v/>
      </c>
      <c r="V9" s="7" t="str">
        <f t="shared" si="3"/>
        <v/>
      </c>
      <c r="W9" s="7">
        <f t="shared" si="3"/>
        <v>1094</v>
      </c>
      <c r="X9" s="7">
        <f t="shared" si="3"/>
        <v>654</v>
      </c>
      <c r="Y9" s="7"/>
      <c r="Z9" s="7"/>
      <c r="AA9" s="7"/>
      <c r="AB9" s="7"/>
      <c r="AD9" s="5" t="str">
        <f t="shared" si="0"/>
        <v/>
      </c>
      <c r="AE9" s="5" t="str">
        <f t="shared" si="1"/>
        <v/>
      </c>
    </row>
    <row r="10" spans="1:31">
      <c r="A10" s="2" t="str">
        <f t="shared" si="2"/>
        <v>NSW-Metro</v>
      </c>
      <c r="B10" s="2" t="s">
        <v>2099</v>
      </c>
      <c r="C10" s="2" t="s">
        <v>2097</v>
      </c>
      <c r="D10" s="4">
        <v>529</v>
      </c>
      <c r="E10" s="4">
        <v>714</v>
      </c>
      <c r="F10" s="4">
        <v>451</v>
      </c>
      <c r="G10" s="4">
        <v>546</v>
      </c>
      <c r="H10" s="4">
        <v>1290</v>
      </c>
      <c r="I10" s="4"/>
      <c r="J10" s="4"/>
      <c r="K10" s="4">
        <v>1478</v>
      </c>
      <c r="L10" s="4"/>
      <c r="M10" s="5"/>
      <c r="N10" s="5"/>
      <c r="O10" s="5"/>
      <c r="P10" s="5"/>
      <c r="Q10" s="4">
        <v>1454</v>
      </c>
      <c r="R10" s="4">
        <v>1454</v>
      </c>
      <c r="S10" s="6">
        <v>168</v>
      </c>
      <c r="T10" s="6">
        <v>168</v>
      </c>
      <c r="U10" s="6"/>
      <c r="V10" s="6"/>
      <c r="W10" s="5">
        <v>977</v>
      </c>
      <c r="X10" s="5">
        <v>706</v>
      </c>
      <c r="Y10" s="5"/>
      <c r="Z10" s="5"/>
      <c r="AA10" s="5"/>
      <c r="AB10" s="5"/>
      <c r="AD10" s="5">
        <f t="shared" si="0"/>
        <v>248.63399999999999</v>
      </c>
      <c r="AE10" s="5">
        <f t="shared" si="1"/>
        <v>159.94</v>
      </c>
    </row>
    <row r="11" spans="1:31">
      <c r="A11" s="2" t="str">
        <f t="shared" si="2"/>
        <v>NSW-Non-Metro</v>
      </c>
      <c r="B11" s="2" t="s">
        <v>2099</v>
      </c>
      <c r="C11" s="2" t="s">
        <v>2098</v>
      </c>
      <c r="D11" s="4">
        <v>375</v>
      </c>
      <c r="E11" s="4">
        <v>1255</v>
      </c>
      <c r="F11" s="4"/>
      <c r="G11" s="4"/>
      <c r="H11" s="4">
        <v>846</v>
      </c>
      <c r="I11" s="4"/>
      <c r="J11" s="4"/>
      <c r="K11" s="4">
        <v>1476</v>
      </c>
      <c r="L11" s="4"/>
      <c r="M11" s="5"/>
      <c r="N11" s="5"/>
      <c r="O11" s="5"/>
      <c r="P11" s="5"/>
      <c r="Q11" s="4">
        <v>1039</v>
      </c>
      <c r="R11" s="4">
        <v>1039</v>
      </c>
      <c r="S11" s="205"/>
      <c r="T11" s="205"/>
      <c r="U11" s="6"/>
      <c r="V11" s="6"/>
      <c r="W11" s="5"/>
      <c r="X11" s="5">
        <v>382</v>
      </c>
      <c r="Y11" s="5"/>
      <c r="Z11" s="5"/>
      <c r="AA11" s="5"/>
      <c r="AB11" s="5"/>
      <c r="AD11" s="5">
        <f t="shared" si="0"/>
        <v>177.66900000000001</v>
      </c>
      <c r="AE11" s="5">
        <f t="shared" si="1"/>
        <v>114.29</v>
      </c>
    </row>
    <row r="12" spans="1:31">
      <c r="A12" s="2" t="str">
        <f t="shared" si="2"/>
        <v>NSW-All</v>
      </c>
      <c r="B12" s="2" t="s">
        <v>2099</v>
      </c>
      <c r="C12" s="2" t="s">
        <v>1204</v>
      </c>
      <c r="D12" s="7">
        <f>AVERAGE(D10:D11)</f>
        <v>452</v>
      </c>
      <c r="E12" s="7">
        <f>AVERAGE(E10:E11)</f>
        <v>984.5</v>
      </c>
      <c r="F12" s="7">
        <f>IFERROR(AVERAGE(F10:F11),"")</f>
        <v>451</v>
      </c>
      <c r="G12" s="7">
        <f t="shared" ref="G12" si="4">IFERROR(AVERAGE(G10:G11),"")</f>
        <v>546</v>
      </c>
      <c r="H12" s="7">
        <f t="shared" ref="H12" si="5">IFERROR(AVERAGE(H10:H11),"")</f>
        <v>1068</v>
      </c>
      <c r="I12" s="7" t="str">
        <f t="shared" ref="I12" si="6">IFERROR(AVERAGE(I10:I11),"")</f>
        <v/>
      </c>
      <c r="J12" s="7" t="str">
        <f t="shared" ref="J12" si="7">IFERROR(AVERAGE(J10:J11),"")</f>
        <v/>
      </c>
      <c r="K12" s="7">
        <f t="shared" ref="K12" si="8">IFERROR(AVERAGE(K10:K11),"")</f>
        <v>1477</v>
      </c>
      <c r="L12" s="7" t="str">
        <f t="shared" ref="L12" si="9">IFERROR(AVERAGE(L10:L11),"")</f>
        <v/>
      </c>
      <c r="M12" s="7" t="str">
        <f t="shared" ref="M12" si="10">IFERROR(AVERAGE(M10:M11),"")</f>
        <v/>
      </c>
      <c r="N12" s="7" t="str">
        <f t="shared" ref="N12" si="11">IFERROR(AVERAGE(N10:N11),"")</f>
        <v/>
      </c>
      <c r="O12" s="7" t="str">
        <f t="shared" ref="O12" si="12">IFERROR(AVERAGE(O10:O11),"")</f>
        <v/>
      </c>
      <c r="P12" s="7" t="str">
        <f t="shared" ref="P12" si="13">IFERROR(AVERAGE(P10:P11),"")</f>
        <v/>
      </c>
      <c r="Q12" s="7">
        <f t="shared" ref="Q12:R12" si="14">IFERROR(AVERAGE(Q10:Q11),"")</f>
        <v>1246.5</v>
      </c>
      <c r="R12" s="7">
        <f t="shared" si="14"/>
        <v>1246.5</v>
      </c>
      <c r="S12" s="7">
        <f t="shared" ref="S12:T12" si="15">IFERROR(AVERAGE(S10:S11),"")</f>
        <v>168</v>
      </c>
      <c r="T12" s="7">
        <f t="shared" si="15"/>
        <v>168</v>
      </c>
      <c r="U12" s="7" t="str">
        <f t="shared" ref="U12" si="16">IFERROR(AVERAGE(U10:U11),"")</f>
        <v/>
      </c>
      <c r="V12" s="7" t="str">
        <f t="shared" ref="V12" si="17">IFERROR(AVERAGE(V10:V11),"")</f>
        <v/>
      </c>
      <c r="W12" s="7">
        <f t="shared" ref="W12" si="18">IFERROR(AVERAGE(W10:W11),"")</f>
        <v>977</v>
      </c>
      <c r="X12" s="7">
        <f t="shared" ref="X12" si="19">IFERROR(AVERAGE(X10:X11),"")</f>
        <v>544</v>
      </c>
      <c r="Y12" s="7"/>
      <c r="Z12" s="7"/>
      <c r="AA12" s="7"/>
      <c r="AB12" s="7"/>
      <c r="AD12" s="5">
        <f t="shared" si="0"/>
        <v>213.1515</v>
      </c>
      <c r="AE12" s="5">
        <f t="shared" si="1"/>
        <v>137.11500000000001</v>
      </c>
    </row>
    <row r="13" spans="1:31">
      <c r="A13" s="2" t="str">
        <f t="shared" si="2"/>
        <v>NT-Metro</v>
      </c>
      <c r="B13" s="2" t="s">
        <v>1691</v>
      </c>
      <c r="C13" s="2" t="s">
        <v>2097</v>
      </c>
      <c r="D13" s="4">
        <v>2893</v>
      </c>
      <c r="E13" s="4">
        <v>0</v>
      </c>
      <c r="F13" s="4"/>
      <c r="G13" s="4"/>
      <c r="H13" s="4"/>
      <c r="I13" s="4">
        <v>333</v>
      </c>
      <c r="J13" s="4">
        <v>829</v>
      </c>
      <c r="K13" s="5">
        <v>1295</v>
      </c>
      <c r="L13" s="5"/>
      <c r="M13" s="5"/>
      <c r="N13" s="5"/>
      <c r="O13" s="5">
        <v>3900</v>
      </c>
      <c r="P13" s="5"/>
      <c r="Q13" s="6"/>
      <c r="R13" s="6"/>
      <c r="S13" s="6">
        <v>410</v>
      </c>
      <c r="T13" s="6">
        <v>410</v>
      </c>
      <c r="U13" s="6"/>
      <c r="V13" s="6"/>
      <c r="W13" s="5">
        <v>132</v>
      </c>
      <c r="X13" s="5">
        <v>408</v>
      </c>
      <c r="Y13" s="5"/>
      <c r="Z13" s="5"/>
      <c r="AA13" s="5"/>
      <c r="AB13" s="5"/>
      <c r="AD13" s="5" t="str">
        <f t="shared" si="0"/>
        <v/>
      </c>
      <c r="AE13" s="5" t="str">
        <f t="shared" si="1"/>
        <v/>
      </c>
    </row>
    <row r="14" spans="1:31">
      <c r="A14" s="2" t="str">
        <f t="shared" si="2"/>
        <v>NT-Non-Metro</v>
      </c>
      <c r="B14" s="2" t="s">
        <v>1691</v>
      </c>
      <c r="C14" s="2" t="s">
        <v>2098</v>
      </c>
      <c r="D14" s="4">
        <v>1921</v>
      </c>
      <c r="E14" s="4">
        <v>119</v>
      </c>
      <c r="F14" s="4"/>
      <c r="G14" s="4"/>
      <c r="H14" s="4"/>
      <c r="I14" s="4">
        <v>323</v>
      </c>
      <c r="J14" s="4"/>
      <c r="K14" s="4">
        <v>1176</v>
      </c>
      <c r="L14" s="4"/>
      <c r="M14" s="5"/>
      <c r="N14" s="5"/>
      <c r="O14" s="5"/>
      <c r="P14" s="5"/>
      <c r="Q14" s="4">
        <v>1684</v>
      </c>
      <c r="R14" s="4">
        <v>1684</v>
      </c>
      <c r="S14" s="205"/>
      <c r="T14" s="205"/>
      <c r="U14" s="6"/>
      <c r="V14" s="6"/>
      <c r="W14" s="5">
        <v>892</v>
      </c>
      <c r="X14" s="5">
        <v>487</v>
      </c>
      <c r="Y14" s="5"/>
      <c r="Z14" s="5"/>
      <c r="AA14" s="5"/>
      <c r="AB14" s="5"/>
      <c r="AD14" s="5">
        <f t="shared" si="0"/>
        <v>287.964</v>
      </c>
      <c r="AE14" s="5">
        <f t="shared" si="1"/>
        <v>185.24</v>
      </c>
    </row>
    <row r="15" spans="1:31">
      <c r="A15" s="2" t="str">
        <f t="shared" si="2"/>
        <v>NT-All</v>
      </c>
      <c r="B15" s="2" t="s">
        <v>1691</v>
      </c>
      <c r="C15" s="2" t="s">
        <v>1204</v>
      </c>
      <c r="D15" s="7">
        <f>AVERAGE(D13:D14)</f>
        <v>2407</v>
      </c>
      <c r="E15" s="7">
        <f>AVERAGE(E13:E14)</f>
        <v>59.5</v>
      </c>
      <c r="F15" s="7" t="str">
        <f>IFERROR(AVERAGE(F13:F14),"")</f>
        <v/>
      </c>
      <c r="G15" s="7" t="str">
        <f t="shared" ref="G15" si="20">IFERROR(AVERAGE(G13:G14),"")</f>
        <v/>
      </c>
      <c r="H15" s="7" t="str">
        <f t="shared" ref="H15" si="21">IFERROR(AVERAGE(H13:H14),"")</f>
        <v/>
      </c>
      <c r="I15" s="7">
        <f t="shared" ref="I15" si="22">IFERROR(AVERAGE(I13:I14),"")</f>
        <v>328</v>
      </c>
      <c r="J15" s="7">
        <f t="shared" ref="J15" si="23">IFERROR(AVERAGE(J13:J14),"")</f>
        <v>829</v>
      </c>
      <c r="K15" s="7">
        <f t="shared" ref="K15" si="24">IFERROR(AVERAGE(K13:K14),"")</f>
        <v>1235.5</v>
      </c>
      <c r="L15" s="7" t="str">
        <f t="shared" ref="L15" si="25">IFERROR(AVERAGE(L13:L14),"")</f>
        <v/>
      </c>
      <c r="M15" s="7" t="str">
        <f t="shared" ref="M15" si="26">IFERROR(AVERAGE(M13:M14),"")</f>
        <v/>
      </c>
      <c r="N15" s="7" t="str">
        <f t="shared" ref="N15" si="27">IFERROR(AVERAGE(N13:N14),"")</f>
        <v/>
      </c>
      <c r="O15" s="7">
        <f t="shared" ref="O15" si="28">IFERROR(AVERAGE(O13:O14),"")</f>
        <v>3900</v>
      </c>
      <c r="P15" s="7" t="str">
        <f t="shared" ref="P15" si="29">IFERROR(AVERAGE(P13:P14),"")</f>
        <v/>
      </c>
      <c r="Q15" s="7">
        <f t="shared" ref="Q15:R15" si="30">IFERROR(AVERAGE(Q13:Q14),"")</f>
        <v>1684</v>
      </c>
      <c r="R15" s="7">
        <f t="shared" si="30"/>
        <v>1684</v>
      </c>
      <c r="S15" s="7">
        <f t="shared" ref="S15:T15" si="31">IFERROR(AVERAGE(S13:S14),"")</f>
        <v>410</v>
      </c>
      <c r="T15" s="7">
        <f t="shared" si="31"/>
        <v>410</v>
      </c>
      <c r="U15" s="7" t="str">
        <f t="shared" ref="U15" si="32">IFERROR(AVERAGE(U13:U14),"")</f>
        <v/>
      </c>
      <c r="V15" s="7" t="str">
        <f t="shared" ref="V15" si="33">IFERROR(AVERAGE(V13:V14),"")</f>
        <v/>
      </c>
      <c r="W15" s="7">
        <f t="shared" ref="W15" si="34">IFERROR(AVERAGE(W13:W14),"")</f>
        <v>512</v>
      </c>
      <c r="X15" s="7">
        <f t="shared" ref="X15" si="35">IFERROR(AVERAGE(X13:X14),"")</f>
        <v>447.5</v>
      </c>
      <c r="Y15" s="7"/>
      <c r="Z15" s="7"/>
      <c r="AA15" s="7"/>
      <c r="AB15" s="7"/>
      <c r="AD15" s="5">
        <f t="shared" si="0"/>
        <v>287.964</v>
      </c>
      <c r="AE15" s="5">
        <f t="shared" si="1"/>
        <v>185.24</v>
      </c>
    </row>
    <row r="16" spans="1:31">
      <c r="A16" s="2" t="str">
        <f t="shared" si="2"/>
        <v>QLD-Metro</v>
      </c>
      <c r="B16" s="2" t="s">
        <v>2100</v>
      </c>
      <c r="C16" s="2" t="s">
        <v>2097</v>
      </c>
      <c r="D16" s="4">
        <v>1091</v>
      </c>
      <c r="E16" s="4">
        <v>351</v>
      </c>
      <c r="F16" s="4"/>
      <c r="G16" s="4">
        <v>569</v>
      </c>
      <c r="H16" s="4"/>
      <c r="I16" s="4"/>
      <c r="J16" s="4"/>
      <c r="K16" s="4">
        <v>960</v>
      </c>
      <c r="L16" s="4">
        <v>1011</v>
      </c>
      <c r="M16" s="5"/>
      <c r="N16" s="5"/>
      <c r="O16" s="5">
        <v>3600</v>
      </c>
      <c r="P16" s="5"/>
      <c r="Q16" s="8"/>
      <c r="R16" s="8"/>
      <c r="S16" s="6">
        <v>159</v>
      </c>
      <c r="T16" s="6">
        <v>159</v>
      </c>
      <c r="U16" s="6"/>
      <c r="V16" s="6"/>
      <c r="W16" s="5"/>
      <c r="X16" s="5">
        <v>651</v>
      </c>
      <c r="Y16" s="5"/>
      <c r="Z16" s="5"/>
      <c r="AA16" s="5"/>
      <c r="AB16" s="5"/>
      <c r="AD16" s="5" t="str">
        <f t="shared" si="0"/>
        <v/>
      </c>
      <c r="AE16" s="5" t="str">
        <f t="shared" si="1"/>
        <v/>
      </c>
    </row>
    <row r="17" spans="1:31">
      <c r="A17" s="2" t="str">
        <f t="shared" si="2"/>
        <v>QLD-Non-Metro</v>
      </c>
      <c r="B17" s="2" t="s">
        <v>2100</v>
      </c>
      <c r="C17" s="2" t="s">
        <v>2098</v>
      </c>
      <c r="D17" s="4">
        <v>1378</v>
      </c>
      <c r="E17" s="4">
        <v>233</v>
      </c>
      <c r="F17" s="4"/>
      <c r="G17" s="4"/>
      <c r="H17" s="4"/>
      <c r="I17" s="4"/>
      <c r="J17" s="4"/>
      <c r="K17" s="4">
        <v>1188</v>
      </c>
      <c r="L17" s="4">
        <v>881</v>
      </c>
      <c r="M17" s="5"/>
      <c r="N17" s="5"/>
      <c r="O17" s="5">
        <v>3800</v>
      </c>
      <c r="P17" s="5">
        <v>4600</v>
      </c>
      <c r="Q17" s="8"/>
      <c r="R17" s="8"/>
      <c r="S17" s="205"/>
      <c r="T17" s="205"/>
      <c r="U17" s="6"/>
      <c r="V17" s="6"/>
      <c r="W17" s="5"/>
      <c r="X17" s="5">
        <v>539</v>
      </c>
      <c r="Y17" s="5"/>
      <c r="Z17" s="5"/>
      <c r="AA17" s="5"/>
      <c r="AB17" s="5"/>
      <c r="AD17" s="5" t="str">
        <f t="shared" si="0"/>
        <v/>
      </c>
      <c r="AE17" s="5" t="str">
        <f t="shared" si="1"/>
        <v/>
      </c>
    </row>
    <row r="18" spans="1:31">
      <c r="A18" s="2" t="str">
        <f t="shared" si="2"/>
        <v>QLD-All</v>
      </c>
      <c r="B18" s="2" t="s">
        <v>2100</v>
      </c>
      <c r="C18" s="2" t="s">
        <v>1204</v>
      </c>
      <c r="D18" s="7">
        <f>AVERAGE(D16:D17)</f>
        <v>1234.5</v>
      </c>
      <c r="E18" s="7">
        <f>AVERAGE(E16:E17)</f>
        <v>292</v>
      </c>
      <c r="F18" s="7" t="str">
        <f>IFERROR(AVERAGE(F16:F17),"")</f>
        <v/>
      </c>
      <c r="G18" s="7">
        <f t="shared" ref="G18" si="36">IFERROR(AVERAGE(G16:G17),"")</f>
        <v>569</v>
      </c>
      <c r="H18" s="7" t="str">
        <f t="shared" ref="H18" si="37">IFERROR(AVERAGE(H16:H17),"")</f>
        <v/>
      </c>
      <c r="I18" s="7" t="str">
        <f t="shared" ref="I18" si="38">IFERROR(AVERAGE(I16:I17),"")</f>
        <v/>
      </c>
      <c r="J18" s="7" t="str">
        <f t="shared" ref="J18" si="39">IFERROR(AVERAGE(J16:J17),"")</f>
        <v/>
      </c>
      <c r="K18" s="7">
        <f t="shared" ref="K18" si="40">IFERROR(AVERAGE(K16:K17),"")</f>
        <v>1074</v>
      </c>
      <c r="L18" s="7">
        <f t="shared" ref="L18" si="41">IFERROR(AVERAGE(L16:L17),"")</f>
        <v>946</v>
      </c>
      <c r="M18" s="7" t="str">
        <f t="shared" ref="M18" si="42">IFERROR(AVERAGE(M16:M17),"")</f>
        <v/>
      </c>
      <c r="N18" s="7" t="str">
        <f t="shared" ref="N18" si="43">IFERROR(AVERAGE(N16:N17),"")</f>
        <v/>
      </c>
      <c r="O18" s="7">
        <f t="shared" ref="O18" si="44">IFERROR(AVERAGE(O16:O17),"")</f>
        <v>3700</v>
      </c>
      <c r="P18" s="7">
        <f t="shared" ref="P18" si="45">IFERROR(AVERAGE(P16:P17),"")</f>
        <v>4600</v>
      </c>
      <c r="Q18" s="7" t="str">
        <f t="shared" ref="Q18:R18" si="46">IFERROR(AVERAGE(Q16:Q17),"")</f>
        <v/>
      </c>
      <c r="R18" s="7" t="str">
        <f t="shared" si="46"/>
        <v/>
      </c>
      <c r="S18" s="7">
        <f t="shared" ref="S18:T18" si="47">IFERROR(AVERAGE(S16:S17),"")</f>
        <v>159</v>
      </c>
      <c r="T18" s="7">
        <f t="shared" si="47"/>
        <v>159</v>
      </c>
      <c r="U18" s="7" t="str">
        <f t="shared" ref="U18" si="48">IFERROR(AVERAGE(U16:U17),"")</f>
        <v/>
      </c>
      <c r="V18" s="7" t="str">
        <f t="shared" ref="V18" si="49">IFERROR(AVERAGE(V16:V17),"")</f>
        <v/>
      </c>
      <c r="W18" s="7" t="str">
        <f t="shared" ref="W18" si="50">IFERROR(AVERAGE(W16:W17),"")</f>
        <v/>
      </c>
      <c r="X18" s="7">
        <f t="shared" ref="X18" si="51">IFERROR(AVERAGE(X16:X17),"")</f>
        <v>595</v>
      </c>
      <c r="Y18" s="7"/>
      <c r="Z18" s="7"/>
      <c r="AA18" s="7"/>
      <c r="AB18" s="7"/>
      <c r="AD18" s="5" t="str">
        <f t="shared" si="0"/>
        <v/>
      </c>
      <c r="AE18" s="5" t="str">
        <f t="shared" si="1"/>
        <v/>
      </c>
    </row>
    <row r="19" spans="1:31">
      <c r="A19" s="2" t="str">
        <f t="shared" si="2"/>
        <v>SA-Metro</v>
      </c>
      <c r="B19" s="2" t="s">
        <v>2101</v>
      </c>
      <c r="C19" s="2" t="s">
        <v>2097</v>
      </c>
      <c r="D19" s="4">
        <v>118</v>
      </c>
      <c r="E19" s="4">
        <v>1291</v>
      </c>
      <c r="F19" s="4">
        <v>242</v>
      </c>
      <c r="G19" s="4"/>
      <c r="H19" s="4"/>
      <c r="I19" s="4">
        <v>374</v>
      </c>
      <c r="J19" s="4">
        <v>469</v>
      </c>
      <c r="K19" s="4">
        <v>1413</v>
      </c>
      <c r="L19" s="4"/>
      <c r="M19" s="5"/>
      <c r="N19" s="5"/>
      <c r="O19" s="5"/>
      <c r="P19" s="5"/>
      <c r="Q19" s="4">
        <v>1259</v>
      </c>
      <c r="R19" s="4">
        <v>1259</v>
      </c>
      <c r="S19" s="6">
        <v>166</v>
      </c>
      <c r="T19" s="6">
        <v>166</v>
      </c>
      <c r="U19" s="6"/>
      <c r="V19" s="6"/>
      <c r="W19" s="5">
        <v>670</v>
      </c>
      <c r="X19" s="5">
        <v>585</v>
      </c>
      <c r="Y19" s="5"/>
      <c r="Z19" s="5"/>
      <c r="AA19" s="5"/>
      <c r="AB19" s="5"/>
      <c r="AD19" s="5">
        <f t="shared" si="0"/>
        <v>215.28899999999999</v>
      </c>
      <c r="AE19" s="5">
        <f t="shared" si="1"/>
        <v>138.49</v>
      </c>
    </row>
    <row r="20" spans="1:31">
      <c r="A20" s="2" t="str">
        <f t="shared" si="2"/>
        <v>SA-Non-Metro</v>
      </c>
      <c r="B20" s="2" t="s">
        <v>2101</v>
      </c>
      <c r="C20" s="2" t="s">
        <v>2098</v>
      </c>
      <c r="D20" s="4">
        <v>171</v>
      </c>
      <c r="E20" s="4">
        <v>1108</v>
      </c>
      <c r="F20" s="4"/>
      <c r="G20" s="4"/>
      <c r="H20" s="4"/>
      <c r="I20" s="4">
        <v>310</v>
      </c>
      <c r="J20" s="4">
        <v>332</v>
      </c>
      <c r="K20" s="4"/>
      <c r="L20" s="4"/>
      <c r="M20" s="5"/>
      <c r="N20" s="5"/>
      <c r="O20" s="5"/>
      <c r="P20" s="5">
        <v>2900</v>
      </c>
      <c r="Q20" s="4"/>
      <c r="R20" s="4"/>
      <c r="S20" s="205"/>
      <c r="T20" s="205"/>
      <c r="U20" s="205"/>
      <c r="V20" s="205"/>
      <c r="W20" s="5"/>
      <c r="X20" s="5"/>
      <c r="Y20" s="5"/>
      <c r="Z20" s="5"/>
      <c r="AA20" s="5"/>
      <c r="AB20" s="5"/>
      <c r="AD20" s="5" t="str">
        <f t="shared" si="0"/>
        <v/>
      </c>
      <c r="AE20" s="5" t="str">
        <f t="shared" si="1"/>
        <v/>
      </c>
    </row>
    <row r="21" spans="1:31">
      <c r="A21" s="2" t="str">
        <f t="shared" si="2"/>
        <v>SA-All</v>
      </c>
      <c r="B21" s="2" t="s">
        <v>2101</v>
      </c>
      <c r="C21" s="2" t="s">
        <v>1204</v>
      </c>
      <c r="D21" s="7">
        <f>AVERAGE(D19:D20)</f>
        <v>144.5</v>
      </c>
      <c r="E21" s="7">
        <f>AVERAGE(E19:E20)</f>
        <v>1199.5</v>
      </c>
      <c r="F21" s="7">
        <f>IFERROR(AVERAGE(F19:F20),"")</f>
        <v>242</v>
      </c>
      <c r="G21" s="7" t="str">
        <f t="shared" ref="G21" si="52">IFERROR(AVERAGE(G19:G20),"")</f>
        <v/>
      </c>
      <c r="H21" s="7" t="str">
        <f t="shared" ref="H21" si="53">IFERROR(AVERAGE(H19:H20),"")</f>
        <v/>
      </c>
      <c r="I21" s="7">
        <f t="shared" ref="I21" si="54">IFERROR(AVERAGE(I19:I20),"")</f>
        <v>342</v>
      </c>
      <c r="J21" s="7">
        <f t="shared" ref="J21" si="55">IFERROR(AVERAGE(J19:J20),"")</f>
        <v>400.5</v>
      </c>
      <c r="K21" s="7">
        <f t="shared" ref="K21" si="56">IFERROR(AVERAGE(K19:K20),"")</f>
        <v>1413</v>
      </c>
      <c r="L21" s="7" t="str">
        <f t="shared" ref="L21" si="57">IFERROR(AVERAGE(L19:L20),"")</f>
        <v/>
      </c>
      <c r="M21" s="7" t="str">
        <f t="shared" ref="M21" si="58">IFERROR(AVERAGE(M19:M20),"")</f>
        <v/>
      </c>
      <c r="N21" s="7" t="str">
        <f t="shared" ref="N21" si="59">IFERROR(AVERAGE(N19:N20),"")</f>
        <v/>
      </c>
      <c r="O21" s="7" t="str">
        <f t="shared" ref="O21" si="60">IFERROR(AVERAGE(O19:O20),"")</f>
        <v/>
      </c>
      <c r="P21" s="7">
        <f t="shared" ref="P21" si="61">IFERROR(AVERAGE(P19:P20),"")</f>
        <v>2900</v>
      </c>
      <c r="Q21" s="7">
        <f t="shared" ref="Q21:R21" si="62">IFERROR(AVERAGE(Q19:Q20),"")</f>
        <v>1259</v>
      </c>
      <c r="R21" s="7">
        <f t="shared" si="62"/>
        <v>1259</v>
      </c>
      <c r="S21" s="7">
        <f t="shared" ref="S21:T21" si="63">IFERROR(AVERAGE(S19:S20),"")</f>
        <v>166</v>
      </c>
      <c r="T21" s="7">
        <f t="shared" si="63"/>
        <v>166</v>
      </c>
      <c r="U21" s="7" t="str">
        <f t="shared" ref="U21" si="64">IFERROR(AVERAGE(U19:U20),"")</f>
        <v/>
      </c>
      <c r="V21" s="7" t="str">
        <f t="shared" ref="V21" si="65">IFERROR(AVERAGE(V19:V20),"")</f>
        <v/>
      </c>
      <c r="W21" s="7">
        <f t="shared" ref="W21" si="66">IFERROR(AVERAGE(W19:W20),"")</f>
        <v>670</v>
      </c>
      <c r="X21" s="7">
        <f t="shared" ref="X21" si="67">IFERROR(AVERAGE(X19:X20),"")</f>
        <v>585</v>
      </c>
      <c r="Y21" s="7"/>
      <c r="Z21" s="7"/>
      <c r="AA21" s="7"/>
      <c r="AB21" s="7"/>
      <c r="AD21" s="5">
        <f t="shared" si="0"/>
        <v>215.28899999999999</v>
      </c>
      <c r="AE21" s="5">
        <f t="shared" si="1"/>
        <v>138.49</v>
      </c>
    </row>
    <row r="22" spans="1:31">
      <c r="A22" s="2" t="str">
        <f t="shared" si="2"/>
        <v>TAS-Metro</v>
      </c>
      <c r="B22" s="2" t="s">
        <v>2102</v>
      </c>
      <c r="C22" s="2" t="s">
        <v>2097</v>
      </c>
      <c r="D22" s="4">
        <v>22</v>
      </c>
      <c r="E22" s="4">
        <v>2583</v>
      </c>
      <c r="F22" s="4">
        <v>438</v>
      </c>
      <c r="G22" s="4"/>
      <c r="H22" s="4"/>
      <c r="I22" s="4"/>
      <c r="J22" s="4"/>
      <c r="K22" s="4"/>
      <c r="L22" s="4"/>
      <c r="M22" s="5"/>
      <c r="N22" s="5"/>
      <c r="O22" s="5"/>
      <c r="P22" s="5"/>
      <c r="Q22" s="8"/>
      <c r="R22" s="8"/>
      <c r="S22" s="6"/>
      <c r="T22" s="6"/>
      <c r="U22" s="205"/>
      <c r="V22" s="205"/>
      <c r="W22" s="5"/>
      <c r="X22" s="5"/>
      <c r="Y22" s="5"/>
      <c r="Z22" s="5"/>
      <c r="AA22" s="5"/>
      <c r="AB22" s="5"/>
      <c r="AD22" s="5" t="str">
        <f t="shared" si="0"/>
        <v/>
      </c>
      <c r="AE22" s="5" t="str">
        <f t="shared" si="1"/>
        <v/>
      </c>
    </row>
    <row r="23" spans="1:31">
      <c r="A23" s="2" t="str">
        <f t="shared" si="2"/>
        <v>TAS-Non-Metro</v>
      </c>
      <c r="B23" s="2" t="s">
        <v>2102</v>
      </c>
      <c r="C23" s="2" t="s">
        <v>2098</v>
      </c>
      <c r="D23" s="4">
        <v>38</v>
      </c>
      <c r="E23" s="4">
        <v>2229</v>
      </c>
      <c r="F23" s="4">
        <v>685</v>
      </c>
      <c r="G23" s="4"/>
      <c r="H23" s="4"/>
      <c r="I23" s="4"/>
      <c r="J23" s="4"/>
      <c r="K23" s="4"/>
      <c r="L23" s="4"/>
      <c r="M23" s="5"/>
      <c r="N23" s="5"/>
      <c r="O23" s="5">
        <v>3000</v>
      </c>
      <c r="P23" s="5">
        <v>3000</v>
      </c>
      <c r="Q23" s="8"/>
      <c r="R23" s="8"/>
      <c r="S23" s="205"/>
      <c r="T23" s="205"/>
      <c r="U23" s="205"/>
      <c r="V23" s="205"/>
      <c r="W23" s="5"/>
      <c r="X23" s="5"/>
      <c r="Y23" s="5"/>
      <c r="Z23" s="5"/>
      <c r="AA23" s="5"/>
      <c r="AB23" s="5"/>
      <c r="AD23" s="5" t="str">
        <f t="shared" si="0"/>
        <v/>
      </c>
      <c r="AE23" s="5" t="str">
        <f t="shared" si="1"/>
        <v/>
      </c>
    </row>
    <row r="24" spans="1:31">
      <c r="A24" s="2" t="str">
        <f t="shared" si="2"/>
        <v>TAS-All</v>
      </c>
      <c r="B24" s="2" t="s">
        <v>2102</v>
      </c>
      <c r="C24" s="2" t="s">
        <v>1204</v>
      </c>
      <c r="D24" s="7">
        <f>AVERAGE(D22:D23)</f>
        <v>30</v>
      </c>
      <c r="E24" s="7">
        <f>AVERAGE(E22:E23)</f>
        <v>2406</v>
      </c>
      <c r="F24" s="7">
        <f>IFERROR(AVERAGE(F22:F23),"")</f>
        <v>561.5</v>
      </c>
      <c r="G24" s="7" t="str">
        <f t="shared" ref="G24" si="68">IFERROR(AVERAGE(G22:G23),"")</f>
        <v/>
      </c>
      <c r="H24" s="7" t="str">
        <f t="shared" ref="H24" si="69">IFERROR(AVERAGE(H22:H23),"")</f>
        <v/>
      </c>
      <c r="I24" s="7" t="str">
        <f t="shared" ref="I24" si="70">IFERROR(AVERAGE(I22:I23),"")</f>
        <v/>
      </c>
      <c r="J24" s="7" t="str">
        <f t="shared" ref="J24" si="71">IFERROR(AVERAGE(J22:J23),"")</f>
        <v/>
      </c>
      <c r="K24" s="7" t="str">
        <f t="shared" ref="K24" si="72">IFERROR(AVERAGE(K22:K23),"")</f>
        <v/>
      </c>
      <c r="L24" s="7" t="str">
        <f t="shared" ref="L24" si="73">IFERROR(AVERAGE(L22:L23),"")</f>
        <v/>
      </c>
      <c r="M24" s="7" t="str">
        <f t="shared" ref="M24" si="74">IFERROR(AVERAGE(M22:M23),"")</f>
        <v/>
      </c>
      <c r="N24" s="7" t="str">
        <f t="shared" ref="N24" si="75">IFERROR(AVERAGE(N22:N23),"")</f>
        <v/>
      </c>
      <c r="O24" s="7">
        <f t="shared" ref="O24" si="76">IFERROR(AVERAGE(O22:O23),"")</f>
        <v>3000</v>
      </c>
      <c r="P24" s="7">
        <f t="shared" ref="P24" si="77">IFERROR(AVERAGE(P22:P23),"")</f>
        <v>3000</v>
      </c>
      <c r="Q24" s="7" t="str">
        <f t="shared" ref="Q24:R24" si="78">IFERROR(AVERAGE(Q22:Q23),"")</f>
        <v/>
      </c>
      <c r="R24" s="7" t="str">
        <f t="shared" si="78"/>
        <v/>
      </c>
      <c r="S24" s="7" t="str">
        <f t="shared" ref="S24:T24" si="79">IFERROR(AVERAGE(S22:S23),"")</f>
        <v/>
      </c>
      <c r="T24" s="7" t="str">
        <f t="shared" si="79"/>
        <v/>
      </c>
      <c r="U24" s="7" t="str">
        <f t="shared" ref="U24" si="80">IFERROR(AVERAGE(U22:U23),"")</f>
        <v/>
      </c>
      <c r="V24" s="7" t="str">
        <f t="shared" ref="V24" si="81">IFERROR(AVERAGE(V22:V23),"")</f>
        <v/>
      </c>
      <c r="W24" s="7" t="str">
        <f t="shared" ref="W24" si="82">IFERROR(AVERAGE(W22:W23),"")</f>
        <v/>
      </c>
      <c r="X24" s="7" t="str">
        <f t="shared" ref="X24" si="83">IFERROR(AVERAGE(X22:X23),"")</f>
        <v/>
      </c>
      <c r="Y24" s="7"/>
      <c r="Z24" s="7"/>
      <c r="AA24" s="7"/>
      <c r="AB24" s="7"/>
      <c r="AD24" s="5" t="str">
        <f t="shared" si="0"/>
        <v/>
      </c>
      <c r="AE24" s="5" t="str">
        <f t="shared" si="1"/>
        <v/>
      </c>
    </row>
    <row r="25" spans="1:31">
      <c r="A25" s="2" t="str">
        <f t="shared" si="2"/>
        <v>VIC-Metro</v>
      </c>
      <c r="B25" s="2" t="s">
        <v>2103</v>
      </c>
      <c r="C25" s="2" t="s">
        <v>2097</v>
      </c>
      <c r="D25" s="4">
        <v>153</v>
      </c>
      <c r="E25" s="4">
        <v>1359</v>
      </c>
      <c r="F25" s="4">
        <v>424</v>
      </c>
      <c r="G25" s="4">
        <v>534</v>
      </c>
      <c r="H25" s="4">
        <v>1054</v>
      </c>
      <c r="I25" s="4"/>
      <c r="J25" s="4"/>
      <c r="K25" s="4">
        <v>1495</v>
      </c>
      <c r="L25" s="4"/>
      <c r="M25" s="5"/>
      <c r="N25" s="5"/>
      <c r="O25" s="5">
        <v>2600</v>
      </c>
      <c r="P25" s="5">
        <v>2600</v>
      </c>
      <c r="Q25" s="4">
        <v>1393</v>
      </c>
      <c r="R25" s="4">
        <v>1393</v>
      </c>
      <c r="S25" s="6"/>
      <c r="T25" s="6"/>
      <c r="U25" s="205"/>
      <c r="V25" s="205"/>
      <c r="W25" s="5"/>
      <c r="X25" s="5"/>
      <c r="Y25" s="5"/>
      <c r="Z25" s="5"/>
      <c r="AA25" s="5"/>
      <c r="AB25" s="5"/>
      <c r="AD25" s="5">
        <f t="shared" si="0"/>
        <v>238.203</v>
      </c>
      <c r="AE25" s="5">
        <f t="shared" si="1"/>
        <v>153.22999999999999</v>
      </c>
    </row>
    <row r="26" spans="1:31">
      <c r="A26" s="2" t="str">
        <f t="shared" si="2"/>
        <v>VIC-Non-Metro</v>
      </c>
      <c r="B26" s="2" t="s">
        <v>2103</v>
      </c>
      <c r="C26" s="2" t="s">
        <v>2098</v>
      </c>
      <c r="D26" s="4">
        <v>112</v>
      </c>
      <c r="E26" s="4">
        <v>1897</v>
      </c>
      <c r="F26" s="4"/>
      <c r="G26" s="4"/>
      <c r="H26" s="4"/>
      <c r="I26" s="4"/>
      <c r="J26" s="4"/>
      <c r="K26" s="4"/>
      <c r="L26" s="4"/>
      <c r="M26" s="5"/>
      <c r="N26" s="5"/>
      <c r="O26" s="5">
        <v>2600</v>
      </c>
      <c r="P26" s="5">
        <v>2900</v>
      </c>
      <c r="Q26" s="4">
        <v>1677</v>
      </c>
      <c r="R26" s="4">
        <v>1677</v>
      </c>
      <c r="S26" s="205"/>
      <c r="T26" s="205"/>
      <c r="U26" s="205"/>
      <c r="V26" s="205"/>
      <c r="W26" s="5"/>
      <c r="X26" s="5"/>
      <c r="Y26" s="5"/>
      <c r="Z26" s="5"/>
      <c r="AA26" s="5"/>
      <c r="AB26" s="5"/>
      <c r="AD26" s="5">
        <f t="shared" si="0"/>
        <v>286.767</v>
      </c>
      <c r="AE26" s="5">
        <f t="shared" si="1"/>
        <v>184.47</v>
      </c>
    </row>
    <row r="27" spans="1:31">
      <c r="A27" s="2" t="str">
        <f t="shared" si="2"/>
        <v>VIC-All</v>
      </c>
      <c r="B27" s="2" t="s">
        <v>2103</v>
      </c>
      <c r="C27" s="2" t="s">
        <v>1204</v>
      </c>
      <c r="D27" s="7">
        <f>AVERAGE(D25:D26)</f>
        <v>132.5</v>
      </c>
      <c r="E27" s="7">
        <f>AVERAGE(E25:E26)</f>
        <v>1628</v>
      </c>
      <c r="F27" s="7">
        <f>IFERROR(AVERAGE(F25:F26),"")</f>
        <v>424</v>
      </c>
      <c r="G27" s="7">
        <f t="shared" ref="G27" si="84">IFERROR(AVERAGE(G25:G26),"")</f>
        <v>534</v>
      </c>
      <c r="H27" s="7">
        <f t="shared" ref="H27" si="85">IFERROR(AVERAGE(H25:H26),"")</f>
        <v>1054</v>
      </c>
      <c r="I27" s="7" t="str">
        <f t="shared" ref="I27" si="86">IFERROR(AVERAGE(I25:I26),"")</f>
        <v/>
      </c>
      <c r="J27" s="7" t="str">
        <f t="shared" ref="J27" si="87">IFERROR(AVERAGE(J25:J26),"")</f>
        <v/>
      </c>
      <c r="K27" s="7">
        <f t="shared" ref="K27" si="88">IFERROR(AVERAGE(K25:K26),"")</f>
        <v>1495</v>
      </c>
      <c r="L27" s="7" t="str">
        <f t="shared" ref="L27" si="89">IFERROR(AVERAGE(L25:L26),"")</f>
        <v/>
      </c>
      <c r="M27" s="7" t="str">
        <f t="shared" ref="M27" si="90">IFERROR(AVERAGE(M25:M26),"")</f>
        <v/>
      </c>
      <c r="N27" s="7" t="str">
        <f t="shared" ref="N27" si="91">IFERROR(AVERAGE(N25:N26),"")</f>
        <v/>
      </c>
      <c r="O27" s="7">
        <f t="shared" ref="O27" si="92">IFERROR(AVERAGE(O25:O26),"")</f>
        <v>2600</v>
      </c>
      <c r="P27" s="7">
        <f t="shared" ref="P27" si="93">IFERROR(AVERAGE(P25:P26),"")</f>
        <v>2750</v>
      </c>
      <c r="Q27" s="7">
        <f t="shared" ref="Q27:R27" si="94">IFERROR(AVERAGE(Q25:Q26),"")</f>
        <v>1535</v>
      </c>
      <c r="R27" s="7">
        <f t="shared" si="94"/>
        <v>1535</v>
      </c>
      <c r="S27" s="7" t="str">
        <f t="shared" ref="S27:T27" si="95">IFERROR(AVERAGE(S25:S26),"")</f>
        <v/>
      </c>
      <c r="T27" s="7" t="str">
        <f t="shared" si="95"/>
        <v/>
      </c>
      <c r="U27" s="7" t="str">
        <f t="shared" ref="U27" si="96">IFERROR(AVERAGE(U25:U26),"")</f>
        <v/>
      </c>
      <c r="V27" s="7" t="str">
        <f t="shared" ref="V27" si="97">IFERROR(AVERAGE(V25:V26),"")</f>
        <v/>
      </c>
      <c r="W27" s="7" t="str">
        <f t="shared" ref="W27" si="98">IFERROR(AVERAGE(W25:W26),"")</f>
        <v/>
      </c>
      <c r="X27" s="7" t="str">
        <f t="shared" ref="X27" si="99">IFERROR(AVERAGE(X25:X26),"")</f>
        <v/>
      </c>
      <c r="Y27" s="7"/>
      <c r="Z27" s="7"/>
      <c r="AA27" s="7"/>
      <c r="AB27" s="7"/>
      <c r="AD27" s="5">
        <f t="shared" si="0"/>
        <v>262.48500000000001</v>
      </c>
      <c r="AE27" s="5">
        <f t="shared" si="1"/>
        <v>168.85</v>
      </c>
    </row>
    <row r="28" spans="1:31">
      <c r="A28" s="2" t="str">
        <f t="shared" si="2"/>
        <v>WA-Metro</v>
      </c>
      <c r="B28" s="2" t="s">
        <v>1692</v>
      </c>
      <c r="C28" s="2" t="s">
        <v>2097</v>
      </c>
      <c r="D28" s="4">
        <v>366</v>
      </c>
      <c r="E28" s="4">
        <v>662</v>
      </c>
      <c r="F28" s="4"/>
      <c r="G28" s="4">
        <v>429</v>
      </c>
      <c r="H28" s="4"/>
      <c r="I28" s="4"/>
      <c r="J28" s="4"/>
      <c r="K28" s="4">
        <v>946</v>
      </c>
      <c r="L28" s="4"/>
      <c r="M28" s="5"/>
      <c r="N28" s="5"/>
      <c r="O28" s="5">
        <v>3900</v>
      </c>
      <c r="P28" s="5"/>
      <c r="Q28" s="4"/>
      <c r="R28" s="4"/>
      <c r="S28" s="6"/>
      <c r="T28" s="6"/>
      <c r="U28" s="205"/>
      <c r="V28" s="205"/>
      <c r="W28" s="5"/>
      <c r="X28" s="5"/>
      <c r="Y28" s="5"/>
      <c r="Z28" s="5"/>
      <c r="AA28" s="5"/>
      <c r="AB28" s="5"/>
      <c r="AD28" s="5" t="str">
        <f t="shared" si="0"/>
        <v/>
      </c>
      <c r="AE28" s="5" t="str">
        <f t="shared" si="1"/>
        <v/>
      </c>
    </row>
    <row r="29" spans="1:31">
      <c r="A29" s="2" t="str">
        <f t="shared" si="2"/>
        <v>WA-Non-Metro</v>
      </c>
      <c r="B29" s="2" t="s">
        <v>1692</v>
      </c>
      <c r="C29" s="2" t="s">
        <v>2098</v>
      </c>
      <c r="D29" s="4">
        <v>740</v>
      </c>
      <c r="E29" s="4">
        <v>590</v>
      </c>
      <c r="F29" s="4"/>
      <c r="G29" s="4"/>
      <c r="H29" s="4"/>
      <c r="I29" s="4"/>
      <c r="J29" s="4"/>
      <c r="K29" s="4">
        <v>1089</v>
      </c>
      <c r="L29" s="4"/>
      <c r="M29" s="5"/>
      <c r="N29" s="5"/>
      <c r="O29" s="5">
        <v>3900</v>
      </c>
      <c r="P29" s="5">
        <v>4100</v>
      </c>
      <c r="Q29" s="4"/>
      <c r="R29" s="4"/>
      <c r="S29" s="205"/>
      <c r="T29" s="205"/>
      <c r="U29" s="205"/>
      <c r="V29" s="205"/>
      <c r="W29" s="5"/>
      <c r="X29" s="5"/>
      <c r="Y29" s="5"/>
      <c r="Z29" s="5"/>
      <c r="AA29" s="5"/>
      <c r="AB29" s="5"/>
      <c r="AD29" s="5" t="str">
        <f t="shared" si="0"/>
        <v/>
      </c>
      <c r="AE29" s="5" t="str">
        <f t="shared" si="1"/>
        <v/>
      </c>
    </row>
    <row r="30" spans="1:31">
      <c r="A30" s="2" t="str">
        <f t="shared" si="2"/>
        <v>WA-All</v>
      </c>
      <c r="B30" s="2" t="s">
        <v>1692</v>
      </c>
      <c r="C30" s="2" t="s">
        <v>1204</v>
      </c>
      <c r="D30" s="7">
        <f>AVERAGE(D28:D29)</f>
        <v>553</v>
      </c>
      <c r="E30" s="7">
        <f>AVERAGE(E28:E29)</f>
        <v>626</v>
      </c>
      <c r="F30" s="7" t="str">
        <f>IFERROR(AVERAGE(F28:F29),"")</f>
        <v/>
      </c>
      <c r="G30" s="7">
        <f t="shared" ref="G30" si="100">IFERROR(AVERAGE(G28:G29),"")</f>
        <v>429</v>
      </c>
      <c r="H30" s="7" t="str">
        <f t="shared" ref="H30" si="101">IFERROR(AVERAGE(H28:H29),"")</f>
        <v/>
      </c>
      <c r="I30" s="7" t="str">
        <f t="shared" ref="I30" si="102">IFERROR(AVERAGE(I28:I29),"")</f>
        <v/>
      </c>
      <c r="J30" s="7" t="str">
        <f t="shared" ref="J30" si="103">IFERROR(AVERAGE(J28:J29),"")</f>
        <v/>
      </c>
      <c r="K30" s="7">
        <f t="shared" ref="K30" si="104">IFERROR(AVERAGE(K28:K29),"")</f>
        <v>1017.5</v>
      </c>
      <c r="L30" s="7" t="str">
        <f t="shared" ref="L30" si="105">IFERROR(AVERAGE(L28:L29),"")</f>
        <v/>
      </c>
      <c r="M30" s="7" t="str">
        <f t="shared" ref="M30" si="106">IFERROR(AVERAGE(M28:M29),"")</f>
        <v/>
      </c>
      <c r="N30" s="7" t="str">
        <f t="shared" ref="N30" si="107">IFERROR(AVERAGE(N28:N29),"")</f>
        <v/>
      </c>
      <c r="O30" s="7">
        <f t="shared" ref="O30" si="108">IFERROR(AVERAGE(O28:O29),"")</f>
        <v>3900</v>
      </c>
      <c r="P30" s="7">
        <f t="shared" ref="P30" si="109">IFERROR(AVERAGE(P28:P29),"")</f>
        <v>4100</v>
      </c>
      <c r="Q30" s="7" t="str">
        <f t="shared" ref="Q30:R30" si="110">IFERROR(AVERAGE(Q28:Q29),"")</f>
        <v/>
      </c>
      <c r="R30" s="7" t="str">
        <f t="shared" si="110"/>
        <v/>
      </c>
      <c r="S30" s="7" t="str">
        <f t="shared" ref="S30:T30" si="111">IFERROR(AVERAGE(S28:S29),"")</f>
        <v/>
      </c>
      <c r="T30" s="7" t="str">
        <f t="shared" si="111"/>
        <v/>
      </c>
      <c r="U30" s="7" t="str">
        <f t="shared" ref="U30" si="112">IFERROR(AVERAGE(U28:U29),"")</f>
        <v/>
      </c>
      <c r="V30" s="7" t="str">
        <f t="shared" ref="V30" si="113">IFERROR(AVERAGE(V28:V29),"")</f>
        <v/>
      </c>
      <c r="W30" s="7" t="str">
        <f t="shared" ref="W30" si="114">IFERROR(AVERAGE(W28:W29),"")</f>
        <v/>
      </c>
      <c r="X30" s="7" t="str">
        <f t="shared" ref="X30" si="115">IFERROR(AVERAGE(X28:X29),"")</f>
        <v/>
      </c>
      <c r="Y30" s="7"/>
      <c r="Z30" s="7"/>
      <c r="AA30" s="7"/>
      <c r="AB30" s="7"/>
      <c r="AD30" s="5" t="str">
        <f t="shared" si="0"/>
        <v/>
      </c>
      <c r="AE30" s="5" t="str">
        <f t="shared" si="1"/>
        <v/>
      </c>
    </row>
    <row r="31" spans="1:31">
      <c r="A31" s="2" t="str">
        <f t="shared" si="2"/>
        <v>AUST-Metro</v>
      </c>
      <c r="B31" s="2" t="s">
        <v>2104</v>
      </c>
      <c r="C31" s="2" t="s">
        <v>2097</v>
      </c>
      <c r="D31" s="4">
        <f>AVERAGE(D7,D10,D13,D16,D19,D22,D25,D28)</f>
        <v>660.5</v>
      </c>
      <c r="E31" s="4">
        <f>AVERAGE(E7,E10,E13,E16,E19,E22,E25,E28)</f>
        <v>1104.875</v>
      </c>
      <c r="F31" s="4">
        <v>386</v>
      </c>
      <c r="G31" s="4">
        <v>537</v>
      </c>
      <c r="H31" s="4">
        <v>1113</v>
      </c>
      <c r="I31" s="4">
        <v>381</v>
      </c>
      <c r="J31" s="4">
        <v>648</v>
      </c>
      <c r="K31" s="4">
        <v>1357</v>
      </c>
      <c r="L31" s="4">
        <v>960</v>
      </c>
      <c r="M31" s="5">
        <v>450</v>
      </c>
      <c r="N31" s="5"/>
      <c r="O31" s="5">
        <v>3150</v>
      </c>
      <c r="P31" s="5">
        <v>3200</v>
      </c>
      <c r="Q31" s="4">
        <v>1415</v>
      </c>
      <c r="R31" s="4">
        <v>1415</v>
      </c>
      <c r="S31" s="6">
        <v>174</v>
      </c>
      <c r="T31" s="6">
        <v>174</v>
      </c>
      <c r="U31" s="205"/>
      <c r="V31" s="205"/>
      <c r="W31" s="5">
        <v>1008</v>
      </c>
      <c r="X31" s="5">
        <v>655</v>
      </c>
      <c r="Y31" s="5"/>
      <c r="Z31" s="5"/>
      <c r="AA31" s="5"/>
      <c r="AB31" s="5"/>
      <c r="AD31" s="5">
        <f t="shared" si="0"/>
        <v>241.965</v>
      </c>
      <c r="AE31" s="5">
        <f t="shared" si="1"/>
        <v>155.65</v>
      </c>
    </row>
    <row r="32" spans="1:31">
      <c r="A32" s="2" t="str">
        <f t="shared" si="2"/>
        <v>AUST-Non-Metro</v>
      </c>
      <c r="B32" s="2" t="s">
        <v>2104</v>
      </c>
      <c r="C32" s="2" t="s">
        <v>2098</v>
      </c>
      <c r="D32" s="4">
        <f>AVERAGE(D8,D11,D14,D17,D20,D23,D26,D29)</f>
        <v>605.875</v>
      </c>
      <c r="E32" s="4">
        <f>AVERAGE(E8,E11,E14,E17,E20,E23,E26,E29)</f>
        <v>1163.75</v>
      </c>
      <c r="F32" s="4">
        <v>580</v>
      </c>
      <c r="G32" s="4">
        <v>616</v>
      </c>
      <c r="H32" s="4">
        <v>942</v>
      </c>
      <c r="I32" s="4">
        <v>329</v>
      </c>
      <c r="J32" s="4">
        <v>481</v>
      </c>
      <c r="K32" s="4">
        <v>1313</v>
      </c>
      <c r="L32" s="4">
        <v>850</v>
      </c>
      <c r="M32" s="5">
        <v>350</v>
      </c>
      <c r="N32" s="5"/>
      <c r="O32" s="5">
        <v>3520</v>
      </c>
      <c r="P32" s="5">
        <v>3560</v>
      </c>
      <c r="Q32" s="4">
        <v>1657</v>
      </c>
      <c r="R32" s="4">
        <v>1657</v>
      </c>
      <c r="S32" s="205"/>
      <c r="T32" s="205"/>
      <c r="U32" s="205"/>
      <c r="V32" s="205"/>
      <c r="W32" s="5">
        <v>876</v>
      </c>
      <c r="X32" s="5">
        <v>413</v>
      </c>
      <c r="Y32" s="5"/>
      <c r="Z32" s="5"/>
      <c r="AA32" s="5"/>
      <c r="AB32" s="5"/>
      <c r="AD32" s="5">
        <f t="shared" si="0"/>
        <v>283.34699999999998</v>
      </c>
      <c r="AE32" s="5">
        <f t="shared" si="1"/>
        <v>182.27</v>
      </c>
    </row>
    <row r="33" spans="1:31">
      <c r="A33" s="2" t="str">
        <f t="shared" si="2"/>
        <v>AUST-All</v>
      </c>
      <c r="B33" s="2" t="s">
        <v>2104</v>
      </c>
      <c r="C33" s="2" t="s">
        <v>1204</v>
      </c>
      <c r="D33" s="4">
        <f>AVERAGE(D7:D8,D10:D11,D13:D14,D16:D17,D19:D20,D22:D23,D25:D26,D28:D29)</f>
        <v>633.1875</v>
      </c>
      <c r="E33" s="4">
        <f>AVERAGE(E7:E8,E10:E11,E13:E14,E16:E17,E19:E20,E22:E23,E25:E26,E28:E29)</f>
        <v>1134.3125</v>
      </c>
      <c r="F33" s="4">
        <v>412</v>
      </c>
      <c r="G33" s="4">
        <v>538</v>
      </c>
      <c r="H33" s="4">
        <v>1085</v>
      </c>
      <c r="I33" s="4">
        <v>377</v>
      </c>
      <c r="J33" s="4">
        <v>614</v>
      </c>
      <c r="K33" s="4">
        <v>1350</v>
      </c>
      <c r="L33" s="4">
        <v>915</v>
      </c>
      <c r="M33" s="5">
        <v>400</v>
      </c>
      <c r="N33" s="5">
        <v>1600</v>
      </c>
      <c r="O33" s="5">
        <v>3300</v>
      </c>
      <c r="P33" s="5">
        <v>3375</v>
      </c>
      <c r="Q33" s="4">
        <v>1536</v>
      </c>
      <c r="R33" s="4">
        <v>1536</v>
      </c>
      <c r="S33" s="4">
        <v>174</v>
      </c>
      <c r="T33" s="4">
        <v>174</v>
      </c>
      <c r="U33" s="4">
        <v>365</v>
      </c>
      <c r="V33" s="4">
        <v>869</v>
      </c>
      <c r="W33" s="4">
        <v>1003</v>
      </c>
      <c r="X33" s="4">
        <v>623</v>
      </c>
      <c r="Y33" s="4">
        <v>239.99476641215483</v>
      </c>
      <c r="Z33" s="4">
        <v>123.58671297248226</v>
      </c>
      <c r="AA33" s="4">
        <v>690.33750347334228</v>
      </c>
      <c r="AB33" s="4"/>
      <c r="AD33" s="5">
        <f t="shared" si="0"/>
        <v>262.65600000000001</v>
      </c>
      <c r="AE33" s="5">
        <f t="shared" si="1"/>
        <v>168.96</v>
      </c>
    </row>
    <row r="34" spans="1:31" ht="26.4">
      <c r="A34" s="2" t="s">
        <v>2741</v>
      </c>
      <c r="B34" s="2" t="s">
        <v>2739</v>
      </c>
      <c r="C34" s="2" t="s">
        <v>2097</v>
      </c>
      <c r="D34" s="4">
        <v>14.6</v>
      </c>
      <c r="E34" s="4">
        <v>1965.933</v>
      </c>
      <c r="F34" s="4">
        <v>293</v>
      </c>
      <c r="G34" s="4">
        <v>461</v>
      </c>
      <c r="H34" s="4">
        <v>754</v>
      </c>
      <c r="I34" s="4">
        <v>293</v>
      </c>
      <c r="J34" s="4">
        <v>754</v>
      </c>
      <c r="K34" s="4"/>
      <c r="L34" s="4"/>
      <c r="M34" s="5"/>
      <c r="N34" s="5">
        <v>842.4</v>
      </c>
      <c r="O34" s="5"/>
      <c r="P34" s="5"/>
      <c r="Q34" s="4"/>
      <c r="R34" s="4"/>
      <c r="S34" s="4"/>
      <c r="T34" s="4"/>
      <c r="U34" s="4"/>
      <c r="V34" s="4"/>
      <c r="W34" s="4"/>
      <c r="X34" s="4"/>
      <c r="Y34" s="4">
        <f t="shared" ref="Y34:Y36" si="116">70*3.6</f>
        <v>252</v>
      </c>
      <c r="Z34" s="4">
        <f t="shared" ref="Z34:Z36" si="117">35*3.6</f>
        <v>126</v>
      </c>
      <c r="AA34" s="4">
        <f t="shared" ref="AA34:AA36" si="118">113*3.6</f>
        <v>406.8</v>
      </c>
      <c r="AB34" s="160">
        <v>903.6</v>
      </c>
      <c r="AD34" s="123"/>
      <c r="AE34" s="123"/>
    </row>
    <row r="35" spans="1:31" ht="26.4">
      <c r="A35" s="2" t="s">
        <v>2740</v>
      </c>
      <c r="B35" s="2" t="s">
        <v>2739</v>
      </c>
      <c r="C35" s="2" t="s">
        <v>2098</v>
      </c>
      <c r="D35" s="4">
        <v>14.6</v>
      </c>
      <c r="E35" s="4">
        <v>1965.933</v>
      </c>
      <c r="F35" s="4">
        <v>293</v>
      </c>
      <c r="G35" s="4">
        <v>461</v>
      </c>
      <c r="H35" s="4">
        <v>754</v>
      </c>
      <c r="I35" s="4">
        <v>293</v>
      </c>
      <c r="J35" s="4">
        <v>754</v>
      </c>
      <c r="K35" s="4"/>
      <c r="L35" s="4"/>
      <c r="M35" s="5"/>
      <c r="N35" s="5">
        <v>842.4</v>
      </c>
      <c r="O35" s="5"/>
      <c r="P35" s="5"/>
      <c r="Q35" s="4"/>
      <c r="R35" s="4"/>
      <c r="S35" s="4"/>
      <c r="T35" s="4"/>
      <c r="U35" s="4"/>
      <c r="V35" s="4"/>
      <c r="W35" s="4"/>
      <c r="X35" s="4"/>
      <c r="Y35" s="4">
        <f t="shared" si="116"/>
        <v>252</v>
      </c>
      <c r="Z35" s="4">
        <f t="shared" si="117"/>
        <v>126</v>
      </c>
      <c r="AA35" s="4">
        <f t="shared" si="118"/>
        <v>406.8</v>
      </c>
      <c r="AB35" s="160">
        <v>903.6</v>
      </c>
      <c r="AD35" s="123"/>
      <c r="AE35" s="123"/>
    </row>
    <row r="36" spans="1:31">
      <c r="A36" s="2" t="s">
        <v>2106</v>
      </c>
      <c r="B36" s="2" t="s">
        <v>2105</v>
      </c>
      <c r="C36" s="2" t="s">
        <v>1204</v>
      </c>
      <c r="D36" s="4">
        <v>14.6</v>
      </c>
      <c r="E36" s="4">
        <v>1965.933</v>
      </c>
      <c r="F36" s="4">
        <v>293</v>
      </c>
      <c r="G36" s="4">
        <v>461</v>
      </c>
      <c r="H36" s="4">
        <v>754</v>
      </c>
      <c r="I36" s="4">
        <v>293</v>
      </c>
      <c r="J36" s="4">
        <v>754</v>
      </c>
      <c r="K36" s="4"/>
      <c r="L36" s="4"/>
      <c r="M36" s="5"/>
      <c r="N36" s="5">
        <v>842.4</v>
      </c>
      <c r="O36" s="5"/>
      <c r="P36" s="5"/>
      <c r="Q36" s="4"/>
      <c r="R36" s="4"/>
      <c r="S36" s="4"/>
      <c r="T36" s="4"/>
      <c r="U36" s="4"/>
      <c r="V36" s="4"/>
      <c r="W36" s="4"/>
      <c r="X36" s="4"/>
      <c r="Y36" s="4">
        <f t="shared" si="116"/>
        <v>252</v>
      </c>
      <c r="Z36" s="4">
        <f t="shared" si="117"/>
        <v>126</v>
      </c>
      <c r="AA36" s="4">
        <f t="shared" si="118"/>
        <v>406.8</v>
      </c>
      <c r="AB36" s="160">
        <v>903.6</v>
      </c>
      <c r="AD36" s="123"/>
      <c r="AE36" s="123"/>
    </row>
    <row r="37" spans="1:31">
      <c r="A37" s="2" t="s">
        <v>2107</v>
      </c>
      <c r="B37" s="2" t="s">
        <v>2108</v>
      </c>
      <c r="C37" s="2" t="s">
        <v>2097</v>
      </c>
      <c r="D37" s="4">
        <v>115.7</v>
      </c>
      <c r="E37" s="4">
        <v>1222.0999999999999</v>
      </c>
      <c r="F37" s="4">
        <v>293</v>
      </c>
      <c r="G37" s="4">
        <v>461</v>
      </c>
      <c r="H37" s="4">
        <v>754</v>
      </c>
      <c r="I37" s="4">
        <v>293</v>
      </c>
      <c r="J37" s="4">
        <v>754</v>
      </c>
      <c r="K37" s="4"/>
      <c r="L37" s="4"/>
      <c r="M37" s="5"/>
      <c r="N37" s="5">
        <v>842.4</v>
      </c>
      <c r="O37" s="5"/>
      <c r="P37" s="5"/>
      <c r="Q37" s="4"/>
      <c r="R37" s="4"/>
      <c r="S37" s="4"/>
      <c r="T37" s="4"/>
      <c r="U37" s="4"/>
      <c r="V37" s="4"/>
      <c r="W37" s="4"/>
      <c r="X37" s="4"/>
      <c r="Y37" s="4">
        <f t="shared" ref="Y37:Y38" si="119">70*3.6</f>
        <v>252</v>
      </c>
      <c r="Z37" s="4">
        <f t="shared" ref="Z37:Z38" si="120">35*3.6</f>
        <v>126</v>
      </c>
      <c r="AA37" s="4">
        <f t="shared" ref="AA37:AA38" si="121">113*3.6</f>
        <v>406.8</v>
      </c>
      <c r="AB37" s="160">
        <v>903.6</v>
      </c>
      <c r="AD37" s="123"/>
      <c r="AE37" s="123"/>
    </row>
    <row r="38" spans="1:31">
      <c r="A38" s="2" t="s">
        <v>2109</v>
      </c>
      <c r="B38" s="2" t="s">
        <v>2108</v>
      </c>
      <c r="C38" s="214" t="s">
        <v>2098</v>
      </c>
      <c r="D38" s="4">
        <v>115.7</v>
      </c>
      <c r="E38" s="4">
        <v>1222.0999999999999</v>
      </c>
      <c r="F38" s="4">
        <v>293</v>
      </c>
      <c r="G38" s="4">
        <v>461</v>
      </c>
      <c r="H38" s="4">
        <v>754</v>
      </c>
      <c r="I38" s="4">
        <v>293</v>
      </c>
      <c r="J38" s="4">
        <v>754</v>
      </c>
      <c r="K38" s="4"/>
      <c r="L38" s="4"/>
      <c r="M38" s="5"/>
      <c r="N38" s="5">
        <v>842.4</v>
      </c>
      <c r="O38" s="5"/>
      <c r="P38" s="5"/>
      <c r="Q38" s="4"/>
      <c r="R38" s="4"/>
      <c r="S38" s="4"/>
      <c r="T38" s="4"/>
      <c r="U38" s="4"/>
      <c r="V38" s="4"/>
      <c r="W38" s="4"/>
      <c r="X38" s="4"/>
      <c r="Y38" s="4">
        <f t="shared" si="119"/>
        <v>252</v>
      </c>
      <c r="Z38" s="4">
        <f t="shared" si="120"/>
        <v>126</v>
      </c>
      <c r="AA38" s="4">
        <f t="shared" si="121"/>
        <v>406.8</v>
      </c>
      <c r="AB38" s="160">
        <v>903.6</v>
      </c>
      <c r="AD38" s="123"/>
      <c r="AE38" s="123"/>
    </row>
    <row r="40" spans="1:31" ht="15.6">
      <c r="A40" s="155" t="s">
        <v>2110</v>
      </c>
      <c r="B40" s="155"/>
      <c r="C40" s="155"/>
      <c r="D40" s="155"/>
      <c r="E40" s="155"/>
      <c r="F40" s="155"/>
      <c r="G40" s="155"/>
      <c r="H40" s="155"/>
      <c r="I40" s="155"/>
      <c r="J40" s="155"/>
      <c r="K40" s="155"/>
      <c r="L40" s="155"/>
      <c r="M40" s="155"/>
      <c r="N40" s="155"/>
      <c r="O40" s="155"/>
      <c r="P40" s="155"/>
      <c r="Q40" s="155"/>
      <c r="R40" s="155"/>
      <c r="S40" s="155"/>
      <c r="T40" s="155"/>
      <c r="U40" s="155"/>
      <c r="V40" s="155"/>
      <c r="W40" s="155"/>
      <c r="X40" s="155"/>
      <c r="Y40" s="155"/>
      <c r="Z40" s="155"/>
      <c r="AA40" s="155"/>
      <c r="AB40" s="155"/>
    </row>
    <row r="42" spans="1:31" ht="38.25" customHeight="1">
      <c r="A42" s="118" t="s">
        <v>2111</v>
      </c>
      <c r="B42" s="118"/>
      <c r="C42" s="118"/>
      <c r="D42" s="118"/>
      <c r="E42" s="118"/>
      <c r="F42" s="118" t="s">
        <v>524</v>
      </c>
      <c r="G42" s="118" t="s">
        <v>2072</v>
      </c>
      <c r="H42" s="118" t="s">
        <v>2073</v>
      </c>
      <c r="I42" s="118" t="s">
        <v>2074</v>
      </c>
      <c r="J42" s="118" t="s">
        <v>2075</v>
      </c>
      <c r="K42" s="118" t="s">
        <v>2076</v>
      </c>
      <c r="L42" s="118" t="s">
        <v>2077</v>
      </c>
      <c r="M42" s="118" t="s">
        <v>2078</v>
      </c>
      <c r="N42" s="118" t="s">
        <v>2079</v>
      </c>
      <c r="O42" s="118" t="s">
        <v>2080</v>
      </c>
      <c r="P42" s="118" t="s">
        <v>2081</v>
      </c>
      <c r="Q42" s="118" t="s">
        <v>2082</v>
      </c>
      <c r="R42" s="118" t="s">
        <v>2083</v>
      </c>
      <c r="S42" s="118" t="s">
        <v>2084</v>
      </c>
      <c r="T42" s="118" t="s">
        <v>2085</v>
      </c>
      <c r="U42" s="118" t="s">
        <v>2086</v>
      </c>
      <c r="V42" s="118" t="s">
        <v>2087</v>
      </c>
      <c r="W42" s="118" t="s">
        <v>2088</v>
      </c>
      <c r="X42" s="118" t="s">
        <v>2089</v>
      </c>
      <c r="Y42" s="118" t="s">
        <v>2090</v>
      </c>
      <c r="Z42" s="118" t="s">
        <v>2112</v>
      </c>
      <c r="AA42" s="118" t="s">
        <v>2092</v>
      </c>
      <c r="AB42" s="118" t="s">
        <v>2113</v>
      </c>
    </row>
    <row r="43" spans="1:31">
      <c r="A43" s="2" t="s">
        <v>673</v>
      </c>
      <c r="B43" s="9"/>
      <c r="C43" s="9"/>
      <c r="D43" s="9"/>
      <c r="E43" s="9"/>
      <c r="F43" s="9">
        <v>0.9</v>
      </c>
      <c r="G43" s="9">
        <v>0.9</v>
      </c>
      <c r="H43" s="9">
        <v>0.9</v>
      </c>
      <c r="I43" s="9">
        <v>0.9</v>
      </c>
      <c r="J43" s="9">
        <v>0.9</v>
      </c>
      <c r="K43" s="9">
        <v>0.65</v>
      </c>
      <c r="L43" s="9">
        <v>0.99</v>
      </c>
      <c r="M43" s="9">
        <v>0.93</v>
      </c>
      <c r="N43" s="9">
        <v>0.97499999999999998</v>
      </c>
      <c r="O43" s="9">
        <v>0.99</v>
      </c>
      <c r="P43" s="9">
        <v>0.99</v>
      </c>
      <c r="Q43" s="9">
        <v>0.49</v>
      </c>
      <c r="R43" s="9">
        <v>0.49</v>
      </c>
      <c r="S43" s="9">
        <v>0.91</v>
      </c>
      <c r="T43" s="9">
        <v>0.91</v>
      </c>
      <c r="U43" s="9">
        <v>0.71</v>
      </c>
      <c r="V43" s="9">
        <v>0.71</v>
      </c>
      <c r="W43" s="9">
        <v>0.61</v>
      </c>
      <c r="X43" s="9">
        <v>0.82</v>
      </c>
      <c r="Y43" s="9">
        <v>0.91378921353422382</v>
      </c>
      <c r="Z43" s="9">
        <v>0.88591871244039877</v>
      </c>
      <c r="AA43" s="9">
        <v>0.92219311988632524</v>
      </c>
      <c r="AB43" s="9">
        <v>1</v>
      </c>
    </row>
    <row r="44" spans="1:31">
      <c r="A44" s="2" t="s">
        <v>1964</v>
      </c>
      <c r="B44" s="9"/>
      <c r="C44" s="9"/>
      <c r="D44" s="9"/>
      <c r="E44" s="9"/>
      <c r="F44" s="9">
        <v>0.1</v>
      </c>
      <c r="G44" s="9">
        <v>0.1</v>
      </c>
      <c r="H44" s="9">
        <v>0.1</v>
      </c>
      <c r="I44" s="9">
        <v>0.1</v>
      </c>
      <c r="J44" s="9">
        <v>0.1</v>
      </c>
      <c r="K44" s="9">
        <v>0.35</v>
      </c>
      <c r="L44" s="9">
        <v>0.01</v>
      </c>
      <c r="M44" s="9">
        <v>7.0000000000000007E-2</v>
      </c>
      <c r="N44" s="9">
        <v>2.5000000000000001E-2</v>
      </c>
      <c r="O44" s="9">
        <v>0.01</v>
      </c>
      <c r="P44" s="9">
        <v>0.01</v>
      </c>
      <c r="Q44" s="9">
        <v>0.47</v>
      </c>
      <c r="R44" s="9">
        <v>0.47</v>
      </c>
      <c r="S44" s="9">
        <v>0.09</v>
      </c>
      <c r="T44" s="9">
        <v>0.09</v>
      </c>
      <c r="U44" s="9">
        <v>0.28000000000000003</v>
      </c>
      <c r="V44" s="9">
        <v>0.28000000000000003</v>
      </c>
      <c r="W44" s="9">
        <v>0.39</v>
      </c>
      <c r="X44" s="9">
        <v>0.18</v>
      </c>
      <c r="Y44" s="9">
        <v>1.0495537579723485E-3</v>
      </c>
      <c r="Z44" s="9">
        <v>3.5228615541582583E-3</v>
      </c>
      <c r="AA44" s="9">
        <v>7.9358078859664491E-4</v>
      </c>
      <c r="AB44" s="9">
        <v>0</v>
      </c>
    </row>
    <row r="45" spans="1:31">
      <c r="A45" s="2" t="s">
        <v>1965</v>
      </c>
      <c r="B45" s="9"/>
      <c r="C45" s="9"/>
      <c r="D45" s="9"/>
      <c r="E45" s="9"/>
      <c r="F45" s="9">
        <v>0</v>
      </c>
      <c r="G45" s="9">
        <v>0</v>
      </c>
      <c r="H45" s="9">
        <v>0</v>
      </c>
      <c r="I45" s="9">
        <v>0</v>
      </c>
      <c r="J45" s="9">
        <v>0</v>
      </c>
      <c r="K45" s="9"/>
      <c r="L45" s="9"/>
      <c r="M45" s="9"/>
      <c r="N45" s="9"/>
      <c r="O45" s="9"/>
      <c r="P45" s="9"/>
      <c r="Q45" s="9">
        <v>0.03</v>
      </c>
      <c r="R45" s="9">
        <v>0.03</v>
      </c>
      <c r="S45" s="9"/>
      <c r="T45" s="9"/>
      <c r="U45" s="9">
        <v>0.01</v>
      </c>
      <c r="V45" s="9">
        <v>0.01</v>
      </c>
      <c r="W45" s="9"/>
      <c r="X45" s="9"/>
      <c r="Y45" s="9">
        <v>7.5280604927429356E-2</v>
      </c>
      <c r="Z45" s="9">
        <v>0.11055842600544293</v>
      </c>
      <c r="AA45" s="9">
        <v>7.7013299325078041E-2</v>
      </c>
      <c r="AB45" s="9">
        <v>0</v>
      </c>
    </row>
    <row r="46" spans="1:31">
      <c r="A46" s="2" t="s">
        <v>1919</v>
      </c>
      <c r="B46" s="9"/>
      <c r="C46" s="9"/>
      <c r="D46" s="9"/>
      <c r="E46" s="9"/>
      <c r="F46" s="9">
        <v>0</v>
      </c>
      <c r="G46" s="9">
        <v>0</v>
      </c>
      <c r="H46" s="9">
        <v>0</v>
      </c>
      <c r="I46" s="9">
        <v>0</v>
      </c>
      <c r="J46" s="9">
        <v>0</v>
      </c>
      <c r="K46" s="9"/>
      <c r="L46" s="9"/>
      <c r="M46" s="9"/>
      <c r="N46" s="9"/>
      <c r="O46" s="9"/>
      <c r="P46" s="9"/>
      <c r="Q46" s="9">
        <v>0.01</v>
      </c>
      <c r="R46" s="9">
        <v>0.01</v>
      </c>
      <c r="S46" s="9"/>
      <c r="T46" s="9"/>
      <c r="U46" s="9"/>
      <c r="V46" s="9"/>
      <c r="W46" s="9"/>
      <c r="X46" s="9"/>
      <c r="Y46" s="9"/>
      <c r="Z46" s="9"/>
      <c r="AA46" s="9"/>
      <c r="AB46" s="9">
        <v>0</v>
      </c>
    </row>
    <row r="47" spans="1:31" s="18" customFormat="1">
      <c r="A47" s="3" t="s">
        <v>1992</v>
      </c>
      <c r="B47" s="10"/>
      <c r="C47" s="10"/>
      <c r="D47" s="10"/>
      <c r="E47" s="10"/>
      <c r="F47" s="10">
        <f>SUM(F43:F46)</f>
        <v>1</v>
      </c>
      <c r="G47" s="10">
        <f t="shared" ref="G47:X47" si="122">SUM(G43:G46)</f>
        <v>1</v>
      </c>
      <c r="H47" s="10">
        <f t="shared" si="122"/>
        <v>1</v>
      </c>
      <c r="I47" s="10">
        <f t="shared" si="122"/>
        <v>1</v>
      </c>
      <c r="J47" s="10">
        <f t="shared" si="122"/>
        <v>1</v>
      </c>
      <c r="K47" s="10">
        <f t="shared" si="122"/>
        <v>1</v>
      </c>
      <c r="L47" s="10">
        <f t="shared" si="122"/>
        <v>1</v>
      </c>
      <c r="M47" s="10">
        <f t="shared" si="122"/>
        <v>1</v>
      </c>
      <c r="N47" s="10">
        <f t="shared" si="122"/>
        <v>1</v>
      </c>
      <c r="O47" s="10">
        <f t="shared" si="122"/>
        <v>1</v>
      </c>
      <c r="P47" s="10">
        <f t="shared" si="122"/>
        <v>1</v>
      </c>
      <c r="Q47" s="10">
        <f t="shared" si="122"/>
        <v>1</v>
      </c>
      <c r="R47" s="10">
        <f t="shared" si="122"/>
        <v>1</v>
      </c>
      <c r="S47" s="10">
        <f t="shared" si="122"/>
        <v>1</v>
      </c>
      <c r="T47" s="10">
        <f t="shared" si="122"/>
        <v>1</v>
      </c>
      <c r="U47" s="10">
        <f t="shared" si="122"/>
        <v>1</v>
      </c>
      <c r="V47" s="10">
        <f t="shared" si="122"/>
        <v>1</v>
      </c>
      <c r="W47" s="10">
        <f t="shared" si="122"/>
        <v>1</v>
      </c>
      <c r="X47" s="10">
        <f t="shared" si="122"/>
        <v>1</v>
      </c>
      <c r="Y47" s="10">
        <f>(SUM(Y43:Y46))/0.990119372219626</f>
        <v>0.99999999999999956</v>
      </c>
      <c r="Z47" s="10">
        <f t="shared" ref="Z47:AA47" si="123">SUM(Z43:Z46)</f>
        <v>1</v>
      </c>
      <c r="AA47" s="10">
        <f t="shared" si="123"/>
        <v>0.99999999999999989</v>
      </c>
      <c r="AB47" s="10"/>
    </row>
    <row r="48" spans="1:31" s="18" customFormat="1" ht="79.2">
      <c r="A48" s="118" t="s">
        <v>2114</v>
      </c>
      <c r="B48" s="118"/>
      <c r="C48" s="118"/>
      <c r="D48" s="118"/>
      <c r="E48" s="118"/>
      <c r="F48" s="118" t="s">
        <v>524</v>
      </c>
      <c r="G48" s="118" t="s">
        <v>2072</v>
      </c>
      <c r="H48" s="118" t="s">
        <v>2073</v>
      </c>
      <c r="I48" s="118" t="s">
        <v>2074</v>
      </c>
      <c r="J48" s="118" t="s">
        <v>2075</v>
      </c>
      <c r="K48" s="118" t="s">
        <v>2076</v>
      </c>
      <c r="L48" s="118" t="s">
        <v>2077</v>
      </c>
      <c r="M48" s="118" t="s">
        <v>2078</v>
      </c>
      <c r="N48" s="118" t="s">
        <v>2079</v>
      </c>
      <c r="O48" s="118" t="s">
        <v>2080</v>
      </c>
      <c r="P48" s="118" t="s">
        <v>2081</v>
      </c>
      <c r="Q48" s="118" t="s">
        <v>2082</v>
      </c>
      <c r="R48" s="118" t="s">
        <v>2083</v>
      </c>
      <c r="S48" s="118" t="s">
        <v>2084</v>
      </c>
      <c r="T48" s="118" t="s">
        <v>2085</v>
      </c>
      <c r="U48" s="118" t="s">
        <v>2086</v>
      </c>
      <c r="V48" s="118" t="s">
        <v>2087</v>
      </c>
      <c r="W48" s="118" t="s">
        <v>2088</v>
      </c>
      <c r="X48" s="118" t="s">
        <v>2089</v>
      </c>
      <c r="Y48" s="118" t="s">
        <v>2090</v>
      </c>
      <c r="Z48" s="118" t="s">
        <v>2112</v>
      </c>
      <c r="AA48" s="118" t="s">
        <v>2092</v>
      </c>
      <c r="AB48" s="118" t="s">
        <v>2113</v>
      </c>
    </row>
    <row r="49" spans="1:28" s="18" customFormat="1">
      <c r="A49" s="148" t="s">
        <v>673</v>
      </c>
      <c r="B49" s="149"/>
      <c r="C49" s="149"/>
      <c r="D49" s="149"/>
      <c r="E49" s="149"/>
      <c r="F49" s="150">
        <v>1</v>
      </c>
      <c r="G49" s="151">
        <v>1</v>
      </c>
      <c r="H49" s="151">
        <v>1</v>
      </c>
      <c r="I49" s="151">
        <v>1</v>
      </c>
      <c r="J49" s="151">
        <v>1</v>
      </c>
      <c r="K49" s="151">
        <v>1</v>
      </c>
      <c r="L49" s="151">
        <v>1</v>
      </c>
      <c r="M49" s="151">
        <v>1</v>
      </c>
      <c r="N49" s="151">
        <v>1</v>
      </c>
      <c r="O49" s="151">
        <v>1</v>
      </c>
      <c r="P49" s="151">
        <v>1</v>
      </c>
      <c r="Q49" s="151">
        <v>1</v>
      </c>
      <c r="R49" s="151">
        <v>1</v>
      </c>
      <c r="S49" s="151">
        <v>1</v>
      </c>
      <c r="T49" s="151">
        <v>1</v>
      </c>
      <c r="U49" s="151">
        <v>1</v>
      </c>
      <c r="V49" s="151">
        <v>1</v>
      </c>
      <c r="W49" s="151">
        <v>1</v>
      </c>
      <c r="X49" s="151">
        <v>1</v>
      </c>
      <c r="Y49" s="151">
        <v>1</v>
      </c>
      <c r="Z49" s="151">
        <v>1</v>
      </c>
      <c r="AA49" s="151">
        <v>1</v>
      </c>
      <c r="AB49" s="151">
        <v>1</v>
      </c>
    </row>
    <row r="50" spans="1:28" s="18" customFormat="1">
      <c r="A50" s="148" t="s">
        <v>1964</v>
      </c>
      <c r="B50" s="149"/>
      <c r="C50" s="149"/>
      <c r="D50" s="149"/>
      <c r="E50" s="149"/>
      <c r="F50" s="152">
        <v>0</v>
      </c>
      <c r="G50" s="152">
        <v>0</v>
      </c>
      <c r="H50" s="152">
        <v>0</v>
      </c>
      <c r="I50" s="152">
        <v>0</v>
      </c>
      <c r="J50" s="152">
        <v>0</v>
      </c>
      <c r="K50" s="152">
        <v>0</v>
      </c>
      <c r="L50" s="152">
        <v>0</v>
      </c>
      <c r="M50" s="152">
        <v>0</v>
      </c>
      <c r="N50" s="152">
        <v>0</v>
      </c>
      <c r="O50" s="152">
        <v>0</v>
      </c>
      <c r="P50" s="152">
        <v>0</v>
      </c>
      <c r="Q50" s="152">
        <v>0</v>
      </c>
      <c r="R50" s="152">
        <v>0</v>
      </c>
      <c r="S50" s="152">
        <v>0</v>
      </c>
      <c r="T50" s="152">
        <v>0</v>
      </c>
      <c r="U50" s="152">
        <v>0</v>
      </c>
      <c r="V50" s="152">
        <v>0</v>
      </c>
      <c r="W50" s="152">
        <v>0</v>
      </c>
      <c r="X50" s="152">
        <v>0</v>
      </c>
      <c r="Y50" s="152">
        <v>0</v>
      </c>
      <c r="Z50" s="152">
        <v>0</v>
      </c>
      <c r="AA50" s="152">
        <v>0</v>
      </c>
      <c r="AB50" s="152">
        <v>0</v>
      </c>
    </row>
    <row r="51" spans="1:28" s="18" customFormat="1">
      <c r="A51" s="148" t="s">
        <v>1965</v>
      </c>
      <c r="B51" s="149"/>
      <c r="C51" s="149"/>
      <c r="D51" s="149"/>
      <c r="E51" s="149"/>
      <c r="F51" s="152">
        <v>0</v>
      </c>
      <c r="G51" s="152">
        <v>0</v>
      </c>
      <c r="H51" s="152">
        <v>0</v>
      </c>
      <c r="I51" s="152">
        <v>0</v>
      </c>
      <c r="J51" s="152">
        <v>0</v>
      </c>
      <c r="K51" s="152">
        <v>0</v>
      </c>
      <c r="L51" s="152">
        <v>0</v>
      </c>
      <c r="M51" s="152">
        <v>0</v>
      </c>
      <c r="N51" s="152">
        <v>0</v>
      </c>
      <c r="O51" s="152">
        <v>0</v>
      </c>
      <c r="P51" s="152">
        <v>0</v>
      </c>
      <c r="Q51" s="152">
        <v>0</v>
      </c>
      <c r="R51" s="152">
        <v>0</v>
      </c>
      <c r="S51" s="152">
        <v>0</v>
      </c>
      <c r="T51" s="152">
        <v>0</v>
      </c>
      <c r="U51" s="152">
        <v>0</v>
      </c>
      <c r="V51" s="152">
        <v>0</v>
      </c>
      <c r="W51" s="152">
        <v>0</v>
      </c>
      <c r="X51" s="152">
        <v>0</v>
      </c>
      <c r="Y51" s="152">
        <v>0</v>
      </c>
      <c r="Z51" s="152">
        <v>0</v>
      </c>
      <c r="AA51" s="152">
        <v>0</v>
      </c>
      <c r="AB51" s="152">
        <v>0</v>
      </c>
    </row>
    <row r="52" spans="1:28" s="18" customFormat="1">
      <c r="A52" s="148" t="s">
        <v>1919</v>
      </c>
      <c r="B52" s="149"/>
      <c r="C52" s="149"/>
      <c r="D52" s="149"/>
      <c r="E52" s="149"/>
      <c r="F52" s="152">
        <v>0</v>
      </c>
      <c r="G52" s="152">
        <v>0</v>
      </c>
      <c r="H52" s="152">
        <v>0</v>
      </c>
      <c r="I52" s="152">
        <v>0</v>
      </c>
      <c r="J52" s="152">
        <v>0</v>
      </c>
      <c r="K52" s="152">
        <v>0</v>
      </c>
      <c r="L52" s="152">
        <v>0</v>
      </c>
      <c r="M52" s="152">
        <v>0</v>
      </c>
      <c r="N52" s="152">
        <v>0</v>
      </c>
      <c r="O52" s="152">
        <v>0</v>
      </c>
      <c r="P52" s="152">
        <v>0</v>
      </c>
      <c r="Q52" s="152">
        <v>0</v>
      </c>
      <c r="R52" s="152">
        <v>0</v>
      </c>
      <c r="S52" s="152">
        <v>0</v>
      </c>
      <c r="T52" s="152">
        <v>0</v>
      </c>
      <c r="U52" s="152">
        <v>0</v>
      </c>
      <c r="V52" s="152">
        <v>0</v>
      </c>
      <c r="W52" s="152">
        <v>0</v>
      </c>
      <c r="X52" s="152">
        <v>0</v>
      </c>
      <c r="Y52" s="152">
        <v>0</v>
      </c>
      <c r="Z52" s="152">
        <v>0</v>
      </c>
      <c r="AA52" s="152">
        <v>0</v>
      </c>
      <c r="AB52" s="152">
        <v>0</v>
      </c>
    </row>
    <row r="54" spans="1:28">
      <c r="Y54" s="206"/>
    </row>
    <row r="55" spans="1:28">
      <c r="A55" s="207" t="s">
        <v>2115</v>
      </c>
    </row>
    <row r="56" spans="1:28">
      <c r="A56" s="15" t="s">
        <v>2116</v>
      </c>
      <c r="Y56" s="208"/>
    </row>
    <row r="58" spans="1:28" ht="15.6">
      <c r="A58" s="155" t="s">
        <v>2117</v>
      </c>
      <c r="B58" s="155"/>
      <c r="C58" s="155"/>
      <c r="D58" s="155"/>
      <c r="E58" s="155"/>
      <c r="F58" s="155"/>
      <c r="G58" s="155"/>
      <c r="H58" s="155"/>
      <c r="I58" s="155"/>
      <c r="J58" s="155"/>
      <c r="K58" s="155"/>
      <c r="L58" s="155"/>
      <c r="M58" s="155"/>
      <c r="N58" s="155"/>
      <c r="O58" s="155"/>
      <c r="P58" s="155"/>
      <c r="Q58" s="155"/>
      <c r="R58" s="155"/>
      <c r="S58" s="155"/>
      <c r="T58" s="155"/>
      <c r="U58" s="155"/>
      <c r="V58" s="155"/>
      <c r="W58" s="155"/>
      <c r="X58" s="155"/>
      <c r="Y58" s="155"/>
      <c r="Z58" s="155"/>
      <c r="AA58" s="155"/>
      <c r="AB58" s="155"/>
    </row>
    <row r="60" spans="1:28" ht="38.25" customHeight="1">
      <c r="A60" s="118" t="s">
        <v>2111</v>
      </c>
      <c r="B60" s="118"/>
      <c r="C60" s="118"/>
      <c r="D60" s="118"/>
      <c r="E60" s="118"/>
      <c r="F60" s="118" t="s">
        <v>524</v>
      </c>
      <c r="G60" s="118" t="s">
        <v>2072</v>
      </c>
      <c r="H60" s="118" t="s">
        <v>2073</v>
      </c>
      <c r="I60" s="118" t="s">
        <v>2074</v>
      </c>
      <c r="J60" s="118" t="s">
        <v>2075</v>
      </c>
      <c r="K60" s="118" t="s">
        <v>2076</v>
      </c>
      <c r="L60" s="118" t="s">
        <v>2077</v>
      </c>
      <c r="M60" s="118" t="s">
        <v>2078</v>
      </c>
      <c r="N60" s="118" t="s">
        <v>2079</v>
      </c>
      <c r="O60" s="118" t="s">
        <v>2080</v>
      </c>
      <c r="P60" s="118" t="s">
        <v>2081</v>
      </c>
      <c r="Q60" s="118" t="s">
        <v>2082</v>
      </c>
      <c r="R60" s="118" t="s">
        <v>2083</v>
      </c>
      <c r="S60" s="118" t="s">
        <v>2084</v>
      </c>
      <c r="T60" s="118" t="s">
        <v>2085</v>
      </c>
      <c r="U60" s="118" t="s">
        <v>2086</v>
      </c>
      <c r="V60" s="118" t="s">
        <v>2087</v>
      </c>
      <c r="W60" s="118" t="s">
        <v>2088</v>
      </c>
      <c r="X60" s="118" t="s">
        <v>2089</v>
      </c>
      <c r="Y60" s="118" t="s">
        <v>2090</v>
      </c>
      <c r="Z60" s="118" t="s">
        <v>2112</v>
      </c>
      <c r="AA60" s="118" t="s">
        <v>2092</v>
      </c>
      <c r="AB60"/>
    </row>
    <row r="61" spans="1:28">
      <c r="A61" s="2" t="s">
        <v>2118</v>
      </c>
      <c r="B61" s="71"/>
      <c r="C61" s="71"/>
      <c r="D61" s="71"/>
      <c r="E61" s="71"/>
      <c r="F61" s="70">
        <v>60</v>
      </c>
      <c r="G61" s="70">
        <v>60</v>
      </c>
      <c r="H61" s="70">
        <v>60</v>
      </c>
      <c r="I61" s="70">
        <v>60</v>
      </c>
      <c r="J61" s="70">
        <v>60</v>
      </c>
      <c r="K61" s="437" t="str">
        <f>_xlfn.IFNA(IF(INDEX('15B Building Details'!$F$55:$F$69,MATCH(K60,'15B Building Details'!$D$55:$D$69,0),1)="","Missing hours of operation",INDEX('15B Building Details'!$F$55:$F$69,MATCH(K60,'15B Building Details'!$D$55:$D$69,0),1)),"-")</f>
        <v>-</v>
      </c>
      <c r="L61" s="70">
        <v>59</v>
      </c>
      <c r="M61" s="70">
        <v>61</v>
      </c>
      <c r="N61" s="70">
        <v>61</v>
      </c>
      <c r="O61" s="70">
        <v>96</v>
      </c>
      <c r="P61" s="70">
        <v>100</v>
      </c>
      <c r="Q61" s="437" t="str">
        <f>_xlfn.IFNA(IF(INDEX('15B Building Details'!$F$55:$F$69,MATCH(Q60,'15B Building Details'!$D$55:$D$69,0),1)="","Missing hours of operation",INDEX('15B Building Details'!$F$55:$F$69,MATCH(Q60,'15B Building Details'!$D$55:$D$69,0),1)),"-")</f>
        <v>-</v>
      </c>
      <c r="R61" s="437" t="str">
        <f>_xlfn.IFNA(IF(INDEX('15B Building Details'!$F$55:$F$69,MATCH(R60,'15B Building Details'!$D$55:$D$69,0),1)="","Missing hours of operation",INDEX('15B Building Details'!$F$55:$F$69,MATCH(R60,'15B Building Details'!$D$55:$D$69,0),1)),"-")</f>
        <v>-</v>
      </c>
      <c r="S61" s="437" t="str">
        <f>_xlfn.IFNA(IF(INDEX('15B Building Details'!$F$55:$F$69,MATCH(S60,'15B Building Details'!$D$55:$D$69,0),1)="","Missing hours of operation",INDEX('15B Building Details'!$F$55:$F$69,MATCH(S60,'15B Building Details'!$D$55:$D$69,0),1)),"-")</f>
        <v>-</v>
      </c>
      <c r="T61" s="437" t="str">
        <f>_xlfn.IFNA(IF(INDEX('15B Building Details'!$F$55:$F$69,MATCH(T60,'15B Building Details'!$D$55:$D$69,0),1)="","Missing hours of operation",INDEX('15B Building Details'!$F$55:$F$69,MATCH(T60,'15B Building Details'!$D$55:$D$69,0),1)),"-")</f>
        <v>-</v>
      </c>
      <c r="U61" s="437" t="str">
        <f>_xlfn.IFNA(IF(INDEX('15B Building Details'!$F$55:$F$69,MATCH(U60,'15B Building Details'!$D$55:$D$69,0),1)="","Missing hours of operation",INDEX('15B Building Details'!$F$55:$F$69,MATCH(U60,'15B Building Details'!$D$55:$D$69,0),1)),"-")</f>
        <v>-</v>
      </c>
      <c r="V61" s="437" t="str">
        <f>_xlfn.IFNA(IF(INDEX('15B Building Details'!$F$55:$F$69,MATCH(V60,'15B Building Details'!$D$55:$D$69,0),1)="","Missing hours of operation",INDEX('15B Building Details'!$F$55:$F$69,MATCH(V60,'15B Building Details'!$D$55:$D$69,0),1)),"-")</f>
        <v>-</v>
      </c>
      <c r="W61" s="437" t="str">
        <f>_xlfn.IFNA(IF(INDEX('15B Building Details'!$F$55:$F$69,MATCH(W60,'15B Building Details'!$D$55:$D$69,0),1)="","Missing hours of operation",INDEX('15B Building Details'!$F$55:$F$69,MATCH(W60,'15B Building Details'!$D$55:$D$69,0),1)),"-")</f>
        <v>-</v>
      </c>
      <c r="X61" s="437" t="str">
        <f>_xlfn.IFNA(IF(INDEX('15B Building Details'!$F$55:$F$69,MATCH(X60,'15B Building Details'!$D$55:$D$69,0),1)="","Missing hours of operation",INDEX('15B Building Details'!$F$55:$F$69,MATCH(X60,'15B Building Details'!$D$55:$D$69,0),1)),"-")</f>
        <v>-</v>
      </c>
      <c r="Y61" s="437" t="str">
        <f>_xlfn.IFNA(IF(INDEX('15B Building Details'!$F$55:$F$69,MATCH(Y60,'15B Building Details'!$D$55:$D$69,0),1)="","Missing hours of operation",INDEX('15B Building Details'!$F$55:$F$69,MATCH(Y60,'15B Building Details'!$D$55:$D$69,0),1)),"-")</f>
        <v>-</v>
      </c>
      <c r="Z61" s="437" t="str">
        <f>_xlfn.IFNA(IF(INDEX('15B Building Details'!$F$55:$F$69,MATCH(Z60,'15B Building Details'!$D$55:$D$69,0),1)="","Missing hours of operation",INDEX('15B Building Details'!$F$55:$F$69,MATCH(Z60,'15B Building Details'!$D$55:$D$69,0),1)),"-")</f>
        <v>-</v>
      </c>
      <c r="AA61" s="437" t="str">
        <f>_xlfn.IFNA(IF(INDEX('15B Building Details'!$F$55:$F$69,MATCH(AA60,'15B Building Details'!$D$55:$D$69,0),1)="","Missing hours of operation",INDEX('15B Building Details'!$F$55:$F$69,MATCH(AA60,'15B Building Details'!$D$55:$D$69,0),1)),"-")</f>
        <v>-</v>
      </c>
      <c r="AB61" s="124"/>
    </row>
    <row r="62" spans="1:28">
      <c r="A62" s="2" t="s">
        <v>2119</v>
      </c>
      <c r="B62" s="70"/>
      <c r="C62" s="70"/>
      <c r="D62" s="70"/>
      <c r="E62" s="70"/>
      <c r="F62" s="70"/>
      <c r="G62" s="70"/>
      <c r="H62" s="70"/>
      <c r="I62" s="70"/>
      <c r="J62" s="70"/>
      <c r="K62" s="70"/>
      <c r="L62" s="70"/>
      <c r="M62" s="70"/>
      <c r="N62" s="70"/>
      <c r="O62" s="70"/>
      <c r="P62" s="70"/>
      <c r="Q62" s="70">
        <v>171</v>
      </c>
      <c r="R62" s="70">
        <v>110</v>
      </c>
      <c r="S62" s="70"/>
      <c r="T62" s="70"/>
      <c r="U62" s="70"/>
      <c r="V62" s="70"/>
      <c r="W62" s="70"/>
      <c r="X62" s="70"/>
      <c r="Y62" s="70"/>
      <c r="Z62" s="70"/>
      <c r="AA62" s="70"/>
      <c r="AB62" s="125"/>
    </row>
    <row r="63" spans="1:28" ht="26.4">
      <c r="A63" s="2" t="s">
        <v>2120</v>
      </c>
      <c r="B63" s="70"/>
      <c r="C63" s="70"/>
      <c r="D63" s="70"/>
      <c r="E63" s="70"/>
      <c r="F63" s="70"/>
      <c r="G63" s="70"/>
      <c r="H63" s="70"/>
      <c r="I63" s="70"/>
      <c r="J63" s="70"/>
      <c r="K63" s="70"/>
      <c r="L63" s="70"/>
      <c r="M63" s="70"/>
      <c r="N63" s="70"/>
      <c r="O63" s="70"/>
      <c r="P63" s="70"/>
      <c r="Q63" s="70"/>
      <c r="R63" s="70"/>
      <c r="S63" s="70"/>
      <c r="T63" s="70" t="s">
        <v>2121</v>
      </c>
      <c r="U63" s="70"/>
      <c r="V63" s="70" t="s">
        <v>2122</v>
      </c>
      <c r="W63" s="70"/>
      <c r="X63" s="70"/>
      <c r="Y63" s="70"/>
      <c r="Z63" s="70"/>
      <c r="AA63" s="70"/>
      <c r="AB63" s="125"/>
    </row>
    <row r="64" spans="1:28" ht="66">
      <c r="A64" s="160" t="s">
        <v>2123</v>
      </c>
      <c r="B64" s="209"/>
      <c r="C64" s="209"/>
      <c r="D64" s="209"/>
      <c r="E64" s="209"/>
      <c r="F64" s="157" t="s">
        <v>2124</v>
      </c>
      <c r="G64" s="157" t="s">
        <v>2124</v>
      </c>
      <c r="H64" s="157" t="s">
        <v>2124</v>
      </c>
      <c r="I64" s="157" t="s">
        <v>2124</v>
      </c>
      <c r="J64" s="157" t="s">
        <v>2124</v>
      </c>
      <c r="K64" s="160"/>
      <c r="L64" s="157" t="s">
        <v>2125</v>
      </c>
      <c r="M64" s="157" t="s">
        <v>2126</v>
      </c>
      <c r="N64" s="157" t="s">
        <v>2126</v>
      </c>
      <c r="O64" s="157" t="s">
        <v>2125</v>
      </c>
      <c r="P64" s="157" t="s">
        <v>2126</v>
      </c>
      <c r="Q64" s="157" t="s">
        <v>2127</v>
      </c>
      <c r="R64" s="157" t="s">
        <v>2128</v>
      </c>
      <c r="S64" s="71"/>
      <c r="T64" s="70" t="s">
        <v>2129</v>
      </c>
      <c r="U64" s="71"/>
      <c r="V64" s="70" t="s">
        <v>2130</v>
      </c>
      <c r="W64" s="71"/>
      <c r="X64" s="71"/>
      <c r="Y64" s="71"/>
      <c r="Z64" s="71"/>
      <c r="AA64" s="71"/>
      <c r="AB64" s="124"/>
    </row>
    <row r="65" spans="1:28" ht="79.2">
      <c r="A65" s="118" t="s">
        <v>2114</v>
      </c>
      <c r="B65" s="118"/>
      <c r="C65" s="118"/>
      <c r="D65" s="118"/>
      <c r="E65" s="118"/>
      <c r="F65" s="118" t="s">
        <v>524</v>
      </c>
      <c r="G65" s="118" t="s">
        <v>2072</v>
      </c>
      <c r="H65" s="118" t="s">
        <v>2073</v>
      </c>
      <c r="I65" s="118" t="s">
        <v>2074</v>
      </c>
      <c r="J65" s="118" t="s">
        <v>2075</v>
      </c>
      <c r="K65" s="118" t="s">
        <v>2076</v>
      </c>
      <c r="L65" s="118" t="s">
        <v>2077</v>
      </c>
      <c r="M65" s="118" t="s">
        <v>2078</v>
      </c>
      <c r="N65" s="118" t="s">
        <v>2079</v>
      </c>
      <c r="O65" s="118" t="s">
        <v>2080</v>
      </c>
      <c r="P65" s="118" t="s">
        <v>2081</v>
      </c>
      <c r="Q65" s="118" t="s">
        <v>2082</v>
      </c>
      <c r="R65" s="118" t="s">
        <v>2083</v>
      </c>
      <c r="S65" s="118" t="s">
        <v>2084</v>
      </c>
      <c r="T65" s="118" t="s">
        <v>2085</v>
      </c>
      <c r="U65" s="118" t="s">
        <v>2086</v>
      </c>
      <c r="V65" s="118" t="s">
        <v>2087</v>
      </c>
      <c r="W65" s="118" t="s">
        <v>2088</v>
      </c>
      <c r="X65" s="118" t="s">
        <v>2089</v>
      </c>
      <c r="Y65" s="118" t="s">
        <v>2090</v>
      </c>
      <c r="Z65" s="118" t="s">
        <v>2112</v>
      </c>
      <c r="AA65" s="118" t="s">
        <v>2092</v>
      </c>
      <c r="AB65" s="118" t="s">
        <v>2113</v>
      </c>
    </row>
    <row r="66" spans="1:28">
      <c r="A66" s="148" t="s">
        <v>2118</v>
      </c>
      <c r="B66" s="153"/>
      <c r="C66" s="153"/>
      <c r="D66" s="153"/>
      <c r="E66" s="153"/>
      <c r="F66" s="153">
        <v>52.9</v>
      </c>
      <c r="G66" s="153">
        <v>59.2</v>
      </c>
      <c r="H66" s="153">
        <v>59.2</v>
      </c>
      <c r="I66" s="153">
        <v>59.2</v>
      </c>
      <c r="J66" s="153">
        <v>59.2</v>
      </c>
      <c r="K66" s="153"/>
      <c r="L66" s="153"/>
      <c r="M66" s="153"/>
      <c r="N66" s="153">
        <v>61</v>
      </c>
      <c r="O66" s="153"/>
      <c r="P66" s="153"/>
      <c r="Q66" s="153"/>
      <c r="R66" s="153"/>
      <c r="S66" s="153"/>
      <c r="T66" s="153"/>
      <c r="U66" s="153"/>
      <c r="V66" s="153"/>
      <c r="W66" s="153"/>
      <c r="X66" s="153"/>
      <c r="Y66" s="153">
        <v>56</v>
      </c>
      <c r="Z66" s="153">
        <v>62</v>
      </c>
      <c r="AA66" s="153" t="str">
        <f>_xlfn.IFNA(IF(INDEX('15B Building Details'!$F$55:$F$69,MATCH(AA60,'15B Building Details'!$D$55:$D$69,0),1)="","Missing hours of operation",INDEX('15B Building Details'!$F$55:$F$69,MATCH(AA60,'15B Building Details'!$D$55:$D$69,0),1)),"-")</f>
        <v>-</v>
      </c>
      <c r="AB66" s="153">
        <v>61</v>
      </c>
    </row>
    <row r="67" spans="1:28">
      <c r="A67" s="148" t="s">
        <v>2119</v>
      </c>
      <c r="B67" s="153"/>
      <c r="C67" s="153"/>
      <c r="D67" s="153"/>
      <c r="E67" s="153"/>
      <c r="F67" s="153"/>
      <c r="G67" s="153"/>
      <c r="H67" s="153"/>
      <c r="I67" s="153"/>
      <c r="J67" s="153"/>
      <c r="K67" s="153"/>
      <c r="L67" s="153"/>
      <c r="M67" s="153"/>
      <c r="N67" s="153"/>
      <c r="O67" s="153"/>
      <c r="P67" s="153"/>
      <c r="Q67" s="153"/>
      <c r="R67" s="153"/>
      <c r="S67" s="153"/>
      <c r="T67" s="153"/>
      <c r="U67" s="153"/>
      <c r="V67" s="153"/>
      <c r="W67" s="153"/>
      <c r="X67" s="153"/>
      <c r="Y67" s="153"/>
      <c r="Z67" s="153"/>
      <c r="AA67" s="153"/>
      <c r="AB67" s="153"/>
    </row>
    <row r="68" spans="1:28" ht="26.4">
      <c r="A68" s="148" t="s">
        <v>2120</v>
      </c>
      <c r="B68" s="153"/>
      <c r="C68" s="153"/>
      <c r="D68" s="153"/>
      <c r="E68" s="153"/>
      <c r="F68" s="153"/>
      <c r="G68" s="153"/>
      <c r="H68" s="153"/>
      <c r="I68" s="153"/>
      <c r="J68" s="153"/>
      <c r="K68" s="153"/>
      <c r="L68" s="153"/>
      <c r="M68" s="153"/>
      <c r="N68" s="153"/>
      <c r="O68" s="153"/>
      <c r="P68" s="153"/>
      <c r="Q68" s="153"/>
      <c r="R68" s="153"/>
      <c r="S68" s="153"/>
      <c r="T68" s="153"/>
      <c r="U68" s="153"/>
      <c r="V68" s="153"/>
      <c r="W68" s="153"/>
      <c r="X68" s="153"/>
      <c r="Y68" s="153"/>
      <c r="Z68" s="153"/>
      <c r="AA68" s="153"/>
      <c r="AB68" s="153"/>
    </row>
    <row r="69" spans="1:28">
      <c r="A69" s="160" t="s">
        <v>2131</v>
      </c>
      <c r="B69" s="209"/>
      <c r="C69" s="209"/>
      <c r="D69" s="209"/>
      <c r="E69" s="209"/>
      <c r="F69" s="157"/>
      <c r="G69" s="157"/>
      <c r="H69" s="157"/>
      <c r="I69" s="157"/>
      <c r="J69" s="157"/>
      <c r="K69" s="160"/>
      <c r="L69" s="157"/>
      <c r="M69" s="157"/>
      <c r="N69" s="157"/>
      <c r="O69" s="157"/>
      <c r="P69" s="157"/>
      <c r="Q69" s="157"/>
      <c r="R69" s="157"/>
      <c r="S69" s="71"/>
      <c r="T69" s="70"/>
      <c r="U69" s="71"/>
      <c r="V69" s="70"/>
      <c r="W69" s="71"/>
      <c r="X69" s="71"/>
      <c r="Y69" s="71"/>
      <c r="Z69" s="71"/>
      <c r="AA69" s="71"/>
      <c r="AB69" s="71"/>
    </row>
    <row r="70" spans="1:28" ht="53.1" customHeight="1">
      <c r="A70" s="674" t="s">
        <v>2132</v>
      </c>
      <c r="B70" s="674"/>
      <c r="C70" s="674"/>
      <c r="D70" s="674"/>
      <c r="E70" s="674"/>
      <c r="F70" s="674"/>
      <c r="G70" s="674"/>
      <c r="H70" s="674"/>
      <c r="I70" s="674"/>
      <c r="J70" s="674"/>
      <c r="K70" s="674"/>
      <c r="L70" s="674"/>
      <c r="M70" s="204"/>
      <c r="N70" s="204"/>
      <c r="O70" s="204"/>
      <c r="P70" s="204"/>
      <c r="Q70" s="204"/>
      <c r="R70" s="204"/>
    </row>
    <row r="71" spans="1:28">
      <c r="A71" s="210" t="s">
        <v>2133</v>
      </c>
    </row>
    <row r="72" spans="1:28">
      <c r="A72" s="11" t="s">
        <v>2134</v>
      </c>
    </row>
    <row r="73" spans="1:28">
      <c r="A73" s="12" t="s">
        <v>1889</v>
      </c>
    </row>
    <row r="74" spans="1:28">
      <c r="A74" s="12" t="s">
        <v>2135</v>
      </c>
    </row>
    <row r="75" spans="1:28">
      <c r="A75" s="13" t="s">
        <v>2136</v>
      </c>
    </row>
    <row r="76" spans="1:28">
      <c r="A76" s="12" t="s">
        <v>524</v>
      </c>
    </row>
    <row r="77" spans="1:28">
      <c r="A77" s="12" t="s">
        <v>2072</v>
      </c>
    </row>
    <row r="78" spans="1:28">
      <c r="A78" s="12" t="s">
        <v>2073</v>
      </c>
    </row>
    <row r="79" spans="1:28">
      <c r="A79" s="12" t="s">
        <v>2074</v>
      </c>
    </row>
    <row r="80" spans="1:28">
      <c r="A80" s="12" t="s">
        <v>2075</v>
      </c>
    </row>
    <row r="81" spans="1:1">
      <c r="A81" s="12" t="s">
        <v>2076</v>
      </c>
    </row>
    <row r="82" spans="1:1">
      <c r="A82" s="12" t="s">
        <v>2077</v>
      </c>
    </row>
    <row r="83" spans="1:1">
      <c r="A83" s="12" t="s">
        <v>2078</v>
      </c>
    </row>
    <row r="84" spans="1:1">
      <c r="A84" s="12" t="s">
        <v>2079</v>
      </c>
    </row>
    <row r="85" spans="1:1">
      <c r="A85" s="12" t="s">
        <v>2080</v>
      </c>
    </row>
    <row r="86" spans="1:1">
      <c r="A86" s="12" t="s">
        <v>2081</v>
      </c>
    </row>
    <row r="87" spans="1:1">
      <c r="A87" s="12" t="s">
        <v>2082</v>
      </c>
    </row>
    <row r="88" spans="1:1">
      <c r="A88" s="12" t="s">
        <v>2083</v>
      </c>
    </row>
    <row r="89" spans="1:1">
      <c r="A89" s="12" t="s">
        <v>2084</v>
      </c>
    </row>
    <row r="90" spans="1:1">
      <c r="A90" s="12" t="s">
        <v>2085</v>
      </c>
    </row>
    <row r="91" spans="1:1">
      <c r="A91" s="12" t="s">
        <v>2086</v>
      </c>
    </row>
    <row r="92" spans="1:1">
      <c r="A92" s="12" t="s">
        <v>2087</v>
      </c>
    </row>
    <row r="93" spans="1:1">
      <c r="A93" s="12" t="s">
        <v>2088</v>
      </c>
    </row>
    <row r="94" spans="1:1">
      <c r="A94" s="12" t="s">
        <v>2089</v>
      </c>
    </row>
    <row r="95" spans="1:1">
      <c r="A95" s="12" t="s">
        <v>2090</v>
      </c>
    </row>
    <row r="96" spans="1:1">
      <c r="A96" s="12" t="s">
        <v>2092</v>
      </c>
    </row>
    <row r="97" spans="1:1">
      <c r="A97" s="12" t="s">
        <v>2091</v>
      </c>
    </row>
    <row r="98" spans="1:1">
      <c r="A98" s="126" t="s">
        <v>2093</v>
      </c>
    </row>
    <row r="107" spans="1:1">
      <c r="A107" s="15" t="s">
        <v>2137</v>
      </c>
    </row>
    <row r="108" spans="1:1">
      <c r="A108" s="15" t="s">
        <v>2138</v>
      </c>
    </row>
    <row r="111" spans="1:1">
      <c r="A111" s="2" t="s">
        <v>2096</v>
      </c>
    </row>
    <row r="112" spans="1:1">
      <c r="A112" s="2" t="s">
        <v>2099</v>
      </c>
    </row>
    <row r="113" spans="1:1">
      <c r="A113" s="2" t="s">
        <v>1691</v>
      </c>
    </row>
    <row r="114" spans="1:1">
      <c r="A114" s="2" t="s">
        <v>2100</v>
      </c>
    </row>
    <row r="115" spans="1:1">
      <c r="A115" s="2" t="s">
        <v>2101</v>
      </c>
    </row>
    <row r="116" spans="1:1">
      <c r="A116" s="2" t="s">
        <v>2102</v>
      </c>
    </row>
    <row r="117" spans="1:1">
      <c r="A117" s="2" t="s">
        <v>2103</v>
      </c>
    </row>
    <row r="118" spans="1:1">
      <c r="A118" s="2" t="s">
        <v>1692</v>
      </c>
    </row>
    <row r="119" spans="1:1">
      <c r="A119" s="2" t="s">
        <v>2739</v>
      </c>
    </row>
    <row r="120" spans="1:1">
      <c r="A120" s="2" t="s">
        <v>2108</v>
      </c>
    </row>
  </sheetData>
  <sheetProtection algorithmName="SHA-512" hashValue="RxU6271IN/CosyGxOfI/GIESEhcAn20qxDoyiDp5X5Cr8AQdiCLX5lQnbKq9uGbNMJwN27OojVQfUbSDGwkP7g==" saltValue="n2+cqqb5bYbm19oprQAeFA==" spinCount="100000" sheet="1" objects="1" scenarios="1"/>
  <customSheetViews>
    <customSheetView guid="{555478C2-F620-47D7-88F9-4C1EE7AEE227}" scale="70" showGridLines="0" fitToPage="1" topLeftCell="A31">
      <selection activeCell="G17" sqref="G17"/>
      <pageMargins left="0" right="0" top="0" bottom="0" header="0" footer="0"/>
      <pageSetup paperSize="9" scale="17" orientation="portrait" r:id="rId1"/>
    </customSheetView>
    <customSheetView guid="{5E2E109E-4BFE-44CE-A2A0-BB9B6CC0D139}" scale="70" showGridLines="0" fitToPage="1" topLeftCell="A34">
      <selection activeCell="I67" sqref="I67"/>
      <pageMargins left="0" right="0" top="0" bottom="0" header="0" footer="0"/>
      <pageSetup paperSize="9" scale="17" orientation="portrait" r:id="rId2"/>
    </customSheetView>
    <customSheetView guid="{3BAF3D14-B16A-4103-B9D6-D1D9B6381E90}" scale="70" showGridLines="0" showRowCol="0" fitToPage="1" topLeftCell="A10">
      <selection activeCell="L54" sqref="L54"/>
      <pageMargins left="0" right="0" top="0" bottom="0" header="0" footer="0"/>
      <pageSetup paperSize="9" scale="17" orientation="portrait" r:id="rId3"/>
    </customSheetView>
    <customSheetView guid="{C362DBBD-8226-4073-BE04-D615B3B4BF31}" scale="90" showGridLines="0" showRowCol="0" fitToPage="1" state="hidden" topLeftCell="A22">
      <selection activeCell="Q42" sqref="Q42"/>
      <pageMargins left="0" right="0" top="0" bottom="0" header="0" footer="0"/>
      <pageSetup paperSize="9" scale="17" orientation="portrait" r:id="rId4"/>
    </customSheetView>
    <customSheetView guid="{9E23992E-45A8-4DF8-9DFB-C5F9BB498A06}" scale="90" showGridLines="0" showRowCol="0" fitToPage="1" topLeftCell="P43">
      <selection activeCell="X61" sqref="X61"/>
      <pageMargins left="0" right="0" top="0" bottom="0" header="0" footer="0"/>
      <pageSetup paperSize="9" scale="13" orientation="portrait" r:id="rId5"/>
    </customSheetView>
  </customSheetViews>
  <mergeCells count="1">
    <mergeCell ref="A70:L70"/>
  </mergeCells>
  <pageMargins left="0.70866141732283472" right="0.70866141732283472" top="0.74803149606299213" bottom="0.74803149606299213" header="0.31496062992125984" footer="0.31496062992125984"/>
  <pageSetup paperSize="9" scale="13" orientation="portrait" r:id="rId6"/>
  <drawing r:id="rId7"/>
  <legacyDrawingHF r:id="rId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C2C11-BE1D-4158-96B1-D70281DEB731}">
  <sheetPr codeName="Sheet5">
    <pageSetUpPr autoPageBreaks="0"/>
  </sheetPr>
  <dimension ref="A1:J35"/>
  <sheetViews>
    <sheetView showGridLines="0" zoomScale="90" zoomScaleNormal="90" workbookViewId="0">
      <selection activeCell="G13" sqref="G13"/>
    </sheetView>
  </sheetViews>
  <sheetFormatPr defaultRowHeight="13.2"/>
  <cols>
    <col min="1" max="1" width="2.5546875" customWidth="1"/>
    <col min="2" max="2" width="30.5546875" customWidth="1"/>
    <col min="3" max="3" width="40.5546875" style="324" customWidth="1"/>
    <col min="4" max="4" width="25.5546875" customWidth="1"/>
    <col min="5" max="10" width="15.5546875" customWidth="1"/>
    <col min="15" max="15" width="16.5546875" bestFit="1" customWidth="1"/>
  </cols>
  <sheetData>
    <row r="1" spans="1:10" ht="96.75" customHeight="1"/>
    <row r="2" spans="1:10" ht="35.1" customHeight="1">
      <c r="B2" s="119" t="s">
        <v>1208</v>
      </c>
      <c r="C2" s="325"/>
      <c r="D2" s="119"/>
      <c r="E2" s="119"/>
      <c r="F2" s="119"/>
      <c r="G2" s="119"/>
      <c r="H2" s="119"/>
      <c r="I2" s="119"/>
      <c r="J2" s="119"/>
    </row>
    <row r="4" spans="1:10" ht="20.100000000000001" customHeight="1">
      <c r="B4" s="684" t="s">
        <v>1210</v>
      </c>
      <c r="C4" s="683" t="s">
        <v>1010</v>
      </c>
      <c r="D4" s="680" t="s">
        <v>1213</v>
      </c>
      <c r="E4" s="678" t="s">
        <v>1215</v>
      </c>
      <c r="F4" s="678"/>
      <c r="G4" s="679"/>
      <c r="H4" s="680" t="s">
        <v>1217</v>
      </c>
      <c r="I4" s="680"/>
      <c r="J4" s="680"/>
    </row>
    <row r="5" spans="1:10" ht="20.100000000000001" customHeight="1">
      <c r="B5" s="684"/>
      <c r="C5" s="683"/>
      <c r="D5" s="680"/>
      <c r="E5" s="319" t="s">
        <v>92</v>
      </c>
      <c r="F5" s="319" t="s">
        <v>81</v>
      </c>
      <c r="G5" s="319" t="s">
        <v>1221</v>
      </c>
      <c r="H5" s="319" t="s">
        <v>92</v>
      </c>
      <c r="I5" s="319" t="s">
        <v>81</v>
      </c>
      <c r="J5" s="319" t="s">
        <v>1221</v>
      </c>
    </row>
    <row r="6" spans="1:10" ht="20.100000000000001" customHeight="1">
      <c r="B6" s="681" t="s">
        <v>1226</v>
      </c>
      <c r="C6" s="681"/>
      <c r="D6" s="681"/>
      <c r="E6" s="681"/>
      <c r="F6" s="681"/>
      <c r="G6" s="681"/>
      <c r="H6" s="681"/>
      <c r="I6" s="681"/>
      <c r="J6" s="681"/>
    </row>
    <row r="7" spans="1:10" ht="20.100000000000001" customHeight="1">
      <c r="B7" s="286">
        <v>1</v>
      </c>
      <c r="C7" s="288" t="str">
        <f>'15B Building Details'!C26</f>
        <v>Electricity</v>
      </c>
      <c r="D7" s="385">
        <f>'15B Building Details'!E26</f>
        <v>0</v>
      </c>
      <c r="E7" s="386" t="s">
        <v>759</v>
      </c>
      <c r="F7" s="385">
        <f>'15B Building Details'!$D$26</f>
        <v>0</v>
      </c>
      <c r="G7" s="385" t="e" cm="1">
        <f t="array" ref="G7">INDEX('NGER Emission Factors'!$G$57:$G$96,MATCH(1,('15B Building Details'!$C$21='NGER Emission Factors'!$B$57:$B$96)*('15B Building Details'!$H$10='NGER Emission Factors'!$C$57:$C$96),0),1)</f>
        <v>#N/A</v>
      </c>
      <c r="H7" s="385" t="s">
        <v>759</v>
      </c>
      <c r="I7" s="385">
        <f>$D7*F7</f>
        <v>0</v>
      </c>
      <c r="J7" s="385" t="e">
        <f>$D7*G7</f>
        <v>#N/A</v>
      </c>
    </row>
    <row r="8" spans="1:10" ht="20.100000000000001" customHeight="1">
      <c r="B8" s="286">
        <v>2</v>
      </c>
      <c r="C8" s="288" t="str">
        <f>'15B Building Details'!C27</f>
        <v>GreenPower</v>
      </c>
      <c r="D8" s="385">
        <f>'15B Building Details'!E27</f>
        <v>0</v>
      </c>
      <c r="E8" s="386" t="s">
        <v>759</v>
      </c>
      <c r="F8" s="385">
        <f>'15B Building Details'!$D$26</f>
        <v>0</v>
      </c>
      <c r="G8" s="385" t="e" cm="1">
        <f t="array" ref="G8">INDEX('NGER Emission Factors'!$G$57:$G$96,MATCH(1,('15B Building Details'!$C$21='NGER Emission Factors'!$B$57:$B$96)*('15B Building Details'!$H$10='NGER Emission Factors'!$C$57:$C$96),0),1)</f>
        <v>#N/A</v>
      </c>
      <c r="H8" s="385" t="s">
        <v>759</v>
      </c>
      <c r="I8" s="385">
        <f t="shared" ref="I8:J10" si="0">$D8*F8</f>
        <v>0</v>
      </c>
      <c r="J8" s="385" t="e">
        <f t="shared" si="0"/>
        <v>#N/A</v>
      </c>
    </row>
    <row r="9" spans="1:10" ht="20.100000000000001" customHeight="1">
      <c r="B9" s="286">
        <v>7</v>
      </c>
      <c r="C9" s="288" t="str">
        <f>'15B Building Details'!C32</f>
        <v>Carbon Neutral Certified electricity</v>
      </c>
      <c r="D9" s="385">
        <f>'15B Building Details'!E32</f>
        <v>0</v>
      </c>
      <c r="E9" s="386" t="s">
        <v>759</v>
      </c>
      <c r="F9" s="385">
        <f>'15B Building Details'!$D$26</f>
        <v>0</v>
      </c>
      <c r="G9" s="385" t="e" cm="1">
        <f t="array" ref="G9">INDEX('NGER Emission Factors'!$G$57:$G$96,MATCH(1,('15B Building Details'!$C$21='NGER Emission Factors'!$B$57:$B$96)*('15B Building Details'!$H$10='NGER Emission Factors'!$C$57:$C$96),0),1)</f>
        <v>#N/A</v>
      </c>
      <c r="H9" s="385" t="s">
        <v>759</v>
      </c>
      <c r="I9" s="385">
        <f>-$D9*F9</f>
        <v>0</v>
      </c>
      <c r="J9" s="385" t="e">
        <f>-$D9*G9</f>
        <v>#N/A</v>
      </c>
    </row>
    <row r="10" spans="1:10" ht="20.100000000000001" customHeight="1">
      <c r="B10" s="286">
        <v>8</v>
      </c>
      <c r="C10" s="288" t="str">
        <f>'15B Building Details'!C33</f>
        <v>Renewable electricity (PPA)</v>
      </c>
      <c r="D10" s="385">
        <f>'15B Building Details'!E33</f>
        <v>0</v>
      </c>
      <c r="E10" s="386" t="s">
        <v>759</v>
      </c>
      <c r="F10" s="385">
        <f>'15B Building Details'!$D$26</f>
        <v>0</v>
      </c>
      <c r="G10" s="385" t="e" cm="1">
        <f t="array" ref="G10">INDEX('NGER Emission Factors'!$G$57:$G$96,MATCH(1,('15B Building Details'!$C$21='NGER Emission Factors'!$B$57:$B$96)*('15B Building Details'!$H$10='NGER Emission Factors'!$C$57:$C$96),0),1)</f>
        <v>#N/A</v>
      </c>
      <c r="H10" s="385" t="s">
        <v>759</v>
      </c>
      <c r="I10" s="385">
        <f t="shared" si="0"/>
        <v>0</v>
      </c>
      <c r="J10" s="385" t="e">
        <f t="shared" si="0"/>
        <v>#N/A</v>
      </c>
    </row>
    <row r="11" spans="1:10" ht="20.100000000000001" customHeight="1">
      <c r="B11" s="682" t="s">
        <v>1230</v>
      </c>
      <c r="C11" s="682"/>
      <c r="D11" s="682"/>
      <c r="E11" s="682"/>
      <c r="F11" s="682"/>
      <c r="G11" s="682"/>
      <c r="H11" s="682"/>
      <c r="I11" s="682"/>
      <c r="J11" s="682"/>
    </row>
    <row r="12" spans="1:10" s="15" customFormat="1" ht="45" customHeight="1">
      <c r="B12" s="286">
        <v>9</v>
      </c>
      <c r="C12" s="384" t="str">
        <f>'15B Building Details'!C34&amp;"
(STCs are created and sold)"</f>
        <v>On-site renewable generated &amp; used
(STCs are created and sold)</v>
      </c>
      <c r="D12" s="385">
        <f>SUM('15B Building Details'!I262:I273)</f>
        <v>0</v>
      </c>
      <c r="E12" s="385" t="s">
        <v>759</v>
      </c>
      <c r="F12" s="385">
        <v>0</v>
      </c>
      <c r="G12" s="385">
        <v>0</v>
      </c>
      <c r="H12" s="385" t="s">
        <v>759</v>
      </c>
      <c r="I12" s="385">
        <f>$D12*F12</f>
        <v>0</v>
      </c>
      <c r="J12" s="385">
        <f>$D12*G12</f>
        <v>0</v>
      </c>
    </row>
    <row r="13" spans="1:10" ht="45" customHeight="1">
      <c r="B13" s="286">
        <v>10</v>
      </c>
      <c r="C13" s="384" t="str">
        <f>'15B Building Details'!C34&amp;"
(LGCs are created and retired )"</f>
        <v>On-site renewable generated &amp; used
(LGCs are created and retired )</v>
      </c>
      <c r="D13" s="385">
        <f>SUM('15B Building Details'!I283:I294)</f>
        <v>0</v>
      </c>
      <c r="E13" s="385" t="s">
        <v>759</v>
      </c>
      <c r="F13" s="385">
        <v>0</v>
      </c>
      <c r="G13" s="385">
        <v>0</v>
      </c>
      <c r="H13" s="385" t="s">
        <v>759</v>
      </c>
      <c r="I13" s="385" t="s">
        <v>759</v>
      </c>
      <c r="J13" s="385" t="s">
        <v>759</v>
      </c>
    </row>
    <row r="14" spans="1:10" ht="45" customHeight="1">
      <c r="B14" s="286">
        <v>12</v>
      </c>
      <c r="C14" s="384" t="str">
        <f>'15B Building Details'!C34&amp;" 
(LGCs are created and sold)"</f>
        <v>On-site renewable generated &amp; used 
(LGCs are created and sold)</v>
      </c>
      <c r="D14" s="385">
        <f>SUM('15B Building Details'!I325:I336)</f>
        <v>0</v>
      </c>
      <c r="E14" s="385" t="s">
        <v>759</v>
      </c>
      <c r="F14" s="385">
        <f>$F$7</f>
        <v>0</v>
      </c>
      <c r="G14" s="385" t="e" cm="1">
        <f t="array" ref="G14">INDEX('NGER Emission Factors'!$G$57:$G$96,MATCH(1,('15B Building Details'!$C$21='NGER Emission Factors'!$B$57:$B$96)*('15B Building Details'!$H$10='NGER Emission Factors'!$C$57:$C$96),0),1)</f>
        <v>#N/A</v>
      </c>
      <c r="H14" s="385" t="s">
        <v>759</v>
      </c>
      <c r="I14" s="385">
        <f t="shared" ref="I14:J14" si="1">$D14*F14</f>
        <v>0</v>
      </c>
      <c r="J14" s="385" t="e">
        <f t="shared" si="1"/>
        <v>#N/A</v>
      </c>
    </row>
    <row r="15" spans="1:10" s="15" customFormat="1" ht="45" hidden="1" customHeight="1">
      <c r="A15" s="15" t="s">
        <v>42</v>
      </c>
      <c r="B15" s="286">
        <v>11</v>
      </c>
      <c r="C15" s="384" t="str">
        <f>'15B Building Details'!C35&amp;" (LGCs are created and retired or none are created)"</f>
        <v>On-site renewable generated &amp; exported (LGCs are created and retired or none are created)</v>
      </c>
      <c r="D15" s="385">
        <f>SUM('15B Building Details'!I283:I294)</f>
        <v>0</v>
      </c>
      <c r="E15" s="385" t="s">
        <v>759</v>
      </c>
      <c r="F15" s="385">
        <v>0</v>
      </c>
      <c r="G15" s="385">
        <v>0</v>
      </c>
      <c r="H15" s="385" t="s">
        <v>759</v>
      </c>
      <c r="I15" s="385" t="s">
        <v>759</v>
      </c>
      <c r="J15" s="385" t="s">
        <v>759</v>
      </c>
    </row>
    <row r="16" spans="1:10" ht="20.100000000000001" customHeight="1">
      <c r="B16" s="682" t="s">
        <v>1236</v>
      </c>
      <c r="C16" s="682"/>
      <c r="D16" s="682"/>
      <c r="E16" s="682"/>
      <c r="F16" s="682"/>
      <c r="G16" s="682"/>
      <c r="H16" s="682"/>
      <c r="I16" s="682"/>
      <c r="J16" s="682"/>
    </row>
    <row r="17" spans="2:10" ht="20.100000000000001" customHeight="1">
      <c r="B17" s="286">
        <v>3</v>
      </c>
      <c r="C17" s="288" t="str">
        <f>'15B Building Details'!C28</f>
        <v>Natural gas distributed in a pipeline</v>
      </c>
      <c r="D17" s="411">
        <f>'15B Building Details'!E28</f>
        <v>0</v>
      </c>
      <c r="E17" s="411" t="b">
        <f>'15B Building Details'!D28</f>
        <v>0</v>
      </c>
      <c r="F17" s="411" t="s">
        <v>759</v>
      </c>
      <c r="G17" s="411" t="e" cm="1">
        <f t="array" ref="G17">INDEX('NGER Emission Factors'!$D$107:$D$171,MATCH(1,('15B Building Details'!$H$10='NGER Emission Factors'!$C$107:$C$171)*('15B Building Details'!$C$13&amp;'15B Building Details'!$C$14='NGER Emission Factors'!$B$107:$B$171),0),1)</f>
        <v>#N/A</v>
      </c>
      <c r="H17" s="435">
        <f>$D17*E17</f>
        <v>0</v>
      </c>
      <c r="I17" s="435" t="s">
        <v>759</v>
      </c>
      <c r="J17" s="435" t="e">
        <f>$D17*G17</f>
        <v>#N/A</v>
      </c>
    </row>
    <row r="18" spans="2:10" ht="20.100000000000001" customHeight="1">
      <c r="B18" s="286">
        <v>4</v>
      </c>
      <c r="C18" s="288" t="str">
        <f>'15B Building Details'!C29</f>
        <v>Liquefied Petroleum Gas</v>
      </c>
      <c r="D18" s="411">
        <f>'15B Building Details'!E29</f>
        <v>0</v>
      </c>
      <c r="E18" s="411" t="b">
        <f>'15B Building Details'!D29</f>
        <v>0</v>
      </c>
      <c r="F18" s="411" t="s">
        <v>759</v>
      </c>
      <c r="G18" s="411" t="e" cm="1">
        <f t="array" ref="G18">INDEX('NGER Emission Factors'!$I$5:$I$29,MATCH(1,(C18='NGER Emission Factors'!$B$5:$B$29)*('15B Building Details'!$H$10='NGER Emission Factors'!$C$5:$C$29),0),1)</f>
        <v>#N/A</v>
      </c>
      <c r="H18" s="435">
        <f t="shared" ref="H18:J20" si="2">$D18*E18</f>
        <v>0</v>
      </c>
      <c r="I18" s="435" t="s">
        <v>759</v>
      </c>
      <c r="J18" s="435" t="e">
        <f t="shared" si="2"/>
        <v>#N/A</v>
      </c>
    </row>
    <row r="19" spans="2:10" ht="20.100000000000001" customHeight="1">
      <c r="B19" s="286">
        <v>5</v>
      </c>
      <c r="C19" s="288" t="str">
        <f>'15B Building Details'!C30</f>
        <v>Diesel Oil</v>
      </c>
      <c r="D19" s="411">
        <f>'15B Building Details'!E30</f>
        <v>0</v>
      </c>
      <c r="E19" s="411" t="b">
        <f>'15B Building Details'!D30</f>
        <v>0</v>
      </c>
      <c r="F19" s="411" t="s">
        <v>759</v>
      </c>
      <c r="G19" s="411" t="e" cm="1">
        <f t="array" ref="G19">INDEX('NGER Emission Factors'!$I$5:$I$29,MATCH(1,(C19='NGER Emission Factors'!$B$5:$B$29)*('15B Building Details'!$H$10='NGER Emission Factors'!$C$5:$C$29),0),1)</f>
        <v>#N/A</v>
      </c>
      <c r="H19" s="435">
        <f t="shared" si="2"/>
        <v>0</v>
      </c>
      <c r="I19" s="435" t="s">
        <v>759</v>
      </c>
      <c r="J19" s="435" t="e">
        <f t="shared" si="2"/>
        <v>#N/A</v>
      </c>
    </row>
    <row r="20" spans="2:10" ht="20.100000000000001" customHeight="1">
      <c r="B20" s="286">
        <v>6</v>
      </c>
      <c r="C20" s="288" t="str">
        <f>'15B Building Details'!C31</f>
        <v>Bituminous coal</v>
      </c>
      <c r="D20" s="411">
        <f>'15B Building Details'!E31</f>
        <v>0</v>
      </c>
      <c r="E20" s="411" t="b">
        <f>'15B Building Details'!D31</f>
        <v>0</v>
      </c>
      <c r="F20" s="411" t="s">
        <v>759</v>
      </c>
      <c r="G20" s="411" t="e" cm="1">
        <f t="array" ref="G20">INDEX('NGER Emission Factors'!$I$5:$I$29,MATCH(1,(C20='NGER Emission Factors'!$B$5:$B$29)*('15B Building Details'!$H$10='NGER Emission Factors'!$C$5:$C$29),0),1)</f>
        <v>#N/A</v>
      </c>
      <c r="H20" s="435">
        <f t="shared" si="2"/>
        <v>0</v>
      </c>
      <c r="I20" s="435" t="s">
        <v>759</v>
      </c>
      <c r="J20" s="435" t="e">
        <f t="shared" si="2"/>
        <v>#N/A</v>
      </c>
    </row>
    <row r="22" spans="2:10" ht="20.100000000000001" customHeight="1">
      <c r="B22" s="222" t="s">
        <v>1376</v>
      </c>
      <c r="C22" s="326"/>
      <c r="D22" s="222"/>
      <c r="E22" s="222"/>
    </row>
    <row r="23" spans="2:10" ht="30" customHeight="1">
      <c r="B23" s="217" t="s">
        <v>1378</v>
      </c>
      <c r="C23" s="272" t="s">
        <v>1380</v>
      </c>
      <c r="D23" s="217" t="s">
        <v>87</v>
      </c>
      <c r="E23" s="217" t="s">
        <v>2139</v>
      </c>
    </row>
    <row r="24" spans="2:10" ht="30" customHeight="1">
      <c r="B24" s="228">
        <f>'15B Building Details'!$C$21</f>
        <v>0</v>
      </c>
      <c r="C24" s="288" t="str">
        <f>C7</f>
        <v>Electricity</v>
      </c>
      <c r="D24" s="385">
        <f>D7/0.0036</f>
        <v>0</v>
      </c>
      <c r="E24" s="411" t="e">
        <f>D24*((F7*0.0036)+(G7*0.0036))/1000</f>
        <v>#N/A</v>
      </c>
    </row>
    <row r="25" spans="2:10" ht="30" customHeight="1">
      <c r="B25" s="228">
        <f>'15B Building Details'!$C$21</f>
        <v>0</v>
      </c>
      <c r="C25" s="288" t="str">
        <f>C8</f>
        <v>GreenPower</v>
      </c>
      <c r="D25" s="385">
        <f>D8/0.0036</f>
        <v>0</v>
      </c>
      <c r="E25" s="411" t="e">
        <f>D25*((F8*0.0036)+(G8*0.0036))/1000</f>
        <v>#N/A</v>
      </c>
    </row>
    <row r="26" spans="2:10" ht="30" customHeight="1">
      <c r="B26" s="228">
        <f>'15B Building Details'!$C$21</f>
        <v>0</v>
      </c>
      <c r="C26" s="288" t="str">
        <f>C9</f>
        <v>Carbon Neutral Certified electricity</v>
      </c>
      <c r="D26" s="385">
        <f>D9/0.0036</f>
        <v>0</v>
      </c>
      <c r="E26" s="411" t="e">
        <f>-D26*((F9*0.0036)+(G9*0.0036))/1000</f>
        <v>#N/A</v>
      </c>
    </row>
    <row r="27" spans="2:10" ht="30" customHeight="1">
      <c r="B27" s="228">
        <f>'15B Building Details'!$C$21</f>
        <v>0</v>
      </c>
      <c r="C27" s="288" t="str">
        <f>C10</f>
        <v>Renewable electricity (PPA)</v>
      </c>
      <c r="D27" s="385">
        <f>D10/0.0036</f>
        <v>0</v>
      </c>
      <c r="E27" s="411" t="e">
        <f>D27*((F10*0.0036)+(G10*0.0036))/1000</f>
        <v>#N/A</v>
      </c>
    </row>
    <row r="28" spans="2:10" ht="30" customHeight="1">
      <c r="B28" s="228" t="s">
        <v>759</v>
      </c>
      <c r="C28" s="288" t="str">
        <f>C14</f>
        <v>On-site renewable generated &amp; used 
(LGCs are created and sold)</v>
      </c>
      <c r="D28" s="385">
        <f>D14/0.0036</f>
        <v>0</v>
      </c>
      <c r="E28" s="411" t="e">
        <f>D28*((F14*0.0036)+(G14*0.0036))/1000</f>
        <v>#N/A</v>
      </c>
    </row>
    <row r="29" spans="2:10" ht="20.100000000000001" customHeight="1">
      <c r="B29" s="675" t="s">
        <v>2140</v>
      </c>
      <c r="C29" s="676"/>
      <c r="D29" s="677"/>
      <c r="E29" s="411" t="e">
        <f>SUM(E24:E28)</f>
        <v>#N/A</v>
      </c>
    </row>
    <row r="31" spans="2:10" ht="20.100000000000001" customHeight="1">
      <c r="B31" s="222" t="s">
        <v>1409</v>
      </c>
      <c r="C31" s="326"/>
      <c r="D31" s="222"/>
      <c r="E31" s="222"/>
    </row>
    <row r="32" spans="2:10" ht="20.100000000000001" customHeight="1">
      <c r="B32" s="329" t="s">
        <v>1527</v>
      </c>
      <c r="C32" s="327"/>
      <c r="D32" s="328"/>
      <c r="E32" s="407">
        <f>SUM(H7:H20)/1000</f>
        <v>0</v>
      </c>
    </row>
    <row r="33" spans="2:5" ht="20.100000000000001" customHeight="1">
      <c r="B33" s="329" t="s">
        <v>1528</v>
      </c>
      <c r="C33" s="327"/>
      <c r="D33" s="328"/>
      <c r="E33" s="407">
        <f>SUM(I7:I20)/1000</f>
        <v>0</v>
      </c>
    </row>
    <row r="34" spans="2:5" ht="20.100000000000001" customHeight="1">
      <c r="B34" s="329" t="s">
        <v>1529</v>
      </c>
      <c r="C34" s="327"/>
      <c r="D34" s="328"/>
      <c r="E34" s="407" t="e">
        <f>SUM(J7:J20)/1000</f>
        <v>#N/A</v>
      </c>
    </row>
    <row r="35" spans="2:5" ht="20.100000000000001" customHeight="1">
      <c r="B35" s="329" t="s">
        <v>1530</v>
      </c>
      <c r="C35" s="330"/>
      <c r="D35" s="331"/>
      <c r="E35" s="407" t="e">
        <f>SUM(E32:E34)</f>
        <v>#N/A</v>
      </c>
    </row>
  </sheetData>
  <customSheetViews>
    <customSheetView guid="{C362DBBD-8226-4073-BE04-D615B3B4BF31}" scale="80" showGridLines="0" hiddenRows="1">
      <selection activeCell="M17" sqref="M17"/>
      <pageMargins left="0" right="0" top="0" bottom="0" header="0" footer="0"/>
      <pageSetup paperSize="9" orientation="portrait" r:id="rId1"/>
    </customSheetView>
    <customSheetView guid="{9E23992E-45A8-4DF8-9DFB-C5F9BB498A06}" scale="90" showGridLines="0" hiddenRows="1">
      <selection activeCell="C28" sqref="C28"/>
      <pageMargins left="0" right="0" top="0" bottom="0" header="0" footer="0"/>
      <pageSetup paperSize="9" orientation="portrait" r:id="rId2"/>
    </customSheetView>
  </customSheetViews>
  <mergeCells count="9">
    <mergeCell ref="B29:D29"/>
    <mergeCell ref="E4:G4"/>
    <mergeCell ref="H4:J4"/>
    <mergeCell ref="B6:J6"/>
    <mergeCell ref="B11:J11"/>
    <mergeCell ref="B16:J16"/>
    <mergeCell ref="D4:D5"/>
    <mergeCell ref="C4:C5"/>
    <mergeCell ref="B4:B5"/>
  </mergeCells>
  <pageMargins left="0.7" right="0.7" top="0.75" bottom="0.75" header="0.3" footer="0.3"/>
  <pageSetup paperSize="9"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E86E4-BA46-4A38-821A-1CDA098CC9E8}">
  <sheetPr codeName="Sheet7">
    <pageSetUpPr autoPageBreaks="0"/>
  </sheetPr>
  <dimension ref="B1:L42"/>
  <sheetViews>
    <sheetView showGridLines="0" zoomScale="90" zoomScaleNormal="90" zoomScaleSheetLayoutView="50" workbookViewId="0">
      <selection activeCell="G20" sqref="G20:G23"/>
    </sheetView>
  </sheetViews>
  <sheetFormatPr defaultRowHeight="13.2"/>
  <cols>
    <col min="1" max="1" width="2.5546875" customWidth="1"/>
    <col min="2" max="2" width="30.5546875" customWidth="1"/>
    <col min="3" max="3" width="40.5546875" customWidth="1"/>
    <col min="4" max="4" width="25.5546875" customWidth="1"/>
    <col min="5" max="7" width="15.5546875" customWidth="1"/>
    <col min="8" max="8" width="16.5546875" customWidth="1"/>
    <col min="9" max="10" width="15.5546875" customWidth="1"/>
    <col min="14" max="14" width="16.5546875" bestFit="1" customWidth="1"/>
  </cols>
  <sheetData>
    <row r="1" spans="2:12" ht="113.1" customHeight="1"/>
    <row r="2" spans="2:12" ht="35.1" customHeight="1">
      <c r="B2" s="119" t="s">
        <v>1560</v>
      </c>
      <c r="C2" s="325"/>
      <c r="D2" s="119"/>
      <c r="E2" s="119"/>
      <c r="F2" s="119"/>
      <c r="G2" s="119"/>
      <c r="H2" s="119"/>
      <c r="I2" s="119"/>
      <c r="J2" s="119"/>
    </row>
    <row r="4" spans="2:12" ht="20.100000000000001" customHeight="1">
      <c r="B4" s="688" t="s">
        <v>1210</v>
      </c>
      <c r="C4" s="688" t="s">
        <v>1010</v>
      </c>
      <c r="D4" s="688" t="s">
        <v>1213</v>
      </c>
      <c r="E4" s="680" t="s">
        <v>2141</v>
      </c>
      <c r="F4" s="680"/>
      <c r="G4" s="680"/>
      <c r="H4" s="680" t="s">
        <v>1217</v>
      </c>
      <c r="I4" s="680"/>
      <c r="J4" s="680"/>
    </row>
    <row r="5" spans="2:12" ht="20.100000000000001" customHeight="1">
      <c r="B5" s="688"/>
      <c r="C5" s="688"/>
      <c r="D5" s="688"/>
      <c r="E5" s="217" t="s">
        <v>92</v>
      </c>
      <c r="F5" s="217" t="s">
        <v>81</v>
      </c>
      <c r="G5" s="217" t="s">
        <v>1221</v>
      </c>
      <c r="H5" s="217" t="s">
        <v>92</v>
      </c>
      <c r="I5" s="217" t="s">
        <v>81</v>
      </c>
      <c r="J5" s="217" t="s">
        <v>1221</v>
      </c>
    </row>
    <row r="6" spans="2:12" ht="20.100000000000001" customHeight="1">
      <c r="B6" s="681" t="s">
        <v>1226</v>
      </c>
      <c r="C6" s="681"/>
      <c r="D6" s="681"/>
      <c r="E6" s="681"/>
      <c r="F6" s="681"/>
      <c r="G6" s="681"/>
      <c r="H6" s="681"/>
      <c r="I6" s="681"/>
      <c r="J6" s="681"/>
    </row>
    <row r="7" spans="2:12" ht="20.100000000000001" customHeight="1">
      <c r="B7" s="286" t="s">
        <v>759</v>
      </c>
      <c r="C7" s="287" t="e">
        <f>"Renewable Energy Target = "&amp;ROUND(INDEX('NGER Emission Factors'!$C$175:$C$183,MATCH('15B Building Details'!$H$10,'NGER Emission Factors'!$B$175:$B$183,0),1)*100,2)&amp;"%"</f>
        <v>#N/A</v>
      </c>
      <c r="D7" s="426" t="e">
        <f>D12*INDEX('NGER Emission Factors'!$C$175:$C$183,MATCH('15B Building Details'!$H$10,'NGER Emission Factors'!$B$175:$B$183,0),1)</f>
        <v>#N/A</v>
      </c>
      <c r="E7" s="422" t="s">
        <v>759</v>
      </c>
      <c r="F7" s="386" t="s">
        <v>759</v>
      </c>
      <c r="G7" s="386" t="s">
        <v>759</v>
      </c>
      <c r="H7" s="386" t="s">
        <v>759</v>
      </c>
      <c r="I7" s="386" t="s">
        <v>759</v>
      </c>
      <c r="J7" s="386" t="s">
        <v>759</v>
      </c>
    </row>
    <row r="8" spans="2:12" ht="20.100000000000001" customHeight="1">
      <c r="B8" s="286">
        <v>2</v>
      </c>
      <c r="C8" s="288" t="str">
        <f>'15B Building Details'!C27</f>
        <v>GreenPower</v>
      </c>
      <c r="D8" s="385">
        <f>'15B Building Details'!E27</f>
        <v>0</v>
      </c>
      <c r="E8" s="422" t="s">
        <v>759</v>
      </c>
      <c r="F8" s="386" t="s">
        <v>759</v>
      </c>
      <c r="G8" s="386" t="s">
        <v>759</v>
      </c>
      <c r="H8" s="386" t="s">
        <v>759</v>
      </c>
      <c r="I8" s="386" t="s">
        <v>759</v>
      </c>
      <c r="J8" s="386" t="s">
        <v>759</v>
      </c>
    </row>
    <row r="9" spans="2:12" ht="20.100000000000001" customHeight="1">
      <c r="B9" s="286">
        <v>7</v>
      </c>
      <c r="C9" s="288" t="str">
        <f>'15B Building Details'!C32</f>
        <v>Carbon Neutral Certified electricity</v>
      </c>
      <c r="D9" s="385">
        <f>'15B Building Details'!E32</f>
        <v>0</v>
      </c>
      <c r="E9" s="422" t="s">
        <v>759</v>
      </c>
      <c r="F9" s="386" t="s">
        <v>759</v>
      </c>
      <c r="G9" s="386" t="s">
        <v>759</v>
      </c>
      <c r="H9" s="386" t="s">
        <v>759</v>
      </c>
      <c r="I9" s="386" t="s">
        <v>759</v>
      </c>
      <c r="J9" s="386" t="s">
        <v>759</v>
      </c>
    </row>
    <row r="10" spans="2:12" ht="20.100000000000001" customHeight="1">
      <c r="B10" s="286">
        <v>8</v>
      </c>
      <c r="C10" s="288" t="str">
        <f>'15B Building Details'!C33</f>
        <v>Renewable electricity (PPA)</v>
      </c>
      <c r="D10" s="385">
        <f>'15B Building Details'!E33</f>
        <v>0</v>
      </c>
      <c r="E10" s="422" t="s">
        <v>759</v>
      </c>
      <c r="F10" s="386" t="s">
        <v>759</v>
      </c>
      <c r="G10" s="386" t="s">
        <v>759</v>
      </c>
      <c r="H10" s="386" t="s">
        <v>759</v>
      </c>
      <c r="I10" s="386" t="s">
        <v>759</v>
      </c>
      <c r="J10" s="386" t="s">
        <v>759</v>
      </c>
    </row>
    <row r="11" spans="2:12" ht="20.100000000000001" customHeight="1">
      <c r="B11" s="286" t="s">
        <v>759</v>
      </c>
      <c r="C11" s="288" t="s">
        <v>1431</v>
      </c>
      <c r="D11" s="385">
        <f>'15B Building Details'!E38</f>
        <v>0</v>
      </c>
      <c r="E11" s="422" t="s">
        <v>759</v>
      </c>
      <c r="F11" s="386" t="s">
        <v>759</v>
      </c>
      <c r="G11" s="386" t="s">
        <v>759</v>
      </c>
      <c r="H11" s="386" t="s">
        <v>759</v>
      </c>
      <c r="I11" s="386" t="s">
        <v>759</v>
      </c>
      <c r="J11" s="386" t="s">
        <v>759</v>
      </c>
    </row>
    <row r="12" spans="2:12" ht="20.100000000000001" customHeight="1">
      <c r="B12" s="286" t="s">
        <v>759</v>
      </c>
      <c r="C12" s="387" t="s">
        <v>1432</v>
      </c>
      <c r="D12" s="427">
        <f>SUM('15B Building Details'!E26,'15B Building Details'!E27,'15B Building Details'!E32,'15B Building Details'!E33)</f>
        <v>0</v>
      </c>
      <c r="E12" s="422" t="s">
        <v>759</v>
      </c>
      <c r="F12" s="386" t="s">
        <v>759</v>
      </c>
      <c r="G12" s="386" t="s">
        <v>759</v>
      </c>
      <c r="H12" s="386" t="s">
        <v>759</v>
      </c>
      <c r="I12" s="386" t="s">
        <v>759</v>
      </c>
      <c r="J12" s="386" t="s">
        <v>759</v>
      </c>
      <c r="L12" s="278"/>
    </row>
    <row r="13" spans="2:12" ht="20.100000000000001" customHeight="1">
      <c r="B13" s="286" t="s">
        <v>759</v>
      </c>
      <c r="C13" s="396" t="s">
        <v>1433</v>
      </c>
      <c r="D13" s="428" t="e">
        <f>MAX(0,D12-SUM(D7:D11))</f>
        <v>#N/A</v>
      </c>
      <c r="E13" s="424" t="s">
        <v>759</v>
      </c>
      <c r="F13" s="428" t="e">
        <f>INDEX('NGER Emission Factors'!$F$175:$F$183,MATCH('15B Building Details'!$H$10,'NGER Emission Factors'!$B$175:$B$183,0),1)/0.0036</f>
        <v>#N/A</v>
      </c>
      <c r="G13" s="428" t="e">
        <f>INDEX('NGER Emission Factors'!$G$175:$G$183,MATCH('15B Building Details'!$H$10,'NGER Emission Factors'!$B$175:$B$183,0),1)/0.0036</f>
        <v>#N/A</v>
      </c>
      <c r="H13" s="429" t="s">
        <v>759</v>
      </c>
      <c r="I13" s="428" t="e">
        <f>$D$13*F13</f>
        <v>#N/A</v>
      </c>
      <c r="J13" s="428" t="e">
        <f>$D13*G13</f>
        <v>#N/A</v>
      </c>
      <c r="L13" s="278"/>
    </row>
    <row r="14" spans="2:12" ht="20.100000000000001" customHeight="1">
      <c r="B14" s="682" t="s">
        <v>1230</v>
      </c>
      <c r="C14" s="682"/>
      <c r="D14" s="682"/>
      <c r="E14" s="682"/>
      <c r="F14" s="682"/>
      <c r="G14" s="682"/>
      <c r="H14" s="682"/>
      <c r="I14" s="682"/>
      <c r="J14" s="682"/>
    </row>
    <row r="15" spans="2:12" ht="45" customHeight="1">
      <c r="B15" s="286">
        <v>9</v>
      </c>
      <c r="C15" s="384" t="str">
        <f>'15B Building Details'!C34&amp;"
(STCs are created and sold)"</f>
        <v>On-site renewable generated &amp; used
(STCs are created and sold)</v>
      </c>
      <c r="D15" s="385">
        <f>SUM('15B Building Details'!I262:I273)</f>
        <v>0</v>
      </c>
      <c r="E15" s="422" t="s">
        <v>759</v>
      </c>
      <c r="F15" s="385">
        <v>0</v>
      </c>
      <c r="G15" s="385">
        <v>0</v>
      </c>
      <c r="H15" s="423" t="s">
        <v>759</v>
      </c>
      <c r="I15" s="385">
        <f t="shared" ref="I15:J18" si="0">$D15*F15</f>
        <v>0</v>
      </c>
      <c r="J15" s="385">
        <f t="shared" si="0"/>
        <v>0</v>
      </c>
    </row>
    <row r="16" spans="2:12" ht="45" customHeight="1">
      <c r="B16" s="286">
        <v>10</v>
      </c>
      <c r="C16" s="384" t="str">
        <f>'15B Building Details'!C34&amp;" 
(LGCs are created and retired )"</f>
        <v>On-site renewable generated &amp; used 
(LGCs are created and retired )</v>
      </c>
      <c r="D16" s="385">
        <f>SUM('15B Building Details'!I283:I294)</f>
        <v>0</v>
      </c>
      <c r="E16" s="422" t="s">
        <v>759</v>
      </c>
      <c r="F16" s="385">
        <v>0</v>
      </c>
      <c r="G16" s="385">
        <v>0</v>
      </c>
      <c r="H16" s="423" t="s">
        <v>759</v>
      </c>
      <c r="I16" s="385">
        <f>$D16*F16</f>
        <v>0</v>
      </c>
      <c r="J16" s="385">
        <f>$D16*G16</f>
        <v>0</v>
      </c>
    </row>
    <row r="17" spans="2:10" ht="45" customHeight="1">
      <c r="B17" s="286">
        <v>12</v>
      </c>
      <c r="C17" s="384" t="str">
        <f>'15B Building Details'!C34&amp;" 
(LGCs are created and sold)"</f>
        <v>On-site renewable generated &amp; used 
(LGCs are created and sold)</v>
      </c>
      <c r="D17" s="385">
        <f>SUM('15B Building Details'!I325:I336)</f>
        <v>0</v>
      </c>
      <c r="E17" s="422" t="s">
        <v>759</v>
      </c>
      <c r="F17" s="427" t="e">
        <f>INDEX('NGER Emission Factors'!$F$175:$F$183,MATCH('15B Building Details'!$H$10,'NGER Emission Factors'!$B$175:$B$183,0),1)/0.0036</f>
        <v>#N/A</v>
      </c>
      <c r="G17" s="427" t="e">
        <f>INDEX('NGER Emission Factors'!$G$175:$G$183,MATCH('15B Building Details'!$H$10,'NGER Emission Factors'!$B$175:$B$183,0),1)/0.0036</f>
        <v>#N/A</v>
      </c>
      <c r="H17" s="423" t="s">
        <v>759</v>
      </c>
      <c r="I17" s="385" t="e">
        <f t="shared" si="0"/>
        <v>#N/A</v>
      </c>
      <c r="J17" s="385" t="e">
        <f t="shared" si="0"/>
        <v>#N/A</v>
      </c>
    </row>
    <row r="18" spans="2:10" ht="45" customHeight="1">
      <c r="B18" s="286">
        <v>11</v>
      </c>
      <c r="C18" s="384" t="str">
        <f>'15B Building Details'!C35&amp;"
(LGCs are created &amp; retired or 
none are created)"</f>
        <v>On-site renewable generated &amp; exported
(LGCs are created &amp; retired or 
none are created)</v>
      </c>
      <c r="D18" s="385">
        <f>SUM('15B Building Details'!I304:I315)</f>
        <v>0</v>
      </c>
      <c r="E18" s="422" t="s">
        <v>759</v>
      </c>
      <c r="F18" s="427" t="e">
        <f>-INDEX('NGER Emission Factors'!$D$175:$D$183,MATCH('15B Building Details'!$H$10,'NGER Emission Factors'!$B$175:$B$183,0),1)/0.0036</f>
        <v>#N/A</v>
      </c>
      <c r="G18" s="385">
        <v>0</v>
      </c>
      <c r="H18" s="423" t="s">
        <v>759</v>
      </c>
      <c r="I18" s="385" t="e">
        <f t="shared" si="0"/>
        <v>#N/A</v>
      </c>
      <c r="J18" s="385">
        <f t="shared" si="0"/>
        <v>0</v>
      </c>
    </row>
    <row r="19" spans="2:10" ht="20.100000000000001" customHeight="1">
      <c r="B19" s="682" t="s">
        <v>1236</v>
      </c>
      <c r="C19" s="682"/>
      <c r="D19" s="682"/>
      <c r="E19" s="682"/>
      <c r="F19" s="682"/>
      <c r="G19" s="682"/>
      <c r="H19" s="682"/>
      <c r="I19" s="682"/>
      <c r="J19" s="682"/>
    </row>
    <row r="20" spans="2:10" ht="20.100000000000001" customHeight="1">
      <c r="B20" s="285">
        <v>3</v>
      </c>
      <c r="C20" s="289" t="str">
        <f>'15B Building Details'!C28</f>
        <v>Natural gas distributed in a pipeline</v>
      </c>
      <c r="D20" s="425">
        <f>'15B Building Details'!E28</f>
        <v>0</v>
      </c>
      <c r="E20" s="425" t="b">
        <f>'15B Building Details'!D28</f>
        <v>0</v>
      </c>
      <c r="F20" s="430" t="s">
        <v>759</v>
      </c>
      <c r="G20" s="411" t="e" cm="1">
        <f t="array" ref="G20">INDEX('NGER Emission Factors'!$D$107:$D$171,MATCH(1,('15B Building Details'!$H$10='NGER Emission Factors'!$C$107:$C$171)*('15B Building Details'!$C$13&amp;'15B Building Details'!$C$14='NGER Emission Factors'!$B$107:$B$171),0),1)</f>
        <v>#N/A</v>
      </c>
      <c r="H20" s="431">
        <f>$D20*E20</f>
        <v>0</v>
      </c>
      <c r="I20" s="431" t="s">
        <v>759</v>
      </c>
      <c r="J20" s="431" t="e">
        <f t="shared" ref="J20:J23" si="1">$D20*G20</f>
        <v>#N/A</v>
      </c>
    </row>
    <row r="21" spans="2:10" ht="20.100000000000001" customHeight="1">
      <c r="B21" s="286">
        <v>4</v>
      </c>
      <c r="C21" s="288" t="str">
        <f>'15B Building Details'!C29</f>
        <v>Liquefied Petroleum Gas</v>
      </c>
      <c r="D21" s="411">
        <f>'15B Building Details'!E29</f>
        <v>0</v>
      </c>
      <c r="E21" s="411" t="b">
        <f>'15B Building Details'!D29</f>
        <v>0</v>
      </c>
      <c r="F21" s="430" t="s">
        <v>759</v>
      </c>
      <c r="G21" s="411" t="e" cm="1">
        <f t="array" ref="G21">INDEX('NGER Emission Factors'!$I$5:$I$29,MATCH(1,(C21='NGER Emission Factors'!$B$5:$B$29)*('15B Building Details'!$H$10='NGER Emission Factors'!$C$5:$C$29),0),1)</f>
        <v>#N/A</v>
      </c>
      <c r="H21" s="431">
        <f t="shared" ref="H21:H23" si="2">$D21*E21</f>
        <v>0</v>
      </c>
      <c r="I21" s="431" t="s">
        <v>759</v>
      </c>
      <c r="J21" s="431" t="e">
        <f t="shared" si="1"/>
        <v>#N/A</v>
      </c>
    </row>
    <row r="22" spans="2:10" ht="20.100000000000001" customHeight="1">
      <c r="B22" s="286">
        <v>5</v>
      </c>
      <c r="C22" s="288" t="str">
        <f>'15B Building Details'!C30</f>
        <v>Diesel Oil</v>
      </c>
      <c r="D22" s="411">
        <f>'15B Building Details'!E30</f>
        <v>0</v>
      </c>
      <c r="E22" s="411" t="b">
        <f>'15B Building Details'!D30</f>
        <v>0</v>
      </c>
      <c r="F22" s="430" t="s">
        <v>759</v>
      </c>
      <c r="G22" s="411" t="e" cm="1">
        <f t="array" ref="G22">INDEX('NGER Emission Factors'!$I$5:$I$29,MATCH(1,(C22='NGER Emission Factors'!$B$5:$B$29)*('15B Building Details'!$H$10='NGER Emission Factors'!$C$5:$C$29),0),1)</f>
        <v>#N/A</v>
      </c>
      <c r="H22" s="431">
        <f t="shared" si="2"/>
        <v>0</v>
      </c>
      <c r="I22" s="431" t="s">
        <v>759</v>
      </c>
      <c r="J22" s="431" t="e">
        <f t="shared" si="1"/>
        <v>#N/A</v>
      </c>
    </row>
    <row r="23" spans="2:10" ht="20.100000000000001" customHeight="1">
      <c r="B23" s="286">
        <v>6</v>
      </c>
      <c r="C23" s="288" t="str">
        <f>'15B Building Details'!C31</f>
        <v>Bituminous coal</v>
      </c>
      <c r="D23" s="411">
        <f>'15B Building Details'!E31</f>
        <v>0</v>
      </c>
      <c r="E23" s="411" t="b">
        <f>'15B Building Details'!D31</f>
        <v>0</v>
      </c>
      <c r="F23" s="430" t="s">
        <v>759</v>
      </c>
      <c r="G23" s="411" t="e" cm="1">
        <f t="array" ref="G23">INDEX('NGER Emission Factors'!$I$5:$I$29,MATCH(1,(C23='NGER Emission Factors'!$B$5:$B$29)*('15B Building Details'!$H$10='NGER Emission Factors'!$C$5:$C$29),0),1)</f>
        <v>#N/A</v>
      </c>
      <c r="H23" s="431">
        <f t="shared" si="2"/>
        <v>0</v>
      </c>
      <c r="I23" s="431" t="s">
        <v>759</v>
      </c>
      <c r="J23" s="431" t="e">
        <f t="shared" si="1"/>
        <v>#N/A</v>
      </c>
    </row>
    <row r="25" spans="2:10" ht="20.100000000000001" customHeight="1">
      <c r="B25" s="222" t="s">
        <v>1376</v>
      </c>
      <c r="C25" s="326"/>
      <c r="D25" s="222"/>
      <c r="E25" s="222"/>
    </row>
    <row r="26" spans="2:10" ht="30" customHeight="1">
      <c r="B26" s="272" t="s">
        <v>759</v>
      </c>
      <c r="C26" s="217" t="s">
        <v>1380</v>
      </c>
      <c r="D26" s="217" t="s">
        <v>87</v>
      </c>
      <c r="E26" s="217" t="s">
        <v>1500</v>
      </c>
    </row>
    <row r="27" spans="2:10" ht="20.100000000000001" customHeight="1">
      <c r="B27" s="432"/>
      <c r="C27" s="432" t="e">
        <f>C7</f>
        <v>#N/A</v>
      </c>
      <c r="D27" s="385" t="e">
        <f>D7/0.0036</f>
        <v>#N/A</v>
      </c>
      <c r="E27" s="385" t="e">
        <f>-D27*((0*0.0036)+(0*0.0036))/1000</f>
        <v>#N/A</v>
      </c>
    </row>
    <row r="28" spans="2:10" ht="20.100000000000001" customHeight="1">
      <c r="B28" s="432" t="s">
        <v>759</v>
      </c>
      <c r="C28" s="432" t="str">
        <f>C8</f>
        <v>GreenPower</v>
      </c>
      <c r="D28" s="385">
        <f>D8/0.0036</f>
        <v>0</v>
      </c>
      <c r="E28" s="385">
        <f>-D28*((0*0.0036)+(0*0.0036))/1000</f>
        <v>0</v>
      </c>
    </row>
    <row r="29" spans="2:10" ht="20.100000000000001" customHeight="1">
      <c r="B29" s="432" t="s">
        <v>759</v>
      </c>
      <c r="C29" s="432" t="str">
        <f>C9</f>
        <v>Carbon Neutral Certified electricity</v>
      </c>
      <c r="D29" s="385">
        <f>D9/0.0036</f>
        <v>0</v>
      </c>
      <c r="E29" s="385" t="e">
        <f>-D29*(($F$13*0.0036)+($G$13*0.0036))/1000</f>
        <v>#N/A</v>
      </c>
    </row>
    <row r="30" spans="2:10" ht="20.100000000000001" customHeight="1">
      <c r="B30" s="432" t="s">
        <v>759</v>
      </c>
      <c r="C30" s="432" t="str">
        <f>C10</f>
        <v>Renewable electricity (PPA)</v>
      </c>
      <c r="D30" s="385">
        <f>D10/0.0036</f>
        <v>0</v>
      </c>
      <c r="E30" s="385">
        <f>-D30*((0*0.0036)+(0*0.0036))/1000</f>
        <v>0</v>
      </c>
    </row>
    <row r="31" spans="2:10" ht="20.100000000000001" customHeight="1">
      <c r="B31" s="432" t="s">
        <v>759</v>
      </c>
      <c r="C31" s="432" t="str">
        <f>C11</f>
        <v>Purchased Renewable Energy Certificates</v>
      </c>
      <c r="D31" s="385">
        <f>D11/0.0036</f>
        <v>0</v>
      </c>
      <c r="E31" s="385">
        <f>-D31*((0*0.0036)+(0*0.0036))/1000</f>
        <v>0</v>
      </c>
    </row>
    <row r="32" spans="2:10" ht="27" customHeight="1">
      <c r="B32" s="432" t="s">
        <v>759</v>
      </c>
      <c r="C32" s="432" t="str">
        <f>C17</f>
        <v>On-site renewable generated &amp; used 
(LGCs are created and sold)</v>
      </c>
      <c r="D32" s="385">
        <f>D17/0.0036</f>
        <v>0</v>
      </c>
      <c r="E32" s="385" t="e">
        <f>D32*(($F$17*0.0036)+($G$17*0.0036))/1000</f>
        <v>#N/A</v>
      </c>
    </row>
    <row r="33" spans="2:5" ht="45" customHeight="1">
      <c r="B33" s="432" t="s">
        <v>759</v>
      </c>
      <c r="C33" s="432" t="str">
        <f>C18</f>
        <v>On-site renewable generated &amp; exported
(LGCs are created &amp; retired or 
none are created)</v>
      </c>
      <c r="D33" s="385">
        <f>D18/0.0036</f>
        <v>0</v>
      </c>
      <c r="E33" s="385">
        <f>D33*((0*0.0036)+(0*0.0036))/1000</f>
        <v>0</v>
      </c>
    </row>
    <row r="34" spans="2:5" ht="27" customHeight="1">
      <c r="B34" s="432" t="s">
        <v>759</v>
      </c>
      <c r="C34" s="433" t="s">
        <v>2142</v>
      </c>
      <c r="D34" s="385" t="e">
        <f>D13/0.0036</f>
        <v>#N/A</v>
      </c>
      <c r="E34" s="385" t="e">
        <f>D34*(($F$13*0.0036)+($G$13*0.0036))/1000</f>
        <v>#N/A</v>
      </c>
    </row>
    <row r="35" spans="2:5" ht="20.100000000000001" customHeight="1">
      <c r="B35" s="685" t="s">
        <v>1798</v>
      </c>
      <c r="C35" s="686"/>
      <c r="D35" s="436" t="e">
        <f>SUM(D27,D28,D30,D31,D32,D33)/SUM(D27:D34)</f>
        <v>#N/A</v>
      </c>
      <c r="E35" s="385"/>
    </row>
    <row r="36" spans="2:5" ht="20.100000000000001" customHeight="1">
      <c r="B36" s="685" t="s">
        <v>2140</v>
      </c>
      <c r="C36" s="686"/>
      <c r="D36" s="687"/>
      <c r="E36" s="434" t="e">
        <f>SUM(E27:E34)</f>
        <v>#N/A</v>
      </c>
    </row>
    <row r="38" spans="2:5" ht="20.100000000000001" customHeight="1">
      <c r="B38" s="222" t="s">
        <v>1409</v>
      </c>
      <c r="C38" s="222"/>
      <c r="D38" s="222"/>
      <c r="E38" s="222"/>
    </row>
    <row r="39" spans="2:5" ht="20.100000000000001" customHeight="1">
      <c r="B39" s="329" t="s">
        <v>1527</v>
      </c>
      <c r="C39" s="327"/>
      <c r="D39" s="328"/>
      <c r="E39" s="434">
        <f>SUM(H8:H23)/1000</f>
        <v>0</v>
      </c>
    </row>
    <row r="40" spans="2:5" ht="20.100000000000001" customHeight="1">
      <c r="B40" s="329" t="s">
        <v>1528</v>
      </c>
      <c r="C40" s="327"/>
      <c r="D40" s="328"/>
      <c r="E40" s="434" t="e">
        <f>SUM(I8:I23)/1000</f>
        <v>#N/A</v>
      </c>
    </row>
    <row r="41" spans="2:5" ht="20.100000000000001" customHeight="1">
      <c r="B41" s="329" t="s">
        <v>1529</v>
      </c>
      <c r="C41" s="327"/>
      <c r="D41" s="328"/>
      <c r="E41" s="434" t="e">
        <f>SUM(J8:J23)/1000</f>
        <v>#N/A</v>
      </c>
    </row>
    <row r="42" spans="2:5" ht="20.100000000000001" customHeight="1">
      <c r="B42" s="329" t="s">
        <v>1530</v>
      </c>
      <c r="C42" s="330"/>
      <c r="D42" s="331"/>
      <c r="E42" s="434" t="e">
        <f>SUM(E39:E41)</f>
        <v>#N/A</v>
      </c>
    </row>
  </sheetData>
  <customSheetViews>
    <customSheetView guid="{C362DBBD-8226-4073-BE04-D615B3B4BF31}" scale="80" showGridLines="0" topLeftCell="A7">
      <selection activeCell="D18" sqref="D18"/>
      <pageMargins left="0" right="0" top="0" bottom="0" header="0" footer="0"/>
      <pageSetup orientation="portrait" r:id="rId1"/>
    </customSheetView>
    <customSheetView guid="{9E23992E-45A8-4DF8-9DFB-C5F9BB498A06}" scale="90" showGridLines="0" topLeftCell="A16">
      <selection activeCell="C28" sqref="C28"/>
      <pageMargins left="0" right="0" top="0" bottom="0" header="0" footer="0"/>
      <pageSetup orientation="portrait" r:id="rId2"/>
    </customSheetView>
  </customSheetViews>
  <mergeCells count="10">
    <mergeCell ref="B35:C35"/>
    <mergeCell ref="B36:D36"/>
    <mergeCell ref="D4:D5"/>
    <mergeCell ref="C4:C5"/>
    <mergeCell ref="B4:B5"/>
    <mergeCell ref="B19:J19"/>
    <mergeCell ref="E4:G4"/>
    <mergeCell ref="H4:J4"/>
    <mergeCell ref="B6:J6"/>
    <mergeCell ref="B14:J14"/>
  </mergeCells>
  <pageMargins left="0.7" right="0.7" top="0.75" bottom="0.75" header="0.3" footer="0.3"/>
  <pageSetup orientation="portrait" r:id="rId3"/>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theme="0" tint="-0.14999847407452621"/>
    <pageSetUpPr autoPageBreaks="0" fitToPage="1"/>
  </sheetPr>
  <dimension ref="A1:AE182"/>
  <sheetViews>
    <sheetView showGridLines="0" topLeftCell="A42" zoomScale="70" zoomScaleNormal="70" workbookViewId="0">
      <selection activeCell="J49" sqref="J49"/>
    </sheetView>
  </sheetViews>
  <sheetFormatPr defaultColWidth="9.44140625" defaultRowHeight="15"/>
  <cols>
    <col min="1" max="1" width="2.5546875" style="191" customWidth="1"/>
    <col min="2" max="2" width="75.5546875" style="189" customWidth="1"/>
    <col min="3" max="3" width="10.5546875" style="190" customWidth="1"/>
    <col min="4" max="4" width="18.5546875" style="190" customWidth="1"/>
    <col min="5" max="5" width="18.5546875" style="189" customWidth="1"/>
    <col min="6" max="7" width="18.5546875" style="190" customWidth="1"/>
    <col min="8" max="8" width="66.21875" style="190" bestFit="1" customWidth="1"/>
    <col min="9" max="9" width="18.5546875" style="190" customWidth="1"/>
    <col min="10" max="10" width="50.5546875" style="190" customWidth="1"/>
    <col min="11" max="13" width="9.44140625" style="191"/>
    <col min="14" max="14" width="9.44140625" style="191" customWidth="1"/>
    <col min="15" max="16384" width="9.44140625" style="191"/>
  </cols>
  <sheetData>
    <row r="1" spans="2:10" ht="100.35" customHeight="1"/>
    <row r="2" spans="2:10" ht="20.100000000000001" customHeight="1">
      <c r="B2" s="170" t="s">
        <v>2143</v>
      </c>
      <c r="C2" s="417"/>
      <c r="D2" s="171"/>
      <c r="E2" s="171"/>
      <c r="F2" s="171"/>
      <c r="G2" s="171"/>
      <c r="H2" s="171"/>
      <c r="I2" s="171"/>
      <c r="J2" s="420"/>
    </row>
    <row r="3" spans="2:10" ht="45" customHeight="1">
      <c r="B3" s="704" t="s">
        <v>2144</v>
      </c>
      <c r="C3" s="707" t="s">
        <v>1566</v>
      </c>
      <c r="D3" s="712" t="s">
        <v>2145</v>
      </c>
      <c r="E3" s="713"/>
      <c r="F3" s="714"/>
      <c r="G3" s="707" t="s">
        <v>2146</v>
      </c>
      <c r="H3" s="704" t="s">
        <v>497</v>
      </c>
      <c r="I3" s="717" t="s">
        <v>2147</v>
      </c>
      <c r="J3" s="715" t="s">
        <v>497</v>
      </c>
    </row>
    <row r="4" spans="2:10" ht="18">
      <c r="B4" s="705"/>
      <c r="C4" s="708"/>
      <c r="D4" s="169" t="s">
        <v>2148</v>
      </c>
      <c r="E4" s="169" t="s">
        <v>2149</v>
      </c>
      <c r="F4" s="169" t="s">
        <v>2150</v>
      </c>
      <c r="G4" s="708"/>
      <c r="H4" s="705"/>
      <c r="I4" s="718"/>
      <c r="J4" s="716"/>
    </row>
    <row r="5" spans="2:10" ht="15.6">
      <c r="B5" s="471" t="s">
        <v>1921</v>
      </c>
      <c r="C5" s="472">
        <v>2019</v>
      </c>
      <c r="D5" s="472">
        <v>90</v>
      </c>
      <c r="E5" s="472">
        <v>0.03</v>
      </c>
      <c r="F5" s="472">
        <v>0.2</v>
      </c>
      <c r="G5" s="493">
        <f>SUM(D5:F5)</f>
        <v>90.23</v>
      </c>
      <c r="H5" s="471" t="s">
        <v>834</v>
      </c>
      <c r="I5" s="472">
        <v>3</v>
      </c>
      <c r="J5" s="474" t="s">
        <v>844</v>
      </c>
    </row>
    <row r="6" spans="2:10" ht="15.6">
      <c r="B6" s="475" t="s">
        <v>2151</v>
      </c>
      <c r="C6" s="476">
        <v>2019</v>
      </c>
      <c r="D6" s="476">
        <v>90</v>
      </c>
      <c r="E6" s="476">
        <v>0.03</v>
      </c>
      <c r="F6" s="476">
        <v>0.2</v>
      </c>
      <c r="G6" s="494">
        <f t="shared" ref="G6:G10" si="0">SUM(D6:F6)</f>
        <v>90.23</v>
      </c>
      <c r="H6" s="475" t="s">
        <v>834</v>
      </c>
      <c r="I6" s="476">
        <v>2.5</v>
      </c>
      <c r="J6" s="478" t="s">
        <v>844</v>
      </c>
    </row>
    <row r="7" spans="2:10" ht="15.6">
      <c r="B7" s="475" t="s">
        <v>1915</v>
      </c>
      <c r="C7" s="476">
        <v>2019</v>
      </c>
      <c r="D7" s="476">
        <v>51.4</v>
      </c>
      <c r="E7" s="476">
        <v>0.1</v>
      </c>
      <c r="F7" s="476">
        <v>0.03</v>
      </c>
      <c r="G7" s="494">
        <f t="shared" si="0"/>
        <v>51.53</v>
      </c>
      <c r="H7" s="475" t="s">
        <v>823</v>
      </c>
      <c r="I7" s="476" t="s">
        <v>2152</v>
      </c>
      <c r="J7" s="475" t="s">
        <v>759</v>
      </c>
    </row>
    <row r="8" spans="2:10" ht="15.6">
      <c r="B8" s="475" t="s">
        <v>2153</v>
      </c>
      <c r="C8" s="476">
        <v>2019</v>
      </c>
      <c r="D8" s="476">
        <v>69.900000000000006</v>
      </c>
      <c r="E8" s="476">
        <v>0.1</v>
      </c>
      <c r="F8" s="476">
        <v>0.2</v>
      </c>
      <c r="G8" s="494">
        <f t="shared" si="0"/>
        <v>70.2</v>
      </c>
      <c r="H8" s="475" t="s">
        <v>828</v>
      </c>
      <c r="I8" s="476">
        <v>3.6</v>
      </c>
      <c r="J8" s="478" t="s">
        <v>838</v>
      </c>
    </row>
    <row r="9" spans="2:10" ht="15.6">
      <c r="B9" s="475" t="s">
        <v>2154</v>
      </c>
      <c r="C9" s="476">
        <v>2019</v>
      </c>
      <c r="D9" s="476">
        <v>67.400000000000006</v>
      </c>
      <c r="E9" s="476">
        <v>0.2</v>
      </c>
      <c r="F9" s="476">
        <v>0.2</v>
      </c>
      <c r="G9" s="494">
        <f t="shared" si="0"/>
        <v>67.800000000000011</v>
      </c>
      <c r="H9" s="475" t="s">
        <v>828</v>
      </c>
      <c r="I9" s="476">
        <v>3.6</v>
      </c>
      <c r="J9" s="478" t="s">
        <v>838</v>
      </c>
    </row>
    <row r="10" spans="2:10" ht="15.6">
      <c r="B10" s="479" t="s">
        <v>2155</v>
      </c>
      <c r="C10" s="480">
        <v>2019</v>
      </c>
      <c r="D10" s="480">
        <v>60.2</v>
      </c>
      <c r="E10" s="480">
        <v>0.2</v>
      </c>
      <c r="F10" s="480">
        <v>0.2</v>
      </c>
      <c r="G10" s="495">
        <f t="shared" si="0"/>
        <v>60.600000000000009</v>
      </c>
      <c r="H10" s="479" t="s">
        <v>828</v>
      </c>
      <c r="I10" s="480">
        <v>3.6</v>
      </c>
      <c r="J10" s="481" t="s">
        <v>838</v>
      </c>
    </row>
    <row r="11" spans="2:10" ht="15.6">
      <c r="B11" s="446" t="s">
        <v>1921</v>
      </c>
      <c r="C11" s="447">
        <v>2020</v>
      </c>
      <c r="D11" s="447">
        <v>90</v>
      </c>
      <c r="E11" s="447">
        <v>0.04</v>
      </c>
      <c r="F11" s="447">
        <v>0.2</v>
      </c>
      <c r="G11" s="496">
        <f t="shared" ref="G11:G22" si="1">SUM(D11:F11)</f>
        <v>90.240000000000009</v>
      </c>
      <c r="H11" s="446" t="s">
        <v>907</v>
      </c>
      <c r="I11" s="447">
        <v>3</v>
      </c>
      <c r="J11" s="446" t="s">
        <v>915</v>
      </c>
    </row>
    <row r="12" spans="2:10" ht="15.6">
      <c r="B12" s="452" t="s">
        <v>2151</v>
      </c>
      <c r="C12" s="453">
        <v>2020</v>
      </c>
      <c r="D12" s="453">
        <v>90</v>
      </c>
      <c r="E12" s="453">
        <v>0.04</v>
      </c>
      <c r="F12" s="453">
        <v>0.2</v>
      </c>
      <c r="G12" s="497">
        <f t="shared" si="1"/>
        <v>90.240000000000009</v>
      </c>
      <c r="H12" s="452" t="s">
        <v>907</v>
      </c>
      <c r="I12" s="453">
        <v>2.5</v>
      </c>
      <c r="J12" s="452" t="s">
        <v>915</v>
      </c>
    </row>
    <row r="13" spans="2:10" ht="15.6">
      <c r="B13" s="452" t="s">
        <v>1915</v>
      </c>
      <c r="C13" s="453">
        <v>2020</v>
      </c>
      <c r="D13" s="453">
        <v>51.4</v>
      </c>
      <c r="E13" s="453">
        <v>0.1</v>
      </c>
      <c r="F13" s="453">
        <v>0.03</v>
      </c>
      <c r="G13" s="497">
        <f t="shared" si="1"/>
        <v>51.53</v>
      </c>
      <c r="H13" s="452" t="s">
        <v>898</v>
      </c>
      <c r="I13" s="453" t="s">
        <v>2152</v>
      </c>
      <c r="J13" s="452" t="s">
        <v>759</v>
      </c>
    </row>
    <row r="14" spans="2:10" ht="15.6">
      <c r="B14" s="452" t="s">
        <v>2153</v>
      </c>
      <c r="C14" s="453">
        <v>2020</v>
      </c>
      <c r="D14" s="453">
        <v>69.900000000000006</v>
      </c>
      <c r="E14" s="453">
        <v>0.1</v>
      </c>
      <c r="F14" s="453">
        <v>0.2</v>
      </c>
      <c r="G14" s="497">
        <f t="shared" si="1"/>
        <v>70.2</v>
      </c>
      <c r="H14" s="452" t="s">
        <v>902</v>
      </c>
      <c r="I14" s="453">
        <v>3.6</v>
      </c>
      <c r="J14" s="452" t="s">
        <v>910</v>
      </c>
    </row>
    <row r="15" spans="2:10" ht="15.6">
      <c r="B15" s="452" t="s">
        <v>2154</v>
      </c>
      <c r="C15" s="453">
        <v>2020</v>
      </c>
      <c r="D15" s="453">
        <v>67.400000000000006</v>
      </c>
      <c r="E15" s="453">
        <v>0.2</v>
      </c>
      <c r="F15" s="453">
        <v>0.2</v>
      </c>
      <c r="G15" s="497">
        <f t="shared" si="1"/>
        <v>67.800000000000011</v>
      </c>
      <c r="H15" s="452" t="s">
        <v>902</v>
      </c>
      <c r="I15" s="453">
        <v>3.6</v>
      </c>
      <c r="J15" s="452" t="s">
        <v>910</v>
      </c>
    </row>
    <row r="16" spans="2:10" ht="15.6">
      <c r="B16" s="458" t="s">
        <v>2155</v>
      </c>
      <c r="C16" s="459">
        <v>2020</v>
      </c>
      <c r="D16" s="459">
        <v>60.2</v>
      </c>
      <c r="E16" s="459">
        <v>0.2</v>
      </c>
      <c r="F16" s="459">
        <v>0.2</v>
      </c>
      <c r="G16" s="498">
        <f t="shared" si="1"/>
        <v>60.600000000000009</v>
      </c>
      <c r="H16" s="458" t="s">
        <v>902</v>
      </c>
      <c r="I16" s="459">
        <v>3.6</v>
      </c>
      <c r="J16" s="458" t="s">
        <v>910</v>
      </c>
    </row>
    <row r="17" spans="1:31" ht="15" customHeight="1">
      <c r="B17" s="446" t="s">
        <v>1921</v>
      </c>
      <c r="C17" s="447">
        <v>2021</v>
      </c>
      <c r="D17" s="447">
        <v>90</v>
      </c>
      <c r="E17" s="447">
        <v>0.04</v>
      </c>
      <c r="F17" s="447">
        <v>0.2</v>
      </c>
      <c r="G17" s="496">
        <f t="shared" si="1"/>
        <v>90.240000000000009</v>
      </c>
      <c r="H17" s="446" t="s">
        <v>1685</v>
      </c>
      <c r="I17" s="447">
        <v>3</v>
      </c>
      <c r="J17" s="467" t="s">
        <v>1686</v>
      </c>
    </row>
    <row r="18" spans="1:31" ht="15" customHeight="1">
      <c r="B18" s="452" t="s">
        <v>2151</v>
      </c>
      <c r="C18" s="453">
        <v>2021</v>
      </c>
      <c r="D18" s="453">
        <v>90</v>
      </c>
      <c r="E18" s="453">
        <v>0.04</v>
      </c>
      <c r="F18" s="453">
        <v>0.2</v>
      </c>
      <c r="G18" s="497">
        <f t="shared" si="1"/>
        <v>90.240000000000009</v>
      </c>
      <c r="H18" s="452" t="s">
        <v>1685</v>
      </c>
      <c r="I18" s="453">
        <v>2.5</v>
      </c>
      <c r="J18" s="468" t="s">
        <v>1686</v>
      </c>
    </row>
    <row r="19" spans="1:31" ht="15" customHeight="1">
      <c r="B19" s="452" t="s">
        <v>1915</v>
      </c>
      <c r="C19" s="453">
        <v>2021</v>
      </c>
      <c r="D19" s="453">
        <v>51.4</v>
      </c>
      <c r="E19" s="453">
        <v>0.1</v>
      </c>
      <c r="F19" s="453">
        <v>0.03</v>
      </c>
      <c r="G19" s="497">
        <f t="shared" si="1"/>
        <v>51.53</v>
      </c>
      <c r="H19" s="452" t="s">
        <v>1683</v>
      </c>
      <c r="I19" s="453" t="s">
        <v>2152</v>
      </c>
      <c r="J19" s="452" t="s">
        <v>759</v>
      </c>
    </row>
    <row r="20" spans="1:31" ht="15" customHeight="1">
      <c r="B20" s="452" t="s">
        <v>2153</v>
      </c>
      <c r="C20" s="453">
        <v>2021</v>
      </c>
      <c r="D20" s="453">
        <v>69.900000000000006</v>
      </c>
      <c r="E20" s="453">
        <v>0.1</v>
      </c>
      <c r="F20" s="453">
        <v>0.2</v>
      </c>
      <c r="G20" s="497">
        <f t="shared" si="1"/>
        <v>70.2</v>
      </c>
      <c r="H20" s="452" t="s">
        <v>1684</v>
      </c>
      <c r="I20" s="453">
        <v>3.6</v>
      </c>
      <c r="J20" s="468" t="s">
        <v>1687</v>
      </c>
    </row>
    <row r="21" spans="1:31" ht="15" customHeight="1">
      <c r="B21" s="452" t="s">
        <v>2154</v>
      </c>
      <c r="C21" s="453">
        <v>2021</v>
      </c>
      <c r="D21" s="453">
        <v>67.400000000000006</v>
      </c>
      <c r="E21" s="453">
        <v>0.2</v>
      </c>
      <c r="F21" s="453">
        <v>0.2</v>
      </c>
      <c r="G21" s="497">
        <f t="shared" si="1"/>
        <v>67.800000000000011</v>
      </c>
      <c r="H21" s="452" t="s">
        <v>1684</v>
      </c>
      <c r="I21" s="453">
        <v>3.6</v>
      </c>
      <c r="J21" s="468" t="s">
        <v>1687</v>
      </c>
    </row>
    <row r="22" spans="1:31" ht="15" customHeight="1" thickBot="1">
      <c r="B22" s="458" t="s">
        <v>2155</v>
      </c>
      <c r="C22" s="459">
        <v>2021</v>
      </c>
      <c r="D22" s="459">
        <v>60.2</v>
      </c>
      <c r="E22" s="459">
        <v>0.2</v>
      </c>
      <c r="F22" s="459">
        <v>0.2</v>
      </c>
      <c r="G22" s="498">
        <f t="shared" si="1"/>
        <v>60.600000000000009</v>
      </c>
      <c r="H22" s="458" t="s">
        <v>1684</v>
      </c>
      <c r="I22" s="459">
        <v>3.6</v>
      </c>
      <c r="J22" s="469" t="s">
        <v>1687</v>
      </c>
    </row>
    <row r="23" spans="1:31" ht="15" customHeight="1">
      <c r="B23" s="446" t="s">
        <v>1921</v>
      </c>
      <c r="C23" s="447">
        <v>2022</v>
      </c>
      <c r="D23" s="447">
        <v>90</v>
      </c>
      <c r="E23" s="447">
        <v>0.04</v>
      </c>
      <c r="F23" s="447">
        <v>0.2</v>
      </c>
      <c r="G23" s="464">
        <v>90.24</v>
      </c>
      <c r="H23" s="446" t="s">
        <v>2156</v>
      </c>
      <c r="I23" s="447">
        <v>3</v>
      </c>
      <c r="J23" s="446" t="s">
        <v>2156</v>
      </c>
      <c r="L23" s="689" t="s">
        <v>2157</v>
      </c>
      <c r="M23" s="690"/>
      <c r="N23" s="690"/>
      <c r="O23" s="690"/>
      <c r="P23" s="690"/>
      <c r="Q23" s="690"/>
      <c r="R23" s="690"/>
      <c r="S23" s="690"/>
      <c r="T23" s="690"/>
      <c r="U23" s="690"/>
      <c r="V23" s="690"/>
      <c r="W23" s="690"/>
      <c r="X23" s="690"/>
      <c r="Y23" s="690"/>
      <c r="Z23" s="691"/>
      <c r="AA23" s="470"/>
      <c r="AB23" s="470"/>
      <c r="AC23" s="470"/>
      <c r="AD23" s="470"/>
      <c r="AE23" s="470"/>
    </row>
    <row r="24" spans="1:31" ht="15" customHeight="1">
      <c r="B24" s="452" t="s">
        <v>2151</v>
      </c>
      <c r="C24" s="453">
        <v>2022</v>
      </c>
      <c r="D24" s="453">
        <v>90</v>
      </c>
      <c r="E24" s="453">
        <v>0.04</v>
      </c>
      <c r="F24" s="453">
        <v>0.2</v>
      </c>
      <c r="G24" s="465">
        <v>90.24</v>
      </c>
      <c r="H24" s="452" t="s">
        <v>2156</v>
      </c>
      <c r="I24" s="453">
        <v>2.5</v>
      </c>
      <c r="J24" s="452" t="s">
        <v>2156</v>
      </c>
      <c r="L24" s="692"/>
      <c r="M24" s="693"/>
      <c r="N24" s="693"/>
      <c r="O24" s="693"/>
      <c r="P24" s="693"/>
      <c r="Q24" s="693"/>
      <c r="R24" s="693"/>
      <c r="S24" s="693"/>
      <c r="T24" s="693"/>
      <c r="U24" s="693"/>
      <c r="V24" s="693"/>
      <c r="W24" s="693"/>
      <c r="X24" s="693"/>
      <c r="Y24" s="693"/>
      <c r="Z24" s="694"/>
      <c r="AA24" s="470"/>
      <c r="AB24" s="470"/>
      <c r="AC24" s="470"/>
      <c r="AD24" s="470"/>
      <c r="AE24" s="470"/>
    </row>
    <row r="25" spans="1:31" ht="15" customHeight="1">
      <c r="B25" s="452" t="s">
        <v>1915</v>
      </c>
      <c r="C25" s="453">
        <v>2022</v>
      </c>
      <c r="D25" s="453">
        <v>51.4</v>
      </c>
      <c r="E25" s="453">
        <v>0.1</v>
      </c>
      <c r="F25" s="453">
        <v>0.03</v>
      </c>
      <c r="G25" s="465">
        <v>51.53</v>
      </c>
      <c r="H25" s="452" t="s">
        <v>2158</v>
      </c>
      <c r="I25" s="453" t="s">
        <v>2152</v>
      </c>
      <c r="J25" s="452" t="s">
        <v>759</v>
      </c>
      <c r="L25" s="692"/>
      <c r="M25" s="693"/>
      <c r="N25" s="693"/>
      <c r="O25" s="693"/>
      <c r="P25" s="693"/>
      <c r="Q25" s="693"/>
      <c r="R25" s="693"/>
      <c r="S25" s="693"/>
      <c r="T25" s="693"/>
      <c r="U25" s="693"/>
      <c r="V25" s="693"/>
      <c r="W25" s="693"/>
      <c r="X25" s="693"/>
      <c r="Y25" s="693"/>
      <c r="Z25" s="694"/>
      <c r="AA25" s="470"/>
      <c r="AB25" s="470"/>
      <c r="AC25" s="470"/>
      <c r="AD25" s="470"/>
      <c r="AE25" s="470"/>
    </row>
    <row r="26" spans="1:31" ht="15" customHeight="1">
      <c r="B26" s="452" t="s">
        <v>2153</v>
      </c>
      <c r="C26" s="453">
        <v>2022</v>
      </c>
      <c r="D26" s="453">
        <v>69.900000000000006</v>
      </c>
      <c r="E26" s="453">
        <v>0.1</v>
      </c>
      <c r="F26" s="453">
        <v>0.2</v>
      </c>
      <c r="G26" s="465">
        <v>70.2</v>
      </c>
      <c r="H26" s="452" t="s">
        <v>2159</v>
      </c>
      <c r="I26" s="453">
        <v>17.3</v>
      </c>
      <c r="J26" s="452" t="s">
        <v>2159</v>
      </c>
      <c r="L26" s="692"/>
      <c r="M26" s="693"/>
      <c r="N26" s="693"/>
      <c r="O26" s="693"/>
      <c r="P26" s="693"/>
      <c r="Q26" s="693"/>
      <c r="R26" s="693"/>
      <c r="S26" s="693"/>
      <c r="T26" s="693"/>
      <c r="U26" s="693"/>
      <c r="V26" s="693"/>
      <c r="W26" s="693"/>
      <c r="X26" s="693"/>
      <c r="Y26" s="693"/>
      <c r="Z26" s="694"/>
      <c r="AA26" s="470"/>
      <c r="AB26" s="470"/>
      <c r="AC26" s="470"/>
      <c r="AD26" s="470"/>
      <c r="AE26" s="470"/>
    </row>
    <row r="27" spans="1:31" ht="15" customHeight="1">
      <c r="B27" s="452" t="s">
        <v>2154</v>
      </c>
      <c r="C27" s="453">
        <v>2022</v>
      </c>
      <c r="D27" s="453">
        <v>67.400000000000006</v>
      </c>
      <c r="E27" s="453">
        <v>0.2</v>
      </c>
      <c r="F27" s="453">
        <v>0.2</v>
      </c>
      <c r="G27" s="465">
        <v>67.8</v>
      </c>
      <c r="H27" s="452" t="s">
        <v>2159</v>
      </c>
      <c r="I27" s="453">
        <v>17.2</v>
      </c>
      <c r="J27" s="452" t="s">
        <v>2159</v>
      </c>
      <c r="L27" s="692"/>
      <c r="M27" s="693"/>
      <c r="N27" s="693"/>
      <c r="O27" s="693"/>
      <c r="P27" s="693"/>
      <c r="Q27" s="693"/>
      <c r="R27" s="693"/>
      <c r="S27" s="693"/>
      <c r="T27" s="693"/>
      <c r="U27" s="693"/>
      <c r="V27" s="693"/>
      <c r="W27" s="693"/>
      <c r="X27" s="693"/>
      <c r="Y27" s="693"/>
      <c r="Z27" s="694"/>
      <c r="AA27" s="470"/>
      <c r="AB27" s="470"/>
      <c r="AC27" s="470"/>
      <c r="AD27" s="470"/>
      <c r="AE27" s="470"/>
    </row>
    <row r="28" spans="1:31" ht="15" customHeight="1" thickBot="1">
      <c r="B28" s="458" t="s">
        <v>2155</v>
      </c>
      <c r="C28" s="459">
        <v>2022</v>
      </c>
      <c r="D28" s="459">
        <v>60.2</v>
      </c>
      <c r="E28" s="459">
        <v>0.2</v>
      </c>
      <c r="F28" s="459">
        <v>0.2</v>
      </c>
      <c r="G28" s="466">
        <v>60.6</v>
      </c>
      <c r="H28" s="458" t="s">
        <v>2159</v>
      </c>
      <c r="I28" s="459">
        <v>20.2</v>
      </c>
      <c r="J28" s="458" t="s">
        <v>2159</v>
      </c>
      <c r="L28" s="695"/>
      <c r="M28" s="696"/>
      <c r="N28" s="696"/>
      <c r="O28" s="696"/>
      <c r="P28" s="696"/>
      <c r="Q28" s="696"/>
      <c r="R28" s="696"/>
      <c r="S28" s="696"/>
      <c r="T28" s="696"/>
      <c r="U28" s="696"/>
      <c r="V28" s="696"/>
      <c r="W28" s="696"/>
      <c r="X28" s="696"/>
      <c r="Y28" s="696"/>
      <c r="Z28" s="697"/>
      <c r="AA28" s="470"/>
      <c r="AB28" s="470"/>
      <c r="AC28" s="470"/>
      <c r="AD28" s="470"/>
      <c r="AE28" s="470"/>
    </row>
    <row r="30" spans="1:31" ht="15.6">
      <c r="A30" s="191" t="s">
        <v>42</v>
      </c>
      <c r="B30" s="419" t="s">
        <v>2160</v>
      </c>
      <c r="C30" s="417"/>
      <c r="D30" s="417"/>
      <c r="E30" s="171"/>
      <c r="F30" s="417"/>
      <c r="G30" s="417"/>
      <c r="H30" s="418"/>
      <c r="I30" s="15"/>
      <c r="J30" s="15"/>
    </row>
    <row r="31" spans="1:31" ht="45" customHeight="1">
      <c r="A31" s="191" t="s">
        <v>42</v>
      </c>
      <c r="B31" s="704" t="s">
        <v>2144</v>
      </c>
      <c r="C31" s="707" t="s">
        <v>1566</v>
      </c>
      <c r="D31" s="712" t="s">
        <v>2161</v>
      </c>
      <c r="E31" s="713"/>
      <c r="F31" s="714"/>
      <c r="G31" s="707" t="s">
        <v>2162</v>
      </c>
      <c r="H31" s="704" t="s">
        <v>497</v>
      </c>
    </row>
    <row r="32" spans="1:31" ht="18">
      <c r="A32" s="191" t="s">
        <v>42</v>
      </c>
      <c r="B32" s="705"/>
      <c r="C32" s="708"/>
      <c r="D32" s="169" t="s">
        <v>2148</v>
      </c>
      <c r="E32" s="169" t="s">
        <v>2149</v>
      </c>
      <c r="F32" s="169" t="s">
        <v>2150</v>
      </c>
      <c r="G32" s="708"/>
      <c r="H32" s="705"/>
    </row>
    <row r="33" spans="1:8" ht="15.6">
      <c r="A33" s="191" t="s">
        <v>42</v>
      </c>
      <c r="B33" s="446" t="s">
        <v>1921</v>
      </c>
      <c r="C33" s="447">
        <v>2023</v>
      </c>
      <c r="D33" s="464">
        <f>2.6373603787/0.0221</f>
        <v>119.33757369683256</v>
      </c>
      <c r="E33" s="464">
        <f>0.007870951/0.0221</f>
        <v>0.35615162895927593</v>
      </c>
      <c r="F33" s="464">
        <f>0.0111739393/0.0221</f>
        <v>0.50560811312217191</v>
      </c>
      <c r="G33" s="496">
        <f t="shared" ref="G33:G44" si="2">SUM(D33:F33)</f>
        <v>120.19933343891402</v>
      </c>
      <c r="H33" s="446" t="s">
        <v>2735</v>
      </c>
    </row>
    <row r="34" spans="1:8" ht="15.6">
      <c r="A34" s="191" t="s">
        <v>42</v>
      </c>
      <c r="B34" s="452" t="s">
        <v>2151</v>
      </c>
      <c r="C34" s="453">
        <v>2023</v>
      </c>
      <c r="D34" s="465">
        <f>1.9910094769/0.0221</f>
        <v>90.090926556561072</v>
      </c>
      <c r="E34" s="465">
        <f>0.0057572401/0.0221</f>
        <v>0.26050860180995472</v>
      </c>
      <c r="F34" s="465">
        <f>0.0081732248/0.0221</f>
        <v>0.36982917647058822</v>
      </c>
      <c r="G34" s="497">
        <f t="shared" si="2"/>
        <v>90.721264334841621</v>
      </c>
      <c r="H34" s="452" t="s">
        <v>2735</v>
      </c>
    </row>
    <row r="35" spans="1:8" ht="15.6">
      <c r="A35" s="191" t="s">
        <v>42</v>
      </c>
      <c r="B35" s="452" t="s">
        <v>1915</v>
      </c>
      <c r="C35" s="453">
        <v>2023</v>
      </c>
      <c r="D35" s="465">
        <v>53.6088765529</v>
      </c>
      <c r="E35" s="454">
        <v>0.126</v>
      </c>
      <c r="F35" s="454">
        <v>2.385E-2</v>
      </c>
      <c r="G35" s="497">
        <f t="shared" si="2"/>
        <v>53.758726552900001</v>
      </c>
      <c r="H35" s="452" t="s">
        <v>2735</v>
      </c>
    </row>
    <row r="36" spans="1:8" ht="15.6">
      <c r="A36" s="191" t="s">
        <v>42</v>
      </c>
      <c r="B36" s="452" t="s">
        <v>2153</v>
      </c>
      <c r="C36" s="453">
        <v>2023</v>
      </c>
      <c r="D36" s="465">
        <f>2.6730865704/40*1000</f>
        <v>66.827164260000004</v>
      </c>
      <c r="E36" s="465">
        <f>0.0102388965/40*1000</f>
        <v>0.25597241250000002</v>
      </c>
      <c r="F36" s="465">
        <f>0.0058142305/40*1000</f>
        <v>0.14535576249999999</v>
      </c>
      <c r="G36" s="497">
        <f t="shared" si="2"/>
        <v>67.228492435000007</v>
      </c>
      <c r="H36" s="452" t="s">
        <v>2735</v>
      </c>
    </row>
    <row r="37" spans="1:8" ht="15.6">
      <c r="A37" s="191" t="s">
        <v>42</v>
      </c>
      <c r="B37" s="452" t="s">
        <v>2154</v>
      </c>
      <c r="C37" s="453">
        <v>2023</v>
      </c>
      <c r="D37" s="465">
        <f>2.9540095902/0.0342</f>
        <v>86.374549421052635</v>
      </c>
      <c r="E37" s="465">
        <f>0.010760775/0.0342</f>
        <v>0.31464254385964913</v>
      </c>
      <c r="F37" s="465">
        <f>0.0061105829/0.0342</f>
        <v>0.17867201461988302</v>
      </c>
      <c r="G37" s="497">
        <f t="shared" si="2"/>
        <v>86.86786397953216</v>
      </c>
      <c r="H37" s="452" t="s">
        <v>2735</v>
      </c>
    </row>
    <row r="38" spans="1:8" ht="15.6">
      <c r="A38" s="191" t="s">
        <v>42</v>
      </c>
      <c r="B38" s="458" t="s">
        <v>2155</v>
      </c>
      <c r="C38" s="459">
        <v>2023</v>
      </c>
      <c r="D38" s="466">
        <f>2.971635097/49*1000</f>
        <v>60.645614224489798</v>
      </c>
      <c r="E38" s="466">
        <v>0</v>
      </c>
      <c r="F38" s="466">
        <v>0</v>
      </c>
      <c r="G38" s="498">
        <f t="shared" si="2"/>
        <v>60.645614224489798</v>
      </c>
      <c r="H38" s="458" t="s">
        <v>2735</v>
      </c>
    </row>
    <row r="39" spans="1:8" ht="15.6">
      <c r="A39" s="191" t="s">
        <v>42</v>
      </c>
      <c r="B39" s="446" t="s">
        <v>1921</v>
      </c>
      <c r="C39" s="447">
        <v>2024</v>
      </c>
      <c r="D39" s="464">
        <f>2.6373603787/0.0221</f>
        <v>119.33757369683256</v>
      </c>
      <c r="E39" s="464">
        <f>0.007870951/0.0221</f>
        <v>0.35615162895927593</v>
      </c>
      <c r="F39" s="464">
        <f>0.0086748766/0.0221</f>
        <v>0.39252835294117649</v>
      </c>
      <c r="G39" s="496">
        <f t="shared" si="2"/>
        <v>120.08625367873302</v>
      </c>
      <c r="H39" s="446" t="s">
        <v>2736</v>
      </c>
    </row>
    <row r="40" spans="1:8" ht="15.6">
      <c r="A40" s="191" t="s">
        <v>42</v>
      </c>
      <c r="B40" s="452" t="s">
        <v>2151</v>
      </c>
      <c r="C40" s="453">
        <v>2024</v>
      </c>
      <c r="D40" s="465">
        <f>1.9910094769/0.0221</f>
        <v>90.090926556561072</v>
      </c>
      <c r="E40" s="465">
        <f>0.0057572401/0.0221</f>
        <v>0.26050860180995472</v>
      </c>
      <c r="F40" s="465">
        <f>0.0081732248/0.0221</f>
        <v>0.36982917647058822</v>
      </c>
      <c r="G40" s="497">
        <f t="shared" si="2"/>
        <v>90.721264334841621</v>
      </c>
      <c r="H40" s="452" t="s">
        <v>2736</v>
      </c>
    </row>
    <row r="41" spans="1:8" ht="15.6">
      <c r="A41" s="191" t="s">
        <v>42</v>
      </c>
      <c r="B41" s="452" t="s">
        <v>1915</v>
      </c>
      <c r="C41" s="453">
        <v>2024</v>
      </c>
      <c r="D41" s="465">
        <v>53.986069449299997</v>
      </c>
      <c r="E41" s="454">
        <v>0.126</v>
      </c>
      <c r="F41" s="454">
        <v>2.385E-2</v>
      </c>
      <c r="G41" s="497">
        <f t="shared" si="2"/>
        <v>54.135919449299998</v>
      </c>
      <c r="H41" s="452" t="s">
        <v>2736</v>
      </c>
    </row>
    <row r="42" spans="1:8" ht="15.6">
      <c r="A42" s="191" t="s">
        <v>42</v>
      </c>
      <c r="B42" s="452" t="s">
        <v>2153</v>
      </c>
      <c r="C42" s="453">
        <v>2024</v>
      </c>
      <c r="D42" s="465">
        <f>2.6624403121/40*1000</f>
        <v>66.561007802500001</v>
      </c>
      <c r="E42" s="465">
        <f>0.0102388965/40*1000</f>
        <v>0.25597241250000002</v>
      </c>
      <c r="F42" s="465">
        <f>0.0058142305/40*1000</f>
        <v>0.14535576249999999</v>
      </c>
      <c r="G42" s="497">
        <f t="shared" si="2"/>
        <v>66.962335977500004</v>
      </c>
      <c r="H42" s="452" t="s">
        <v>2736</v>
      </c>
    </row>
    <row r="43" spans="1:8" ht="15.6">
      <c r="A43" s="191" t="s">
        <v>42</v>
      </c>
      <c r="B43" s="452" t="s">
        <v>2154</v>
      </c>
      <c r="C43" s="453">
        <v>2024</v>
      </c>
      <c r="D43" s="465">
        <f>2.9540095902/0.0342</f>
        <v>86.374549421052635</v>
      </c>
      <c r="E43" s="465">
        <f>0.010760775/0.0342</f>
        <v>0.31464254385964913</v>
      </c>
      <c r="F43" s="465">
        <f>0.0061105829/0.0342</f>
        <v>0.17867201461988302</v>
      </c>
      <c r="G43" s="497">
        <f t="shared" si="2"/>
        <v>86.86786397953216</v>
      </c>
      <c r="H43" s="452" t="s">
        <v>2736</v>
      </c>
    </row>
    <row r="44" spans="1:8" ht="15.6">
      <c r="A44" s="191" t="s">
        <v>42</v>
      </c>
      <c r="B44" s="458" t="s">
        <v>2155</v>
      </c>
      <c r="C44" s="459">
        <v>2024</v>
      </c>
      <c r="D44" s="466">
        <f>2.971635097/49*1000</f>
        <v>60.645614224489798</v>
      </c>
      <c r="E44" s="466">
        <v>0</v>
      </c>
      <c r="F44" s="466">
        <v>0</v>
      </c>
      <c r="G44" s="498">
        <f t="shared" si="2"/>
        <v>60.645614224489798</v>
      </c>
      <c r="H44" s="458" t="s">
        <v>2736</v>
      </c>
    </row>
    <row r="45" spans="1:8" ht="15.6">
      <c r="A45" s="191" t="s">
        <v>42</v>
      </c>
      <c r="B45" s="446" t="s">
        <v>1921</v>
      </c>
      <c r="C45" s="725">
        <v>2025</v>
      </c>
      <c r="D45" s="464">
        <f>2.6373603787/0.0221</f>
        <v>119.33757369683256</v>
      </c>
      <c r="E45" s="464">
        <f>0.007870951/0.0221</f>
        <v>0.35615162895927593</v>
      </c>
      <c r="F45" s="464">
        <f>0.0111739393/0.0221</f>
        <v>0.50560811312217191</v>
      </c>
      <c r="G45" s="496">
        <f t="shared" ref="G45:G50" si="3">SUM(D45:F45)</f>
        <v>120.19933343891402</v>
      </c>
      <c r="H45" s="179" t="s">
        <v>2742</v>
      </c>
    </row>
    <row r="46" spans="1:8" ht="15.6">
      <c r="A46" s="191" t="s">
        <v>42</v>
      </c>
      <c r="B46" s="452" t="s">
        <v>2151</v>
      </c>
      <c r="C46" s="725">
        <v>2025</v>
      </c>
      <c r="D46" s="465">
        <f>1.9910094769/0.0221</f>
        <v>90.090926556561072</v>
      </c>
      <c r="E46" s="465">
        <f>0.0057572401/0.0221</f>
        <v>0.26050860180995472</v>
      </c>
      <c r="F46" s="465">
        <f>0.0081732248/0.0221</f>
        <v>0.36982917647058822</v>
      </c>
      <c r="G46" s="497">
        <f t="shared" si="3"/>
        <v>90.721264334841621</v>
      </c>
      <c r="H46" s="179" t="s">
        <v>2742</v>
      </c>
    </row>
    <row r="47" spans="1:8" ht="15.6">
      <c r="A47" s="191" t="s">
        <v>42</v>
      </c>
      <c r="B47" s="452" t="s">
        <v>1915</v>
      </c>
      <c r="C47" s="725">
        <v>2025</v>
      </c>
      <c r="D47" s="465">
        <v>54.057908793599999</v>
      </c>
      <c r="E47" s="454">
        <v>0.126</v>
      </c>
      <c r="F47" s="454">
        <v>2.385E-2</v>
      </c>
      <c r="G47" s="497">
        <f t="shared" si="3"/>
        <v>54.2077587936</v>
      </c>
      <c r="H47" s="179" t="s">
        <v>2742</v>
      </c>
    </row>
    <row r="48" spans="1:8" ht="15.6">
      <c r="A48" s="191" t="s">
        <v>42</v>
      </c>
      <c r="B48" s="452" t="s">
        <v>2153</v>
      </c>
      <c r="C48" s="725">
        <v>2025</v>
      </c>
      <c r="D48" s="465">
        <f>2.6638053405/40*1000</f>
        <v>66.595133512499999</v>
      </c>
      <c r="E48" s="465">
        <f>0.0102388965/40*1000</f>
        <v>0.25597241250000002</v>
      </c>
      <c r="F48" s="465">
        <f>0.0058142305/40*1000</f>
        <v>0.14535576249999999</v>
      </c>
      <c r="G48" s="497">
        <f t="shared" si="3"/>
        <v>66.996461687500002</v>
      </c>
      <c r="H48" s="179" t="s">
        <v>2742</v>
      </c>
    </row>
    <row r="49" spans="1:10" ht="15.6">
      <c r="A49" s="191" t="s">
        <v>42</v>
      </c>
      <c r="B49" s="452" t="s">
        <v>2154</v>
      </c>
      <c r="C49" s="725">
        <v>2025</v>
      </c>
      <c r="D49" s="465">
        <f>2.9540095899/0.0342</f>
        <v>86.3745494122807</v>
      </c>
      <c r="E49" s="465">
        <f>0.010760775/0.0342</f>
        <v>0.31464254385964913</v>
      </c>
      <c r="F49" s="465">
        <f>0.0061105829/0.0342</f>
        <v>0.17867201461988302</v>
      </c>
      <c r="G49" s="497">
        <f t="shared" si="3"/>
        <v>86.867863970760226</v>
      </c>
      <c r="H49" s="179" t="s">
        <v>2742</v>
      </c>
    </row>
    <row r="50" spans="1:10" ht="15.6">
      <c r="A50" s="191" t="s">
        <v>42</v>
      </c>
      <c r="B50" s="458" t="s">
        <v>2155</v>
      </c>
      <c r="C50" s="725">
        <v>2025</v>
      </c>
      <c r="D50" s="466">
        <f>2.963726347/49*1000</f>
        <v>60.484211163265307</v>
      </c>
      <c r="E50" s="466">
        <v>6.6499999999999997E-3</v>
      </c>
      <c r="F50" s="466">
        <v>1.2587500000000001E-3</v>
      </c>
      <c r="G50" s="498">
        <f t="shared" si="3"/>
        <v>60.492119913265306</v>
      </c>
      <c r="H50" s="179" t="s">
        <v>2742</v>
      </c>
    </row>
    <row r="51" spans="1:10" ht="15" customHeight="1">
      <c r="A51" s="191" t="s">
        <v>42</v>
      </c>
    </row>
    <row r="52" spans="1:10" ht="20.100000000000001" customHeight="1">
      <c r="B52" s="170" t="s">
        <v>2163</v>
      </c>
      <c r="C52" s="417"/>
      <c r="D52" s="417"/>
      <c r="E52" s="171"/>
      <c r="F52" s="417"/>
      <c r="G52" s="417"/>
      <c r="H52" s="418"/>
      <c r="I52" s="15"/>
      <c r="J52" s="15"/>
    </row>
    <row r="53" spans="1:10" ht="45" customHeight="1">
      <c r="B53" s="172" t="s">
        <v>2164</v>
      </c>
      <c r="C53" s="169" t="s">
        <v>1566</v>
      </c>
      <c r="D53" s="169" t="s">
        <v>2165</v>
      </c>
      <c r="E53" s="169" t="s">
        <v>2166</v>
      </c>
      <c r="F53" s="169" t="s">
        <v>2167</v>
      </c>
      <c r="G53" s="169" t="s">
        <v>2168</v>
      </c>
      <c r="H53" s="172" t="s">
        <v>497</v>
      </c>
      <c r="I53" s="15"/>
      <c r="J53" s="15"/>
    </row>
    <row r="54" spans="1:10">
      <c r="A54" s="191" t="s">
        <v>42</v>
      </c>
      <c r="B54" s="528" t="s">
        <v>2114</v>
      </c>
      <c r="C54" s="178">
        <v>2025</v>
      </c>
      <c r="D54" s="534">
        <v>0.10111894840000001</v>
      </c>
      <c r="E54" s="421">
        <f>D54/0.0036</f>
        <v>28.088596777777781</v>
      </c>
      <c r="F54" s="178" t="s">
        <v>759</v>
      </c>
      <c r="G54" s="421" t="s">
        <v>759</v>
      </c>
      <c r="H54" s="179" t="s">
        <v>2742</v>
      </c>
      <c r="I54" s="15"/>
      <c r="J54" s="15"/>
    </row>
    <row r="55" spans="1:10">
      <c r="B55" s="528" t="s">
        <v>2114</v>
      </c>
      <c r="C55" s="178">
        <v>2024</v>
      </c>
      <c r="D55" s="534">
        <v>7.6630234300000002E-2</v>
      </c>
      <c r="E55" s="421">
        <f>D55/0.0036</f>
        <v>21.286176194444447</v>
      </c>
      <c r="F55" s="178" t="s">
        <v>759</v>
      </c>
      <c r="G55" s="421" t="s">
        <v>759</v>
      </c>
      <c r="H55" s="179" t="s">
        <v>2169</v>
      </c>
      <c r="I55" s="15"/>
      <c r="J55" s="15"/>
    </row>
    <row r="56" spans="1:10">
      <c r="A56" s="191" t="s">
        <v>42</v>
      </c>
      <c r="B56" s="528" t="s">
        <v>2114</v>
      </c>
      <c r="C56" s="532">
        <v>2023</v>
      </c>
      <c r="D56" s="535">
        <v>8.1894910500000001E-2</v>
      </c>
      <c r="E56" s="421">
        <f>D56/0.0036</f>
        <v>22.748586250000002</v>
      </c>
      <c r="F56" s="178" t="s">
        <v>759</v>
      </c>
      <c r="G56" s="421" t="s">
        <v>759</v>
      </c>
      <c r="H56" s="533" t="s">
        <v>2735</v>
      </c>
      <c r="I56" s="15"/>
      <c r="J56" s="15"/>
    </row>
    <row r="57" spans="1:10">
      <c r="B57" s="471" t="s">
        <v>2170</v>
      </c>
      <c r="C57" s="472">
        <v>2019</v>
      </c>
      <c r="D57" s="484">
        <v>0.81</v>
      </c>
      <c r="E57" s="485">
        <v>225</v>
      </c>
      <c r="F57" s="484">
        <v>0.09</v>
      </c>
      <c r="G57" s="486">
        <v>25</v>
      </c>
      <c r="H57" s="471" t="s">
        <v>872</v>
      </c>
      <c r="I57" s="15"/>
      <c r="J57" s="15"/>
    </row>
    <row r="58" spans="1:10">
      <c r="B58" s="475" t="s">
        <v>2171</v>
      </c>
      <c r="C58" s="476">
        <v>2019</v>
      </c>
      <c r="D58" s="487">
        <v>0.81</v>
      </c>
      <c r="E58" s="488">
        <v>225</v>
      </c>
      <c r="F58" s="487">
        <v>0.09</v>
      </c>
      <c r="G58" s="489">
        <v>25</v>
      </c>
      <c r="H58" s="475" t="s">
        <v>872</v>
      </c>
      <c r="I58" s="15"/>
      <c r="J58" s="15"/>
    </row>
    <row r="59" spans="1:10">
      <c r="B59" s="475" t="s">
        <v>2172</v>
      </c>
      <c r="C59" s="476">
        <v>2019</v>
      </c>
      <c r="D59" s="487">
        <v>1.08</v>
      </c>
      <c r="E59" s="488">
        <v>282</v>
      </c>
      <c r="F59" s="487">
        <v>0.1</v>
      </c>
      <c r="G59" s="489">
        <v>29</v>
      </c>
      <c r="H59" s="475" t="s">
        <v>872</v>
      </c>
      <c r="I59" s="15"/>
      <c r="J59" s="15"/>
    </row>
    <row r="60" spans="1:10">
      <c r="B60" s="475" t="s">
        <v>2173</v>
      </c>
      <c r="C60" s="476">
        <v>2019</v>
      </c>
      <c r="D60" s="487">
        <v>0.81</v>
      </c>
      <c r="E60" s="488">
        <v>225</v>
      </c>
      <c r="F60" s="487">
        <v>0.12</v>
      </c>
      <c r="G60" s="489">
        <v>33</v>
      </c>
      <c r="H60" s="475" t="s">
        <v>872</v>
      </c>
      <c r="I60" s="15"/>
      <c r="J60" s="15"/>
    </row>
    <row r="61" spans="1:10">
      <c r="B61" s="475" t="s">
        <v>2174</v>
      </c>
      <c r="C61" s="476">
        <v>2019</v>
      </c>
      <c r="D61" s="487">
        <v>0.44</v>
      </c>
      <c r="E61" s="488">
        <v>121</v>
      </c>
      <c r="F61" s="487">
        <v>0.1</v>
      </c>
      <c r="G61" s="489">
        <v>27</v>
      </c>
      <c r="H61" s="475" t="s">
        <v>872</v>
      </c>
      <c r="I61" s="15"/>
      <c r="J61" s="15"/>
    </row>
    <row r="62" spans="1:10">
      <c r="B62" s="475" t="s">
        <v>2175</v>
      </c>
      <c r="C62" s="476">
        <v>2019</v>
      </c>
      <c r="D62" s="487">
        <v>0.69</v>
      </c>
      <c r="E62" s="488">
        <v>193</v>
      </c>
      <c r="F62" s="487">
        <v>0.04</v>
      </c>
      <c r="G62" s="489">
        <v>12</v>
      </c>
      <c r="H62" s="475" t="s">
        <v>872</v>
      </c>
      <c r="I62" s="15"/>
      <c r="J62" s="15"/>
    </row>
    <row r="63" spans="1:10" ht="15.6">
      <c r="B63" s="475" t="s">
        <v>2176</v>
      </c>
      <c r="C63" s="476">
        <v>2019</v>
      </c>
      <c r="D63" s="487">
        <v>0.59</v>
      </c>
      <c r="E63" s="499">
        <f>D63/0.0036</f>
        <v>163.88888888888889</v>
      </c>
      <c r="F63" s="487" t="s">
        <v>759</v>
      </c>
      <c r="G63" s="489" t="s">
        <v>759</v>
      </c>
      <c r="H63" s="475" t="s">
        <v>850</v>
      </c>
      <c r="I63" s="15"/>
      <c r="J63" s="15"/>
    </row>
    <row r="64" spans="1:10" ht="15.6">
      <c r="B64" s="475" t="s">
        <v>2177</v>
      </c>
      <c r="C64" s="476">
        <v>2019</v>
      </c>
      <c r="D64" s="487">
        <v>0.55000000000000004</v>
      </c>
      <c r="E64" s="499">
        <f>D64/0.0036</f>
        <v>152.7777777777778</v>
      </c>
      <c r="F64" s="487" t="s">
        <v>759</v>
      </c>
      <c r="G64" s="489" t="s">
        <v>759</v>
      </c>
      <c r="H64" s="475" t="s">
        <v>850</v>
      </c>
      <c r="I64" s="15"/>
      <c r="J64" s="15"/>
    </row>
    <row r="65" spans="2:10">
      <c r="B65" s="475" t="s">
        <v>2178</v>
      </c>
      <c r="C65" s="476">
        <v>2019</v>
      </c>
      <c r="D65" s="487">
        <v>0.15</v>
      </c>
      <c r="E65" s="488">
        <v>42</v>
      </c>
      <c r="F65" s="487">
        <v>0.02</v>
      </c>
      <c r="G65" s="489">
        <v>6</v>
      </c>
      <c r="H65" s="475" t="s">
        <v>872</v>
      </c>
      <c r="I65" s="15"/>
      <c r="J65" s="15"/>
    </row>
    <row r="66" spans="2:10">
      <c r="B66" s="482" t="s">
        <v>2179</v>
      </c>
      <c r="C66" s="483">
        <v>2019</v>
      </c>
      <c r="D66" s="490">
        <v>0.63</v>
      </c>
      <c r="E66" s="491">
        <v>174</v>
      </c>
      <c r="F66" s="490">
        <v>0.08</v>
      </c>
      <c r="G66" s="492">
        <v>23</v>
      </c>
      <c r="H66" s="482" t="s">
        <v>872</v>
      </c>
      <c r="I66" s="15"/>
      <c r="J66" s="15"/>
    </row>
    <row r="67" spans="2:10">
      <c r="B67" s="446" t="s">
        <v>2170</v>
      </c>
      <c r="C67" s="447">
        <v>2020</v>
      </c>
      <c r="D67" s="448">
        <v>0.81</v>
      </c>
      <c r="E67" s="449">
        <v>224</v>
      </c>
      <c r="F67" s="450">
        <v>0.09</v>
      </c>
      <c r="G67" s="451">
        <v>24</v>
      </c>
      <c r="H67" s="446" t="s">
        <v>938</v>
      </c>
      <c r="I67" s="15"/>
      <c r="J67" s="15"/>
    </row>
    <row r="68" spans="2:10">
      <c r="B68" s="452" t="s">
        <v>2171</v>
      </c>
      <c r="C68" s="453">
        <v>2020</v>
      </c>
      <c r="D68" s="454">
        <v>0.81</v>
      </c>
      <c r="E68" s="455">
        <v>224</v>
      </c>
      <c r="F68" s="456">
        <v>0.09</v>
      </c>
      <c r="G68" s="457">
        <v>24</v>
      </c>
      <c r="H68" s="452" t="s">
        <v>938</v>
      </c>
      <c r="I68" s="15"/>
      <c r="J68" s="15"/>
    </row>
    <row r="69" spans="2:10">
      <c r="B69" s="452" t="s">
        <v>2172</v>
      </c>
      <c r="C69" s="453">
        <v>2020</v>
      </c>
      <c r="D69" s="454">
        <v>0.98</v>
      </c>
      <c r="E69" s="455">
        <v>272</v>
      </c>
      <c r="F69" s="456">
        <v>0.11</v>
      </c>
      <c r="G69" s="457">
        <v>29</v>
      </c>
      <c r="H69" s="452" t="s">
        <v>938</v>
      </c>
      <c r="I69" s="15"/>
      <c r="J69" s="15"/>
    </row>
    <row r="70" spans="2:10">
      <c r="B70" s="452" t="s">
        <v>2173</v>
      </c>
      <c r="C70" s="453">
        <v>2020</v>
      </c>
      <c r="D70" s="454">
        <v>0.81</v>
      </c>
      <c r="E70" s="455">
        <v>225</v>
      </c>
      <c r="F70" s="456">
        <v>0.12</v>
      </c>
      <c r="G70" s="457">
        <v>33</v>
      </c>
      <c r="H70" s="452" t="s">
        <v>938</v>
      </c>
      <c r="I70" s="15"/>
      <c r="J70" s="15"/>
    </row>
    <row r="71" spans="2:10">
      <c r="B71" s="452" t="s">
        <v>2174</v>
      </c>
      <c r="C71" s="453">
        <v>2020</v>
      </c>
      <c r="D71" s="454">
        <v>0.43</v>
      </c>
      <c r="E71" s="455">
        <v>119</v>
      </c>
      <c r="F71" s="456">
        <v>0.09</v>
      </c>
      <c r="G71" s="457">
        <v>24</v>
      </c>
      <c r="H71" s="452" t="s">
        <v>938</v>
      </c>
      <c r="I71" s="15"/>
      <c r="J71" s="15"/>
    </row>
    <row r="72" spans="2:10">
      <c r="B72" s="452" t="s">
        <v>2175</v>
      </c>
      <c r="C72" s="453">
        <v>2020</v>
      </c>
      <c r="D72" s="454">
        <v>0.68</v>
      </c>
      <c r="E72" s="455">
        <v>189</v>
      </c>
      <c r="F72" s="456">
        <v>0.02</v>
      </c>
      <c r="G72" s="457">
        <v>6</v>
      </c>
      <c r="H72" s="452" t="s">
        <v>938</v>
      </c>
      <c r="I72" s="15"/>
      <c r="J72" s="15"/>
    </row>
    <row r="73" spans="2:10" ht="15.6">
      <c r="B73" s="452" t="s">
        <v>2176</v>
      </c>
      <c r="C73" s="453">
        <v>2020</v>
      </c>
      <c r="D73" s="454">
        <v>0.57999999999999996</v>
      </c>
      <c r="E73" s="500">
        <f t="shared" ref="E73:E84" si="4">D73/0.0036</f>
        <v>161.11111111111111</v>
      </c>
      <c r="F73" s="456" t="s">
        <v>759</v>
      </c>
      <c r="G73" s="457" t="s">
        <v>759</v>
      </c>
      <c r="H73" s="452" t="s">
        <v>918</v>
      </c>
      <c r="I73" s="15"/>
      <c r="J73" s="15"/>
    </row>
    <row r="74" spans="2:10" ht="15.6">
      <c r="B74" s="452" t="s">
        <v>2177</v>
      </c>
      <c r="C74" s="453">
        <v>2020</v>
      </c>
      <c r="D74" s="454">
        <v>0.53</v>
      </c>
      <c r="E74" s="500">
        <f t="shared" si="4"/>
        <v>147.22222222222223</v>
      </c>
      <c r="F74" s="456" t="s">
        <v>759</v>
      </c>
      <c r="G74" s="457" t="s">
        <v>759</v>
      </c>
      <c r="H74" s="452" t="s">
        <v>918</v>
      </c>
      <c r="I74" s="15"/>
      <c r="J74" s="15"/>
    </row>
    <row r="75" spans="2:10">
      <c r="B75" s="452" t="s">
        <v>2178</v>
      </c>
      <c r="C75" s="453">
        <v>2020</v>
      </c>
      <c r="D75" s="454">
        <v>0.15</v>
      </c>
      <c r="E75" s="455">
        <v>41</v>
      </c>
      <c r="F75" s="456">
        <v>0.02</v>
      </c>
      <c r="G75" s="457">
        <v>7</v>
      </c>
      <c r="H75" s="452" t="s">
        <v>938</v>
      </c>
      <c r="I75" s="15"/>
      <c r="J75" s="15"/>
    </row>
    <row r="76" spans="2:10">
      <c r="B76" s="458" t="s">
        <v>2179</v>
      </c>
      <c r="C76" s="459">
        <v>2020</v>
      </c>
      <c r="D76" s="460">
        <v>0.62</v>
      </c>
      <c r="E76" s="461">
        <v>174</v>
      </c>
      <c r="F76" s="462">
        <v>7.0000000000000007E-2</v>
      </c>
      <c r="G76" s="463">
        <v>20</v>
      </c>
      <c r="H76" s="458" t="s">
        <v>938</v>
      </c>
      <c r="I76" s="15"/>
      <c r="J76" s="15"/>
    </row>
    <row r="77" spans="2:10">
      <c r="B77" s="446" t="s">
        <v>2170</v>
      </c>
      <c r="C77" s="447">
        <v>2021</v>
      </c>
      <c r="D77" s="448">
        <v>0.78</v>
      </c>
      <c r="E77" s="449">
        <v>216</v>
      </c>
      <c r="F77" s="448">
        <v>7.0000000000000007E-2</v>
      </c>
      <c r="G77" s="449">
        <v>19</v>
      </c>
      <c r="H77" s="446" t="s">
        <v>1693</v>
      </c>
      <c r="I77" s="15"/>
      <c r="J77" s="15"/>
    </row>
    <row r="78" spans="2:10">
      <c r="B78" s="452" t="s">
        <v>2171</v>
      </c>
      <c r="C78" s="453">
        <v>2021</v>
      </c>
      <c r="D78" s="454">
        <v>0.78</v>
      </c>
      <c r="E78" s="455">
        <v>216</v>
      </c>
      <c r="F78" s="454">
        <v>7.0000000000000007E-2</v>
      </c>
      <c r="G78" s="455">
        <v>19</v>
      </c>
      <c r="H78" s="452" t="s">
        <v>1693</v>
      </c>
      <c r="I78" s="15"/>
      <c r="J78" s="15"/>
    </row>
    <row r="79" spans="2:10">
      <c r="B79" s="452" t="s">
        <v>2172</v>
      </c>
      <c r="C79" s="453">
        <v>2021</v>
      </c>
      <c r="D79" s="454">
        <v>0.91</v>
      </c>
      <c r="E79" s="455">
        <v>252</v>
      </c>
      <c r="F79" s="454">
        <v>0.1</v>
      </c>
      <c r="G79" s="455">
        <v>27</v>
      </c>
      <c r="H79" s="452" t="s">
        <v>1693</v>
      </c>
      <c r="I79" s="15"/>
      <c r="J79" s="15"/>
    </row>
    <row r="80" spans="2:10">
      <c r="B80" s="452" t="s">
        <v>2173</v>
      </c>
      <c r="C80" s="453">
        <v>2021</v>
      </c>
      <c r="D80" s="454">
        <v>0.8</v>
      </c>
      <c r="E80" s="455">
        <v>221</v>
      </c>
      <c r="F80" s="454">
        <v>0.12</v>
      </c>
      <c r="G80" s="455">
        <v>33</v>
      </c>
      <c r="H80" s="452" t="s">
        <v>1693</v>
      </c>
      <c r="I80" s="15"/>
      <c r="J80" s="15"/>
    </row>
    <row r="81" spans="2:10">
      <c r="B81" s="452" t="s">
        <v>2174</v>
      </c>
      <c r="C81" s="453">
        <v>2021</v>
      </c>
      <c r="D81" s="454">
        <v>0.3</v>
      </c>
      <c r="E81" s="455">
        <v>83</v>
      </c>
      <c r="F81" s="454">
        <v>7.0000000000000007E-2</v>
      </c>
      <c r="G81" s="455">
        <v>18</v>
      </c>
      <c r="H81" s="452" t="s">
        <v>1693</v>
      </c>
      <c r="I81" s="15"/>
      <c r="J81" s="15"/>
    </row>
    <row r="82" spans="2:10">
      <c r="B82" s="452" t="s">
        <v>2175</v>
      </c>
      <c r="C82" s="453">
        <v>2021</v>
      </c>
      <c r="D82" s="454">
        <v>0.67</v>
      </c>
      <c r="E82" s="455">
        <v>186</v>
      </c>
      <c r="F82" s="454">
        <v>0.01</v>
      </c>
      <c r="G82" s="455">
        <v>4</v>
      </c>
      <c r="H82" s="452" t="s">
        <v>1693</v>
      </c>
      <c r="I82" s="15"/>
      <c r="J82" s="15"/>
    </row>
    <row r="83" spans="2:10" ht="15.6">
      <c r="B83" s="452" t="s">
        <v>2176</v>
      </c>
      <c r="C83" s="453">
        <v>2021</v>
      </c>
      <c r="D83" s="454">
        <v>0.57999999999999996</v>
      </c>
      <c r="E83" s="500">
        <f t="shared" si="4"/>
        <v>161.11111111111111</v>
      </c>
      <c r="F83" s="454" t="s">
        <v>759</v>
      </c>
      <c r="G83" s="455" t="s">
        <v>759</v>
      </c>
      <c r="H83" s="452" t="s">
        <v>1688</v>
      </c>
      <c r="I83" s="15"/>
      <c r="J83" s="15"/>
    </row>
    <row r="84" spans="2:10" ht="15.6">
      <c r="B84" s="452" t="s">
        <v>2177</v>
      </c>
      <c r="C84" s="453">
        <v>2021</v>
      </c>
      <c r="D84" s="454">
        <v>0.54</v>
      </c>
      <c r="E84" s="500">
        <f t="shared" si="4"/>
        <v>150</v>
      </c>
      <c r="F84" s="454" t="s">
        <v>759</v>
      </c>
      <c r="G84" s="455" t="s">
        <v>759</v>
      </c>
      <c r="H84" s="452" t="s">
        <v>1688</v>
      </c>
      <c r="I84" s="15"/>
      <c r="J84" s="15"/>
    </row>
    <row r="85" spans="2:10">
      <c r="B85" s="452" t="s">
        <v>2178</v>
      </c>
      <c r="C85" s="453">
        <v>2021</v>
      </c>
      <c r="D85" s="454">
        <v>0.14000000000000001</v>
      </c>
      <c r="E85" s="455">
        <v>39</v>
      </c>
      <c r="F85" s="454">
        <v>0.02</v>
      </c>
      <c r="G85" s="455">
        <v>5</v>
      </c>
      <c r="H85" s="452" t="s">
        <v>1693</v>
      </c>
      <c r="I85" s="15"/>
      <c r="J85" s="15"/>
    </row>
    <row r="86" spans="2:10">
      <c r="B86" s="458" t="s">
        <v>2179</v>
      </c>
      <c r="C86" s="459">
        <v>2021</v>
      </c>
      <c r="D86" s="460">
        <v>0.54</v>
      </c>
      <c r="E86" s="461">
        <v>150</v>
      </c>
      <c r="F86" s="460">
        <v>0.04</v>
      </c>
      <c r="G86" s="461">
        <v>12</v>
      </c>
      <c r="H86" s="458" t="s">
        <v>1693</v>
      </c>
      <c r="I86" s="15"/>
      <c r="J86" s="15"/>
    </row>
    <row r="87" spans="2:10">
      <c r="B87" s="446" t="s">
        <v>2170</v>
      </c>
      <c r="C87" s="447">
        <v>2022</v>
      </c>
      <c r="D87" s="448">
        <v>0.73</v>
      </c>
      <c r="E87" s="449">
        <v>202</v>
      </c>
      <c r="F87" s="448">
        <v>0.06</v>
      </c>
      <c r="G87" s="449">
        <v>15</v>
      </c>
      <c r="H87" s="446" t="s">
        <v>2180</v>
      </c>
      <c r="I87" s="15"/>
      <c r="J87" s="15"/>
    </row>
    <row r="88" spans="2:10">
      <c r="B88" s="452" t="s">
        <v>2171</v>
      </c>
      <c r="C88" s="453">
        <v>2022</v>
      </c>
      <c r="D88" s="454">
        <v>0.73</v>
      </c>
      <c r="E88" s="455">
        <v>202</v>
      </c>
      <c r="F88" s="454">
        <v>0.06</v>
      </c>
      <c r="G88" s="455">
        <v>15</v>
      </c>
      <c r="H88" s="452" t="s">
        <v>2180</v>
      </c>
      <c r="I88" s="15"/>
      <c r="J88" s="15"/>
    </row>
    <row r="89" spans="2:10">
      <c r="B89" s="452" t="s">
        <v>2172</v>
      </c>
      <c r="C89" s="453">
        <v>2022</v>
      </c>
      <c r="D89" s="454">
        <v>0.85</v>
      </c>
      <c r="E89" s="455">
        <v>238</v>
      </c>
      <c r="F89" s="454">
        <v>7.0000000000000007E-2</v>
      </c>
      <c r="G89" s="455">
        <v>20</v>
      </c>
      <c r="H89" s="452" t="s">
        <v>2180</v>
      </c>
      <c r="I89" s="15"/>
      <c r="J89" s="15"/>
    </row>
    <row r="90" spans="2:10">
      <c r="B90" s="452" t="s">
        <v>2173</v>
      </c>
      <c r="C90" s="453">
        <v>2022</v>
      </c>
      <c r="D90" s="454">
        <v>0.73</v>
      </c>
      <c r="E90" s="455">
        <v>202</v>
      </c>
      <c r="F90" s="454">
        <v>0.15</v>
      </c>
      <c r="G90" s="455">
        <v>41</v>
      </c>
      <c r="H90" s="452" t="s">
        <v>2180</v>
      </c>
      <c r="I90" s="15"/>
      <c r="J90" s="15"/>
    </row>
    <row r="91" spans="2:10">
      <c r="B91" s="452" t="s">
        <v>2174</v>
      </c>
      <c r="C91" s="453">
        <v>2022</v>
      </c>
      <c r="D91" s="454">
        <v>0.25</v>
      </c>
      <c r="E91" s="455">
        <v>72</v>
      </c>
      <c r="F91" s="454">
        <v>0.08</v>
      </c>
      <c r="G91" s="455">
        <v>23</v>
      </c>
      <c r="H91" s="452" t="s">
        <v>2180</v>
      </c>
      <c r="I91" s="15"/>
      <c r="J91" s="15"/>
    </row>
    <row r="92" spans="2:10">
      <c r="B92" s="452" t="s">
        <v>2175</v>
      </c>
      <c r="C92" s="453">
        <v>2022</v>
      </c>
      <c r="D92" s="454">
        <v>0.51</v>
      </c>
      <c r="E92" s="455">
        <v>164</v>
      </c>
      <c r="F92" s="454">
        <v>0.04</v>
      </c>
      <c r="G92" s="455">
        <v>12</v>
      </c>
      <c r="H92" s="452" t="s">
        <v>2180</v>
      </c>
      <c r="I92" s="15"/>
      <c r="J92" s="15"/>
    </row>
    <row r="93" spans="2:10">
      <c r="B93" s="452" t="s">
        <v>2176</v>
      </c>
      <c r="C93" s="453">
        <v>2022</v>
      </c>
      <c r="D93" s="454">
        <v>0.57999999999999996</v>
      </c>
      <c r="E93" s="455">
        <v>160</v>
      </c>
      <c r="F93" s="454" t="s">
        <v>759</v>
      </c>
      <c r="G93" s="455" t="s">
        <v>759</v>
      </c>
      <c r="H93" s="452" t="s">
        <v>2180</v>
      </c>
      <c r="I93" s="15"/>
      <c r="J93" s="15"/>
    </row>
    <row r="94" spans="2:10">
      <c r="B94" s="452" t="s">
        <v>2177</v>
      </c>
      <c r="C94" s="453">
        <v>2022</v>
      </c>
      <c r="D94" s="454">
        <v>0.54</v>
      </c>
      <c r="E94" s="455">
        <v>152</v>
      </c>
      <c r="F94" s="454">
        <v>7.0000000000000007E-2</v>
      </c>
      <c r="G94" s="455">
        <v>19</v>
      </c>
      <c r="H94" s="452" t="s">
        <v>2180</v>
      </c>
      <c r="I94" s="15"/>
      <c r="J94" s="15"/>
    </row>
    <row r="95" spans="2:10">
      <c r="B95" s="458" t="s">
        <v>2178</v>
      </c>
      <c r="C95" s="459">
        <v>2022</v>
      </c>
      <c r="D95" s="460">
        <v>0.17</v>
      </c>
      <c r="E95" s="461">
        <v>47</v>
      </c>
      <c r="F95" s="460">
        <v>0.01</v>
      </c>
      <c r="G95" s="461">
        <v>3</v>
      </c>
      <c r="H95" s="458" t="s">
        <v>2180</v>
      </c>
      <c r="I95" s="15"/>
      <c r="J95" s="15"/>
    </row>
    <row r="96" spans="2:10" s="15" customFormat="1" ht="13.2"/>
    <row r="97" spans="1:10" ht="15.6" hidden="1">
      <c r="A97" s="191" t="s">
        <v>42</v>
      </c>
      <c r="B97" s="170" t="s">
        <v>2181</v>
      </c>
      <c r="C97" s="417"/>
      <c r="D97" s="417"/>
      <c r="E97" s="171"/>
      <c r="F97" s="417"/>
      <c r="G97" s="417"/>
      <c r="H97" s="418"/>
      <c r="I97" s="15"/>
      <c r="J97" s="15"/>
    </row>
    <row r="98" spans="1:10" ht="33.6" hidden="1">
      <c r="A98" s="191" t="s">
        <v>42</v>
      </c>
      <c r="B98" s="172" t="s">
        <v>2182</v>
      </c>
      <c r="C98" s="169" t="s">
        <v>1566</v>
      </c>
      <c r="D98" s="169" t="s">
        <v>2165</v>
      </c>
      <c r="E98" s="169" t="s">
        <v>2166</v>
      </c>
      <c r="F98" s="169" t="s">
        <v>2167</v>
      </c>
      <c r="G98" s="169" t="s">
        <v>2168</v>
      </c>
      <c r="H98" s="172" t="s">
        <v>497</v>
      </c>
      <c r="I98" s="15"/>
      <c r="J98" s="15"/>
    </row>
    <row r="99" spans="1:10" hidden="1">
      <c r="A99" s="191" t="s">
        <v>42</v>
      </c>
      <c r="B99" s="179" t="s">
        <v>2183</v>
      </c>
      <c r="C99" s="178"/>
      <c r="D99" s="178">
        <v>0</v>
      </c>
      <c r="E99" s="178"/>
      <c r="F99" s="178"/>
      <c r="G99" s="178"/>
      <c r="H99" s="179"/>
      <c r="I99" s="15"/>
      <c r="J99" s="15"/>
    </row>
    <row r="100" spans="1:10" hidden="1">
      <c r="A100" s="191" t="s">
        <v>42</v>
      </c>
      <c r="B100" s="179" t="s">
        <v>2184</v>
      </c>
      <c r="C100" s="178"/>
      <c r="D100" s="178">
        <v>0</v>
      </c>
      <c r="E100" s="178"/>
      <c r="F100" s="178"/>
      <c r="G100" s="178"/>
      <c r="H100" s="179"/>
      <c r="I100" s="15"/>
      <c r="J100" s="15"/>
    </row>
    <row r="101" spans="1:10" hidden="1">
      <c r="A101" s="191" t="s">
        <v>42</v>
      </c>
      <c r="B101" s="179" t="s">
        <v>2185</v>
      </c>
      <c r="C101" s="178"/>
      <c r="D101" s="178">
        <v>0</v>
      </c>
      <c r="E101" s="178"/>
      <c r="F101" s="178"/>
      <c r="G101" s="178"/>
      <c r="H101" s="179"/>
      <c r="I101" s="15"/>
      <c r="J101" s="15"/>
    </row>
    <row r="102" spans="1:10" hidden="1">
      <c r="A102" s="191" t="s">
        <v>42</v>
      </c>
      <c r="B102" s="179" t="s">
        <v>2186</v>
      </c>
      <c r="C102" s="178"/>
      <c r="D102" s="178">
        <v>0</v>
      </c>
      <c r="E102" s="178"/>
      <c r="F102" s="178"/>
      <c r="G102" s="178"/>
      <c r="H102" s="179"/>
      <c r="I102" s="15"/>
      <c r="J102" s="15"/>
    </row>
    <row r="103" spans="1:10" hidden="1">
      <c r="A103" s="191" t="s">
        <v>42</v>
      </c>
      <c r="B103" s="179" t="s">
        <v>2187</v>
      </c>
      <c r="C103" s="178"/>
      <c r="D103" s="178">
        <v>0</v>
      </c>
      <c r="E103" s="178"/>
      <c r="F103" s="178"/>
      <c r="G103" s="178"/>
      <c r="H103" s="179" t="s">
        <v>2188</v>
      </c>
      <c r="I103" s="15"/>
      <c r="J103" s="15"/>
    </row>
    <row r="104" spans="1:10" s="15" customFormat="1" hidden="1">
      <c r="A104" s="191" t="s">
        <v>42</v>
      </c>
    </row>
    <row r="105" spans="1:10" ht="20.100000000000001" customHeight="1">
      <c r="B105" s="173" t="s">
        <v>2189</v>
      </c>
      <c r="C105" s="174"/>
      <c r="D105" s="174"/>
      <c r="E105" s="175"/>
    </row>
    <row r="106" spans="1:10" ht="33.6">
      <c r="B106" s="176" t="s">
        <v>1378</v>
      </c>
      <c r="C106" s="416" t="s">
        <v>1566</v>
      </c>
      <c r="D106" s="416" t="s">
        <v>2190</v>
      </c>
      <c r="E106" s="177" t="s">
        <v>497</v>
      </c>
    </row>
    <row r="107" spans="1:10">
      <c r="B107" s="471" t="s">
        <v>2191</v>
      </c>
      <c r="C107" s="472">
        <v>2019</v>
      </c>
      <c r="D107" s="473">
        <v>12.8</v>
      </c>
      <c r="E107" s="709" t="s">
        <v>895</v>
      </c>
    </row>
    <row r="108" spans="1:10">
      <c r="B108" s="475" t="s">
        <v>2192</v>
      </c>
      <c r="C108" s="476">
        <v>2019</v>
      </c>
      <c r="D108" s="477">
        <v>13.6</v>
      </c>
      <c r="E108" s="710"/>
    </row>
    <row r="109" spans="1:10">
      <c r="B109" s="475" t="s">
        <v>2193</v>
      </c>
      <c r="C109" s="476">
        <v>2019</v>
      </c>
      <c r="D109" s="477">
        <v>12.8</v>
      </c>
      <c r="E109" s="710"/>
    </row>
    <row r="110" spans="1:10">
      <c r="B110" s="475" t="s">
        <v>2194</v>
      </c>
      <c r="C110" s="476">
        <v>2019</v>
      </c>
      <c r="D110" s="477">
        <v>13.6</v>
      </c>
      <c r="E110" s="710"/>
    </row>
    <row r="111" spans="1:10">
      <c r="B111" s="475" t="s">
        <v>2195</v>
      </c>
      <c r="C111" s="476">
        <v>2019</v>
      </c>
      <c r="D111" s="477">
        <v>3.9</v>
      </c>
      <c r="E111" s="710"/>
    </row>
    <row r="112" spans="1:10">
      <c r="B112" s="475" t="s">
        <v>2196</v>
      </c>
      <c r="C112" s="476">
        <v>2019</v>
      </c>
      <c r="D112" s="477">
        <v>3.9</v>
      </c>
      <c r="E112" s="710"/>
    </row>
    <row r="113" spans="2:5">
      <c r="B113" s="475" t="s">
        <v>2197</v>
      </c>
      <c r="C113" s="476">
        <v>2019</v>
      </c>
      <c r="D113" s="477">
        <v>8.6999999999999993</v>
      </c>
      <c r="E113" s="710"/>
    </row>
    <row r="114" spans="2:5">
      <c r="B114" s="475" t="s">
        <v>2198</v>
      </c>
      <c r="C114" s="476">
        <v>2019</v>
      </c>
      <c r="D114" s="477">
        <v>7.8</v>
      </c>
      <c r="E114" s="710"/>
    </row>
    <row r="115" spans="2:5">
      <c r="B115" s="475" t="s">
        <v>2199</v>
      </c>
      <c r="C115" s="476">
        <v>2019</v>
      </c>
      <c r="D115" s="477">
        <v>10.4</v>
      </c>
      <c r="E115" s="710"/>
    </row>
    <row r="116" spans="2:5">
      <c r="B116" s="475" t="s">
        <v>2200</v>
      </c>
      <c r="C116" s="476">
        <v>2019</v>
      </c>
      <c r="D116" s="477">
        <v>10.3</v>
      </c>
      <c r="E116" s="710"/>
    </row>
    <row r="117" spans="2:5">
      <c r="B117" s="475" t="s">
        <v>2201</v>
      </c>
      <c r="C117" s="476">
        <v>2019</v>
      </c>
      <c r="D117" s="477">
        <v>4</v>
      </c>
      <c r="E117" s="710"/>
    </row>
    <row r="118" spans="2:5">
      <c r="B118" s="475" t="s">
        <v>2202</v>
      </c>
      <c r="C118" s="476">
        <v>2019</v>
      </c>
      <c r="D118" s="477">
        <v>3.9</v>
      </c>
      <c r="E118" s="710"/>
    </row>
    <row r="119" spans="2:5">
      <c r="B119" s="475" t="s">
        <v>2203</v>
      </c>
      <c r="C119" s="476">
        <v>2019</v>
      </c>
      <c r="D119" s="476" t="s">
        <v>889</v>
      </c>
      <c r="E119" s="710"/>
    </row>
    <row r="120" spans="2:5">
      <c r="B120" s="475" t="s">
        <v>2204</v>
      </c>
      <c r="C120" s="476">
        <v>2019</v>
      </c>
      <c r="D120" s="476" t="s">
        <v>889</v>
      </c>
      <c r="E120" s="710"/>
    </row>
    <row r="121" spans="2:5">
      <c r="B121" s="475" t="s">
        <v>2205</v>
      </c>
      <c r="C121" s="476">
        <v>2019</v>
      </c>
      <c r="D121" s="476" t="s">
        <v>889</v>
      </c>
      <c r="E121" s="710"/>
    </row>
    <row r="122" spans="2:5">
      <c r="B122" s="482" t="s">
        <v>2206</v>
      </c>
      <c r="C122" s="483">
        <v>2019</v>
      </c>
      <c r="D122" s="483" t="s">
        <v>889</v>
      </c>
      <c r="E122" s="711"/>
    </row>
    <row r="123" spans="2:5">
      <c r="B123" s="446" t="s">
        <v>2191</v>
      </c>
      <c r="C123" s="447">
        <v>2020</v>
      </c>
      <c r="D123" s="464">
        <v>13.1</v>
      </c>
      <c r="E123" s="700" t="s">
        <v>959</v>
      </c>
    </row>
    <row r="124" spans="2:5">
      <c r="B124" s="452" t="s">
        <v>2192</v>
      </c>
      <c r="C124" s="453">
        <v>2020</v>
      </c>
      <c r="D124" s="465">
        <v>14</v>
      </c>
      <c r="E124" s="701"/>
    </row>
    <row r="125" spans="2:5">
      <c r="B125" s="452" t="s">
        <v>2193</v>
      </c>
      <c r="C125" s="453">
        <v>2020</v>
      </c>
      <c r="D125" s="465">
        <v>13.1</v>
      </c>
      <c r="E125" s="701"/>
    </row>
    <row r="126" spans="2:5">
      <c r="B126" s="452" t="s">
        <v>2194</v>
      </c>
      <c r="C126" s="453">
        <v>2020</v>
      </c>
      <c r="D126" s="465">
        <v>14</v>
      </c>
      <c r="E126" s="701"/>
    </row>
    <row r="127" spans="2:5">
      <c r="B127" s="452" t="s">
        <v>2195</v>
      </c>
      <c r="C127" s="453">
        <v>2020</v>
      </c>
      <c r="D127" s="465">
        <v>4</v>
      </c>
      <c r="E127" s="701"/>
    </row>
    <row r="128" spans="2:5">
      <c r="B128" s="452" t="s">
        <v>2196</v>
      </c>
      <c r="C128" s="453">
        <v>2020</v>
      </c>
      <c r="D128" s="465">
        <v>4</v>
      </c>
      <c r="E128" s="701"/>
    </row>
    <row r="129" spans="2:5">
      <c r="B129" s="452" t="s">
        <v>2197</v>
      </c>
      <c r="C129" s="453">
        <v>2020</v>
      </c>
      <c r="D129" s="465">
        <v>8.8000000000000007</v>
      </c>
      <c r="E129" s="701"/>
    </row>
    <row r="130" spans="2:5">
      <c r="B130" s="452" t="s">
        <v>2198</v>
      </c>
      <c r="C130" s="453">
        <v>2020</v>
      </c>
      <c r="D130" s="465">
        <v>7.9</v>
      </c>
      <c r="E130" s="701"/>
    </row>
    <row r="131" spans="2:5">
      <c r="B131" s="452" t="s">
        <v>2199</v>
      </c>
      <c r="C131" s="453">
        <v>2020</v>
      </c>
      <c r="D131" s="465">
        <v>10.7</v>
      </c>
      <c r="E131" s="701"/>
    </row>
    <row r="132" spans="2:5">
      <c r="B132" s="452" t="s">
        <v>2200</v>
      </c>
      <c r="C132" s="453">
        <v>2020</v>
      </c>
      <c r="D132" s="465">
        <v>10.6</v>
      </c>
      <c r="E132" s="701"/>
    </row>
    <row r="133" spans="2:5">
      <c r="B133" s="452" t="s">
        <v>2201</v>
      </c>
      <c r="C133" s="453">
        <v>2020</v>
      </c>
      <c r="D133" s="465">
        <v>4.0999999999999996</v>
      </c>
      <c r="E133" s="701"/>
    </row>
    <row r="134" spans="2:5">
      <c r="B134" s="452" t="s">
        <v>2202</v>
      </c>
      <c r="C134" s="453">
        <v>2020</v>
      </c>
      <c r="D134" s="465">
        <v>4</v>
      </c>
      <c r="E134" s="701"/>
    </row>
    <row r="135" spans="2:5">
      <c r="B135" s="452" t="s">
        <v>2203</v>
      </c>
      <c r="C135" s="453">
        <v>2020</v>
      </c>
      <c r="D135" s="453" t="s">
        <v>889</v>
      </c>
      <c r="E135" s="701"/>
    </row>
    <row r="136" spans="2:5">
      <c r="B136" s="452" t="s">
        <v>2204</v>
      </c>
      <c r="C136" s="453">
        <v>2020</v>
      </c>
      <c r="D136" s="453" t="s">
        <v>889</v>
      </c>
      <c r="E136" s="701"/>
    </row>
    <row r="137" spans="2:5">
      <c r="B137" s="452" t="s">
        <v>2205</v>
      </c>
      <c r="C137" s="453">
        <v>2020</v>
      </c>
      <c r="D137" s="453" t="s">
        <v>889</v>
      </c>
      <c r="E137" s="701"/>
    </row>
    <row r="138" spans="2:5">
      <c r="B138" s="458" t="s">
        <v>2206</v>
      </c>
      <c r="C138" s="459">
        <v>2020</v>
      </c>
      <c r="D138" s="459" t="s">
        <v>889</v>
      </c>
      <c r="E138" s="702"/>
    </row>
    <row r="139" spans="2:5" ht="15" customHeight="1">
      <c r="B139" s="446" t="s">
        <v>2191</v>
      </c>
      <c r="C139" s="447">
        <v>2021</v>
      </c>
      <c r="D139" s="464">
        <v>13.1</v>
      </c>
      <c r="E139" s="700" t="s">
        <v>1695</v>
      </c>
    </row>
    <row r="140" spans="2:5">
      <c r="B140" s="452" t="s">
        <v>2192</v>
      </c>
      <c r="C140" s="453">
        <v>2021</v>
      </c>
      <c r="D140" s="465">
        <v>14</v>
      </c>
      <c r="E140" s="701"/>
    </row>
    <row r="141" spans="2:5">
      <c r="B141" s="452" t="s">
        <v>2193</v>
      </c>
      <c r="C141" s="453">
        <v>2021</v>
      </c>
      <c r="D141" s="465">
        <v>13.1</v>
      </c>
      <c r="E141" s="701"/>
    </row>
    <row r="142" spans="2:5">
      <c r="B142" s="452" t="s">
        <v>2194</v>
      </c>
      <c r="C142" s="453">
        <v>2021</v>
      </c>
      <c r="D142" s="465">
        <v>14</v>
      </c>
      <c r="E142" s="701"/>
    </row>
    <row r="143" spans="2:5">
      <c r="B143" s="452" t="s">
        <v>2195</v>
      </c>
      <c r="C143" s="453">
        <v>2021</v>
      </c>
      <c r="D143" s="465">
        <v>4</v>
      </c>
      <c r="E143" s="701"/>
    </row>
    <row r="144" spans="2:5">
      <c r="B144" s="452" t="s">
        <v>2196</v>
      </c>
      <c r="C144" s="453">
        <v>2021</v>
      </c>
      <c r="D144" s="465">
        <v>4</v>
      </c>
      <c r="E144" s="701"/>
    </row>
    <row r="145" spans="2:5">
      <c r="B145" s="452" t="s">
        <v>2197</v>
      </c>
      <c r="C145" s="453">
        <v>2021</v>
      </c>
      <c r="D145" s="465">
        <v>8.8000000000000007</v>
      </c>
      <c r="E145" s="701"/>
    </row>
    <row r="146" spans="2:5">
      <c r="B146" s="452" t="s">
        <v>2198</v>
      </c>
      <c r="C146" s="453">
        <v>2021</v>
      </c>
      <c r="D146" s="465">
        <v>7.9</v>
      </c>
      <c r="E146" s="701"/>
    </row>
    <row r="147" spans="2:5">
      <c r="B147" s="452" t="s">
        <v>2199</v>
      </c>
      <c r="C147" s="453">
        <v>2021</v>
      </c>
      <c r="D147" s="465">
        <v>10.7</v>
      </c>
      <c r="E147" s="701"/>
    </row>
    <row r="148" spans="2:5">
      <c r="B148" s="452" t="s">
        <v>2200</v>
      </c>
      <c r="C148" s="453">
        <v>2021</v>
      </c>
      <c r="D148" s="465">
        <v>10.6</v>
      </c>
      <c r="E148" s="701"/>
    </row>
    <row r="149" spans="2:5">
      <c r="B149" s="452" t="s">
        <v>2201</v>
      </c>
      <c r="C149" s="453">
        <v>2021</v>
      </c>
      <c r="D149" s="465">
        <v>4.0999999999999996</v>
      </c>
      <c r="E149" s="701"/>
    </row>
    <row r="150" spans="2:5">
      <c r="B150" s="452" t="s">
        <v>2202</v>
      </c>
      <c r="C150" s="453">
        <v>2021</v>
      </c>
      <c r="D150" s="465">
        <v>4</v>
      </c>
      <c r="E150" s="701"/>
    </row>
    <row r="151" spans="2:5">
      <c r="B151" s="452" t="s">
        <v>2203</v>
      </c>
      <c r="C151" s="453">
        <v>2021</v>
      </c>
      <c r="D151" s="453" t="s">
        <v>889</v>
      </c>
      <c r="E151" s="701"/>
    </row>
    <row r="152" spans="2:5">
      <c r="B152" s="452" t="s">
        <v>2204</v>
      </c>
      <c r="C152" s="453">
        <v>2021</v>
      </c>
      <c r="D152" s="453" t="s">
        <v>889</v>
      </c>
      <c r="E152" s="701"/>
    </row>
    <row r="153" spans="2:5">
      <c r="B153" s="452" t="s">
        <v>2205</v>
      </c>
      <c r="C153" s="453">
        <v>2021</v>
      </c>
      <c r="D153" s="453" t="s">
        <v>889</v>
      </c>
      <c r="E153" s="701"/>
    </row>
    <row r="154" spans="2:5">
      <c r="B154" s="458" t="s">
        <v>2206</v>
      </c>
      <c r="C154" s="459">
        <v>2021</v>
      </c>
      <c r="D154" s="459" t="s">
        <v>889</v>
      </c>
      <c r="E154" s="702"/>
    </row>
    <row r="155" spans="2:5">
      <c r="B155" s="446" t="s">
        <v>2191</v>
      </c>
      <c r="C155" s="447">
        <v>2022</v>
      </c>
      <c r="D155" s="464">
        <v>13.1</v>
      </c>
      <c r="E155" s="700" t="s">
        <v>2207</v>
      </c>
    </row>
    <row r="156" spans="2:5">
      <c r="B156" s="452" t="s">
        <v>2192</v>
      </c>
      <c r="C156" s="453">
        <v>2022</v>
      </c>
      <c r="D156" s="465">
        <v>14</v>
      </c>
      <c r="E156" s="701"/>
    </row>
    <row r="157" spans="2:5">
      <c r="B157" s="452" t="s">
        <v>2193</v>
      </c>
      <c r="C157" s="453">
        <v>2022</v>
      </c>
      <c r="D157" s="465">
        <v>13.1</v>
      </c>
      <c r="E157" s="701"/>
    </row>
    <row r="158" spans="2:5">
      <c r="B158" s="452" t="s">
        <v>2194</v>
      </c>
      <c r="C158" s="453">
        <v>2022</v>
      </c>
      <c r="D158" s="465">
        <v>14</v>
      </c>
      <c r="E158" s="701"/>
    </row>
    <row r="159" spans="2:5">
      <c r="B159" s="452" t="s">
        <v>2195</v>
      </c>
      <c r="C159" s="453">
        <v>2022</v>
      </c>
      <c r="D159" s="465">
        <v>4</v>
      </c>
      <c r="E159" s="701"/>
    </row>
    <row r="160" spans="2:5">
      <c r="B160" s="452" t="s">
        <v>2196</v>
      </c>
      <c r="C160" s="453">
        <v>2022</v>
      </c>
      <c r="D160" s="465">
        <v>4</v>
      </c>
      <c r="E160" s="701"/>
    </row>
    <row r="161" spans="2:9">
      <c r="B161" s="452" t="s">
        <v>2197</v>
      </c>
      <c r="C161" s="453">
        <v>2022</v>
      </c>
      <c r="D161" s="465">
        <v>8.8000000000000007</v>
      </c>
      <c r="E161" s="701"/>
    </row>
    <row r="162" spans="2:9">
      <c r="B162" s="452" t="s">
        <v>2198</v>
      </c>
      <c r="C162" s="453">
        <v>2022</v>
      </c>
      <c r="D162" s="465">
        <v>7.9</v>
      </c>
      <c r="E162" s="701"/>
    </row>
    <row r="163" spans="2:9">
      <c r="B163" s="452" t="s">
        <v>2199</v>
      </c>
      <c r="C163" s="453">
        <v>2022</v>
      </c>
      <c r="D163" s="465">
        <v>10.7</v>
      </c>
      <c r="E163" s="701"/>
    </row>
    <row r="164" spans="2:9">
      <c r="B164" s="452" t="s">
        <v>2200</v>
      </c>
      <c r="C164" s="453">
        <v>2022</v>
      </c>
      <c r="D164" s="465">
        <v>10.6</v>
      </c>
      <c r="E164" s="701"/>
    </row>
    <row r="165" spans="2:9">
      <c r="B165" s="452" t="s">
        <v>2201</v>
      </c>
      <c r="C165" s="453">
        <v>2022</v>
      </c>
      <c r="D165" s="465">
        <v>4.0999999999999996</v>
      </c>
      <c r="E165" s="701"/>
    </row>
    <row r="166" spans="2:9">
      <c r="B166" s="452" t="s">
        <v>2202</v>
      </c>
      <c r="C166" s="453">
        <v>2022</v>
      </c>
      <c r="D166" s="465">
        <v>4</v>
      </c>
      <c r="E166" s="701"/>
    </row>
    <row r="167" spans="2:9">
      <c r="B167" s="452" t="s">
        <v>2203</v>
      </c>
      <c r="C167" s="453">
        <v>2022</v>
      </c>
      <c r="D167" s="453" t="s">
        <v>889</v>
      </c>
      <c r="E167" s="701"/>
    </row>
    <row r="168" spans="2:9">
      <c r="B168" s="452" t="s">
        <v>2204</v>
      </c>
      <c r="C168" s="453">
        <v>2022</v>
      </c>
      <c r="D168" s="453" t="s">
        <v>889</v>
      </c>
      <c r="E168" s="701"/>
    </row>
    <row r="169" spans="2:9">
      <c r="B169" s="452" t="s">
        <v>2205</v>
      </c>
      <c r="C169" s="453">
        <v>2022</v>
      </c>
      <c r="D169" s="453" t="s">
        <v>889</v>
      </c>
      <c r="E169" s="701"/>
    </row>
    <row r="170" spans="2:9">
      <c r="B170" s="458" t="s">
        <v>2206</v>
      </c>
      <c r="C170" s="459">
        <v>2022</v>
      </c>
      <c r="D170" s="459" t="s">
        <v>889</v>
      </c>
      <c r="E170" s="702"/>
    </row>
    <row r="172" spans="2:9" ht="20.100000000000001" customHeight="1">
      <c r="B172" s="441" t="s">
        <v>1582</v>
      </c>
      <c r="C172" s="442"/>
      <c r="D172" s="442"/>
      <c r="E172" s="442"/>
      <c r="F172" s="442"/>
      <c r="G172" s="442"/>
      <c r="H172" s="443"/>
    </row>
    <row r="173" spans="2:9" ht="20.100000000000001" customHeight="1">
      <c r="B173" s="706" t="s">
        <v>1566</v>
      </c>
      <c r="C173" s="703" t="s">
        <v>1593</v>
      </c>
      <c r="D173" s="703" t="s">
        <v>1603</v>
      </c>
      <c r="E173" s="703"/>
      <c r="F173" s="703" t="s">
        <v>1619</v>
      </c>
      <c r="G173" s="703"/>
      <c r="H173" s="698" t="s">
        <v>497</v>
      </c>
    </row>
    <row r="174" spans="2:9" ht="20.100000000000001" customHeight="1">
      <c r="B174" s="706"/>
      <c r="C174" s="703"/>
      <c r="D174" s="416" t="s">
        <v>81</v>
      </c>
      <c r="E174" s="416" t="s">
        <v>1221</v>
      </c>
      <c r="F174" s="416" t="s">
        <v>81</v>
      </c>
      <c r="G174" s="416" t="s">
        <v>1221</v>
      </c>
      <c r="H174" s="699"/>
      <c r="I174" s="191"/>
    </row>
    <row r="175" spans="2:9">
      <c r="B175" s="179">
        <v>2018</v>
      </c>
      <c r="C175" s="273">
        <v>0.16059999999999999</v>
      </c>
      <c r="D175" s="180">
        <v>0.8</v>
      </c>
      <c r="E175" s="180">
        <v>0.1</v>
      </c>
      <c r="F175" s="180">
        <f t="shared" ref="F175:G182" si="5">D175/(1-$C175)</f>
        <v>0.95306171074577084</v>
      </c>
      <c r="G175" s="180">
        <f t="shared" si="5"/>
        <v>0.11913271384322136</v>
      </c>
      <c r="H175" s="179" t="s">
        <v>1656</v>
      </c>
      <c r="I175" s="191"/>
    </row>
    <row r="176" spans="2:9">
      <c r="B176" s="179">
        <v>2019</v>
      </c>
      <c r="C176" s="273">
        <v>0.18600000000000003</v>
      </c>
      <c r="D176" s="180">
        <v>0.79</v>
      </c>
      <c r="E176" s="180">
        <v>0.09</v>
      </c>
      <c r="F176" s="180">
        <f t="shared" si="5"/>
        <v>0.97051597051597061</v>
      </c>
      <c r="G176" s="180">
        <f t="shared" si="5"/>
        <v>0.11056511056511056</v>
      </c>
      <c r="H176" s="179" t="s">
        <v>1658</v>
      </c>
      <c r="I176" s="191"/>
    </row>
    <row r="177" spans="2:9">
      <c r="B177" s="179">
        <v>2020</v>
      </c>
      <c r="C177" s="273">
        <v>0.19309999999999999</v>
      </c>
      <c r="D177" s="180">
        <v>0.78</v>
      </c>
      <c r="E177" s="180">
        <v>0.09</v>
      </c>
      <c r="F177" s="180">
        <f t="shared" si="5"/>
        <v>0.96666253563018967</v>
      </c>
      <c r="G177" s="180">
        <f t="shared" si="5"/>
        <v>0.11153798488040649</v>
      </c>
      <c r="H177" s="179" t="s">
        <v>1660</v>
      </c>
      <c r="I177" s="191"/>
    </row>
    <row r="178" spans="2:9">
      <c r="B178" s="179">
        <v>2021</v>
      </c>
      <c r="C178" s="291">
        <v>0.18540000000000001</v>
      </c>
      <c r="D178" s="180">
        <v>0.78</v>
      </c>
      <c r="E178" s="180">
        <v>0.09</v>
      </c>
      <c r="F178" s="180">
        <f t="shared" si="5"/>
        <v>0.9575251657255095</v>
      </c>
      <c r="G178" s="180">
        <f t="shared" si="5"/>
        <v>0.11048367296832801</v>
      </c>
      <c r="H178" s="179" t="s">
        <v>1680</v>
      </c>
      <c r="I178" s="191"/>
    </row>
    <row r="179" spans="2:9">
      <c r="B179" s="179">
        <v>2022</v>
      </c>
      <c r="C179" s="291">
        <v>0.18540000000000001</v>
      </c>
      <c r="D179" s="180">
        <v>0.73</v>
      </c>
      <c r="E179" s="180">
        <v>0.08</v>
      </c>
      <c r="F179" s="180">
        <f t="shared" si="5"/>
        <v>0.8961453474097717</v>
      </c>
      <c r="G179" s="180">
        <f t="shared" si="5"/>
        <v>9.8207709305180454E-2</v>
      </c>
      <c r="H179" s="179" t="s">
        <v>1662</v>
      </c>
    </row>
    <row r="180" spans="2:9">
      <c r="B180" s="179">
        <v>2023</v>
      </c>
      <c r="C180" s="291">
        <v>0.18540000000000001</v>
      </c>
      <c r="D180" s="180">
        <v>0.78</v>
      </c>
      <c r="E180" s="180">
        <v>0.09</v>
      </c>
      <c r="F180" s="180">
        <f t="shared" si="5"/>
        <v>0.9575251657255095</v>
      </c>
      <c r="G180" s="180">
        <f t="shared" si="5"/>
        <v>0.11048367296832801</v>
      </c>
      <c r="H180" s="179" t="s">
        <v>1662</v>
      </c>
    </row>
    <row r="181" spans="2:9">
      <c r="B181" s="179">
        <v>2024</v>
      </c>
      <c r="C181" s="291">
        <v>0.18540000000000001</v>
      </c>
      <c r="D181" s="180">
        <v>0.78</v>
      </c>
      <c r="E181" s="180">
        <v>0.09</v>
      </c>
      <c r="F181" s="180">
        <f t="shared" si="5"/>
        <v>0.9575251657255095</v>
      </c>
      <c r="G181" s="180">
        <f t="shared" si="5"/>
        <v>0.11048367296832801</v>
      </c>
      <c r="H181" s="179" t="s">
        <v>1662</v>
      </c>
    </row>
    <row r="182" spans="2:9">
      <c r="B182" s="179">
        <v>2025</v>
      </c>
      <c r="C182" s="291">
        <v>0.18540000000000001</v>
      </c>
      <c r="D182" s="180">
        <v>0.78</v>
      </c>
      <c r="E182" s="180">
        <v>0.09</v>
      </c>
      <c r="F182" s="180">
        <f t="shared" si="5"/>
        <v>0.9575251657255095</v>
      </c>
      <c r="G182" s="180">
        <f t="shared" si="5"/>
        <v>0.11048367296832801</v>
      </c>
      <c r="H182" s="179" t="s">
        <v>1662</v>
      </c>
    </row>
  </sheetData>
  <sheetProtection algorithmName="SHA-512" hashValue="8tCnjeYIHAMxdKjm9t3xPKNGm6ece2oIwKEi8pQMLzKt+4IqGMgUPwkRwAZcddkUmvVw1rtRDOgGaGV94D9WIQ==" saltValue="ynnVBJELa5enYE7n6LRsJw==" spinCount="100000" sheet="1" objects="1" scenarios="1"/>
  <customSheetViews>
    <customSheetView guid="{555478C2-F620-47D7-88F9-4C1EE7AEE227}" scale="70" showGridLines="0" fitToPage="1" topLeftCell="A13">
      <selection activeCell="M46" sqref="M46"/>
      <pageMargins left="0" right="0" top="0" bottom="0" header="0" footer="0"/>
      <pageSetup paperSize="9" scale="30" orientation="portrait" r:id="rId1"/>
    </customSheetView>
    <customSheetView guid="{5E2E109E-4BFE-44CE-A2A0-BB9B6CC0D139}" scale="70" showGridLines="0" fitToPage="1" topLeftCell="A13">
      <selection activeCell="I18" sqref="I18"/>
      <pageMargins left="0" right="0" top="0" bottom="0" header="0" footer="0"/>
      <pageSetup paperSize="9" scale="30" orientation="portrait" r:id="rId2"/>
    </customSheetView>
    <customSheetView guid="{3BAF3D14-B16A-4103-B9D6-D1D9B6381E90}" scale="70" showGridLines="0" showRowCol="0" fitToPage="1" hiddenRows="1">
      <selection activeCell="G28" sqref="G28"/>
      <pageMargins left="0" right="0" top="0" bottom="0" header="0" footer="0"/>
      <pageSetup paperSize="9" scale="30" orientation="portrait" r:id="rId3"/>
    </customSheetView>
    <customSheetView guid="{C362DBBD-8226-4073-BE04-D615B3B4BF31}" scale="85" showGridLines="0" fitToPage="1" topLeftCell="A19">
      <selection activeCell="H12" sqref="H12"/>
      <pageMargins left="0" right="0" top="0" bottom="0" header="0" footer="0"/>
      <pageSetup paperSize="9" scale="30" orientation="portrait" r:id="rId4"/>
    </customSheetView>
    <customSheetView guid="{9E23992E-45A8-4DF8-9DFB-C5F9BB498A06}" scale="80" showGridLines="0" fitToPage="1" hiddenRows="1" topLeftCell="A40">
      <selection activeCell="C28" sqref="C28"/>
      <pageMargins left="0" right="0" top="0" bottom="0" header="0" footer="0"/>
      <pageSetup paperSize="9" scale="30" orientation="portrait" r:id="rId5"/>
    </customSheetView>
  </customSheetViews>
  <mergeCells count="22">
    <mergeCell ref="B3:B4"/>
    <mergeCell ref="D31:F31"/>
    <mergeCell ref="D3:F3"/>
    <mergeCell ref="J3:J4"/>
    <mergeCell ref="I3:I4"/>
    <mergeCell ref="H3:H4"/>
    <mergeCell ref="G3:G4"/>
    <mergeCell ref="C3:C4"/>
    <mergeCell ref="B173:B174"/>
    <mergeCell ref="C173:C174"/>
    <mergeCell ref="B31:B32"/>
    <mergeCell ref="C31:C32"/>
    <mergeCell ref="G31:G32"/>
    <mergeCell ref="E107:E122"/>
    <mergeCell ref="L23:Z28"/>
    <mergeCell ref="H173:H174"/>
    <mergeCell ref="E139:E154"/>
    <mergeCell ref="E123:E138"/>
    <mergeCell ref="E155:E170"/>
    <mergeCell ref="D173:E173"/>
    <mergeCell ref="F173:G173"/>
    <mergeCell ref="H31:H32"/>
  </mergeCells>
  <phoneticPr fontId="136" type="noConversion"/>
  <pageMargins left="0.70866141732283472" right="0.70866141732283472" top="0.74803149606299213" bottom="0.74803149606299213" header="0.31496062992125984" footer="0.31496062992125984"/>
  <pageSetup paperSize="9" scale="30" orientation="portrait" r:id="rId6"/>
  <ignoredErrors>
    <ignoredError sqref="G5:G10 G11:G22 G33:G38" formulaRange="1"/>
  </ignoredErrors>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2985c86-f8c2-4ffb-9ed4-056f10e7bf99" xsi:nil="true"/>
    <lcf76f155ced4ddcb4097134ff3c332f xmlns="e5dafe5f-4921-4e90-b291-d7c9f1978744">
      <Terms xmlns="http://schemas.microsoft.com/office/infopath/2007/PartnerControls"/>
    </lcf76f155ced4ddcb4097134ff3c332f>
    <SharedWithUsers xmlns="52985c86-f8c2-4ffb-9ed4-056f10e7bf99">
      <UserInfo>
        <DisplayName>Bobby Shen</DisplayName>
        <AccountId>338</AccountId>
        <AccountType/>
      </UserInfo>
      <UserInfo>
        <DisplayName>Alex Goryachev</DisplayName>
        <AccountId>436</AccountId>
        <AccountType/>
      </UserInfo>
      <UserInfo>
        <DisplayName>Connor Amor-Bendall</DisplayName>
        <AccountId>1392</AccountId>
        <AccountType/>
      </UserInfo>
      <UserInfo>
        <DisplayName>Tom Furley</DisplayName>
        <AccountId>169</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60932C26CB86C4FA791782EC11F994E" ma:contentTypeVersion="18" ma:contentTypeDescription="Create a new document." ma:contentTypeScope="" ma:versionID="33abb06324423268274ce3caed605660">
  <xsd:schema xmlns:xsd="http://www.w3.org/2001/XMLSchema" xmlns:xs="http://www.w3.org/2001/XMLSchema" xmlns:p="http://schemas.microsoft.com/office/2006/metadata/properties" xmlns:ns2="e5dafe5f-4921-4e90-b291-d7c9f1978744" xmlns:ns3="52985c86-f8c2-4ffb-9ed4-056f10e7bf99" targetNamespace="http://schemas.microsoft.com/office/2006/metadata/properties" ma:root="true" ma:fieldsID="f4e50b120650974b067b3eec9067944c" ns2:_="" ns3:_="">
    <xsd:import namespace="e5dafe5f-4921-4e90-b291-d7c9f1978744"/>
    <xsd:import namespace="52985c86-f8c2-4ffb-9ed4-056f10e7bf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afe5f-4921-4e90-b291-d7c9f19787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f39ea20-3bab-4327-8f6b-3db4142d071e"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2985c86-f8c2-4ffb-9ed4-056f10e7bf9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cf71b23a-5fce-4da9-9150-57ae8890a66e}" ma:internalName="TaxCatchAll" ma:showField="CatchAllData" ma:web="52985c86-f8c2-4ffb-9ed4-056f10e7bf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EEA68C-CDD8-41E4-96EE-D9070906683D}">
  <ds:schemaRefs>
    <ds:schemaRef ds:uri="http://schemas.microsoft.com/office/2006/metadata/properties"/>
    <ds:schemaRef ds:uri="http://schemas.microsoft.com/office/infopath/2007/PartnerControls"/>
    <ds:schemaRef ds:uri="52985c86-f8c2-4ffb-9ed4-056f10e7bf99"/>
    <ds:schemaRef ds:uri="e5dafe5f-4921-4e90-b291-d7c9f1978744"/>
  </ds:schemaRefs>
</ds:datastoreItem>
</file>

<file path=customXml/itemProps2.xml><?xml version="1.0" encoding="utf-8"?>
<ds:datastoreItem xmlns:ds="http://schemas.openxmlformats.org/officeDocument/2006/customXml" ds:itemID="{F89BBB59-DBC2-4624-803F-73B61998B4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dafe5f-4921-4e90-b291-d7c9f1978744"/>
    <ds:schemaRef ds:uri="52985c86-f8c2-4ffb-9ed4-056f10e7bf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5D31C17-EE06-4DE2-A9B9-E9CC185DBE2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Disclaimer</vt:lpstr>
      <vt:lpstr>Change Log</vt:lpstr>
      <vt:lpstr>Instructions</vt:lpstr>
      <vt:lpstr>15B Building Details</vt:lpstr>
      <vt:lpstr>15B Calculation</vt:lpstr>
      <vt:lpstr>15B Baseline Tables</vt:lpstr>
      <vt:lpstr>Location Based Approach</vt:lpstr>
      <vt:lpstr>Market Based Approach</vt:lpstr>
      <vt:lpstr>NGER Emission Factors</vt:lpstr>
      <vt:lpstr>Carbon Neutral Summary</vt:lpstr>
      <vt:lpstr>AGO Emission Factors</vt:lpstr>
      <vt:lpstr>CDD &amp; HDD table</vt:lpstr>
      <vt:lpstr>Points Table</vt:lpstr>
      <vt:lpstr>ANZSIC</vt:lpstr>
      <vt:lpstr>BldUse</vt:lpstr>
      <vt:lpstr>FunctionalUses</vt:lpstr>
      <vt:lpstr>Metro</vt:lpstr>
      <vt:lpstr>'15B Calculation'!Print_Area</vt:lpstr>
      <vt:lpstr>RatingType</vt:lpstr>
      <vt:lpstr>STATES</vt:lpstr>
      <vt:lpstr>truefalse</vt:lpstr>
      <vt:lpstr>yesno</vt:lpstr>
      <vt:lpstr>YN</vt:lpstr>
    </vt:vector>
  </TitlesOfParts>
  <Manager/>
  <Company>Energetics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DarraghS</dc:creator>
  <cp:keywords/>
  <dc:description/>
  <cp:lastModifiedBy>Alex Goryachev</cp:lastModifiedBy>
  <cp:revision/>
  <dcterms:created xsi:type="dcterms:W3CDTF">2010-07-14T08:44:28Z</dcterms:created>
  <dcterms:modified xsi:type="dcterms:W3CDTF">2025-05-20T21:02:52Z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0x010100760932C26CB86C4FA791782EC11F994E</vt:lpwstr>
  </property>
  <property fmtid="{D5CDD505-2E9C-101B-9397-08002B2CF9AE}" pid="3" name="Order">
    <vt:r8>12800</vt:r8>
  </property>
  <property fmtid="{D5CDD505-2E9C-101B-9397-08002B2CF9AE}" pid="4" name="MediaServiceImageTags">
    <vt:lpwstr/>
  </property>
</Properties>
</file>