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https://nzgbc.sharepoint.com/sites/GreenStarTeamSite/Performance/Shared Documents/02_Performance_Tech/01 Tools &amp; Calculators/Calculators/"/>
    </mc:Choice>
  </mc:AlternateContent>
  <xr:revisionPtr revIDLastSave="311" documentId="8_{7A9C9359-21EC-42F2-9B56-06148813EFD7}" xr6:coauthVersionLast="47" xr6:coauthVersionMax="47" xr10:uidLastSave="{D5C20D8E-65DE-466B-97D5-261602DA8245}"/>
  <workbookProtection workbookAlgorithmName="SHA-512" workbookHashValue="EudX9zH9gnxoUoB4UuzVdtHf0WObWFjPysGFeczY0toGu3hjw5Q2NLRldVFwqSs40gAOQQLN5Z3g0vcypH/hYQ==" workbookSaltValue="GFBcNqdRAMsQm5OrpcmFkA==" workbookSpinCount="100000" lockStructure="1"/>
  <bookViews>
    <workbookView xWindow="28680" yWindow="-120" windowWidth="29040" windowHeight="15720" tabRatio="842" firstSheet="1" activeTab="3" xr2:uid="{00000000-000D-0000-FFFF-FFFF00000000}"/>
  </bookViews>
  <sheets>
    <sheet name="Disclaimer" sheetId="1" r:id="rId1"/>
    <sheet name="Instructions" sheetId="2" r:id="rId2"/>
    <sheet name="Change Log" sheetId="3" r:id="rId3"/>
    <sheet name="15C Building Details" sheetId="4" r:id="rId4"/>
    <sheet name="15C Baseline Bldg 1" sheetId="5" r:id="rId5"/>
    <sheet name="15C Baseline Bldg 2" sheetId="6" r:id="rId6"/>
    <sheet name="15C Baseline Bldg 3" sheetId="7" r:id="rId7"/>
    <sheet name="15C Calculation" sheetId="8" r:id="rId8"/>
    <sheet name="Carbon Neutral Summary" sheetId="9" state="hidden" r:id="rId9"/>
    <sheet name="NGER Emission Factors" sheetId="10" state="hidden" r:id="rId10"/>
    <sheet name="NGER Emission Factors old" sheetId="11" state="hidden" r:id="rId11"/>
    <sheet name="AGO Emission Factors" sheetId="12" state="hidden" r:id="rId12"/>
    <sheet name="CDD &amp; HDD table" sheetId="13" state="hidden" r:id="rId13"/>
    <sheet name="Points Table" sheetId="14" state="hidden" r:id="rId14"/>
  </sheets>
  <definedNames>
    <definedName name="ANZSIC">'AGO Emission Factors'!$A$157:$A$175</definedName>
    <definedName name="BldUse">'AGO Emission Factors'!$A$111:$A$154</definedName>
    <definedName name="FunctionalUses">#REF!</definedName>
    <definedName name="Metro">'AGO Emission Factors'!$C$7:$C$8</definedName>
    <definedName name="RatingType">'AGO Emission Factors'!$E$7:$E$8</definedName>
    <definedName name="STATES">'AGO Emission Factors'!$A$34:$A$42</definedName>
    <definedName name="truefalse">'AGO Emission Factors'!$A$178:$A$180</definedName>
    <definedName name="yesno">'AGO Emission Factors'!$A$183:$A$185</definedName>
    <definedName name="YN">'AGO Emission Factors'!$A$7:$A$8</definedName>
    <definedName name="Z_3BAF3D14_B16A_4103_B9D6_D1D9B6381E90_.wvu.Cols" localSheetId="8" hidden="1">'Carbon Neutral Summary'!$L:$XFD</definedName>
    <definedName name="Z_3BAF3D14_B16A_4103_B9D6_D1D9B6381E90_.wvu.Rows" localSheetId="9" hidden="1">'NGER Emission Factors'!$81:$81</definedName>
    <definedName name="Z_6E4579C3_98CA_4325_AF39_19A629870080_.wvu.Cols" localSheetId="4" hidden="1">'15C Baseline Bldg 1'!$P:$XFD</definedName>
    <definedName name="Z_6E4579C3_98CA_4325_AF39_19A629870080_.wvu.Cols" localSheetId="5" hidden="1">'15C Baseline Bldg 2'!$L:$XFD</definedName>
    <definedName name="Z_6E4579C3_98CA_4325_AF39_19A629870080_.wvu.Cols" localSheetId="6" hidden="1">'15C Baseline Bldg 3'!#REF!</definedName>
    <definedName name="Z_6E4579C3_98CA_4325_AF39_19A629870080_.wvu.Cols" localSheetId="3" hidden="1">'15C Building Details'!$K:$XFD</definedName>
    <definedName name="Z_6E4579C3_98CA_4325_AF39_19A629870080_.wvu.Cols" localSheetId="7" hidden="1">'15C Calculation'!$N:$W</definedName>
    <definedName name="Z_6E4579C3_98CA_4325_AF39_19A629870080_.wvu.Cols" localSheetId="8" hidden="1">'Carbon Neutral Summary'!$L:$XFD</definedName>
    <definedName name="Z_6E4579C3_98CA_4325_AF39_19A629870080_.wvu.Cols" localSheetId="13" hidden="1">'Points Table'!$J:$XFD</definedName>
    <definedName name="Z_6E4579C3_98CA_4325_AF39_19A629870080_.wvu.Rows" localSheetId="9" hidden="1">'NGER Emission Factors'!#REF!</definedName>
    <definedName name="Z_6E4579C3_98CA_4325_AF39_19A629870080_.wvu.Rows" localSheetId="13" hidden="1">'Points Table'!$63:$1048576</definedName>
    <definedName name="Z_BA12A2B5_8B2E_47CE_85C5_00A71CD7042B_.wvu.Cols" localSheetId="4" hidden="1">'15C Baseline Bldg 1'!$P:$XFD</definedName>
    <definedName name="Z_BA12A2B5_8B2E_47CE_85C5_00A71CD7042B_.wvu.Cols" localSheetId="5" hidden="1">'15C Baseline Bldg 2'!$L:$XFD</definedName>
    <definedName name="Z_BA12A2B5_8B2E_47CE_85C5_00A71CD7042B_.wvu.Cols" localSheetId="6" hidden="1">'15C Baseline Bldg 3'!#REF!</definedName>
    <definedName name="Z_BA12A2B5_8B2E_47CE_85C5_00A71CD7042B_.wvu.Cols" localSheetId="3" hidden="1">'15C Building Details'!$K:$XFD</definedName>
    <definedName name="Z_BA12A2B5_8B2E_47CE_85C5_00A71CD7042B_.wvu.Cols" localSheetId="8" hidden="1">'Carbon Neutral Summary'!$L:$XFD</definedName>
    <definedName name="Z_BA12A2B5_8B2E_47CE_85C5_00A71CD7042B_.wvu.Cols" localSheetId="13" hidden="1">'Points Table'!$J:$XFD</definedName>
    <definedName name="Z_BA12A2B5_8B2E_47CE_85C5_00A71CD7042B_.wvu.Rows" localSheetId="9" hidden="1">'NGER Emission Factors'!#REF!</definedName>
    <definedName name="Z_BA12A2B5_8B2E_47CE_85C5_00A71CD7042B_.wvu.Rows" localSheetId="13" hidden="1">'Points Table'!$63:$1048576</definedName>
    <definedName name="Z_BC75B7F8_7A05_4F92_B953_0DB7EDA000F8_.wvu.Cols" localSheetId="4" hidden="1">'15C Baseline Bldg 1'!$P:$XFD</definedName>
    <definedName name="Z_BC75B7F8_7A05_4F92_B953_0DB7EDA000F8_.wvu.Cols" localSheetId="5" hidden="1">'15C Baseline Bldg 2'!$L:$XFD</definedName>
    <definedName name="Z_BC75B7F8_7A05_4F92_B953_0DB7EDA000F8_.wvu.Cols" localSheetId="6" hidden="1">'15C Baseline Bldg 3'!#REF!</definedName>
    <definedName name="Z_BC75B7F8_7A05_4F92_B953_0DB7EDA000F8_.wvu.Cols" localSheetId="8" hidden="1">'Carbon Neutral Summary'!$L:$XFD</definedName>
    <definedName name="Z_BC75B7F8_7A05_4F92_B953_0DB7EDA000F8_.wvu.Cols" localSheetId="13" hidden="1">'Points Table'!$J:$XFD</definedName>
    <definedName name="Z_BC75B7F8_7A05_4F92_B953_0DB7EDA000F8_.wvu.Rows" localSheetId="7" hidden="1">'15C Calculation'!$297:$342,'15C Calculation'!$344:$363,'15C Calculation'!$365:$370</definedName>
    <definedName name="Z_BC75B7F8_7A05_4F92_B953_0DB7EDA000F8_.wvu.Rows" localSheetId="8" hidden="1">'Carbon Neutral Summary'!$70:$70</definedName>
    <definedName name="Z_BC75B7F8_7A05_4F92_B953_0DB7EDA000F8_.wvu.Rows" localSheetId="9" hidden="1">'NGER Emission Factors'!$30:$81</definedName>
    <definedName name="Z_BC75B7F8_7A05_4F92_B953_0DB7EDA000F8_.wvu.Rows" localSheetId="13" hidden="1">'Points Table'!$63:$1048576</definedName>
    <definedName name="Z_BF159B5C_C230_4B3A_8DDE_333808894C93_.wvu.Cols" localSheetId="4" hidden="1">'15C Baseline Bldg 1'!$P:$XFD</definedName>
    <definedName name="Z_BF159B5C_C230_4B3A_8DDE_333808894C93_.wvu.Cols" localSheetId="5" hidden="1">'15C Baseline Bldg 2'!$L:$XFD</definedName>
    <definedName name="Z_BF159B5C_C230_4B3A_8DDE_333808894C93_.wvu.Cols" localSheetId="6" hidden="1">'15C Baseline Bldg 3'!#REF!</definedName>
    <definedName name="Z_BF159B5C_C230_4B3A_8DDE_333808894C93_.wvu.Cols" localSheetId="8" hidden="1">'Carbon Neutral Summary'!$L:$XFD</definedName>
    <definedName name="Z_BF159B5C_C230_4B3A_8DDE_333808894C93_.wvu.Rows" localSheetId="7" hidden="1">'15C Calculation'!$344:$363,'15C Calculation'!$365:$370</definedName>
    <definedName name="Z_BF159B5C_C230_4B3A_8DDE_333808894C93_.wvu.Rows" localSheetId="8" hidden="1">'Carbon Neutral Summary'!$70:$70</definedName>
    <definedName name="Z_BF159B5C_C230_4B3A_8DDE_333808894C93_.wvu.Rows" localSheetId="2" hidden="1">'Change Log'!$29:$471</definedName>
    <definedName name="Z_BF159B5C_C230_4B3A_8DDE_333808894C93_.wvu.Rows" localSheetId="9" hidden="1">'NGER Emission Factors'!$30:$81</definedName>
    <definedName name="Z_C362DBBD_8226_4073_BE04_D615B3B4BF31_.wvu.Cols" localSheetId="8" hidden="1">'Carbon Neutral Summary'!$L:$XFD</definedName>
  </definedNames>
  <calcPr calcId="191028"/>
  <customWorkbookViews>
    <customWorkbookView name="Ulises Cervantes - Personal View" guid="{BA12A2B5-8B2E-47CE-85C5-00A71CD7042B}" mergeInterval="0" personalView="1" maximized="1" xWindow="-8" yWindow="-8" windowWidth="1936" windowHeight="1176" tabRatio="771" activeSheetId="8"/>
    <customWorkbookView name="Simon Ng - Personal View" guid="{6E4579C3-98CA-4325-AF39-19A629870080}" mergeInterval="0" personalView="1" maximized="1" xWindow="1912" yWindow="-8" windowWidth="1936" windowHeight="1176" tabRatio="760" activeSheetId="3"/>
    <customWorkbookView name="Deejan Ferrao - Personal View" guid="{BC75B7F8-7A05-4F92-B953-0DB7EDA000F8}" mergeInterval="0" personalView="1" maximized="1" xWindow="1912" yWindow="-8" windowWidth="1936" windowHeight="1056" tabRatio="760" activeSheetId="4" showComments="commIndAndComment"/>
    <customWorkbookView name="Edwin Chu - Personal View" guid="{BF159B5C-C230-4B3A-8DDE-333808894C93}" mergeInterval="0" personalView="1" maximized="1" xWindow="-8" yWindow="-8" windowWidth="1936" windowHeight="1056" tabRatio="760" activeSheetId="3"/>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24" i="10" l="1"/>
  <c r="D80" i="10"/>
  <c r="D78" i="10"/>
  <c r="D76" i="10"/>
  <c r="D75" i="10"/>
  <c r="D74" i="10"/>
  <c r="G74" i="10" s="1"/>
  <c r="F73" i="10"/>
  <c r="E73" i="10"/>
  <c r="D73" i="10"/>
  <c r="F72" i="10"/>
  <c r="E72" i="10"/>
  <c r="D72" i="10"/>
  <c r="G72" i="10" s="1"/>
  <c r="G71" i="10"/>
  <c r="F70" i="10"/>
  <c r="E70" i="10"/>
  <c r="D70" i="10"/>
  <c r="F69" i="10"/>
  <c r="E69" i="10"/>
  <c r="D69" i="10"/>
  <c r="E126" i="10"/>
  <c r="E125" i="10"/>
  <c r="G80" i="10"/>
  <c r="F79" i="10"/>
  <c r="E79" i="10"/>
  <c r="D79" i="10"/>
  <c r="F78" i="10"/>
  <c r="E78" i="10"/>
  <c r="G77" i="10"/>
  <c r="F76" i="10"/>
  <c r="E76" i="10"/>
  <c r="F75" i="10"/>
  <c r="E75" i="10"/>
  <c r="D68" i="10"/>
  <c r="G68" i="10" s="1"/>
  <c r="F67" i="10"/>
  <c r="E67" i="10"/>
  <c r="D67" i="10"/>
  <c r="F66" i="10"/>
  <c r="E66" i="10"/>
  <c r="D66" i="10"/>
  <c r="G65" i="10"/>
  <c r="F64" i="10"/>
  <c r="E64" i="10"/>
  <c r="D64" i="10"/>
  <c r="F63" i="10"/>
  <c r="E63" i="10"/>
  <c r="D63" i="10"/>
  <c r="G69" i="10" l="1"/>
  <c r="G70" i="10"/>
  <c r="G73" i="10"/>
  <c r="G76" i="10"/>
  <c r="G64" i="10"/>
  <c r="G78" i="10"/>
  <c r="G67" i="10"/>
  <c r="G75" i="10"/>
  <c r="G79" i="10"/>
  <c r="G63" i="10"/>
  <c r="G66" i="10"/>
  <c r="H9" i="4"/>
  <c r="H10" i="4" s="1"/>
  <c r="C80" i="4" s="1" a="1"/>
  <c r="C80" i="4" s="1"/>
  <c r="G57" i="10"/>
  <c r="G58" i="10"/>
  <c r="G59" i="10"/>
  <c r="G60" i="10"/>
  <c r="G61" i="10"/>
  <c r="G62" i="10"/>
  <c r="G51" i="10"/>
  <c r="G52" i="10"/>
  <c r="G53" i="10"/>
  <c r="G54" i="10"/>
  <c r="G55" i="10"/>
  <c r="G56" i="10"/>
  <c r="G45" i="10"/>
  <c r="G46" i="10"/>
  <c r="G47" i="10"/>
  <c r="G48" i="10"/>
  <c r="G49" i="10"/>
  <c r="G50" i="10"/>
  <c r="G39" i="10"/>
  <c r="G40" i="10"/>
  <c r="G41" i="10"/>
  <c r="G42" i="10"/>
  <c r="G43" i="10"/>
  <c r="G44" i="10"/>
  <c r="C126" i="4" l="1" a="1"/>
  <c r="C126" i="4" s="1"/>
  <c r="C195" i="4" a="1"/>
  <c r="C195" i="4" s="1"/>
  <c r="C149" i="4" a="1"/>
  <c r="C149" i="4" s="1"/>
  <c r="C172" i="4" a="1"/>
  <c r="C172" i="4" s="1"/>
  <c r="E115" i="10"/>
  <c r="C157" i="6"/>
  <c r="C157" i="7"/>
  <c r="C157" i="5"/>
  <c r="C158" i="6"/>
  <c r="C158" i="7"/>
  <c r="C158" i="8"/>
  <c r="C158" i="5"/>
  <c r="G127" i="10"/>
  <c r="G123" i="10"/>
  <c r="G121" i="10"/>
  <c r="G120" i="10"/>
  <c r="G119" i="10"/>
  <c r="G118" i="10"/>
  <c r="G117" i="10"/>
  <c r="G116" i="10"/>
  <c r="G114" i="10"/>
  <c r="G113" i="10"/>
  <c r="G110" i="10"/>
  <c r="G109" i="10"/>
  <c r="G108" i="10"/>
  <c r="G107" i="10"/>
  <c r="G106" i="10"/>
  <c r="G105" i="10"/>
  <c r="G104" i="10"/>
  <c r="G103" i="10"/>
  <c r="G100" i="10"/>
  <c r="G99" i="10"/>
  <c r="G98" i="10"/>
  <c r="G97" i="10"/>
  <c r="G96" i="10"/>
  <c r="G95" i="10"/>
  <c r="G94" i="10"/>
  <c r="G93" i="10"/>
  <c r="G90" i="10"/>
  <c r="G89" i="10"/>
  <c r="G88" i="10"/>
  <c r="G87" i="10"/>
  <c r="G86" i="10"/>
  <c r="G85" i="10"/>
  <c r="E127" i="10"/>
  <c r="E123" i="10"/>
  <c r="E122" i="10"/>
  <c r="E121" i="10"/>
  <c r="E120" i="10"/>
  <c r="E119" i="10"/>
  <c r="E118" i="10"/>
  <c r="E117" i="10"/>
  <c r="E116" i="10"/>
  <c r="E114" i="10"/>
  <c r="E113" i="10"/>
  <c r="E112" i="10"/>
  <c r="E111" i="10"/>
  <c r="E110" i="10"/>
  <c r="E109" i="10"/>
  <c r="E108" i="10"/>
  <c r="E107" i="10"/>
  <c r="E106" i="10"/>
  <c r="E105" i="10"/>
  <c r="E104" i="10"/>
  <c r="E103" i="10"/>
  <c r="E102" i="10"/>
  <c r="E101" i="10"/>
  <c r="E100" i="10"/>
  <c r="E99" i="10"/>
  <c r="E98" i="10"/>
  <c r="E97" i="10"/>
  <c r="E96" i="10"/>
  <c r="E95" i="10"/>
  <c r="E94" i="10"/>
  <c r="E93" i="10"/>
  <c r="E92" i="10"/>
  <c r="E91" i="10"/>
  <c r="E90" i="10"/>
  <c r="E89" i="10"/>
  <c r="E88" i="10"/>
  <c r="E87" i="10"/>
  <c r="E86" i="10"/>
  <c r="D27" i="4"/>
  <c r="D32" i="4"/>
  <c r="E85" i="10" l="1"/>
  <c r="E84" i="10" l="1"/>
  <c r="G38" i="10"/>
  <c r="G37" i="10"/>
  <c r="G36" i="10"/>
  <c r="G35" i="10"/>
  <c r="G34" i="10"/>
  <c r="G33" i="10"/>
  <c r="C10" i="8" l="1"/>
  <c r="C13" i="8"/>
  <c r="C12" i="8"/>
  <c r="G126" i="5"/>
  <c r="G121" i="5"/>
  <c r="G122" i="5"/>
  <c r="G123" i="5"/>
  <c r="G124" i="5"/>
  <c r="G125" i="5"/>
  <c r="G127" i="5"/>
  <c r="G128" i="5"/>
  <c r="G129" i="5"/>
  <c r="G130" i="5"/>
  <c r="G131" i="5"/>
  <c r="G132" i="5"/>
  <c r="G133" i="5"/>
  <c r="G134" i="5"/>
  <c r="G135" i="5"/>
  <c r="G136" i="5"/>
  <c r="G137" i="5"/>
  <c r="G138" i="5"/>
  <c r="G139" i="5"/>
  <c r="G140" i="5"/>
  <c r="G141" i="5"/>
  <c r="G142" i="5"/>
  <c r="G143" i="5"/>
  <c r="G144" i="5"/>
  <c r="G145" i="5"/>
  <c r="G146" i="5"/>
  <c r="G14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87" i="4"/>
  <c r="G88" i="4"/>
  <c r="G89" i="4"/>
  <c r="G90" i="4"/>
  <c r="G91" i="4"/>
  <c r="G92" i="4"/>
  <c r="G93" i="4"/>
  <c r="G94" i="4"/>
  <c r="G95" i="4"/>
  <c r="G96" i="4"/>
  <c r="G97" i="4"/>
  <c r="D338" i="8"/>
  <c r="R285" i="8" l="1"/>
  <c r="C33" i="9" l="1"/>
  <c r="B33" i="9"/>
  <c r="D272" i="8" l="1"/>
  <c r="E272" i="8"/>
  <c r="F272" i="8"/>
  <c r="G272" i="8"/>
  <c r="H272" i="8"/>
  <c r="I272" i="8"/>
  <c r="J272" i="8"/>
  <c r="K272" i="8"/>
  <c r="L272" i="8"/>
  <c r="D271" i="8"/>
  <c r="E271" i="8"/>
  <c r="F271" i="8"/>
  <c r="G271" i="8"/>
  <c r="H271" i="8"/>
  <c r="I271" i="8"/>
  <c r="J271" i="8"/>
  <c r="K271" i="8"/>
  <c r="L271" i="8"/>
  <c r="D270" i="8"/>
  <c r="E270" i="8"/>
  <c r="F270" i="8"/>
  <c r="G270" i="8"/>
  <c r="H270" i="8"/>
  <c r="I270" i="8"/>
  <c r="J270" i="8"/>
  <c r="K270" i="8"/>
  <c r="L270" i="8"/>
  <c r="D269" i="8"/>
  <c r="E269" i="8"/>
  <c r="F269" i="8"/>
  <c r="G269" i="8"/>
  <c r="H269" i="8"/>
  <c r="I269" i="8"/>
  <c r="J269" i="8"/>
  <c r="K269" i="8"/>
  <c r="L269" i="8"/>
  <c r="C269" i="8"/>
  <c r="I301" i="4"/>
  <c r="G301" i="4"/>
  <c r="I300" i="4"/>
  <c r="G300" i="4"/>
  <c r="I299" i="4"/>
  <c r="G299" i="4"/>
  <c r="I298" i="4"/>
  <c r="G298" i="4"/>
  <c r="I297" i="4"/>
  <c r="G297" i="4"/>
  <c r="I296" i="4"/>
  <c r="G296" i="4"/>
  <c r="I295" i="4"/>
  <c r="G295" i="4"/>
  <c r="I294" i="4"/>
  <c r="G294" i="4"/>
  <c r="I293" i="4"/>
  <c r="G293" i="4"/>
  <c r="I292" i="4"/>
  <c r="G292" i="4"/>
  <c r="I291" i="4"/>
  <c r="G291" i="4"/>
  <c r="G290" i="4"/>
  <c r="F289" i="4"/>
  <c r="D282" i="4"/>
  <c r="K12" i="8" l="1"/>
  <c r="L12" i="8"/>
  <c r="K13" i="8"/>
  <c r="L13" i="8"/>
  <c r="J13" i="8"/>
  <c r="J12" i="8"/>
  <c r="H12" i="8"/>
  <c r="I12" i="8"/>
  <c r="H13" i="8"/>
  <c r="I13" i="8"/>
  <c r="G13" i="8"/>
  <c r="G12" i="8"/>
  <c r="E13" i="8"/>
  <c r="F13" i="8"/>
  <c r="D13" i="8"/>
  <c r="E12" i="8"/>
  <c r="F12" i="8"/>
  <c r="D12" i="8"/>
  <c r="K14" i="8"/>
  <c r="L14" i="8"/>
  <c r="J14" i="8"/>
  <c r="H14" i="8"/>
  <c r="I14" i="8"/>
  <c r="G14" i="8"/>
  <c r="E14" i="8"/>
  <c r="F14" i="8"/>
  <c r="D14" i="8"/>
  <c r="J46" i="8"/>
  <c r="G46" i="8"/>
  <c r="D46" i="8"/>
  <c r="K11" i="8"/>
  <c r="L11" i="8"/>
  <c r="J11" i="8"/>
  <c r="H11" i="8"/>
  <c r="I11" i="8"/>
  <c r="G11" i="8"/>
  <c r="E11" i="8"/>
  <c r="F11" i="8"/>
  <c r="D11" i="8"/>
  <c r="C14" i="8"/>
  <c r="C17" i="8" l="1"/>
  <c r="J9" i="5" l="1"/>
  <c r="I9" i="5"/>
  <c r="H9" i="5"/>
  <c r="J9" i="6"/>
  <c r="I9" i="6"/>
  <c r="H9" i="6"/>
  <c r="J9" i="7"/>
  <c r="I9" i="7"/>
  <c r="H9" i="7"/>
  <c r="H86" i="7"/>
  <c r="H102" i="7" s="1"/>
  <c r="G86" i="7"/>
  <c r="G102" i="7" s="1"/>
  <c r="F86" i="7"/>
  <c r="F102" i="7" s="1"/>
  <c r="H67" i="7"/>
  <c r="H83" i="7" s="1"/>
  <c r="G67" i="7"/>
  <c r="G83" i="7" s="1"/>
  <c r="F67" i="7"/>
  <c r="F83" i="7" s="1"/>
  <c r="H48" i="7"/>
  <c r="H64" i="7" s="1"/>
  <c r="G48" i="7"/>
  <c r="G64" i="7" s="1"/>
  <c r="F48" i="7"/>
  <c r="F64" i="7" s="1"/>
  <c r="H86" i="6"/>
  <c r="H102" i="6" s="1"/>
  <c r="G86" i="6"/>
  <c r="G102" i="6" s="1"/>
  <c r="F86" i="6"/>
  <c r="F102" i="6" s="1"/>
  <c r="H67" i="6"/>
  <c r="H83" i="6" s="1"/>
  <c r="G67" i="6"/>
  <c r="G83" i="6" s="1"/>
  <c r="F67" i="6"/>
  <c r="F83" i="6" s="1"/>
  <c r="H48" i="6"/>
  <c r="H64" i="6" s="1"/>
  <c r="G48" i="6"/>
  <c r="G64" i="6" s="1"/>
  <c r="F48" i="6"/>
  <c r="F64" i="6" s="1"/>
  <c r="H86" i="5"/>
  <c r="H102" i="5" s="1"/>
  <c r="G86" i="5"/>
  <c r="G102" i="5" s="1"/>
  <c r="F86" i="5"/>
  <c r="F102" i="5" s="1"/>
  <c r="H67" i="5"/>
  <c r="H83" i="5" s="1"/>
  <c r="G67" i="5"/>
  <c r="G83" i="5" s="1"/>
  <c r="F67" i="5"/>
  <c r="F83" i="5" s="1"/>
  <c r="H48" i="5"/>
  <c r="H64" i="5" s="1"/>
  <c r="G48" i="5"/>
  <c r="G64" i="5" s="1"/>
  <c r="F48" i="5"/>
  <c r="F64" i="5" s="1"/>
  <c r="H70" i="4"/>
  <c r="B49" i="4" s="1"/>
  <c r="G70" i="4"/>
  <c r="B48" i="4" s="1"/>
  <c r="F70" i="4"/>
  <c r="B47" i="4" s="1"/>
  <c r="G6" i="10" l="1"/>
  <c r="G5" i="10"/>
  <c r="G10" i="10"/>
  <c r="G9" i="10"/>
  <c r="G8" i="10"/>
  <c r="G7" i="10"/>
  <c r="C65" i="9" l="1"/>
  <c r="E48" i="9" s="1"/>
  <c r="D56" i="9"/>
  <c r="D55" i="9"/>
  <c r="D54" i="9"/>
  <c r="D53" i="9"/>
  <c r="D52" i="9"/>
  <c r="G164" i="4"/>
  <c r="S351" i="8" l="1"/>
  <c r="S350" i="8"/>
  <c r="S349" i="8"/>
  <c r="S348" i="8"/>
  <c r="G86" i="4"/>
  <c r="O358" i="8" l="1"/>
  <c r="H268" i="4" l="1"/>
  <c r="H269" i="4"/>
  <c r="H270" i="4"/>
  <c r="H271" i="4"/>
  <c r="H272" i="4"/>
  <c r="H273" i="4"/>
  <c r="H274" i="4"/>
  <c r="H275" i="4"/>
  <c r="H276" i="4"/>
  <c r="H277" i="4"/>
  <c r="H278" i="4"/>
  <c r="H267" i="4"/>
  <c r="H246" i="4"/>
  <c r="H247" i="4"/>
  <c r="H248" i="4"/>
  <c r="H249" i="4"/>
  <c r="H250" i="4"/>
  <c r="H251" i="4"/>
  <c r="H252" i="4"/>
  <c r="H253" i="4"/>
  <c r="H254" i="4"/>
  <c r="H255" i="4"/>
  <c r="H256" i="4"/>
  <c r="H245" i="4"/>
  <c r="C32" i="9"/>
  <c r="C33" i="4"/>
  <c r="C31" i="9" s="1"/>
  <c r="I278" i="4"/>
  <c r="G278" i="4"/>
  <c r="I277" i="4"/>
  <c r="G277" i="4"/>
  <c r="I276" i="4"/>
  <c r="G276" i="4"/>
  <c r="I275" i="4"/>
  <c r="G275" i="4"/>
  <c r="I274" i="4"/>
  <c r="G274" i="4"/>
  <c r="I273" i="4"/>
  <c r="G273" i="4"/>
  <c r="I272" i="4"/>
  <c r="G272" i="4"/>
  <c r="I271" i="4"/>
  <c r="G271" i="4"/>
  <c r="I270" i="4"/>
  <c r="G270" i="4"/>
  <c r="I269" i="4"/>
  <c r="G269" i="4"/>
  <c r="I268" i="4"/>
  <c r="G268" i="4"/>
  <c r="G267" i="4"/>
  <c r="I256" i="4"/>
  <c r="G256" i="4"/>
  <c r="I255" i="4"/>
  <c r="G255" i="4"/>
  <c r="I254" i="4"/>
  <c r="G254" i="4"/>
  <c r="I253" i="4"/>
  <c r="G253" i="4"/>
  <c r="I252" i="4"/>
  <c r="G252" i="4"/>
  <c r="I251" i="4"/>
  <c r="G251" i="4"/>
  <c r="I250" i="4"/>
  <c r="G250" i="4"/>
  <c r="I249" i="4"/>
  <c r="G249" i="4"/>
  <c r="I248" i="4"/>
  <c r="G248" i="4"/>
  <c r="I247" i="4"/>
  <c r="G247" i="4"/>
  <c r="I246" i="4"/>
  <c r="G246" i="4"/>
  <c r="G245" i="4"/>
  <c r="I245" i="4" s="1"/>
  <c r="D29" i="9"/>
  <c r="D28" i="9"/>
  <c r="D27" i="9"/>
  <c r="D26" i="9"/>
  <c r="D24" i="9"/>
  <c r="F31" i="9"/>
  <c r="F32" i="9"/>
  <c r="C19" i="9"/>
  <c r="C18" i="9"/>
  <c r="C17" i="9"/>
  <c r="C16" i="9"/>
  <c r="C15" i="9"/>
  <c r="C9" i="9"/>
  <c r="C10" i="9"/>
  <c r="C11" i="9"/>
  <c r="C12" i="9"/>
  <c r="C13" i="9"/>
  <c r="C8" i="9"/>
  <c r="H8" i="9"/>
  <c r="I267" i="4" l="1"/>
  <c r="E34" i="4" s="1"/>
  <c r="B70" i="9"/>
  <c r="E33" i="4"/>
  <c r="D349" i="8" s="1"/>
  <c r="E12" i="4"/>
  <c r="F33" i="4" l="1"/>
  <c r="G31" i="9" s="1"/>
  <c r="H31" i="9" s="1"/>
  <c r="E32" i="9"/>
  <c r="F34" i="4"/>
  <c r="G32" i="9" s="1"/>
  <c r="H32" i="9" s="1"/>
  <c r="E31" i="9"/>
  <c r="E11" i="7"/>
  <c r="I109" i="4"/>
  <c r="G109" i="4"/>
  <c r="I89" i="4"/>
  <c r="I92" i="4"/>
  <c r="I87" i="4"/>
  <c r="I88" i="4"/>
  <c r="I90" i="4"/>
  <c r="I91" i="4"/>
  <c r="I93" i="4"/>
  <c r="I94" i="4"/>
  <c r="I95" i="4"/>
  <c r="I96" i="4"/>
  <c r="I97" i="4"/>
  <c r="H87" i="4"/>
  <c r="H88" i="4"/>
  <c r="H89" i="4"/>
  <c r="H90" i="4"/>
  <c r="H91" i="4"/>
  <c r="H92" i="4"/>
  <c r="H93" i="4"/>
  <c r="H94" i="4"/>
  <c r="H95" i="4"/>
  <c r="H96" i="4"/>
  <c r="H97" i="4"/>
  <c r="H86" i="4"/>
  <c r="G13" i="4" l="1"/>
  <c r="H13" i="7" l="1"/>
  <c r="H12" i="7"/>
  <c r="E11" i="6"/>
  <c r="H13" i="6" s="1"/>
  <c r="E11" i="5"/>
  <c r="H13" i="5" s="1"/>
  <c r="D101" i="4"/>
  <c r="H15" i="4"/>
  <c r="H12" i="6" l="1"/>
  <c r="H12" i="5"/>
  <c r="H14" i="4"/>
  <c r="D104" i="12" l="1"/>
  <c r="D89" i="12"/>
  <c r="E74" i="12"/>
  <c r="G74" i="12" s="1"/>
  <c r="E58" i="12"/>
  <c r="D42" i="12"/>
  <c r="C348" i="7" l="1"/>
  <c r="C307" i="5"/>
  <c r="C253" i="6"/>
  <c r="C206" i="6"/>
  <c r="C113" i="7"/>
  <c r="C110" i="6" l="1"/>
  <c r="C206" i="5"/>
  <c r="C110" i="7"/>
  <c r="C110" i="5"/>
  <c r="C260" i="5"/>
  <c r="C347" i="6"/>
  <c r="C113" i="6"/>
  <c r="C113" i="5"/>
  <c r="C301" i="7"/>
  <c r="C300" i="6"/>
  <c r="C254" i="7"/>
  <c r="C354" i="5"/>
  <c r="C206" i="7"/>
  <c r="D337" i="8" l="1"/>
  <c r="B335" i="8" l="1"/>
  <c r="B328" i="8"/>
  <c r="B321" i="8"/>
  <c r="B314" i="8"/>
  <c r="B307" i="8"/>
  <c r="F7" i="14" l="1"/>
  <c r="E103" i="5"/>
  <c r="E39" i="5" s="1"/>
  <c r="F68" i="8" s="1"/>
  <c r="B193" i="8"/>
  <c r="B192" i="8"/>
  <c r="B191" i="8"/>
  <c r="B190" i="8"/>
  <c r="B189" i="8"/>
  <c r="B188" i="8"/>
  <c r="B187" i="8"/>
  <c r="B180" i="8"/>
  <c r="B179" i="8"/>
  <c r="B178" i="8"/>
  <c r="B177" i="8"/>
  <c r="B176" i="8"/>
  <c r="B175" i="8"/>
  <c r="B174" i="8"/>
  <c r="E65" i="5"/>
  <c r="E65" i="7"/>
  <c r="B39" i="7"/>
  <c r="B38" i="7"/>
  <c r="B37" i="7"/>
  <c r="B36" i="7"/>
  <c r="B39" i="6"/>
  <c r="B38" i="6"/>
  <c r="B37" i="6"/>
  <c r="B36" i="6"/>
  <c r="B39" i="5"/>
  <c r="B38" i="5"/>
  <c r="B37" i="5"/>
  <c r="B36" i="5"/>
  <c r="C394" i="7"/>
  <c r="F223" i="4"/>
  <c r="H227" i="4"/>
  <c r="C391" i="6"/>
  <c r="C29" i="6" s="1"/>
  <c r="H103" i="7"/>
  <c r="E42" i="7" s="1"/>
  <c r="L71" i="8" s="1"/>
  <c r="G103" i="7"/>
  <c r="F103" i="7"/>
  <c r="E103" i="7"/>
  <c r="E39" i="7" s="1"/>
  <c r="L68" i="8" s="1"/>
  <c r="D103" i="7"/>
  <c r="E38" i="7" s="1"/>
  <c r="L67" i="8" s="1"/>
  <c r="H84" i="7"/>
  <c r="D42" i="7" s="1"/>
  <c r="K71" i="8" s="1"/>
  <c r="G84" i="7"/>
  <c r="F84" i="7"/>
  <c r="D40" i="7" s="1"/>
  <c r="K69" i="8" s="1"/>
  <c r="E84" i="7"/>
  <c r="D39" i="7" s="1"/>
  <c r="K68" i="8" s="1"/>
  <c r="D84" i="7"/>
  <c r="H65" i="7"/>
  <c r="G65" i="7"/>
  <c r="C41" i="7" s="1"/>
  <c r="J70" i="8" s="1"/>
  <c r="F65" i="7"/>
  <c r="C40" i="7" s="1"/>
  <c r="J69" i="8" s="1"/>
  <c r="D65" i="7"/>
  <c r="C38" i="7" s="1"/>
  <c r="J67" i="8" s="1"/>
  <c r="H103" i="6"/>
  <c r="G103" i="6"/>
  <c r="E41" i="6" s="1"/>
  <c r="I70" i="8" s="1"/>
  <c r="F103" i="6"/>
  <c r="E40" i="6" s="1"/>
  <c r="I69" i="8" s="1"/>
  <c r="E103" i="6"/>
  <c r="D103" i="6"/>
  <c r="H84" i="6"/>
  <c r="D42" i="6" s="1"/>
  <c r="H71" i="8" s="1"/>
  <c r="G84" i="6"/>
  <c r="D41" i="6" s="1"/>
  <c r="H70" i="8" s="1"/>
  <c r="F84" i="6"/>
  <c r="D40" i="6" s="1"/>
  <c r="H69" i="8" s="1"/>
  <c r="E84" i="6"/>
  <c r="D84" i="6"/>
  <c r="H65" i="6"/>
  <c r="C42" i="6" s="1"/>
  <c r="G71" i="8" s="1"/>
  <c r="G65" i="6"/>
  <c r="F65" i="6"/>
  <c r="E65" i="6"/>
  <c r="C39" i="6" s="1"/>
  <c r="G68" i="8" s="1"/>
  <c r="D65" i="6"/>
  <c r="C38" i="6" s="1"/>
  <c r="G67" i="8" s="1"/>
  <c r="H103" i="5"/>
  <c r="E42" i="5" s="1"/>
  <c r="F71" i="8" s="1"/>
  <c r="G103" i="5"/>
  <c r="E41" i="5" s="1"/>
  <c r="F70" i="8" s="1"/>
  <c r="F103" i="5"/>
  <c r="E40" i="5" s="1"/>
  <c r="F69" i="8" s="1"/>
  <c r="D103" i="5"/>
  <c r="E38" i="5" s="1"/>
  <c r="F67" i="8" s="1"/>
  <c r="E84" i="5"/>
  <c r="H84" i="5"/>
  <c r="G84" i="5"/>
  <c r="D41" i="5" s="1"/>
  <c r="E70" i="8" s="1"/>
  <c r="F84" i="5"/>
  <c r="D40" i="5" s="1"/>
  <c r="E69" i="8" s="1"/>
  <c r="D84" i="5"/>
  <c r="D38" i="5" s="1"/>
  <c r="E67" i="8" s="1"/>
  <c r="F65" i="5"/>
  <c r="H65" i="5"/>
  <c r="C42" i="5" s="1"/>
  <c r="D71" i="8" s="1"/>
  <c r="G65" i="5"/>
  <c r="C41" i="5" s="1"/>
  <c r="D70" i="8" s="1"/>
  <c r="B123" i="8"/>
  <c r="G199" i="6"/>
  <c r="G198" i="6"/>
  <c r="G197" i="6"/>
  <c r="G196" i="6"/>
  <c r="G195" i="6"/>
  <c r="G194" i="6"/>
  <c r="G193" i="6"/>
  <c r="G192" i="6"/>
  <c r="G191" i="6"/>
  <c r="G190" i="6"/>
  <c r="G189" i="6"/>
  <c r="G188" i="6"/>
  <c r="G187" i="6"/>
  <c r="G186" i="6"/>
  <c r="G185" i="6"/>
  <c r="G184" i="6"/>
  <c r="G183" i="6"/>
  <c r="G182" i="6"/>
  <c r="G181" i="6"/>
  <c r="G180" i="6"/>
  <c r="G179" i="6"/>
  <c r="G178" i="6"/>
  <c r="G177" i="6"/>
  <c r="G176" i="6"/>
  <c r="G175" i="6"/>
  <c r="G174" i="6"/>
  <c r="G173" i="6"/>
  <c r="G172" i="6"/>
  <c r="G171" i="6"/>
  <c r="G170" i="6"/>
  <c r="G169" i="6"/>
  <c r="G168" i="6"/>
  <c r="G167" i="6"/>
  <c r="G166" i="6"/>
  <c r="G165" i="6"/>
  <c r="G164" i="6"/>
  <c r="G247" i="7"/>
  <c r="G246" i="7"/>
  <c r="G245" i="7"/>
  <c r="G244" i="7"/>
  <c r="G243" i="7"/>
  <c r="G242" i="7"/>
  <c r="G241" i="7"/>
  <c r="G240" i="7"/>
  <c r="G239" i="7"/>
  <c r="G238" i="7"/>
  <c r="G237" i="7"/>
  <c r="G236" i="7"/>
  <c r="G235" i="7"/>
  <c r="G234" i="7"/>
  <c r="G233" i="7"/>
  <c r="G232" i="7"/>
  <c r="G231" i="7"/>
  <c r="G230" i="7"/>
  <c r="G229" i="7"/>
  <c r="G228" i="7"/>
  <c r="G227" i="7"/>
  <c r="G226" i="7"/>
  <c r="G225" i="7"/>
  <c r="G224" i="7"/>
  <c r="G223" i="7"/>
  <c r="G222" i="7"/>
  <c r="G221" i="7"/>
  <c r="G220" i="7"/>
  <c r="G219" i="7"/>
  <c r="G218" i="7"/>
  <c r="G217" i="7"/>
  <c r="G216" i="7"/>
  <c r="G215" i="7"/>
  <c r="G214" i="7"/>
  <c r="G213" i="7"/>
  <c r="G212" i="7"/>
  <c r="G211" i="7"/>
  <c r="G164" i="7"/>
  <c r="B42" i="7"/>
  <c r="B41" i="5"/>
  <c r="J102" i="8"/>
  <c r="G152" i="8"/>
  <c r="D185" i="8"/>
  <c r="C130" i="8"/>
  <c r="D34" i="12"/>
  <c r="B143" i="8"/>
  <c r="B142" i="8"/>
  <c r="B141" i="8"/>
  <c r="B140" i="8"/>
  <c r="B139" i="8"/>
  <c r="B138" i="8"/>
  <c r="B137" i="8"/>
  <c r="B129" i="8"/>
  <c r="B128" i="8"/>
  <c r="B127" i="8"/>
  <c r="B126" i="8"/>
  <c r="B125" i="8"/>
  <c r="B124" i="8"/>
  <c r="C392" i="7"/>
  <c r="C29" i="7" s="1"/>
  <c r="D29" i="7" s="1"/>
  <c r="C398" i="5"/>
  <c r="C29" i="5" s="1"/>
  <c r="D29" i="5" s="1"/>
  <c r="B82" i="7"/>
  <c r="B101" i="7" s="1"/>
  <c r="B81" i="7"/>
  <c r="B100" i="7" s="1"/>
  <c r="B80" i="7"/>
  <c r="B99" i="7" s="1"/>
  <c r="B79" i="7"/>
  <c r="B98" i="7" s="1"/>
  <c r="B78" i="7"/>
  <c r="B97" i="7" s="1"/>
  <c r="B77" i="7"/>
  <c r="B96" i="7" s="1"/>
  <c r="B76" i="7"/>
  <c r="B95" i="7" s="1"/>
  <c r="B75" i="7"/>
  <c r="B94" i="7" s="1"/>
  <c r="B74" i="7"/>
  <c r="B93" i="7" s="1"/>
  <c r="B73" i="7"/>
  <c r="B92" i="7" s="1"/>
  <c r="B72" i="7"/>
  <c r="B91" i="7" s="1"/>
  <c r="B71" i="7"/>
  <c r="B90" i="7" s="1"/>
  <c r="B70" i="7"/>
  <c r="B89" i="7" s="1"/>
  <c r="B69" i="7"/>
  <c r="B88" i="7" s="1"/>
  <c r="B68" i="7"/>
  <c r="B87" i="7" s="1"/>
  <c r="C266" i="8"/>
  <c r="C267" i="8"/>
  <c r="C268" i="8"/>
  <c r="H214" i="8"/>
  <c r="I214" i="8"/>
  <c r="B251" i="8"/>
  <c r="I203" i="8"/>
  <c r="B233" i="8"/>
  <c r="B234" i="8"/>
  <c r="B235" i="8"/>
  <c r="B236" i="8"/>
  <c r="B237" i="8"/>
  <c r="B238" i="8"/>
  <c r="B232" i="8"/>
  <c r="D144" i="8"/>
  <c r="E144" i="8"/>
  <c r="F144" i="8"/>
  <c r="G144" i="8"/>
  <c r="H144" i="8"/>
  <c r="I144" i="8"/>
  <c r="J144" i="8"/>
  <c r="K144" i="8"/>
  <c r="L144" i="8"/>
  <c r="C144" i="8"/>
  <c r="L130" i="8"/>
  <c r="K130" i="8"/>
  <c r="J130" i="8"/>
  <c r="I130" i="8"/>
  <c r="H130" i="8"/>
  <c r="G130" i="8"/>
  <c r="F130" i="8"/>
  <c r="E130" i="8"/>
  <c r="D130" i="8"/>
  <c r="C203" i="8"/>
  <c r="D203" i="8"/>
  <c r="E203" i="8"/>
  <c r="F203" i="8"/>
  <c r="G203" i="8"/>
  <c r="H203" i="8"/>
  <c r="D98" i="8"/>
  <c r="E98" i="8"/>
  <c r="F98" i="8"/>
  <c r="G98" i="8"/>
  <c r="H98" i="8"/>
  <c r="I98" i="8"/>
  <c r="J98" i="8"/>
  <c r="K98" i="8"/>
  <c r="L98" i="8"/>
  <c r="C98" i="8"/>
  <c r="L111" i="8"/>
  <c r="K111" i="8"/>
  <c r="J111" i="8"/>
  <c r="I111" i="8"/>
  <c r="H111" i="8"/>
  <c r="G111" i="8"/>
  <c r="F111" i="8"/>
  <c r="E111" i="8"/>
  <c r="D111" i="8"/>
  <c r="C111" i="8"/>
  <c r="C346" i="7"/>
  <c r="F305" i="7"/>
  <c r="C299" i="7"/>
  <c r="C252" i="7"/>
  <c r="H136" i="7"/>
  <c r="F210" i="7"/>
  <c r="C204" i="7"/>
  <c r="C25" i="7"/>
  <c r="C24" i="6"/>
  <c r="F351" i="6"/>
  <c r="C345" i="6"/>
  <c r="C298" i="6"/>
  <c r="C251" i="6"/>
  <c r="C204" i="6"/>
  <c r="C24" i="5"/>
  <c r="C23" i="5"/>
  <c r="F358" i="5"/>
  <c r="C352" i="5"/>
  <c r="F311" i="5"/>
  <c r="C305" i="5"/>
  <c r="C258" i="5"/>
  <c r="K199" i="5"/>
  <c r="J199" i="5"/>
  <c r="I199" i="5"/>
  <c r="G199" i="5"/>
  <c r="K198" i="5"/>
  <c r="J198" i="5"/>
  <c r="I198" i="5"/>
  <c r="G198" i="5"/>
  <c r="K197" i="5"/>
  <c r="J197" i="5"/>
  <c r="I197" i="5"/>
  <c r="G197" i="5"/>
  <c r="K196" i="5"/>
  <c r="J196" i="5"/>
  <c r="I196" i="5"/>
  <c r="G196" i="5"/>
  <c r="K195" i="5"/>
  <c r="J195" i="5"/>
  <c r="I195" i="5"/>
  <c r="G195" i="5"/>
  <c r="K194" i="5"/>
  <c r="J194" i="5"/>
  <c r="I194" i="5"/>
  <c r="K193" i="5"/>
  <c r="J193" i="5"/>
  <c r="I193" i="5"/>
  <c r="K192" i="5"/>
  <c r="J192" i="5"/>
  <c r="I192" i="5"/>
  <c r="K191" i="5"/>
  <c r="J191" i="5"/>
  <c r="I191" i="5"/>
  <c r="K190" i="5"/>
  <c r="J190" i="5"/>
  <c r="I190" i="5"/>
  <c r="K189" i="5"/>
  <c r="J189" i="5"/>
  <c r="I189" i="5"/>
  <c r="K188" i="5"/>
  <c r="J188" i="5"/>
  <c r="I188" i="5"/>
  <c r="K187" i="5"/>
  <c r="J187" i="5"/>
  <c r="I187" i="5"/>
  <c r="K186" i="5"/>
  <c r="J186" i="5"/>
  <c r="I186" i="5"/>
  <c r="K185" i="5"/>
  <c r="J185" i="5"/>
  <c r="I185" i="5"/>
  <c r="K184" i="5"/>
  <c r="J184" i="5"/>
  <c r="I184" i="5"/>
  <c r="K183" i="5"/>
  <c r="J183" i="5"/>
  <c r="I183" i="5"/>
  <c r="K182" i="5"/>
  <c r="J182" i="5"/>
  <c r="I182" i="5"/>
  <c r="K181" i="5"/>
  <c r="J181" i="5"/>
  <c r="I181" i="5"/>
  <c r="K180" i="5"/>
  <c r="J180" i="5"/>
  <c r="I180" i="5"/>
  <c r="K179" i="5"/>
  <c r="J179" i="5"/>
  <c r="I179" i="5"/>
  <c r="K178" i="5"/>
  <c r="J178" i="5"/>
  <c r="I178" i="5"/>
  <c r="K177" i="5"/>
  <c r="J177" i="5"/>
  <c r="I177" i="5"/>
  <c r="K176" i="5"/>
  <c r="J176" i="5"/>
  <c r="I176" i="5"/>
  <c r="K175" i="5"/>
  <c r="J175" i="5"/>
  <c r="I175" i="5"/>
  <c r="K174" i="5"/>
  <c r="J174" i="5"/>
  <c r="I174" i="5"/>
  <c r="K173" i="5"/>
  <c r="J173" i="5"/>
  <c r="I173" i="5"/>
  <c r="K172" i="5"/>
  <c r="J172" i="5"/>
  <c r="I172" i="5"/>
  <c r="K171" i="5"/>
  <c r="J171" i="5"/>
  <c r="I171" i="5"/>
  <c r="K170" i="5"/>
  <c r="J170" i="5"/>
  <c r="I170" i="5"/>
  <c r="K169" i="5"/>
  <c r="J169" i="5"/>
  <c r="I169" i="5"/>
  <c r="K168" i="5"/>
  <c r="J168" i="5"/>
  <c r="I168" i="5"/>
  <c r="K167" i="5"/>
  <c r="J167" i="5"/>
  <c r="I167" i="5"/>
  <c r="G167" i="5"/>
  <c r="G166" i="5"/>
  <c r="G165" i="5"/>
  <c r="G164" i="5"/>
  <c r="I121" i="5"/>
  <c r="J121" i="5"/>
  <c r="K121" i="5"/>
  <c r="I122" i="5"/>
  <c r="J122" i="5"/>
  <c r="K122" i="5"/>
  <c r="I123" i="5"/>
  <c r="J123" i="5"/>
  <c r="K123" i="5"/>
  <c r="I124" i="5"/>
  <c r="J124" i="5"/>
  <c r="K124" i="5"/>
  <c r="I125" i="5"/>
  <c r="J125" i="5"/>
  <c r="K125" i="5"/>
  <c r="I126" i="5"/>
  <c r="J126" i="5"/>
  <c r="K126" i="5"/>
  <c r="I127" i="5"/>
  <c r="J127" i="5"/>
  <c r="K127" i="5"/>
  <c r="I128" i="5"/>
  <c r="J128" i="5"/>
  <c r="K128" i="5"/>
  <c r="I129" i="5"/>
  <c r="J129" i="5"/>
  <c r="K129" i="5"/>
  <c r="I130" i="5"/>
  <c r="J130" i="5"/>
  <c r="K130" i="5"/>
  <c r="I131" i="5"/>
  <c r="J131" i="5"/>
  <c r="K131" i="5"/>
  <c r="I132" i="5"/>
  <c r="J132" i="5"/>
  <c r="K132" i="5"/>
  <c r="I133" i="5"/>
  <c r="J133" i="5"/>
  <c r="K133" i="5"/>
  <c r="I134" i="5"/>
  <c r="J134" i="5"/>
  <c r="K134" i="5"/>
  <c r="I135" i="5"/>
  <c r="J135" i="5"/>
  <c r="K135" i="5"/>
  <c r="I136" i="5"/>
  <c r="J136" i="5"/>
  <c r="K136" i="5"/>
  <c r="I137" i="5"/>
  <c r="J137" i="5"/>
  <c r="K137" i="5"/>
  <c r="I138" i="5"/>
  <c r="J138" i="5"/>
  <c r="K138" i="5"/>
  <c r="I139" i="5"/>
  <c r="J139" i="5"/>
  <c r="K139" i="5"/>
  <c r="I140" i="5"/>
  <c r="J140" i="5"/>
  <c r="K140" i="5"/>
  <c r="I141" i="5"/>
  <c r="J141" i="5"/>
  <c r="K141" i="5"/>
  <c r="I142" i="5"/>
  <c r="J142" i="5"/>
  <c r="K142" i="5"/>
  <c r="I143" i="5"/>
  <c r="J143" i="5"/>
  <c r="K143" i="5"/>
  <c r="I144" i="5"/>
  <c r="J144" i="5"/>
  <c r="K144" i="5"/>
  <c r="I145" i="5"/>
  <c r="J145" i="5"/>
  <c r="K145" i="5"/>
  <c r="I146" i="5"/>
  <c r="J146" i="5"/>
  <c r="K146" i="5"/>
  <c r="I204" i="4"/>
  <c r="G204" i="4"/>
  <c r="I203" i="4"/>
  <c r="G203" i="4"/>
  <c r="I182" i="4"/>
  <c r="G182" i="4"/>
  <c r="I181" i="4"/>
  <c r="G181" i="4"/>
  <c r="I164" i="4"/>
  <c r="C27" i="4"/>
  <c r="C25" i="9" s="1"/>
  <c r="F200" i="4"/>
  <c r="F177" i="4"/>
  <c r="F154" i="4"/>
  <c r="F131" i="4"/>
  <c r="C105" i="4"/>
  <c r="C104" i="4"/>
  <c r="D25" i="9"/>
  <c r="G120" i="4"/>
  <c r="G119" i="4"/>
  <c r="G118" i="4"/>
  <c r="G117" i="4"/>
  <c r="G116" i="4"/>
  <c r="G115" i="4"/>
  <c r="G114" i="4"/>
  <c r="G113" i="4"/>
  <c r="G112" i="4"/>
  <c r="G111" i="4"/>
  <c r="G110" i="4"/>
  <c r="K211" i="7"/>
  <c r="I211" i="7"/>
  <c r="J211" i="7"/>
  <c r="C44" i="4"/>
  <c r="C66" i="8" s="1"/>
  <c r="I13" i="5"/>
  <c r="I13" i="6"/>
  <c r="J13" i="6" s="1"/>
  <c r="E37" i="6" s="1"/>
  <c r="I66" i="8" s="1"/>
  <c r="I12" i="6"/>
  <c r="J12" i="6" s="1"/>
  <c r="E36" i="6" s="1"/>
  <c r="I65" i="8" s="1"/>
  <c r="I12" i="7"/>
  <c r="G214" i="8"/>
  <c r="F214" i="8"/>
  <c r="E214" i="8"/>
  <c r="D214" i="8"/>
  <c r="C214" i="8"/>
  <c r="B247" i="8"/>
  <c r="B248" i="8"/>
  <c r="B249" i="8"/>
  <c r="B250" i="8"/>
  <c r="B252" i="8"/>
  <c r="B246" i="8"/>
  <c r="B66" i="8"/>
  <c r="B77" i="8" s="1"/>
  <c r="B67" i="8"/>
  <c r="B206" i="8" s="1"/>
  <c r="B217" i="8" s="1"/>
  <c r="B68" i="8"/>
  <c r="B79" i="8" s="1"/>
  <c r="B65" i="8"/>
  <c r="B76" i="8" s="1"/>
  <c r="K237" i="7"/>
  <c r="J237" i="7"/>
  <c r="I237" i="7"/>
  <c r="J224" i="7"/>
  <c r="I224" i="7"/>
  <c r="K224" i="7"/>
  <c r="I223" i="7"/>
  <c r="K223" i="7"/>
  <c r="J223" i="7"/>
  <c r="J212" i="7"/>
  <c r="K212" i="7"/>
  <c r="I212" i="7"/>
  <c r="I213" i="7"/>
  <c r="J213" i="7"/>
  <c r="K213" i="7"/>
  <c r="I214" i="7"/>
  <c r="J214" i="7"/>
  <c r="K214" i="7"/>
  <c r="K215" i="7"/>
  <c r="I215" i="7"/>
  <c r="J215" i="7"/>
  <c r="J216" i="7"/>
  <c r="K216" i="7"/>
  <c r="I216" i="7"/>
  <c r="C43" i="4"/>
  <c r="C65" i="8" s="1"/>
  <c r="I235" i="4"/>
  <c r="G235" i="4"/>
  <c r="I234" i="4"/>
  <c r="G234" i="4"/>
  <c r="I233" i="4"/>
  <c r="G233" i="4"/>
  <c r="I232" i="4"/>
  <c r="G232" i="4"/>
  <c r="I231" i="4"/>
  <c r="G231" i="4"/>
  <c r="I230" i="4"/>
  <c r="G230" i="4"/>
  <c r="I229" i="4"/>
  <c r="G229" i="4"/>
  <c r="I228" i="4"/>
  <c r="G228" i="4"/>
  <c r="I227" i="4"/>
  <c r="G227" i="4"/>
  <c r="I226" i="4"/>
  <c r="G226" i="4"/>
  <c r="I225" i="4"/>
  <c r="G225" i="4"/>
  <c r="I224" i="4"/>
  <c r="G224" i="4"/>
  <c r="I212" i="4"/>
  <c r="G212" i="4"/>
  <c r="I211" i="4"/>
  <c r="G211" i="4"/>
  <c r="I210" i="4"/>
  <c r="G210" i="4"/>
  <c r="I209" i="4"/>
  <c r="G209" i="4"/>
  <c r="I208" i="4"/>
  <c r="G208" i="4"/>
  <c r="I207" i="4"/>
  <c r="G207" i="4"/>
  <c r="I206" i="4"/>
  <c r="G206" i="4"/>
  <c r="I205" i="4"/>
  <c r="G205" i="4"/>
  <c r="I202" i="4"/>
  <c r="G202" i="4"/>
  <c r="I201" i="4"/>
  <c r="G201" i="4"/>
  <c r="I189" i="4"/>
  <c r="G189" i="4"/>
  <c r="I188" i="4"/>
  <c r="G188" i="4"/>
  <c r="I187" i="4"/>
  <c r="G187" i="4"/>
  <c r="I186" i="4"/>
  <c r="G186" i="4"/>
  <c r="I185" i="4"/>
  <c r="G185" i="4"/>
  <c r="I184" i="4"/>
  <c r="G184" i="4"/>
  <c r="I183" i="4"/>
  <c r="G183" i="4"/>
  <c r="I180" i="4"/>
  <c r="G180" i="4"/>
  <c r="I179" i="4"/>
  <c r="G179" i="4"/>
  <c r="I178" i="4"/>
  <c r="G178" i="4"/>
  <c r="I166" i="4"/>
  <c r="G166" i="4"/>
  <c r="I165" i="4"/>
  <c r="G165" i="4"/>
  <c r="I163" i="4"/>
  <c r="G163" i="4"/>
  <c r="I162" i="4"/>
  <c r="G162" i="4"/>
  <c r="I161" i="4"/>
  <c r="G161" i="4"/>
  <c r="I160" i="4"/>
  <c r="G160" i="4"/>
  <c r="I159" i="4"/>
  <c r="G159" i="4"/>
  <c r="I158" i="4"/>
  <c r="G158" i="4"/>
  <c r="I157" i="4"/>
  <c r="G157" i="4"/>
  <c r="I156" i="4"/>
  <c r="G156" i="4"/>
  <c r="I155" i="4"/>
  <c r="G155" i="4"/>
  <c r="G143" i="4"/>
  <c r="G142" i="4"/>
  <c r="G141" i="4"/>
  <c r="G140" i="4"/>
  <c r="G139" i="4"/>
  <c r="G138" i="4"/>
  <c r="G137" i="4"/>
  <c r="G136" i="4"/>
  <c r="G135" i="4"/>
  <c r="G134" i="4"/>
  <c r="G133" i="4"/>
  <c r="G132" i="4"/>
  <c r="C32" i="4"/>
  <c r="C31" i="4"/>
  <c r="C30" i="4"/>
  <c r="C28" i="9" s="1"/>
  <c r="C41" i="9" s="1"/>
  <c r="C29" i="4"/>
  <c r="C27" i="9" s="1"/>
  <c r="C40" i="9" s="1"/>
  <c r="C28" i="4"/>
  <c r="C26" i="9" s="1"/>
  <c r="C39" i="9" s="1"/>
  <c r="C26" i="4"/>
  <c r="C24" i="9" s="1"/>
  <c r="C38" i="9" s="1"/>
  <c r="K435" i="7"/>
  <c r="J435" i="7"/>
  <c r="I435" i="7"/>
  <c r="G435" i="7"/>
  <c r="K434" i="7"/>
  <c r="J434" i="7"/>
  <c r="I434" i="7"/>
  <c r="G434" i="7"/>
  <c r="K433" i="7"/>
  <c r="J433" i="7"/>
  <c r="I433" i="7"/>
  <c r="G433" i="7"/>
  <c r="K432" i="7"/>
  <c r="J432" i="7"/>
  <c r="I432" i="7"/>
  <c r="G432" i="7"/>
  <c r="K431" i="7"/>
  <c r="J431" i="7"/>
  <c r="I431" i="7"/>
  <c r="G431" i="7"/>
  <c r="K430" i="7"/>
  <c r="J430" i="7"/>
  <c r="I430" i="7"/>
  <c r="G430" i="7"/>
  <c r="K429" i="7"/>
  <c r="J429" i="7"/>
  <c r="I429" i="7"/>
  <c r="G429" i="7"/>
  <c r="K428" i="7"/>
  <c r="J428" i="7"/>
  <c r="I428" i="7"/>
  <c r="G428" i="7"/>
  <c r="K427" i="7"/>
  <c r="J427" i="7"/>
  <c r="I427" i="7"/>
  <c r="G427" i="7"/>
  <c r="K426" i="7"/>
  <c r="J426" i="7"/>
  <c r="I426" i="7"/>
  <c r="G426" i="7"/>
  <c r="K425" i="7"/>
  <c r="J425" i="7"/>
  <c r="I425" i="7"/>
  <c r="G425" i="7"/>
  <c r="K424" i="7"/>
  <c r="J424" i="7"/>
  <c r="I424" i="7"/>
  <c r="G424" i="7"/>
  <c r="K423" i="7"/>
  <c r="J423" i="7"/>
  <c r="I423" i="7"/>
  <c r="G423" i="7"/>
  <c r="K422" i="7"/>
  <c r="J422" i="7"/>
  <c r="I422" i="7"/>
  <c r="G422" i="7"/>
  <c r="K421" i="7"/>
  <c r="J421" i="7"/>
  <c r="I421" i="7"/>
  <c r="G421" i="7"/>
  <c r="K420" i="7"/>
  <c r="J420" i="7"/>
  <c r="I420" i="7"/>
  <c r="G420" i="7"/>
  <c r="K419" i="7"/>
  <c r="J419" i="7"/>
  <c r="I419" i="7"/>
  <c r="G419" i="7"/>
  <c r="K418" i="7"/>
  <c r="J418" i="7"/>
  <c r="I418" i="7"/>
  <c r="G418" i="7"/>
  <c r="K417" i="7"/>
  <c r="J417" i="7"/>
  <c r="I417" i="7"/>
  <c r="G417" i="7"/>
  <c r="K416" i="7"/>
  <c r="J416" i="7"/>
  <c r="I416" i="7"/>
  <c r="G416" i="7"/>
  <c r="K415" i="7"/>
  <c r="J415" i="7"/>
  <c r="I415" i="7"/>
  <c r="G415" i="7"/>
  <c r="K414" i="7"/>
  <c r="J414" i="7"/>
  <c r="I414" i="7"/>
  <c r="G414" i="7"/>
  <c r="K413" i="7"/>
  <c r="J413" i="7"/>
  <c r="I413" i="7"/>
  <c r="G413" i="7"/>
  <c r="K412" i="7"/>
  <c r="J412" i="7"/>
  <c r="I412" i="7"/>
  <c r="G412" i="7"/>
  <c r="K411" i="7"/>
  <c r="J411" i="7"/>
  <c r="I411" i="7"/>
  <c r="G411" i="7"/>
  <c r="K410" i="7"/>
  <c r="J410" i="7"/>
  <c r="I410" i="7"/>
  <c r="G410" i="7"/>
  <c r="K409" i="7"/>
  <c r="J409" i="7"/>
  <c r="I409" i="7"/>
  <c r="G409" i="7"/>
  <c r="K408" i="7"/>
  <c r="J408" i="7"/>
  <c r="I408" i="7"/>
  <c r="G408" i="7"/>
  <c r="K407" i="7"/>
  <c r="J407" i="7"/>
  <c r="I407" i="7"/>
  <c r="G407" i="7"/>
  <c r="K406" i="7"/>
  <c r="J406" i="7"/>
  <c r="I406" i="7"/>
  <c r="G406" i="7"/>
  <c r="K405" i="7"/>
  <c r="J405" i="7"/>
  <c r="I405" i="7"/>
  <c r="G405" i="7"/>
  <c r="K404" i="7"/>
  <c r="J404" i="7"/>
  <c r="I404" i="7"/>
  <c r="G404" i="7"/>
  <c r="K403" i="7"/>
  <c r="J403" i="7"/>
  <c r="I403" i="7"/>
  <c r="G403" i="7"/>
  <c r="K402" i="7"/>
  <c r="J402" i="7"/>
  <c r="I402" i="7"/>
  <c r="G402" i="7"/>
  <c r="K401" i="7"/>
  <c r="J401" i="7"/>
  <c r="I401" i="7"/>
  <c r="G401" i="7"/>
  <c r="K400" i="7"/>
  <c r="J400" i="7"/>
  <c r="I400" i="7"/>
  <c r="G400" i="7"/>
  <c r="K388" i="7"/>
  <c r="J388" i="7"/>
  <c r="I388" i="7"/>
  <c r="G388" i="7"/>
  <c r="K387" i="7"/>
  <c r="J387" i="7"/>
  <c r="I387" i="7"/>
  <c r="G387" i="7"/>
  <c r="K386" i="7"/>
  <c r="J386" i="7"/>
  <c r="I386" i="7"/>
  <c r="G386" i="7"/>
  <c r="K385" i="7"/>
  <c r="J385" i="7"/>
  <c r="I385" i="7"/>
  <c r="G385" i="7"/>
  <c r="K384" i="7"/>
  <c r="J384" i="7"/>
  <c r="I384" i="7"/>
  <c r="G384" i="7"/>
  <c r="K383" i="7"/>
  <c r="J383" i="7"/>
  <c r="I383" i="7"/>
  <c r="G383" i="7"/>
  <c r="K382" i="7"/>
  <c r="J382" i="7"/>
  <c r="I382" i="7"/>
  <c r="G382" i="7"/>
  <c r="K381" i="7"/>
  <c r="J381" i="7"/>
  <c r="I381" i="7"/>
  <c r="G381" i="7"/>
  <c r="K380" i="7"/>
  <c r="J380" i="7"/>
  <c r="I380" i="7"/>
  <c r="G380" i="7"/>
  <c r="K379" i="7"/>
  <c r="J379" i="7"/>
  <c r="I379" i="7"/>
  <c r="G379" i="7"/>
  <c r="K378" i="7"/>
  <c r="J378" i="7"/>
  <c r="I378" i="7"/>
  <c r="G378" i="7"/>
  <c r="K377" i="7"/>
  <c r="J377" i="7"/>
  <c r="I377" i="7"/>
  <c r="G377" i="7"/>
  <c r="K376" i="7"/>
  <c r="J376" i="7"/>
  <c r="I376" i="7"/>
  <c r="G376" i="7"/>
  <c r="K375" i="7"/>
  <c r="J375" i="7"/>
  <c r="I375" i="7"/>
  <c r="G375" i="7"/>
  <c r="K374" i="7"/>
  <c r="J374" i="7"/>
  <c r="I374" i="7"/>
  <c r="G374" i="7"/>
  <c r="K373" i="7"/>
  <c r="J373" i="7"/>
  <c r="I373" i="7"/>
  <c r="G373" i="7"/>
  <c r="K372" i="7"/>
  <c r="J372" i="7"/>
  <c r="I372" i="7"/>
  <c r="G372" i="7"/>
  <c r="K371" i="7"/>
  <c r="J371" i="7"/>
  <c r="I371" i="7"/>
  <c r="G371" i="7"/>
  <c r="K370" i="7"/>
  <c r="J370" i="7"/>
  <c r="I370" i="7"/>
  <c r="G370" i="7"/>
  <c r="K369" i="7"/>
  <c r="J369" i="7"/>
  <c r="I369" i="7"/>
  <c r="G369" i="7"/>
  <c r="K368" i="7"/>
  <c r="J368" i="7"/>
  <c r="I368" i="7"/>
  <c r="G368" i="7"/>
  <c r="K367" i="7"/>
  <c r="J367" i="7"/>
  <c r="I367" i="7"/>
  <c r="G367" i="7"/>
  <c r="K366" i="7"/>
  <c r="J366" i="7"/>
  <c r="I366" i="7"/>
  <c r="G366" i="7"/>
  <c r="K365" i="7"/>
  <c r="J365" i="7"/>
  <c r="I365" i="7"/>
  <c r="G365" i="7"/>
  <c r="K364" i="7"/>
  <c r="J364" i="7"/>
  <c r="I364" i="7"/>
  <c r="G364" i="7"/>
  <c r="K363" i="7"/>
  <c r="J363" i="7"/>
  <c r="I363" i="7"/>
  <c r="G363" i="7"/>
  <c r="K362" i="7"/>
  <c r="J362" i="7"/>
  <c r="I362" i="7"/>
  <c r="G362" i="7"/>
  <c r="K361" i="7"/>
  <c r="J361" i="7"/>
  <c r="I361" i="7"/>
  <c r="G361" i="7"/>
  <c r="K360" i="7"/>
  <c r="J360" i="7"/>
  <c r="I360" i="7"/>
  <c r="G360" i="7"/>
  <c r="K359" i="7"/>
  <c r="J359" i="7"/>
  <c r="I359" i="7"/>
  <c r="G359" i="7"/>
  <c r="K358" i="7"/>
  <c r="J358" i="7"/>
  <c r="I358" i="7"/>
  <c r="G358" i="7"/>
  <c r="K357" i="7"/>
  <c r="J357" i="7"/>
  <c r="I357" i="7"/>
  <c r="G357" i="7"/>
  <c r="K356" i="7"/>
  <c r="J356" i="7"/>
  <c r="I356" i="7"/>
  <c r="G356" i="7"/>
  <c r="K355" i="7"/>
  <c r="J355" i="7"/>
  <c r="I355" i="7"/>
  <c r="G355" i="7"/>
  <c r="K354" i="7"/>
  <c r="J354" i="7"/>
  <c r="I354" i="7"/>
  <c r="G354" i="7"/>
  <c r="K353" i="7"/>
  <c r="J353" i="7"/>
  <c r="I353" i="7"/>
  <c r="G353" i="7"/>
  <c r="F352" i="7"/>
  <c r="K341" i="7"/>
  <c r="J341" i="7"/>
  <c r="I341" i="7"/>
  <c r="G341" i="7"/>
  <c r="K340" i="7"/>
  <c r="J340" i="7"/>
  <c r="I340" i="7"/>
  <c r="G340" i="7"/>
  <c r="K339" i="7"/>
  <c r="J339" i="7"/>
  <c r="I339" i="7"/>
  <c r="G339" i="7"/>
  <c r="K338" i="7"/>
  <c r="J338" i="7"/>
  <c r="I338" i="7"/>
  <c r="G338" i="7"/>
  <c r="K337" i="7"/>
  <c r="J337" i="7"/>
  <c r="I337" i="7"/>
  <c r="G337" i="7"/>
  <c r="K336" i="7"/>
  <c r="J336" i="7"/>
  <c r="I336" i="7"/>
  <c r="G336" i="7"/>
  <c r="K335" i="7"/>
  <c r="J335" i="7"/>
  <c r="I335" i="7"/>
  <c r="G335" i="7"/>
  <c r="K334" i="7"/>
  <c r="J334" i="7"/>
  <c r="I334" i="7"/>
  <c r="G334" i="7"/>
  <c r="K333" i="7"/>
  <c r="J333" i="7"/>
  <c r="I333" i="7"/>
  <c r="G333" i="7"/>
  <c r="K332" i="7"/>
  <c r="J332" i="7"/>
  <c r="I332" i="7"/>
  <c r="G332" i="7"/>
  <c r="K331" i="7"/>
  <c r="J331" i="7"/>
  <c r="I331" i="7"/>
  <c r="G331" i="7"/>
  <c r="K330" i="7"/>
  <c r="J330" i="7"/>
  <c r="I330" i="7"/>
  <c r="G330" i="7"/>
  <c r="K329" i="7"/>
  <c r="J329" i="7"/>
  <c r="I329" i="7"/>
  <c r="G329" i="7"/>
  <c r="K328" i="7"/>
  <c r="J328" i="7"/>
  <c r="I328" i="7"/>
  <c r="G328" i="7"/>
  <c r="K327" i="7"/>
  <c r="J327" i="7"/>
  <c r="I327" i="7"/>
  <c r="G327" i="7"/>
  <c r="K326" i="7"/>
  <c r="J326" i="7"/>
  <c r="I326" i="7"/>
  <c r="G326" i="7"/>
  <c r="K325" i="7"/>
  <c r="J325" i="7"/>
  <c r="I325" i="7"/>
  <c r="G325" i="7"/>
  <c r="K324" i="7"/>
  <c r="J324" i="7"/>
  <c r="I324" i="7"/>
  <c r="G324" i="7"/>
  <c r="K323" i="7"/>
  <c r="J323" i="7"/>
  <c r="I323" i="7"/>
  <c r="G323" i="7"/>
  <c r="K322" i="7"/>
  <c r="J322" i="7"/>
  <c r="I322" i="7"/>
  <c r="G322" i="7"/>
  <c r="K321" i="7"/>
  <c r="J321" i="7"/>
  <c r="I321" i="7"/>
  <c r="G321" i="7"/>
  <c r="K320" i="7"/>
  <c r="J320" i="7"/>
  <c r="I320" i="7"/>
  <c r="G320" i="7"/>
  <c r="K319" i="7"/>
  <c r="J319" i="7"/>
  <c r="I319" i="7"/>
  <c r="G319" i="7"/>
  <c r="K318" i="7"/>
  <c r="J318" i="7"/>
  <c r="I318" i="7"/>
  <c r="G318" i="7"/>
  <c r="K317" i="7"/>
  <c r="J317" i="7"/>
  <c r="I317" i="7"/>
  <c r="G317" i="7"/>
  <c r="K316" i="7"/>
  <c r="J316" i="7"/>
  <c r="I316" i="7"/>
  <c r="G316" i="7"/>
  <c r="K315" i="7"/>
  <c r="J315" i="7"/>
  <c r="I315" i="7"/>
  <c r="G315" i="7"/>
  <c r="K314" i="7"/>
  <c r="J314" i="7"/>
  <c r="I314" i="7"/>
  <c r="G314" i="7"/>
  <c r="K313" i="7"/>
  <c r="J313" i="7"/>
  <c r="I313" i="7"/>
  <c r="G313" i="7"/>
  <c r="K312" i="7"/>
  <c r="J312" i="7"/>
  <c r="I312" i="7"/>
  <c r="G312" i="7"/>
  <c r="K311" i="7"/>
  <c r="J311" i="7"/>
  <c r="I311" i="7"/>
  <c r="G311" i="7"/>
  <c r="K310" i="7"/>
  <c r="J310" i="7"/>
  <c r="I310" i="7"/>
  <c r="G310" i="7"/>
  <c r="K309" i="7"/>
  <c r="J309" i="7"/>
  <c r="I309" i="7"/>
  <c r="G309" i="7"/>
  <c r="K308" i="7"/>
  <c r="J308" i="7"/>
  <c r="I308" i="7"/>
  <c r="G308" i="7"/>
  <c r="K307" i="7"/>
  <c r="J307" i="7"/>
  <c r="I307" i="7"/>
  <c r="G307" i="7"/>
  <c r="K306" i="7"/>
  <c r="J306" i="7"/>
  <c r="I306" i="7"/>
  <c r="G306" i="7"/>
  <c r="G294" i="7"/>
  <c r="G293" i="7"/>
  <c r="G292" i="7"/>
  <c r="G291" i="7"/>
  <c r="G290" i="7"/>
  <c r="G289" i="7"/>
  <c r="G288" i="7"/>
  <c r="G287" i="7"/>
  <c r="G286" i="7"/>
  <c r="G285" i="7"/>
  <c r="G284" i="7"/>
  <c r="G283" i="7"/>
  <c r="G282" i="7"/>
  <c r="G281" i="7"/>
  <c r="G280" i="7"/>
  <c r="G279" i="7"/>
  <c r="G278" i="7"/>
  <c r="G277" i="7"/>
  <c r="G276" i="7"/>
  <c r="G275" i="7"/>
  <c r="G274" i="7"/>
  <c r="G273" i="7"/>
  <c r="G272" i="7"/>
  <c r="G271" i="7"/>
  <c r="G270" i="7"/>
  <c r="G269" i="7"/>
  <c r="G268" i="7"/>
  <c r="G267" i="7"/>
  <c r="G266" i="7"/>
  <c r="G265" i="7"/>
  <c r="G264" i="7"/>
  <c r="G263" i="7"/>
  <c r="G262" i="7"/>
  <c r="G261" i="7"/>
  <c r="G260" i="7"/>
  <c r="G259" i="7"/>
  <c r="F258" i="7"/>
  <c r="G199" i="7"/>
  <c r="G198" i="7"/>
  <c r="G197" i="7"/>
  <c r="G196" i="7"/>
  <c r="G195" i="7"/>
  <c r="G194" i="7"/>
  <c r="G193" i="7"/>
  <c r="G192" i="7"/>
  <c r="G191" i="7"/>
  <c r="G190" i="7"/>
  <c r="G189" i="7"/>
  <c r="G188" i="7"/>
  <c r="G187" i="7"/>
  <c r="G186" i="7"/>
  <c r="G185" i="7"/>
  <c r="G184" i="7"/>
  <c r="G183" i="7"/>
  <c r="G182" i="7"/>
  <c r="G181" i="7"/>
  <c r="G180" i="7"/>
  <c r="G179" i="7"/>
  <c r="G178" i="7"/>
  <c r="G177" i="7"/>
  <c r="G176" i="7"/>
  <c r="G175" i="7"/>
  <c r="G174" i="7"/>
  <c r="G173" i="7"/>
  <c r="G172" i="7"/>
  <c r="G171" i="7"/>
  <c r="G170" i="7"/>
  <c r="G169" i="7"/>
  <c r="G168" i="7"/>
  <c r="G167" i="7"/>
  <c r="G166" i="7"/>
  <c r="G165" i="7"/>
  <c r="G152" i="7"/>
  <c r="G151" i="7"/>
  <c r="G150" i="7"/>
  <c r="G149" i="7"/>
  <c r="G148" i="7"/>
  <c r="I148" i="7" s="1"/>
  <c r="G147" i="7"/>
  <c r="K147" i="7" s="1"/>
  <c r="G146" i="7"/>
  <c r="G145" i="7"/>
  <c r="G144" i="7"/>
  <c r="G143" i="7"/>
  <c r="G142" i="7"/>
  <c r="G141" i="7"/>
  <c r="G140" i="7"/>
  <c r="I140" i="7" s="1"/>
  <c r="G139" i="7"/>
  <c r="I139" i="7" s="1"/>
  <c r="G138" i="7"/>
  <c r="G137" i="7"/>
  <c r="G136" i="7"/>
  <c r="G135" i="7"/>
  <c r="G134" i="7"/>
  <c r="G133" i="7"/>
  <c r="G132" i="7"/>
  <c r="I132" i="7" s="1"/>
  <c r="G131" i="7"/>
  <c r="J131" i="7" s="1"/>
  <c r="G130" i="7"/>
  <c r="G129" i="7"/>
  <c r="G128" i="7"/>
  <c r="G127" i="7"/>
  <c r="G126" i="7"/>
  <c r="G125" i="7"/>
  <c r="G124" i="7"/>
  <c r="J124" i="7" s="1"/>
  <c r="G123" i="7"/>
  <c r="I123" i="7" s="1"/>
  <c r="G122" i="7"/>
  <c r="G121" i="7"/>
  <c r="G120" i="7"/>
  <c r="G119" i="7"/>
  <c r="G118" i="7"/>
  <c r="G117" i="7"/>
  <c r="C28" i="7"/>
  <c r="C27" i="7"/>
  <c r="C26" i="7"/>
  <c r="C24" i="7"/>
  <c r="C23" i="7"/>
  <c r="G246" i="6"/>
  <c r="G245" i="6"/>
  <c r="G244" i="6"/>
  <c r="G243" i="6"/>
  <c r="G242" i="6"/>
  <c r="G241" i="6"/>
  <c r="G240" i="6"/>
  <c r="G239" i="6"/>
  <c r="G238" i="6"/>
  <c r="G237" i="6"/>
  <c r="G236" i="6"/>
  <c r="G235" i="6"/>
  <c r="G234" i="6"/>
  <c r="G233" i="6"/>
  <c r="G232" i="6"/>
  <c r="G231" i="6"/>
  <c r="G230" i="6"/>
  <c r="G229" i="6"/>
  <c r="G228" i="6"/>
  <c r="G227" i="6"/>
  <c r="G226" i="6"/>
  <c r="G225" i="6"/>
  <c r="G224" i="6"/>
  <c r="G223" i="6"/>
  <c r="G222" i="6"/>
  <c r="G221" i="6"/>
  <c r="G220" i="6"/>
  <c r="G219" i="6"/>
  <c r="G218" i="6"/>
  <c r="G217" i="6"/>
  <c r="G216" i="6"/>
  <c r="G215" i="6"/>
  <c r="G214" i="6"/>
  <c r="G213" i="6"/>
  <c r="G212" i="6"/>
  <c r="G211" i="6"/>
  <c r="G152" i="6"/>
  <c r="J152" i="6" s="1"/>
  <c r="G151" i="6"/>
  <c r="G150" i="6"/>
  <c r="G149" i="6"/>
  <c r="G148" i="6"/>
  <c r="G147" i="6"/>
  <c r="G146" i="6"/>
  <c r="G145" i="6"/>
  <c r="K145" i="6" s="1"/>
  <c r="G144" i="6"/>
  <c r="K144" i="6" s="1"/>
  <c r="G143" i="6"/>
  <c r="G142" i="6"/>
  <c r="G141" i="6"/>
  <c r="G140" i="6"/>
  <c r="G139" i="6"/>
  <c r="G138" i="6"/>
  <c r="K138" i="6" s="1"/>
  <c r="G137" i="6"/>
  <c r="I137" i="6" s="1"/>
  <c r="G136" i="6"/>
  <c r="J136" i="6" s="1"/>
  <c r="G135" i="6"/>
  <c r="G134" i="6"/>
  <c r="G133" i="6"/>
  <c r="G132" i="6"/>
  <c r="G131" i="6"/>
  <c r="G130" i="6"/>
  <c r="I130" i="6" s="1"/>
  <c r="G129" i="6"/>
  <c r="K129" i="6" s="1"/>
  <c r="G128" i="6"/>
  <c r="J128" i="6" s="1"/>
  <c r="G127" i="6"/>
  <c r="G126" i="6"/>
  <c r="G125" i="6"/>
  <c r="G124" i="6"/>
  <c r="G123" i="6"/>
  <c r="G122" i="6"/>
  <c r="G121" i="6"/>
  <c r="G120" i="6"/>
  <c r="J120" i="6" s="1"/>
  <c r="G119" i="6"/>
  <c r="G118" i="6"/>
  <c r="G117" i="6"/>
  <c r="K434" i="6"/>
  <c r="J434" i="6"/>
  <c r="I434" i="6"/>
  <c r="G434" i="6"/>
  <c r="K433" i="6"/>
  <c r="J433" i="6"/>
  <c r="I433" i="6"/>
  <c r="G433" i="6"/>
  <c r="K432" i="6"/>
  <c r="J432" i="6"/>
  <c r="I432" i="6"/>
  <c r="G432" i="6"/>
  <c r="K431" i="6"/>
  <c r="J431" i="6"/>
  <c r="I431" i="6"/>
  <c r="G431" i="6"/>
  <c r="K430" i="6"/>
  <c r="J430" i="6"/>
  <c r="I430" i="6"/>
  <c r="G430" i="6"/>
  <c r="K429" i="6"/>
  <c r="J429" i="6"/>
  <c r="I429" i="6"/>
  <c r="G429" i="6"/>
  <c r="K428" i="6"/>
  <c r="J428" i="6"/>
  <c r="I428" i="6"/>
  <c r="G428" i="6"/>
  <c r="K427" i="6"/>
  <c r="J427" i="6"/>
  <c r="I427" i="6"/>
  <c r="G427" i="6"/>
  <c r="K426" i="6"/>
  <c r="J426" i="6"/>
  <c r="I426" i="6"/>
  <c r="G426" i="6"/>
  <c r="K425" i="6"/>
  <c r="J425" i="6"/>
  <c r="I425" i="6"/>
  <c r="G425" i="6"/>
  <c r="K424" i="6"/>
  <c r="J424" i="6"/>
  <c r="I424" i="6"/>
  <c r="G424" i="6"/>
  <c r="K423" i="6"/>
  <c r="J423" i="6"/>
  <c r="I423" i="6"/>
  <c r="G423" i="6"/>
  <c r="K422" i="6"/>
  <c r="J422" i="6"/>
  <c r="I422" i="6"/>
  <c r="G422" i="6"/>
  <c r="K421" i="6"/>
  <c r="J421" i="6"/>
  <c r="I421" i="6"/>
  <c r="G421" i="6"/>
  <c r="K420" i="6"/>
  <c r="J420" i="6"/>
  <c r="I420" i="6"/>
  <c r="G420" i="6"/>
  <c r="K419" i="6"/>
  <c r="J419" i="6"/>
  <c r="I419" i="6"/>
  <c r="G419" i="6"/>
  <c r="K418" i="6"/>
  <c r="J418" i="6"/>
  <c r="I418" i="6"/>
  <c r="G418" i="6"/>
  <c r="K417" i="6"/>
  <c r="J417" i="6"/>
  <c r="I417" i="6"/>
  <c r="G417" i="6"/>
  <c r="K416" i="6"/>
  <c r="J416" i="6"/>
  <c r="I416" i="6"/>
  <c r="G416" i="6"/>
  <c r="K415" i="6"/>
  <c r="J415" i="6"/>
  <c r="I415" i="6"/>
  <c r="G415" i="6"/>
  <c r="K414" i="6"/>
  <c r="J414" i="6"/>
  <c r="I414" i="6"/>
  <c r="G414" i="6"/>
  <c r="K413" i="6"/>
  <c r="J413" i="6"/>
  <c r="I413" i="6"/>
  <c r="G413" i="6"/>
  <c r="K412" i="6"/>
  <c r="J412" i="6"/>
  <c r="I412" i="6"/>
  <c r="G412" i="6"/>
  <c r="K411" i="6"/>
  <c r="J411" i="6"/>
  <c r="I411" i="6"/>
  <c r="G411" i="6"/>
  <c r="K410" i="6"/>
  <c r="J410" i="6"/>
  <c r="I410" i="6"/>
  <c r="G410" i="6"/>
  <c r="K409" i="6"/>
  <c r="J409" i="6"/>
  <c r="I409" i="6"/>
  <c r="G409" i="6"/>
  <c r="K408" i="6"/>
  <c r="J408" i="6"/>
  <c r="I408" i="6"/>
  <c r="G408" i="6"/>
  <c r="K407" i="6"/>
  <c r="J407" i="6"/>
  <c r="I407" i="6"/>
  <c r="G407" i="6"/>
  <c r="K406" i="6"/>
  <c r="J406" i="6"/>
  <c r="I406" i="6"/>
  <c r="G406" i="6"/>
  <c r="K405" i="6"/>
  <c r="J405" i="6"/>
  <c r="I405" i="6"/>
  <c r="G405" i="6"/>
  <c r="K404" i="6"/>
  <c r="J404" i="6"/>
  <c r="I404" i="6"/>
  <c r="G404" i="6"/>
  <c r="K403" i="6"/>
  <c r="J403" i="6"/>
  <c r="I403" i="6"/>
  <c r="G403" i="6"/>
  <c r="K402" i="6"/>
  <c r="J402" i="6"/>
  <c r="I402" i="6"/>
  <c r="G402" i="6"/>
  <c r="G401" i="6"/>
  <c r="G400" i="6"/>
  <c r="G399" i="6"/>
  <c r="K387" i="6"/>
  <c r="J387" i="6"/>
  <c r="I387" i="6"/>
  <c r="G387" i="6"/>
  <c r="K386" i="6"/>
  <c r="J386" i="6"/>
  <c r="I386" i="6"/>
  <c r="G386" i="6"/>
  <c r="K385" i="6"/>
  <c r="J385" i="6"/>
  <c r="I385" i="6"/>
  <c r="G385" i="6"/>
  <c r="K384" i="6"/>
  <c r="J384" i="6"/>
  <c r="I384" i="6"/>
  <c r="G384" i="6"/>
  <c r="K383" i="6"/>
  <c r="J383" i="6"/>
  <c r="I383" i="6"/>
  <c r="G383" i="6"/>
  <c r="K382" i="6"/>
  <c r="J382" i="6"/>
  <c r="I382" i="6"/>
  <c r="G382" i="6"/>
  <c r="K381" i="6"/>
  <c r="J381" i="6"/>
  <c r="I381" i="6"/>
  <c r="G381" i="6"/>
  <c r="K380" i="6"/>
  <c r="J380" i="6"/>
  <c r="I380" i="6"/>
  <c r="G380" i="6"/>
  <c r="K379" i="6"/>
  <c r="J379" i="6"/>
  <c r="I379" i="6"/>
  <c r="G379" i="6"/>
  <c r="K378" i="6"/>
  <c r="J378" i="6"/>
  <c r="I378" i="6"/>
  <c r="G378" i="6"/>
  <c r="K377" i="6"/>
  <c r="J377" i="6"/>
  <c r="I377" i="6"/>
  <c r="G377" i="6"/>
  <c r="K376" i="6"/>
  <c r="J376" i="6"/>
  <c r="I376" i="6"/>
  <c r="G376" i="6"/>
  <c r="K375" i="6"/>
  <c r="J375" i="6"/>
  <c r="I375" i="6"/>
  <c r="G375" i="6"/>
  <c r="K374" i="6"/>
  <c r="J374" i="6"/>
  <c r="I374" i="6"/>
  <c r="G374" i="6"/>
  <c r="K373" i="6"/>
  <c r="J373" i="6"/>
  <c r="I373" i="6"/>
  <c r="G373" i="6"/>
  <c r="K372" i="6"/>
  <c r="J372" i="6"/>
  <c r="I372" i="6"/>
  <c r="G372" i="6"/>
  <c r="K371" i="6"/>
  <c r="J371" i="6"/>
  <c r="I371" i="6"/>
  <c r="G371" i="6"/>
  <c r="K370" i="6"/>
  <c r="J370" i="6"/>
  <c r="I370" i="6"/>
  <c r="G370" i="6"/>
  <c r="K369" i="6"/>
  <c r="J369" i="6"/>
  <c r="I369" i="6"/>
  <c r="G369" i="6"/>
  <c r="K368" i="6"/>
  <c r="J368" i="6"/>
  <c r="I368" i="6"/>
  <c r="G368" i="6"/>
  <c r="K367" i="6"/>
  <c r="J367" i="6"/>
  <c r="I367" i="6"/>
  <c r="G367" i="6"/>
  <c r="K366" i="6"/>
  <c r="J366" i="6"/>
  <c r="I366" i="6"/>
  <c r="G366" i="6"/>
  <c r="K365" i="6"/>
  <c r="J365" i="6"/>
  <c r="I365" i="6"/>
  <c r="G365" i="6"/>
  <c r="K364" i="6"/>
  <c r="J364" i="6"/>
  <c r="I364" i="6"/>
  <c r="G364" i="6"/>
  <c r="K363" i="6"/>
  <c r="J363" i="6"/>
  <c r="I363" i="6"/>
  <c r="G363" i="6"/>
  <c r="K362" i="6"/>
  <c r="J362" i="6"/>
  <c r="I362" i="6"/>
  <c r="G362" i="6"/>
  <c r="K361" i="6"/>
  <c r="J361" i="6"/>
  <c r="I361" i="6"/>
  <c r="G361" i="6"/>
  <c r="K360" i="6"/>
  <c r="J360" i="6"/>
  <c r="I360" i="6"/>
  <c r="G360" i="6"/>
  <c r="K359" i="6"/>
  <c r="J359" i="6"/>
  <c r="I359" i="6"/>
  <c r="G359" i="6"/>
  <c r="K358" i="6"/>
  <c r="J358" i="6"/>
  <c r="I358" i="6"/>
  <c r="G358" i="6"/>
  <c r="K357" i="6"/>
  <c r="J357" i="6"/>
  <c r="I357" i="6"/>
  <c r="G357" i="6"/>
  <c r="K356" i="6"/>
  <c r="J356" i="6"/>
  <c r="I356" i="6"/>
  <c r="G356" i="6"/>
  <c r="K355" i="6"/>
  <c r="J355" i="6"/>
  <c r="I355" i="6"/>
  <c r="G355" i="6"/>
  <c r="K354" i="6"/>
  <c r="J354" i="6"/>
  <c r="I354" i="6"/>
  <c r="G354" i="6"/>
  <c r="K353" i="6"/>
  <c r="J353" i="6"/>
  <c r="I353" i="6"/>
  <c r="G353" i="6"/>
  <c r="K352" i="6"/>
  <c r="J352" i="6"/>
  <c r="I352" i="6"/>
  <c r="G352" i="6"/>
  <c r="K340" i="6"/>
  <c r="J340" i="6"/>
  <c r="I340" i="6"/>
  <c r="G340" i="6"/>
  <c r="K339" i="6"/>
  <c r="J339" i="6"/>
  <c r="I339" i="6"/>
  <c r="G339" i="6"/>
  <c r="K338" i="6"/>
  <c r="J338" i="6"/>
  <c r="I338" i="6"/>
  <c r="G338" i="6"/>
  <c r="K337" i="6"/>
  <c r="J337" i="6"/>
  <c r="I337" i="6"/>
  <c r="G337" i="6"/>
  <c r="K336" i="6"/>
  <c r="J336" i="6"/>
  <c r="I336" i="6"/>
  <c r="G336" i="6"/>
  <c r="K335" i="6"/>
  <c r="J335" i="6"/>
  <c r="I335" i="6"/>
  <c r="G335" i="6"/>
  <c r="K334" i="6"/>
  <c r="J334" i="6"/>
  <c r="I334" i="6"/>
  <c r="G334" i="6"/>
  <c r="K333" i="6"/>
  <c r="J333" i="6"/>
  <c r="I333" i="6"/>
  <c r="G333" i="6"/>
  <c r="K332" i="6"/>
  <c r="J332" i="6"/>
  <c r="I332" i="6"/>
  <c r="G332" i="6"/>
  <c r="K331" i="6"/>
  <c r="J331" i="6"/>
  <c r="I331" i="6"/>
  <c r="G331" i="6"/>
  <c r="K330" i="6"/>
  <c r="J330" i="6"/>
  <c r="I330" i="6"/>
  <c r="G330" i="6"/>
  <c r="K329" i="6"/>
  <c r="J329" i="6"/>
  <c r="I329" i="6"/>
  <c r="G329" i="6"/>
  <c r="K328" i="6"/>
  <c r="J328" i="6"/>
  <c r="I328" i="6"/>
  <c r="G328" i="6"/>
  <c r="K327" i="6"/>
  <c r="J327" i="6"/>
  <c r="I327" i="6"/>
  <c r="G327" i="6"/>
  <c r="K326" i="6"/>
  <c r="J326" i="6"/>
  <c r="I326" i="6"/>
  <c r="G326" i="6"/>
  <c r="K325" i="6"/>
  <c r="J325" i="6"/>
  <c r="I325" i="6"/>
  <c r="G325" i="6"/>
  <c r="K324" i="6"/>
  <c r="J324" i="6"/>
  <c r="I324" i="6"/>
  <c r="G324" i="6"/>
  <c r="K323" i="6"/>
  <c r="J323" i="6"/>
  <c r="I323" i="6"/>
  <c r="G323" i="6"/>
  <c r="K322" i="6"/>
  <c r="J322" i="6"/>
  <c r="I322" i="6"/>
  <c r="G322" i="6"/>
  <c r="K321" i="6"/>
  <c r="J321" i="6"/>
  <c r="I321" i="6"/>
  <c r="G321" i="6"/>
  <c r="K320" i="6"/>
  <c r="J320" i="6"/>
  <c r="I320" i="6"/>
  <c r="G320" i="6"/>
  <c r="K319" i="6"/>
  <c r="J319" i="6"/>
  <c r="I319" i="6"/>
  <c r="G319" i="6"/>
  <c r="K318" i="6"/>
  <c r="J318" i="6"/>
  <c r="I318" i="6"/>
  <c r="G318" i="6"/>
  <c r="K317" i="6"/>
  <c r="J317" i="6"/>
  <c r="I317" i="6"/>
  <c r="G317" i="6"/>
  <c r="K316" i="6"/>
  <c r="J316" i="6"/>
  <c r="I316" i="6"/>
  <c r="G316" i="6"/>
  <c r="K315" i="6"/>
  <c r="J315" i="6"/>
  <c r="I315" i="6"/>
  <c r="G315" i="6"/>
  <c r="K314" i="6"/>
  <c r="J314" i="6"/>
  <c r="I314" i="6"/>
  <c r="G314" i="6"/>
  <c r="K313" i="6"/>
  <c r="J313" i="6"/>
  <c r="I313" i="6"/>
  <c r="G313" i="6"/>
  <c r="K312" i="6"/>
  <c r="J312" i="6"/>
  <c r="I312" i="6"/>
  <c r="G312" i="6"/>
  <c r="K311" i="6"/>
  <c r="J311" i="6"/>
  <c r="I311" i="6"/>
  <c r="G311" i="6"/>
  <c r="K310" i="6"/>
  <c r="J310" i="6"/>
  <c r="I310" i="6"/>
  <c r="G310" i="6"/>
  <c r="K309" i="6"/>
  <c r="J309" i="6"/>
  <c r="I309" i="6"/>
  <c r="G309" i="6"/>
  <c r="K308" i="6"/>
  <c r="J308" i="6"/>
  <c r="I308" i="6"/>
  <c r="G308" i="6"/>
  <c r="K307" i="6"/>
  <c r="J307" i="6"/>
  <c r="I307" i="6"/>
  <c r="G307" i="6"/>
  <c r="K306" i="6"/>
  <c r="J306" i="6"/>
  <c r="I306" i="6"/>
  <c r="G306" i="6"/>
  <c r="K305" i="6"/>
  <c r="J305" i="6"/>
  <c r="I305" i="6"/>
  <c r="G305" i="6"/>
  <c r="F304" i="6"/>
  <c r="K293" i="6"/>
  <c r="J293" i="6"/>
  <c r="I293" i="6"/>
  <c r="G293" i="6"/>
  <c r="K292" i="6"/>
  <c r="J292" i="6"/>
  <c r="I292" i="6"/>
  <c r="G292" i="6"/>
  <c r="K291" i="6"/>
  <c r="J291" i="6"/>
  <c r="I291" i="6"/>
  <c r="G291" i="6"/>
  <c r="K290" i="6"/>
  <c r="J290" i="6"/>
  <c r="I290" i="6"/>
  <c r="G290" i="6"/>
  <c r="K289" i="6"/>
  <c r="J289" i="6"/>
  <c r="I289" i="6"/>
  <c r="G289" i="6"/>
  <c r="K288" i="6"/>
  <c r="J288" i="6"/>
  <c r="I288" i="6"/>
  <c r="G288" i="6"/>
  <c r="K285" i="6"/>
  <c r="J285" i="6"/>
  <c r="I285" i="6"/>
  <c r="G285" i="6"/>
  <c r="K284" i="6"/>
  <c r="J284" i="6"/>
  <c r="I284" i="6"/>
  <c r="G284" i="6"/>
  <c r="K283" i="6"/>
  <c r="J283" i="6"/>
  <c r="I283" i="6"/>
  <c r="G283" i="6"/>
  <c r="K282" i="6"/>
  <c r="J282" i="6"/>
  <c r="I282" i="6"/>
  <c r="G282" i="6"/>
  <c r="K281" i="6"/>
  <c r="J281" i="6"/>
  <c r="I281" i="6"/>
  <c r="G281" i="6"/>
  <c r="K280" i="6"/>
  <c r="J280" i="6"/>
  <c r="I280" i="6"/>
  <c r="G280" i="6"/>
  <c r="K279" i="6"/>
  <c r="J279" i="6"/>
  <c r="I279" i="6"/>
  <c r="G279" i="6"/>
  <c r="K278" i="6"/>
  <c r="J278" i="6"/>
  <c r="I278" i="6"/>
  <c r="G278" i="6"/>
  <c r="K277" i="6"/>
  <c r="J277" i="6"/>
  <c r="I277" i="6"/>
  <c r="G277" i="6"/>
  <c r="K276" i="6"/>
  <c r="J276" i="6"/>
  <c r="I276" i="6"/>
  <c r="G276" i="6"/>
  <c r="K275" i="6"/>
  <c r="J275" i="6"/>
  <c r="I275" i="6"/>
  <c r="G275" i="6"/>
  <c r="K274" i="6"/>
  <c r="J274" i="6"/>
  <c r="I274" i="6"/>
  <c r="G274" i="6"/>
  <c r="K273" i="6"/>
  <c r="J273" i="6"/>
  <c r="I273" i="6"/>
  <c r="G273" i="6"/>
  <c r="K272" i="6"/>
  <c r="J272" i="6"/>
  <c r="I272" i="6"/>
  <c r="G272" i="6"/>
  <c r="K271" i="6"/>
  <c r="J271" i="6"/>
  <c r="I271" i="6"/>
  <c r="G271" i="6"/>
  <c r="K270" i="6"/>
  <c r="J270" i="6"/>
  <c r="I270" i="6"/>
  <c r="G270" i="6"/>
  <c r="K269" i="6"/>
  <c r="J269" i="6"/>
  <c r="I269" i="6"/>
  <c r="G269" i="6"/>
  <c r="K268" i="6"/>
  <c r="J268" i="6"/>
  <c r="I268" i="6"/>
  <c r="G268" i="6"/>
  <c r="K267" i="6"/>
  <c r="J267" i="6"/>
  <c r="I267" i="6"/>
  <c r="G267" i="6"/>
  <c r="K266" i="6"/>
  <c r="J266" i="6"/>
  <c r="I266" i="6"/>
  <c r="G266" i="6"/>
  <c r="K265" i="6"/>
  <c r="J265" i="6"/>
  <c r="I265" i="6"/>
  <c r="G265" i="6"/>
  <c r="K264" i="6"/>
  <c r="J264" i="6"/>
  <c r="I264" i="6"/>
  <c r="G264" i="6"/>
  <c r="K263" i="6"/>
  <c r="J263" i="6"/>
  <c r="I263" i="6"/>
  <c r="G263" i="6"/>
  <c r="K262" i="6"/>
  <c r="J262" i="6"/>
  <c r="I262" i="6"/>
  <c r="G262" i="6"/>
  <c r="K261" i="6"/>
  <c r="J261" i="6"/>
  <c r="I261" i="6"/>
  <c r="G261" i="6"/>
  <c r="G260" i="6"/>
  <c r="G259" i="6"/>
  <c r="G258" i="6"/>
  <c r="K287" i="6"/>
  <c r="J287" i="6"/>
  <c r="I287" i="6"/>
  <c r="G287" i="6"/>
  <c r="K286" i="6"/>
  <c r="J286" i="6"/>
  <c r="I286" i="6"/>
  <c r="G286" i="6"/>
  <c r="F257" i="6"/>
  <c r="F210" i="6"/>
  <c r="C37" i="6"/>
  <c r="G66" i="8" s="1"/>
  <c r="C36" i="6"/>
  <c r="G65" i="8" s="1"/>
  <c r="C28" i="6"/>
  <c r="C27" i="6"/>
  <c r="C26" i="6"/>
  <c r="C25" i="6"/>
  <c r="C23" i="6"/>
  <c r="I169" i="6"/>
  <c r="B51" i="8"/>
  <c r="H131" i="7"/>
  <c r="I117" i="7"/>
  <c r="H118" i="7"/>
  <c r="I165" i="7"/>
  <c r="I164" i="7"/>
  <c r="I263" i="7"/>
  <c r="I267" i="7"/>
  <c r="I271" i="7"/>
  <c r="I275" i="7"/>
  <c r="I279" i="7"/>
  <c r="I283" i="7"/>
  <c r="I287" i="7"/>
  <c r="I291" i="7"/>
  <c r="I259" i="7"/>
  <c r="I262" i="7"/>
  <c r="I266" i="7"/>
  <c r="I270" i="7"/>
  <c r="I274" i="7"/>
  <c r="I278" i="7"/>
  <c r="I282" i="7"/>
  <c r="I294" i="7"/>
  <c r="I264" i="7"/>
  <c r="I272" i="7"/>
  <c r="I280" i="7"/>
  <c r="I288" i="7"/>
  <c r="I261" i="7"/>
  <c r="I273" i="7"/>
  <c r="I277" i="7"/>
  <c r="I281" i="7"/>
  <c r="I285" i="7"/>
  <c r="I289" i="7"/>
  <c r="I293" i="7"/>
  <c r="I260" i="7"/>
  <c r="I268" i="7"/>
  <c r="I276" i="7"/>
  <c r="I284" i="7"/>
  <c r="I292" i="7"/>
  <c r="I217" i="7"/>
  <c r="J217" i="7"/>
  <c r="K217" i="7"/>
  <c r="H120" i="6"/>
  <c r="H124" i="6"/>
  <c r="H152" i="6"/>
  <c r="H119" i="6"/>
  <c r="H147" i="6"/>
  <c r="H151" i="6"/>
  <c r="I118" i="6"/>
  <c r="H126" i="6"/>
  <c r="H138" i="6"/>
  <c r="H125" i="6"/>
  <c r="H137" i="6"/>
  <c r="I117" i="6"/>
  <c r="I260" i="6"/>
  <c r="I259" i="6"/>
  <c r="I258" i="6"/>
  <c r="I211" i="6"/>
  <c r="I164" i="6"/>
  <c r="I165" i="6"/>
  <c r="I166" i="6"/>
  <c r="I167" i="6"/>
  <c r="I168" i="6"/>
  <c r="I170" i="6"/>
  <c r="I110" i="4"/>
  <c r="I111" i="4"/>
  <c r="I112" i="4"/>
  <c r="I113" i="4"/>
  <c r="I114" i="4"/>
  <c r="I115" i="4"/>
  <c r="I265" i="7"/>
  <c r="I269" i="7"/>
  <c r="I286" i="7"/>
  <c r="I290" i="7"/>
  <c r="C42" i="7"/>
  <c r="J71" i="8" s="1"/>
  <c r="C39" i="7"/>
  <c r="J68" i="8" s="1"/>
  <c r="C41" i="6"/>
  <c r="G70" i="8" s="1"/>
  <c r="C40" i="6"/>
  <c r="G69" i="8" s="1"/>
  <c r="J10" i="11"/>
  <c r="J9" i="11"/>
  <c r="C28" i="5"/>
  <c r="C27" i="5"/>
  <c r="C26" i="5"/>
  <c r="C25" i="5"/>
  <c r="G441" i="5"/>
  <c r="G440" i="5"/>
  <c r="G439" i="5"/>
  <c r="G438" i="5"/>
  <c r="G437" i="5"/>
  <c r="G436" i="5"/>
  <c r="G435" i="5"/>
  <c r="G434" i="5"/>
  <c r="G433" i="5"/>
  <c r="G432" i="5"/>
  <c r="G431" i="5"/>
  <c r="G430" i="5"/>
  <c r="G429" i="5"/>
  <c r="G428" i="5"/>
  <c r="G427" i="5"/>
  <c r="G426" i="5"/>
  <c r="G425" i="5"/>
  <c r="G424" i="5"/>
  <c r="G423" i="5"/>
  <c r="G422" i="5"/>
  <c r="G421" i="5"/>
  <c r="G420" i="5"/>
  <c r="G419" i="5"/>
  <c r="G418" i="5"/>
  <c r="G417" i="5"/>
  <c r="G416" i="5"/>
  <c r="G415" i="5"/>
  <c r="G414" i="5"/>
  <c r="G413" i="5"/>
  <c r="G412" i="5"/>
  <c r="G411" i="5"/>
  <c r="G410" i="5"/>
  <c r="G409" i="5"/>
  <c r="G408" i="5"/>
  <c r="G407" i="5"/>
  <c r="G406" i="5"/>
  <c r="G394" i="5"/>
  <c r="G393" i="5"/>
  <c r="G392" i="5"/>
  <c r="G391" i="5"/>
  <c r="G390" i="5"/>
  <c r="G389" i="5"/>
  <c r="G388" i="5"/>
  <c r="G387" i="5"/>
  <c r="G386" i="5"/>
  <c r="G385" i="5"/>
  <c r="G384" i="5"/>
  <c r="G383" i="5"/>
  <c r="G382" i="5"/>
  <c r="G381" i="5"/>
  <c r="G380" i="5"/>
  <c r="G379" i="5"/>
  <c r="G378" i="5"/>
  <c r="G377" i="5"/>
  <c r="G376" i="5"/>
  <c r="G375" i="5"/>
  <c r="G374" i="5"/>
  <c r="G373" i="5"/>
  <c r="G372" i="5"/>
  <c r="G371" i="5"/>
  <c r="G370" i="5"/>
  <c r="G369" i="5"/>
  <c r="G368" i="5"/>
  <c r="G367" i="5"/>
  <c r="G366" i="5"/>
  <c r="G365" i="5"/>
  <c r="G364" i="5"/>
  <c r="G363" i="5"/>
  <c r="G362" i="5"/>
  <c r="G361" i="5"/>
  <c r="G360" i="5"/>
  <c r="G359" i="5"/>
  <c r="G347" i="5"/>
  <c r="G346" i="5"/>
  <c r="G345" i="5"/>
  <c r="G344" i="5"/>
  <c r="G343" i="5"/>
  <c r="G342" i="5"/>
  <c r="G341" i="5"/>
  <c r="G340" i="5"/>
  <c r="G339" i="5"/>
  <c r="G338" i="5"/>
  <c r="G337" i="5"/>
  <c r="G336" i="5"/>
  <c r="G335" i="5"/>
  <c r="G334" i="5"/>
  <c r="G333" i="5"/>
  <c r="G332" i="5"/>
  <c r="G331" i="5"/>
  <c r="G330" i="5"/>
  <c r="G329" i="5"/>
  <c r="G328" i="5"/>
  <c r="G327" i="5"/>
  <c r="G326" i="5"/>
  <c r="G325" i="5"/>
  <c r="G324" i="5"/>
  <c r="G323" i="5"/>
  <c r="G322" i="5"/>
  <c r="G321" i="5"/>
  <c r="G320" i="5"/>
  <c r="G319" i="5"/>
  <c r="G318" i="5"/>
  <c r="G317" i="5"/>
  <c r="G316" i="5"/>
  <c r="G315" i="5"/>
  <c r="G314" i="5"/>
  <c r="G313" i="5"/>
  <c r="G312" i="5"/>
  <c r="G300" i="5"/>
  <c r="G299" i="5"/>
  <c r="G298" i="5"/>
  <c r="G297" i="5"/>
  <c r="G296" i="5"/>
  <c r="G295" i="5"/>
  <c r="G294" i="5"/>
  <c r="G293" i="5"/>
  <c r="G292" i="5"/>
  <c r="G291" i="5"/>
  <c r="G290" i="5"/>
  <c r="G289" i="5"/>
  <c r="G288" i="5"/>
  <c r="G287" i="5"/>
  <c r="G286" i="5"/>
  <c r="G285" i="5"/>
  <c r="G284" i="5"/>
  <c r="G283" i="5"/>
  <c r="G282" i="5"/>
  <c r="G281" i="5"/>
  <c r="G280" i="5"/>
  <c r="G279" i="5"/>
  <c r="G278" i="5"/>
  <c r="G277" i="5"/>
  <c r="G276" i="5"/>
  <c r="G275" i="5"/>
  <c r="G274" i="5"/>
  <c r="G273" i="5"/>
  <c r="G272" i="5"/>
  <c r="G271" i="5"/>
  <c r="G270" i="5"/>
  <c r="G269" i="5"/>
  <c r="G268" i="5"/>
  <c r="G267" i="5"/>
  <c r="G266" i="5"/>
  <c r="G265" i="5"/>
  <c r="F264" i="5"/>
  <c r="G253" i="5"/>
  <c r="G252" i="5"/>
  <c r="G251" i="5"/>
  <c r="G250" i="5"/>
  <c r="G249" i="5"/>
  <c r="G248" i="5"/>
  <c r="G247" i="5"/>
  <c r="G246" i="5"/>
  <c r="G245" i="5"/>
  <c r="G244" i="5"/>
  <c r="G243" i="5"/>
  <c r="G242" i="5"/>
  <c r="G241" i="5"/>
  <c r="G240" i="5"/>
  <c r="G239" i="5"/>
  <c r="G238" i="5"/>
  <c r="G237" i="5"/>
  <c r="G236" i="5"/>
  <c r="G235" i="5"/>
  <c r="G234" i="5"/>
  <c r="G233" i="5"/>
  <c r="G232" i="5"/>
  <c r="G231" i="5"/>
  <c r="G230" i="5"/>
  <c r="G229" i="5"/>
  <c r="G228" i="5"/>
  <c r="G227" i="5"/>
  <c r="G226" i="5"/>
  <c r="G225" i="5"/>
  <c r="G224" i="5"/>
  <c r="G223" i="5"/>
  <c r="G222" i="5"/>
  <c r="G221" i="5"/>
  <c r="G220" i="5"/>
  <c r="G219" i="5"/>
  <c r="G218" i="5"/>
  <c r="G217" i="5"/>
  <c r="G216" i="5"/>
  <c r="G215" i="5"/>
  <c r="G214" i="5"/>
  <c r="G213" i="5"/>
  <c r="G212" i="5"/>
  <c r="G211" i="5"/>
  <c r="F210" i="5"/>
  <c r="G151" i="5"/>
  <c r="J151" i="5" s="1"/>
  <c r="G150" i="5"/>
  <c r="I150" i="5" s="1"/>
  <c r="G149" i="5"/>
  <c r="G148" i="5"/>
  <c r="G120" i="5"/>
  <c r="G119" i="5"/>
  <c r="J119" i="5" s="1"/>
  <c r="G118" i="5"/>
  <c r="G117" i="5"/>
  <c r="J117" i="5" s="1"/>
  <c r="G152" i="5"/>
  <c r="J152" i="5" s="1"/>
  <c r="J34" i="11"/>
  <c r="J33" i="11"/>
  <c r="J32" i="11"/>
  <c r="J31" i="11"/>
  <c r="J30" i="11"/>
  <c r="J29" i="11"/>
  <c r="J28" i="11"/>
  <c r="J27" i="11"/>
  <c r="J26" i="11"/>
  <c r="J25" i="11"/>
  <c r="J24" i="11"/>
  <c r="J23" i="11"/>
  <c r="J8" i="11"/>
  <c r="J7" i="11"/>
  <c r="J6" i="11"/>
  <c r="J5" i="11"/>
  <c r="I400" i="6"/>
  <c r="J400" i="6"/>
  <c r="K400" i="6"/>
  <c r="I401" i="6"/>
  <c r="K401" i="6"/>
  <c r="J401" i="6"/>
  <c r="I399" i="6"/>
  <c r="J399" i="6"/>
  <c r="K399" i="6"/>
  <c r="J266" i="7"/>
  <c r="I218" i="7"/>
  <c r="J218" i="7"/>
  <c r="K218" i="7"/>
  <c r="J211" i="6"/>
  <c r="J164" i="6"/>
  <c r="J165" i="6"/>
  <c r="J166" i="6"/>
  <c r="J167" i="6"/>
  <c r="J168" i="6"/>
  <c r="J169" i="6"/>
  <c r="J259" i="6"/>
  <c r="J258" i="6"/>
  <c r="J170" i="6"/>
  <c r="I171" i="6"/>
  <c r="J171" i="6"/>
  <c r="J260" i="6"/>
  <c r="H197" i="5"/>
  <c r="H193" i="5"/>
  <c r="H192" i="5"/>
  <c r="H191" i="5"/>
  <c r="H190" i="5"/>
  <c r="H189" i="5"/>
  <c r="H188" i="5"/>
  <c r="H187" i="5"/>
  <c r="H186" i="5"/>
  <c r="H185" i="5"/>
  <c r="H184" i="5"/>
  <c r="H183" i="5"/>
  <c r="H182" i="5"/>
  <c r="H181" i="5"/>
  <c r="H180" i="5"/>
  <c r="H179" i="5"/>
  <c r="H178" i="5"/>
  <c r="H177" i="5"/>
  <c r="H176" i="5"/>
  <c r="H175" i="5"/>
  <c r="H174" i="5"/>
  <c r="H173" i="5"/>
  <c r="H172" i="5"/>
  <c r="H171" i="5"/>
  <c r="H170" i="5"/>
  <c r="H169" i="5"/>
  <c r="H168" i="5"/>
  <c r="H167" i="5"/>
  <c r="H198" i="5"/>
  <c r="H194" i="5"/>
  <c r="H164" i="5"/>
  <c r="H199" i="5"/>
  <c r="H195" i="5"/>
  <c r="H165" i="5"/>
  <c r="H196" i="5"/>
  <c r="H166" i="5"/>
  <c r="H124" i="5"/>
  <c r="H128" i="5"/>
  <c r="H132" i="5"/>
  <c r="H136" i="5"/>
  <c r="H140" i="5"/>
  <c r="H144" i="5"/>
  <c r="H126" i="5"/>
  <c r="H138" i="5"/>
  <c r="H146" i="5"/>
  <c r="H125" i="5"/>
  <c r="H133" i="5"/>
  <c r="H141" i="5"/>
  <c r="H123" i="5"/>
  <c r="H127" i="5"/>
  <c r="H131" i="5"/>
  <c r="H135" i="5"/>
  <c r="H139" i="5"/>
  <c r="H143" i="5"/>
  <c r="H122" i="5"/>
  <c r="H130" i="5"/>
  <c r="H134" i="5"/>
  <c r="H142" i="5"/>
  <c r="H121" i="5"/>
  <c r="H129" i="5"/>
  <c r="H137" i="5"/>
  <c r="H145" i="5"/>
  <c r="H118" i="5"/>
  <c r="H148" i="5"/>
  <c r="H152" i="5"/>
  <c r="H147" i="5"/>
  <c r="H151" i="5"/>
  <c r="H117" i="5"/>
  <c r="H120" i="5"/>
  <c r="H150" i="5"/>
  <c r="H119" i="5"/>
  <c r="H149" i="5"/>
  <c r="I211" i="5"/>
  <c r="I116" i="4"/>
  <c r="J289" i="7"/>
  <c r="J285" i="7"/>
  <c r="J260" i="7"/>
  <c r="J259" i="7"/>
  <c r="J262" i="7"/>
  <c r="J290" i="7"/>
  <c r="J286" i="7"/>
  <c r="J261" i="7"/>
  <c r="J292" i="7"/>
  <c r="J288" i="7"/>
  <c r="J284" i="7"/>
  <c r="J270" i="7"/>
  <c r="J264" i="7"/>
  <c r="J263" i="7"/>
  <c r="J269" i="7"/>
  <c r="J267" i="7"/>
  <c r="J293" i="7"/>
  <c r="J265" i="7"/>
  <c r="J294" i="7"/>
  <c r="J164" i="7"/>
  <c r="J291" i="7"/>
  <c r="J287" i="7"/>
  <c r="J283" i="7"/>
  <c r="J268" i="7"/>
  <c r="J117" i="6"/>
  <c r="J118" i="6"/>
  <c r="J117" i="7"/>
  <c r="J282" i="7"/>
  <c r="J280" i="7"/>
  <c r="J279" i="7"/>
  <c r="J278" i="7"/>
  <c r="J276" i="7"/>
  <c r="J275" i="7"/>
  <c r="J272" i="7"/>
  <c r="J271" i="7"/>
  <c r="J274" i="7"/>
  <c r="J281" i="7"/>
  <c r="J277" i="7"/>
  <c r="J273" i="7"/>
  <c r="J165" i="7"/>
  <c r="J118" i="7"/>
  <c r="I118" i="7"/>
  <c r="D41" i="7"/>
  <c r="K70" i="8" s="1"/>
  <c r="D38" i="7"/>
  <c r="K67" i="8" s="1"/>
  <c r="J166" i="7"/>
  <c r="I166" i="7"/>
  <c r="J212" i="6"/>
  <c r="I212" i="6"/>
  <c r="I119" i="6"/>
  <c r="J119" i="6"/>
  <c r="K171" i="6"/>
  <c r="D38" i="6"/>
  <c r="H67" i="8" s="1"/>
  <c r="D39" i="6"/>
  <c r="H68" i="8" s="1"/>
  <c r="C40" i="5"/>
  <c r="D69" i="8" s="1"/>
  <c r="D65" i="5"/>
  <c r="C38" i="5" s="1"/>
  <c r="D67" i="8" s="1"/>
  <c r="C39" i="5"/>
  <c r="D68" i="8" s="1"/>
  <c r="I406" i="5"/>
  <c r="I359" i="5"/>
  <c r="I312" i="5"/>
  <c r="I265" i="5"/>
  <c r="K219" i="7"/>
  <c r="I219" i="7"/>
  <c r="J219" i="7"/>
  <c r="K164" i="6"/>
  <c r="K165" i="6"/>
  <c r="K166" i="6"/>
  <c r="K167" i="6"/>
  <c r="K168" i="6"/>
  <c r="K169" i="6"/>
  <c r="K170" i="6"/>
  <c r="I172" i="6"/>
  <c r="J172" i="6"/>
  <c r="K172" i="6"/>
  <c r="K119" i="6"/>
  <c r="K259" i="6"/>
  <c r="K260" i="6"/>
  <c r="K258" i="6"/>
  <c r="I164" i="5"/>
  <c r="J164" i="5"/>
  <c r="J165" i="5"/>
  <c r="I165" i="5"/>
  <c r="I166" i="5"/>
  <c r="J166" i="5"/>
  <c r="I117" i="4"/>
  <c r="K268" i="7"/>
  <c r="K291" i="7"/>
  <c r="K263" i="7"/>
  <c r="K293" i="7"/>
  <c r="K261" i="7"/>
  <c r="K294" i="7"/>
  <c r="K287" i="7"/>
  <c r="K267" i="7"/>
  <c r="K264" i="7"/>
  <c r="K292" i="7"/>
  <c r="K262" i="7"/>
  <c r="K290" i="7"/>
  <c r="K260" i="7"/>
  <c r="K265" i="7"/>
  <c r="K266" i="7"/>
  <c r="K288" i="7"/>
  <c r="K259" i="7"/>
  <c r="K270" i="7"/>
  <c r="K289" i="7"/>
  <c r="K269" i="7"/>
  <c r="K283" i="7"/>
  <c r="K285" i="7"/>
  <c r="K284" i="7"/>
  <c r="K286" i="7"/>
  <c r="K212" i="6"/>
  <c r="K117" i="6"/>
  <c r="K118" i="6"/>
  <c r="K211" i="6"/>
  <c r="K166" i="7"/>
  <c r="K280" i="7"/>
  <c r="K278" i="7"/>
  <c r="K276" i="7"/>
  <c r="K273" i="7"/>
  <c r="K272" i="7"/>
  <c r="K281" i="7"/>
  <c r="K279" i="7"/>
  <c r="K275" i="7"/>
  <c r="K271" i="7"/>
  <c r="K282" i="7"/>
  <c r="K277" i="7"/>
  <c r="K274" i="7"/>
  <c r="I167" i="7"/>
  <c r="K167" i="7"/>
  <c r="J167" i="7"/>
  <c r="E40" i="7"/>
  <c r="L69" i="8" s="1"/>
  <c r="E41" i="7"/>
  <c r="L70" i="8" s="1"/>
  <c r="K117" i="7"/>
  <c r="K164" i="7"/>
  <c r="K165" i="7"/>
  <c r="I119" i="7"/>
  <c r="J119" i="7"/>
  <c r="K119" i="7"/>
  <c r="K118" i="7"/>
  <c r="K213" i="6"/>
  <c r="I213" i="6"/>
  <c r="J213" i="6"/>
  <c r="E39" i="6"/>
  <c r="I68" i="8" s="1"/>
  <c r="E42" i="6"/>
  <c r="I71" i="8" s="1"/>
  <c r="E38" i="6"/>
  <c r="I67" i="8" s="1"/>
  <c r="J211" i="5"/>
  <c r="D39" i="5"/>
  <c r="E68" i="8" s="1"/>
  <c r="D42" i="5"/>
  <c r="E71" i="8" s="1"/>
  <c r="J265" i="5"/>
  <c r="J406" i="5"/>
  <c r="J312" i="5"/>
  <c r="J359" i="5"/>
  <c r="J407" i="5"/>
  <c r="I407" i="5"/>
  <c r="I360" i="5"/>
  <c r="J360" i="5"/>
  <c r="I313" i="5"/>
  <c r="J313" i="5"/>
  <c r="J266" i="5"/>
  <c r="I266" i="5"/>
  <c r="I212" i="5"/>
  <c r="J212" i="5"/>
  <c r="I118" i="5"/>
  <c r="J118" i="5"/>
  <c r="K164" i="5"/>
  <c r="J220" i="7"/>
  <c r="K220" i="7"/>
  <c r="I220" i="7"/>
  <c r="K173" i="6"/>
  <c r="I173" i="6"/>
  <c r="J173" i="6"/>
  <c r="K165" i="5"/>
  <c r="K166" i="5"/>
  <c r="I118" i="4"/>
  <c r="I120" i="7"/>
  <c r="J120" i="7"/>
  <c r="K120" i="7"/>
  <c r="K168" i="7"/>
  <c r="J168" i="7"/>
  <c r="I168" i="7"/>
  <c r="J214" i="6"/>
  <c r="I214" i="6"/>
  <c r="K214" i="6"/>
  <c r="I121" i="6"/>
  <c r="J121" i="6"/>
  <c r="K121" i="6"/>
  <c r="K407" i="5"/>
  <c r="K313" i="5"/>
  <c r="K360" i="5"/>
  <c r="K266" i="5"/>
  <c r="K406" i="5"/>
  <c r="K265" i="5"/>
  <c r="K359" i="5"/>
  <c r="K312" i="5"/>
  <c r="I408" i="5"/>
  <c r="J408" i="5"/>
  <c r="K408" i="5"/>
  <c r="I361" i="5"/>
  <c r="J361" i="5"/>
  <c r="K361" i="5"/>
  <c r="I314" i="5"/>
  <c r="J314" i="5"/>
  <c r="K314" i="5"/>
  <c r="I267" i="5"/>
  <c r="J267" i="5"/>
  <c r="K267" i="5"/>
  <c r="K118" i="5"/>
  <c r="K211" i="5"/>
  <c r="K212" i="5"/>
  <c r="I213" i="5"/>
  <c r="J213" i="5"/>
  <c r="K213" i="5"/>
  <c r="K119" i="5"/>
  <c r="I119" i="5"/>
  <c r="I221" i="7"/>
  <c r="J221" i="7"/>
  <c r="K221" i="7"/>
  <c r="I174" i="6"/>
  <c r="J174" i="6"/>
  <c r="K174" i="6"/>
  <c r="I119" i="4"/>
  <c r="K169" i="7"/>
  <c r="J169" i="7"/>
  <c r="I169" i="7"/>
  <c r="K121" i="7"/>
  <c r="I121" i="7"/>
  <c r="J121" i="7"/>
  <c r="K215" i="6"/>
  <c r="J215" i="6"/>
  <c r="I215" i="6"/>
  <c r="I122" i="6"/>
  <c r="J122" i="6"/>
  <c r="K122" i="6"/>
  <c r="I409" i="5"/>
  <c r="J409" i="5"/>
  <c r="K409" i="5"/>
  <c r="K362" i="5"/>
  <c r="I362" i="5"/>
  <c r="J362" i="5"/>
  <c r="K315" i="5"/>
  <c r="I315" i="5"/>
  <c r="J315" i="5"/>
  <c r="I268" i="5"/>
  <c r="J268" i="5"/>
  <c r="K268" i="5"/>
  <c r="K214" i="5"/>
  <c r="I214" i="5"/>
  <c r="J214" i="5"/>
  <c r="I120" i="5"/>
  <c r="J120" i="5"/>
  <c r="K120" i="5"/>
  <c r="I222" i="7"/>
  <c r="J222" i="7"/>
  <c r="K222" i="7"/>
  <c r="K175" i="6"/>
  <c r="I175" i="6"/>
  <c r="J175" i="6"/>
  <c r="I120" i="4"/>
  <c r="J122" i="7"/>
  <c r="K122" i="7"/>
  <c r="I122" i="7"/>
  <c r="J170" i="7"/>
  <c r="K170" i="7"/>
  <c r="I170" i="7"/>
  <c r="K216" i="6"/>
  <c r="J216" i="6"/>
  <c r="I216" i="6"/>
  <c r="K123" i="6"/>
  <c r="I123" i="6"/>
  <c r="J123" i="6"/>
  <c r="K410" i="5"/>
  <c r="I410" i="5"/>
  <c r="J410" i="5"/>
  <c r="J363" i="5"/>
  <c r="K363" i="5"/>
  <c r="I363" i="5"/>
  <c r="J316" i="5"/>
  <c r="K316" i="5"/>
  <c r="I316" i="5"/>
  <c r="K269" i="5"/>
  <c r="I269" i="5"/>
  <c r="J269" i="5"/>
  <c r="J215" i="5"/>
  <c r="K215" i="5"/>
  <c r="I215" i="5"/>
  <c r="I147" i="5"/>
  <c r="J147" i="5"/>
  <c r="K147" i="5"/>
  <c r="I225" i="7"/>
  <c r="J225" i="7"/>
  <c r="K225" i="7"/>
  <c r="I176" i="6"/>
  <c r="J176" i="6"/>
  <c r="K176" i="6"/>
  <c r="I171" i="7"/>
  <c r="K171" i="7"/>
  <c r="J171" i="7"/>
  <c r="J217" i="6"/>
  <c r="I217" i="6"/>
  <c r="K217" i="6"/>
  <c r="J124" i="6"/>
  <c r="K124" i="6"/>
  <c r="I124" i="6"/>
  <c r="J411" i="5"/>
  <c r="K411" i="5"/>
  <c r="I411" i="5"/>
  <c r="I364" i="5"/>
  <c r="J364" i="5"/>
  <c r="K364" i="5"/>
  <c r="I317" i="5"/>
  <c r="J317" i="5"/>
  <c r="K317" i="5"/>
  <c r="J270" i="5"/>
  <c r="K270" i="5"/>
  <c r="I270" i="5"/>
  <c r="I216" i="5"/>
  <c r="J216" i="5"/>
  <c r="K216" i="5"/>
  <c r="J148" i="5"/>
  <c r="I148" i="5"/>
  <c r="K148" i="5"/>
  <c r="I226" i="7"/>
  <c r="J226" i="7"/>
  <c r="K226" i="7"/>
  <c r="K177" i="6"/>
  <c r="I177" i="6"/>
  <c r="J177" i="6"/>
  <c r="K172" i="7"/>
  <c r="J172" i="7"/>
  <c r="I172" i="7"/>
  <c r="I124" i="7"/>
  <c r="I218" i="6"/>
  <c r="K218" i="6"/>
  <c r="J218" i="6"/>
  <c r="I125" i="6"/>
  <c r="J125" i="6"/>
  <c r="K125" i="6"/>
  <c r="I412" i="5"/>
  <c r="J412" i="5"/>
  <c r="K412" i="5"/>
  <c r="I365" i="5"/>
  <c r="J365" i="5"/>
  <c r="K365" i="5"/>
  <c r="I318" i="5"/>
  <c r="J318" i="5"/>
  <c r="K318" i="5"/>
  <c r="I271" i="5"/>
  <c r="J271" i="5"/>
  <c r="K271" i="5"/>
  <c r="I217" i="5"/>
  <c r="J217" i="5"/>
  <c r="K217" i="5"/>
  <c r="I149" i="5"/>
  <c r="J149" i="5"/>
  <c r="K149" i="5"/>
  <c r="K227" i="7"/>
  <c r="I227" i="7"/>
  <c r="J227" i="7"/>
  <c r="I178" i="6"/>
  <c r="J178" i="6"/>
  <c r="K178" i="6"/>
  <c r="K125" i="7"/>
  <c r="I125" i="7"/>
  <c r="J125" i="7"/>
  <c r="K173" i="7"/>
  <c r="J173" i="7"/>
  <c r="I173" i="7"/>
  <c r="I219" i="6"/>
  <c r="K219" i="6"/>
  <c r="J219" i="6"/>
  <c r="I126" i="6"/>
  <c r="J126" i="6"/>
  <c r="K126" i="6"/>
  <c r="I413" i="5"/>
  <c r="J413" i="5"/>
  <c r="K413" i="5"/>
  <c r="K366" i="5"/>
  <c r="I366" i="5"/>
  <c r="J366" i="5"/>
  <c r="K319" i="5"/>
  <c r="I319" i="5"/>
  <c r="J319" i="5"/>
  <c r="I272" i="5"/>
  <c r="J272" i="5"/>
  <c r="K272" i="5"/>
  <c r="K218" i="5"/>
  <c r="I218" i="5"/>
  <c r="J218" i="5"/>
  <c r="J228" i="7"/>
  <c r="K228" i="7"/>
  <c r="I228" i="7"/>
  <c r="K179" i="6"/>
  <c r="I179" i="6"/>
  <c r="J179" i="6"/>
  <c r="J126" i="7"/>
  <c r="K126" i="7"/>
  <c r="I126" i="7"/>
  <c r="J174" i="7"/>
  <c r="K174" i="7"/>
  <c r="I174" i="7"/>
  <c r="I220" i="6"/>
  <c r="J220" i="6"/>
  <c r="K220" i="6"/>
  <c r="K127" i="6"/>
  <c r="I127" i="6"/>
  <c r="J127" i="6"/>
  <c r="K414" i="5"/>
  <c r="I414" i="5"/>
  <c r="J414" i="5"/>
  <c r="J367" i="5"/>
  <c r="K367" i="5"/>
  <c r="I367" i="5"/>
  <c r="J320" i="5"/>
  <c r="K320" i="5"/>
  <c r="I320" i="5"/>
  <c r="K273" i="5"/>
  <c r="I273" i="5"/>
  <c r="J273" i="5"/>
  <c r="J219" i="5"/>
  <c r="K219" i="5"/>
  <c r="I219" i="5"/>
  <c r="I229" i="7"/>
  <c r="J229" i="7"/>
  <c r="K229" i="7"/>
  <c r="I180" i="6"/>
  <c r="J180" i="6"/>
  <c r="K180" i="6"/>
  <c r="I127" i="7"/>
  <c r="J127" i="7"/>
  <c r="K127" i="7"/>
  <c r="I175" i="7"/>
  <c r="K175" i="7"/>
  <c r="J175" i="7"/>
  <c r="I221" i="6"/>
  <c r="K221" i="6"/>
  <c r="J221" i="6"/>
  <c r="J415" i="5"/>
  <c r="K415" i="5"/>
  <c r="I415" i="5"/>
  <c r="I368" i="5"/>
  <c r="J368" i="5"/>
  <c r="K368" i="5"/>
  <c r="I321" i="5"/>
  <c r="J321" i="5"/>
  <c r="K321" i="5"/>
  <c r="J274" i="5"/>
  <c r="K274" i="5"/>
  <c r="I274" i="5"/>
  <c r="I220" i="5"/>
  <c r="J220" i="5"/>
  <c r="K220" i="5"/>
  <c r="I230" i="7"/>
  <c r="J230" i="7"/>
  <c r="K230" i="7"/>
  <c r="K181" i="6"/>
  <c r="I181" i="6"/>
  <c r="J181" i="6"/>
  <c r="I128" i="7"/>
  <c r="J128" i="7"/>
  <c r="K128" i="7"/>
  <c r="J222" i="6"/>
  <c r="K222" i="6"/>
  <c r="I222" i="6"/>
  <c r="I129" i="6"/>
  <c r="J129" i="6"/>
  <c r="I416" i="5"/>
  <c r="J416" i="5"/>
  <c r="K416" i="5"/>
  <c r="I369" i="5"/>
  <c r="J369" i="5"/>
  <c r="K369" i="5"/>
  <c r="I322" i="5"/>
  <c r="J322" i="5"/>
  <c r="K322" i="5"/>
  <c r="I275" i="5"/>
  <c r="J275" i="5"/>
  <c r="K275" i="5"/>
  <c r="I221" i="5"/>
  <c r="J221" i="5"/>
  <c r="K221" i="5"/>
  <c r="K231" i="7"/>
  <c r="I231" i="7"/>
  <c r="J231" i="7"/>
  <c r="I182" i="6"/>
  <c r="J182" i="6"/>
  <c r="K182" i="6"/>
  <c r="K223" i="6"/>
  <c r="I223" i="6"/>
  <c r="J223" i="6"/>
  <c r="I417" i="5"/>
  <c r="J417" i="5"/>
  <c r="K417" i="5"/>
  <c r="K370" i="5"/>
  <c r="I370" i="5"/>
  <c r="J370" i="5"/>
  <c r="K323" i="5"/>
  <c r="I323" i="5"/>
  <c r="J323" i="5"/>
  <c r="I276" i="5"/>
  <c r="J276" i="5"/>
  <c r="K276" i="5"/>
  <c r="K222" i="5"/>
  <c r="I222" i="5"/>
  <c r="J222" i="5"/>
  <c r="J232" i="7"/>
  <c r="K232" i="7"/>
  <c r="I232" i="7"/>
  <c r="K183" i="6"/>
  <c r="I183" i="6"/>
  <c r="J183" i="6"/>
  <c r="J176" i="7"/>
  <c r="K176" i="7"/>
  <c r="I176" i="7"/>
  <c r="J224" i="6"/>
  <c r="I224" i="6"/>
  <c r="K224" i="6"/>
  <c r="K131" i="6"/>
  <c r="I131" i="6"/>
  <c r="J131" i="6"/>
  <c r="K418" i="5"/>
  <c r="I418" i="5"/>
  <c r="J418" i="5"/>
  <c r="J371" i="5"/>
  <c r="K371" i="5"/>
  <c r="I371" i="5"/>
  <c r="J324" i="5"/>
  <c r="K324" i="5"/>
  <c r="I324" i="5"/>
  <c r="K277" i="5"/>
  <c r="I277" i="5"/>
  <c r="J277" i="5"/>
  <c r="J223" i="5"/>
  <c r="K223" i="5"/>
  <c r="I223" i="5"/>
  <c r="I233" i="7"/>
  <c r="J233" i="7"/>
  <c r="K233" i="7"/>
  <c r="I184" i="6"/>
  <c r="J184" i="6"/>
  <c r="K184" i="6"/>
  <c r="I177" i="7"/>
  <c r="K177" i="7"/>
  <c r="J177" i="7"/>
  <c r="I225" i="6"/>
  <c r="J225" i="6"/>
  <c r="K225" i="6"/>
  <c r="J132" i="6"/>
  <c r="K132" i="6"/>
  <c r="I132" i="6"/>
  <c r="J419" i="5"/>
  <c r="K419" i="5"/>
  <c r="I419" i="5"/>
  <c r="I372" i="5"/>
  <c r="J372" i="5"/>
  <c r="K372" i="5"/>
  <c r="I325" i="5"/>
  <c r="J325" i="5"/>
  <c r="K325" i="5"/>
  <c r="J278" i="5"/>
  <c r="K278" i="5"/>
  <c r="I278" i="5"/>
  <c r="I224" i="5"/>
  <c r="J224" i="5"/>
  <c r="K224" i="5"/>
  <c r="I234" i="7"/>
  <c r="J234" i="7"/>
  <c r="K234" i="7"/>
  <c r="K185" i="6"/>
  <c r="I185" i="6"/>
  <c r="J185" i="6"/>
  <c r="K178" i="7"/>
  <c r="J178" i="7"/>
  <c r="I178" i="7"/>
  <c r="I129" i="7"/>
  <c r="J129" i="7"/>
  <c r="K129" i="7"/>
  <c r="J226" i="6"/>
  <c r="I226" i="6"/>
  <c r="K226" i="6"/>
  <c r="I133" i="6"/>
  <c r="J133" i="6"/>
  <c r="K133" i="6"/>
  <c r="I420" i="5"/>
  <c r="J420" i="5"/>
  <c r="K420" i="5"/>
  <c r="I373" i="5"/>
  <c r="J373" i="5"/>
  <c r="K373" i="5"/>
  <c r="I326" i="5"/>
  <c r="J326" i="5"/>
  <c r="K326" i="5"/>
  <c r="I279" i="5"/>
  <c r="J279" i="5"/>
  <c r="K279" i="5"/>
  <c r="I225" i="5"/>
  <c r="J225" i="5"/>
  <c r="K225" i="5"/>
  <c r="K235" i="7"/>
  <c r="I235" i="7"/>
  <c r="J235" i="7"/>
  <c r="I186" i="6"/>
  <c r="J186" i="6"/>
  <c r="K186" i="6"/>
  <c r="K130" i="7"/>
  <c r="I130" i="7"/>
  <c r="J130" i="7"/>
  <c r="K179" i="7"/>
  <c r="J179" i="7"/>
  <c r="I179" i="7"/>
  <c r="J227" i="6"/>
  <c r="K227" i="6"/>
  <c r="I227" i="6"/>
  <c r="I134" i="6"/>
  <c r="J134" i="6"/>
  <c r="K134" i="6"/>
  <c r="I421" i="5"/>
  <c r="J421" i="5"/>
  <c r="K421" i="5"/>
  <c r="K374" i="5"/>
  <c r="I374" i="5"/>
  <c r="J374" i="5"/>
  <c r="K327" i="5"/>
  <c r="I327" i="5"/>
  <c r="J327" i="5"/>
  <c r="I280" i="5"/>
  <c r="J280" i="5"/>
  <c r="K280" i="5"/>
  <c r="K226" i="5"/>
  <c r="I226" i="5"/>
  <c r="J226" i="5"/>
  <c r="J236" i="7"/>
  <c r="K236" i="7"/>
  <c r="I236" i="7"/>
  <c r="K187" i="6"/>
  <c r="I187" i="6"/>
  <c r="J187" i="6"/>
  <c r="J180" i="7"/>
  <c r="K180" i="7"/>
  <c r="I180" i="7"/>
  <c r="K228" i="6"/>
  <c r="J228" i="6"/>
  <c r="I228" i="6"/>
  <c r="K135" i="6"/>
  <c r="I135" i="6"/>
  <c r="J135" i="6"/>
  <c r="K422" i="5"/>
  <c r="I422" i="5"/>
  <c r="J422" i="5"/>
  <c r="J375" i="5"/>
  <c r="K375" i="5"/>
  <c r="I375" i="5"/>
  <c r="J328" i="5"/>
  <c r="K328" i="5"/>
  <c r="I328" i="5"/>
  <c r="K281" i="5"/>
  <c r="I281" i="5"/>
  <c r="J281" i="5"/>
  <c r="J227" i="5"/>
  <c r="K227" i="5"/>
  <c r="I227" i="5"/>
  <c r="I238" i="7"/>
  <c r="J238" i="7"/>
  <c r="K238" i="7"/>
  <c r="I188" i="6"/>
  <c r="J188" i="6"/>
  <c r="K188" i="6"/>
  <c r="I132" i="4"/>
  <c r="J132" i="7"/>
  <c r="K132" i="7"/>
  <c r="I181" i="7"/>
  <c r="K181" i="7"/>
  <c r="J181" i="7"/>
  <c r="K229" i="6"/>
  <c r="J229" i="6"/>
  <c r="I229" i="6"/>
  <c r="J423" i="5"/>
  <c r="K423" i="5"/>
  <c r="I423" i="5"/>
  <c r="I376" i="5"/>
  <c r="J376" i="5"/>
  <c r="K376" i="5"/>
  <c r="I329" i="5"/>
  <c r="J329" i="5"/>
  <c r="K329" i="5"/>
  <c r="J282" i="5"/>
  <c r="K282" i="5"/>
  <c r="I282" i="5"/>
  <c r="I228" i="5"/>
  <c r="J228" i="5"/>
  <c r="K228" i="5"/>
  <c r="K239" i="7"/>
  <c r="I239" i="7"/>
  <c r="J239" i="7"/>
  <c r="K189" i="6"/>
  <c r="I189" i="6"/>
  <c r="J189" i="6"/>
  <c r="I133" i="4"/>
  <c r="K182" i="7"/>
  <c r="J182" i="7"/>
  <c r="I182" i="7"/>
  <c r="I133" i="7"/>
  <c r="J133" i="7"/>
  <c r="K133" i="7"/>
  <c r="K230" i="6"/>
  <c r="I230" i="6"/>
  <c r="J230" i="6"/>
  <c r="J137" i="6"/>
  <c r="K137" i="6"/>
  <c r="I424" i="5"/>
  <c r="J424" i="5"/>
  <c r="K424" i="5"/>
  <c r="I377" i="5"/>
  <c r="J377" i="5"/>
  <c r="K377" i="5"/>
  <c r="I330" i="5"/>
  <c r="J330" i="5"/>
  <c r="K330" i="5"/>
  <c r="I283" i="5"/>
  <c r="J283" i="5"/>
  <c r="K283" i="5"/>
  <c r="I229" i="5"/>
  <c r="J229" i="5"/>
  <c r="K229" i="5"/>
  <c r="J240" i="7"/>
  <c r="K240" i="7"/>
  <c r="I240" i="7"/>
  <c r="I190" i="6"/>
  <c r="J190" i="6"/>
  <c r="K190" i="6"/>
  <c r="I134" i="4"/>
  <c r="K134" i="7"/>
  <c r="I134" i="7"/>
  <c r="J134" i="7"/>
  <c r="K183" i="7"/>
  <c r="J183" i="7"/>
  <c r="I183" i="7"/>
  <c r="I231" i="6"/>
  <c r="K231" i="6"/>
  <c r="J231" i="6"/>
  <c r="I138" i="6"/>
  <c r="J138" i="6"/>
  <c r="I425" i="5"/>
  <c r="J425" i="5"/>
  <c r="K425" i="5"/>
  <c r="K378" i="5"/>
  <c r="I378" i="5"/>
  <c r="J378" i="5"/>
  <c r="K331" i="5"/>
  <c r="I331" i="5"/>
  <c r="J331" i="5"/>
  <c r="I284" i="5"/>
  <c r="J284" i="5"/>
  <c r="K284" i="5"/>
  <c r="K230" i="5"/>
  <c r="I230" i="5"/>
  <c r="J230" i="5"/>
  <c r="I241" i="7"/>
  <c r="J241" i="7"/>
  <c r="K241" i="7"/>
  <c r="K191" i="6"/>
  <c r="I191" i="6"/>
  <c r="J191" i="6"/>
  <c r="I135" i="4"/>
  <c r="J135" i="7"/>
  <c r="K135" i="7"/>
  <c r="I135" i="7"/>
  <c r="J184" i="7"/>
  <c r="K184" i="7"/>
  <c r="I184" i="7"/>
  <c r="I232" i="6"/>
  <c r="K232" i="6"/>
  <c r="J232" i="6"/>
  <c r="K139" i="6"/>
  <c r="I139" i="6"/>
  <c r="J139" i="6"/>
  <c r="K426" i="5"/>
  <c r="I426" i="5"/>
  <c r="J426" i="5"/>
  <c r="J379" i="5"/>
  <c r="K379" i="5"/>
  <c r="I379" i="5"/>
  <c r="J332" i="5"/>
  <c r="K332" i="5"/>
  <c r="I332" i="5"/>
  <c r="K285" i="5"/>
  <c r="I285" i="5"/>
  <c r="J285" i="5"/>
  <c r="J231" i="5"/>
  <c r="K231" i="5"/>
  <c r="I231" i="5"/>
  <c r="I242" i="7"/>
  <c r="J242" i="7"/>
  <c r="K242" i="7"/>
  <c r="I192" i="6"/>
  <c r="J192" i="6"/>
  <c r="K192" i="6"/>
  <c r="I136" i="4"/>
  <c r="I136" i="7"/>
  <c r="J136" i="7"/>
  <c r="K136" i="7"/>
  <c r="I185" i="7"/>
  <c r="K185" i="7"/>
  <c r="J185" i="7"/>
  <c r="K233" i="6"/>
  <c r="J233" i="6"/>
  <c r="I233" i="6"/>
  <c r="J140" i="6"/>
  <c r="K140" i="6"/>
  <c r="I140" i="6"/>
  <c r="J427" i="5"/>
  <c r="K427" i="5"/>
  <c r="I427" i="5"/>
  <c r="I380" i="5"/>
  <c r="J380" i="5"/>
  <c r="K380" i="5"/>
  <c r="I333" i="5"/>
  <c r="J333" i="5"/>
  <c r="K333" i="5"/>
  <c r="J286" i="5"/>
  <c r="K286" i="5"/>
  <c r="I286" i="5"/>
  <c r="I232" i="5"/>
  <c r="J232" i="5"/>
  <c r="K232" i="5"/>
  <c r="K243" i="7"/>
  <c r="I243" i="7"/>
  <c r="J243" i="7"/>
  <c r="K193" i="6"/>
  <c r="I193" i="6"/>
  <c r="J193" i="6"/>
  <c r="I137" i="4"/>
  <c r="K186" i="7"/>
  <c r="I186" i="7"/>
  <c r="J186" i="7"/>
  <c r="I137" i="7"/>
  <c r="J137" i="7"/>
  <c r="K137" i="7"/>
  <c r="K234" i="6"/>
  <c r="I234" i="6"/>
  <c r="J234" i="6"/>
  <c r="I141" i="6"/>
  <c r="J141" i="6"/>
  <c r="K141" i="6"/>
  <c r="I428" i="5"/>
  <c r="J428" i="5"/>
  <c r="K428" i="5"/>
  <c r="I381" i="5"/>
  <c r="J381" i="5"/>
  <c r="K381" i="5"/>
  <c r="I334" i="5"/>
  <c r="J334" i="5"/>
  <c r="K334" i="5"/>
  <c r="I287" i="5"/>
  <c r="J287" i="5"/>
  <c r="K287" i="5"/>
  <c r="I233" i="5"/>
  <c r="J233" i="5"/>
  <c r="K233" i="5"/>
  <c r="J244" i="7"/>
  <c r="K244" i="7"/>
  <c r="I244" i="7"/>
  <c r="I194" i="6"/>
  <c r="J194" i="6"/>
  <c r="K194" i="6"/>
  <c r="I138" i="4"/>
  <c r="K138" i="7"/>
  <c r="I138" i="7"/>
  <c r="J138" i="7"/>
  <c r="K187" i="7"/>
  <c r="J187" i="7"/>
  <c r="I187" i="7"/>
  <c r="I235" i="6"/>
  <c r="J235" i="6"/>
  <c r="K235" i="6"/>
  <c r="I142" i="6"/>
  <c r="J142" i="6"/>
  <c r="K142" i="6"/>
  <c r="I429" i="5"/>
  <c r="J429" i="5"/>
  <c r="K429" i="5"/>
  <c r="K382" i="5"/>
  <c r="I382" i="5"/>
  <c r="J382" i="5"/>
  <c r="K335" i="5"/>
  <c r="I335" i="5"/>
  <c r="J335" i="5"/>
  <c r="I288" i="5"/>
  <c r="J288" i="5"/>
  <c r="K288" i="5"/>
  <c r="K234" i="5"/>
  <c r="I234" i="5"/>
  <c r="J234" i="5"/>
  <c r="I245" i="7"/>
  <c r="J245" i="7"/>
  <c r="K245" i="7"/>
  <c r="K195" i="6"/>
  <c r="I195" i="6"/>
  <c r="J195" i="6"/>
  <c r="I139" i="4"/>
  <c r="K139" i="7"/>
  <c r="I236" i="6"/>
  <c r="K236" i="6"/>
  <c r="J236" i="6"/>
  <c r="K143" i="6"/>
  <c r="I143" i="6"/>
  <c r="J143" i="6"/>
  <c r="K430" i="5"/>
  <c r="I430" i="5"/>
  <c r="J430" i="5"/>
  <c r="J383" i="5"/>
  <c r="K383" i="5"/>
  <c r="I383" i="5"/>
  <c r="J336" i="5"/>
  <c r="K336" i="5"/>
  <c r="I336" i="5"/>
  <c r="K289" i="5"/>
  <c r="I289" i="5"/>
  <c r="J289" i="5"/>
  <c r="J235" i="5"/>
  <c r="K235" i="5"/>
  <c r="I235" i="5"/>
  <c r="I246" i="7"/>
  <c r="J246" i="7"/>
  <c r="K246" i="7"/>
  <c r="I196" i="6"/>
  <c r="J196" i="6"/>
  <c r="K196" i="6"/>
  <c r="I140" i="4"/>
  <c r="J140" i="7"/>
  <c r="K140" i="7"/>
  <c r="I188" i="7"/>
  <c r="K188" i="7"/>
  <c r="J188" i="7"/>
  <c r="J237" i="6"/>
  <c r="K237" i="6"/>
  <c r="I237" i="6"/>
  <c r="J144" i="6"/>
  <c r="J431" i="5"/>
  <c r="K431" i="5"/>
  <c r="I431" i="5"/>
  <c r="I384" i="5"/>
  <c r="J384" i="5"/>
  <c r="K384" i="5"/>
  <c r="I337" i="5"/>
  <c r="J337" i="5"/>
  <c r="K337" i="5"/>
  <c r="J290" i="5"/>
  <c r="K290" i="5"/>
  <c r="I290" i="5"/>
  <c r="I236" i="5"/>
  <c r="J236" i="5"/>
  <c r="K236" i="5"/>
  <c r="K247" i="7"/>
  <c r="I247" i="7"/>
  <c r="J247" i="7"/>
  <c r="K197" i="6"/>
  <c r="I197" i="6"/>
  <c r="J197" i="6"/>
  <c r="I141" i="4"/>
  <c r="K189" i="7"/>
  <c r="I189" i="7"/>
  <c r="J189" i="7"/>
  <c r="J238" i="6"/>
  <c r="I238" i="6"/>
  <c r="K238" i="6"/>
  <c r="I145" i="6"/>
  <c r="J145" i="6"/>
  <c r="I432" i="5"/>
  <c r="J432" i="5"/>
  <c r="K432" i="5"/>
  <c r="I385" i="5"/>
  <c r="J385" i="5"/>
  <c r="K385" i="5"/>
  <c r="I338" i="5"/>
  <c r="J338" i="5"/>
  <c r="K338" i="5"/>
  <c r="I291" i="5"/>
  <c r="J291" i="5"/>
  <c r="K291" i="5"/>
  <c r="I237" i="5"/>
  <c r="J237" i="5"/>
  <c r="K237" i="5"/>
  <c r="I198" i="6"/>
  <c r="J198" i="6"/>
  <c r="K198" i="6"/>
  <c r="I142" i="4"/>
  <c r="K141" i="7"/>
  <c r="I141" i="7"/>
  <c r="J141" i="7"/>
  <c r="K190" i="7"/>
  <c r="J190" i="7"/>
  <c r="I190" i="7"/>
  <c r="I239" i="6"/>
  <c r="K239" i="6"/>
  <c r="J239" i="6"/>
  <c r="I146" i="6"/>
  <c r="J146" i="6"/>
  <c r="K146" i="6"/>
  <c r="I433" i="5"/>
  <c r="J433" i="5"/>
  <c r="K433" i="5"/>
  <c r="K386" i="5"/>
  <c r="I386" i="5"/>
  <c r="J386" i="5"/>
  <c r="K339" i="5"/>
  <c r="I339" i="5"/>
  <c r="J339" i="5"/>
  <c r="I292" i="5"/>
  <c r="J292" i="5"/>
  <c r="K292" i="5"/>
  <c r="K238" i="5"/>
  <c r="I238" i="5"/>
  <c r="J238" i="5"/>
  <c r="I199" i="6"/>
  <c r="J199" i="6"/>
  <c r="K199" i="6"/>
  <c r="I143" i="4"/>
  <c r="J142" i="7"/>
  <c r="K142" i="7"/>
  <c r="I142" i="7"/>
  <c r="J191" i="7"/>
  <c r="K191" i="7"/>
  <c r="I191" i="7"/>
  <c r="I240" i="6"/>
  <c r="J240" i="6"/>
  <c r="K240" i="6"/>
  <c r="K147" i="6"/>
  <c r="I147" i="6"/>
  <c r="J147" i="6"/>
  <c r="K434" i="5"/>
  <c r="I434" i="5"/>
  <c r="J434" i="5"/>
  <c r="J387" i="5"/>
  <c r="K387" i="5"/>
  <c r="I387" i="5"/>
  <c r="J340" i="5"/>
  <c r="K340" i="5"/>
  <c r="I340" i="5"/>
  <c r="K293" i="5"/>
  <c r="I293" i="5"/>
  <c r="J293" i="5"/>
  <c r="J239" i="5"/>
  <c r="K239" i="5"/>
  <c r="I239" i="5"/>
  <c r="I143" i="7"/>
  <c r="J143" i="7"/>
  <c r="K143" i="7"/>
  <c r="I192" i="7"/>
  <c r="J192" i="7"/>
  <c r="K192" i="7"/>
  <c r="K241" i="6"/>
  <c r="J241" i="6"/>
  <c r="I241" i="6"/>
  <c r="J148" i="6"/>
  <c r="K148" i="6"/>
  <c r="I148" i="6"/>
  <c r="J435" i="5"/>
  <c r="K435" i="5"/>
  <c r="I435" i="5"/>
  <c r="I388" i="5"/>
  <c r="J388" i="5"/>
  <c r="K388" i="5"/>
  <c r="I341" i="5"/>
  <c r="J341" i="5"/>
  <c r="K341" i="5"/>
  <c r="J294" i="5"/>
  <c r="K294" i="5"/>
  <c r="I294" i="5"/>
  <c r="I240" i="5"/>
  <c r="J240" i="5"/>
  <c r="K240" i="5"/>
  <c r="I193" i="7"/>
  <c r="J193" i="7"/>
  <c r="K193" i="7"/>
  <c r="I144" i="7"/>
  <c r="J144" i="7"/>
  <c r="K144" i="7"/>
  <c r="K242" i="6"/>
  <c r="I242" i="6"/>
  <c r="J242" i="6"/>
  <c r="I149" i="6"/>
  <c r="J149" i="6"/>
  <c r="K149" i="6"/>
  <c r="I436" i="5"/>
  <c r="J436" i="5"/>
  <c r="K436" i="5"/>
  <c r="I389" i="5"/>
  <c r="J389" i="5"/>
  <c r="K389" i="5"/>
  <c r="I342" i="5"/>
  <c r="J342" i="5"/>
  <c r="K342" i="5"/>
  <c r="I295" i="5"/>
  <c r="J295" i="5"/>
  <c r="K295" i="5"/>
  <c r="I241" i="5"/>
  <c r="J241" i="5"/>
  <c r="K241" i="5"/>
  <c r="K145" i="7"/>
  <c r="I145" i="7"/>
  <c r="J145" i="7"/>
  <c r="K194" i="7"/>
  <c r="J194" i="7"/>
  <c r="I194" i="7"/>
  <c r="I243" i="6"/>
  <c r="J243" i="6"/>
  <c r="K243" i="6"/>
  <c r="I150" i="6"/>
  <c r="J150" i="6"/>
  <c r="K150" i="6"/>
  <c r="I437" i="5"/>
  <c r="J437" i="5"/>
  <c r="K437" i="5"/>
  <c r="K390" i="5"/>
  <c r="I390" i="5"/>
  <c r="J390" i="5"/>
  <c r="K343" i="5"/>
  <c r="I343" i="5"/>
  <c r="J343" i="5"/>
  <c r="I296" i="5"/>
  <c r="J296" i="5"/>
  <c r="K296" i="5"/>
  <c r="K242" i="5"/>
  <c r="I242" i="5"/>
  <c r="J242" i="5"/>
  <c r="J146" i="7"/>
  <c r="K146" i="7"/>
  <c r="I146" i="7"/>
  <c r="J195" i="7"/>
  <c r="K195" i="7"/>
  <c r="I195" i="7"/>
  <c r="I244" i="6"/>
  <c r="J244" i="6"/>
  <c r="K244" i="6"/>
  <c r="K151" i="6"/>
  <c r="I151" i="6"/>
  <c r="J151" i="6"/>
  <c r="K438" i="5"/>
  <c r="I438" i="5"/>
  <c r="J438" i="5"/>
  <c r="J391" i="5"/>
  <c r="K391" i="5"/>
  <c r="I391" i="5"/>
  <c r="J344" i="5"/>
  <c r="K344" i="5"/>
  <c r="I344" i="5"/>
  <c r="K297" i="5"/>
  <c r="I297" i="5"/>
  <c r="J297" i="5"/>
  <c r="J243" i="5"/>
  <c r="K243" i="5"/>
  <c r="I243" i="5"/>
  <c r="J147" i="7"/>
  <c r="I196" i="7"/>
  <c r="J196" i="7"/>
  <c r="K196" i="7"/>
  <c r="J245" i="6"/>
  <c r="K245" i="6"/>
  <c r="I245" i="6"/>
  <c r="J439" i="5"/>
  <c r="K439" i="5"/>
  <c r="I439" i="5"/>
  <c r="I392" i="5"/>
  <c r="J392" i="5"/>
  <c r="K392" i="5"/>
  <c r="I345" i="5"/>
  <c r="J345" i="5"/>
  <c r="K345" i="5"/>
  <c r="J298" i="5"/>
  <c r="K298" i="5"/>
  <c r="I298" i="5"/>
  <c r="I244" i="5"/>
  <c r="J244" i="5"/>
  <c r="K244" i="5"/>
  <c r="I197" i="7"/>
  <c r="J197" i="7"/>
  <c r="K197" i="7"/>
  <c r="K246" i="6"/>
  <c r="J246" i="6"/>
  <c r="I246" i="6"/>
  <c r="I440" i="5"/>
  <c r="J440" i="5"/>
  <c r="K440" i="5"/>
  <c r="I393" i="5"/>
  <c r="J393" i="5"/>
  <c r="K393" i="5"/>
  <c r="I346" i="5"/>
  <c r="J346" i="5"/>
  <c r="K346" i="5"/>
  <c r="I299" i="5"/>
  <c r="J299" i="5"/>
  <c r="K299" i="5"/>
  <c r="I245" i="5"/>
  <c r="J245" i="5"/>
  <c r="K245" i="5"/>
  <c r="K149" i="7"/>
  <c r="I149" i="7"/>
  <c r="J149" i="7"/>
  <c r="K198" i="7"/>
  <c r="J198" i="7"/>
  <c r="I198" i="7"/>
  <c r="I441" i="5"/>
  <c r="J441" i="5"/>
  <c r="K441" i="5"/>
  <c r="K394" i="5"/>
  <c r="I394" i="5"/>
  <c r="J394" i="5"/>
  <c r="K347" i="5"/>
  <c r="I347" i="5"/>
  <c r="J347" i="5"/>
  <c r="I300" i="5"/>
  <c r="J300" i="5"/>
  <c r="K300" i="5"/>
  <c r="K246" i="5"/>
  <c r="I246" i="5"/>
  <c r="J246" i="5"/>
  <c r="J150" i="7"/>
  <c r="K150" i="7"/>
  <c r="I150" i="7"/>
  <c r="J199" i="7"/>
  <c r="K199" i="7"/>
  <c r="I199" i="7"/>
  <c r="J247" i="5"/>
  <c r="K247" i="5"/>
  <c r="I247" i="5"/>
  <c r="I151" i="7"/>
  <c r="J151" i="7"/>
  <c r="K151" i="7"/>
  <c r="I248" i="5"/>
  <c r="J248" i="5"/>
  <c r="K248" i="5"/>
  <c r="I152" i="7"/>
  <c r="J152" i="7"/>
  <c r="K152" i="7"/>
  <c r="I249" i="5"/>
  <c r="J249" i="5"/>
  <c r="K249" i="5"/>
  <c r="K250" i="5"/>
  <c r="I250" i="5"/>
  <c r="J250" i="5"/>
  <c r="J251" i="5"/>
  <c r="K251" i="5"/>
  <c r="I251" i="5"/>
  <c r="I252" i="5"/>
  <c r="J252" i="5"/>
  <c r="K252" i="5"/>
  <c r="I253" i="5"/>
  <c r="J253" i="5"/>
  <c r="K253" i="5"/>
  <c r="B103" i="12"/>
  <c r="D103" i="12"/>
  <c r="B102" i="12"/>
  <c r="D102" i="12" s="1"/>
  <c r="B101" i="12"/>
  <c r="D101" i="12"/>
  <c r="B100" i="12"/>
  <c r="D100" i="12" s="1"/>
  <c r="B99" i="12"/>
  <c r="D99" i="12"/>
  <c r="B98" i="12"/>
  <c r="D98" i="12" s="1"/>
  <c r="B97" i="12"/>
  <c r="D97" i="12"/>
  <c r="B96" i="12"/>
  <c r="D96" i="12" s="1"/>
  <c r="D23" i="12"/>
  <c r="B88" i="12"/>
  <c r="B87" i="12"/>
  <c r="D87" i="12" s="1"/>
  <c r="B86" i="12"/>
  <c r="D86" i="12" s="1"/>
  <c r="B85" i="12"/>
  <c r="D85" i="12"/>
  <c r="B84" i="12"/>
  <c r="D84" i="12" s="1"/>
  <c r="B83" i="12"/>
  <c r="D83" i="12"/>
  <c r="B82" i="12"/>
  <c r="D82" i="12" s="1"/>
  <c r="B81" i="12"/>
  <c r="D81" i="12"/>
  <c r="D88" i="12"/>
  <c r="D25" i="12"/>
  <c r="D27" i="12"/>
  <c r="E73" i="12"/>
  <c r="G73" i="12" s="1"/>
  <c r="E72" i="12"/>
  <c r="G72" i="12"/>
  <c r="E71" i="12"/>
  <c r="G71" i="12" s="1"/>
  <c r="E70" i="12"/>
  <c r="G70" i="12"/>
  <c r="E69" i="12"/>
  <c r="G69" i="12" s="1"/>
  <c r="E68" i="12"/>
  <c r="G68" i="12"/>
  <c r="E67" i="12"/>
  <c r="G67" i="12" s="1"/>
  <c r="E66" i="12"/>
  <c r="G66" i="12"/>
  <c r="D41" i="12"/>
  <c r="D40" i="12"/>
  <c r="D39" i="12"/>
  <c r="D38" i="12"/>
  <c r="D37" i="12"/>
  <c r="D36" i="12"/>
  <c r="D35" i="12"/>
  <c r="E57" i="12"/>
  <c r="H57" i="12" s="1"/>
  <c r="E56" i="12"/>
  <c r="H56" i="12" s="1"/>
  <c r="E55" i="12"/>
  <c r="H55" i="12" s="1"/>
  <c r="E54" i="12"/>
  <c r="H54" i="12"/>
  <c r="E53" i="12"/>
  <c r="H53" i="12" s="1"/>
  <c r="E52" i="12"/>
  <c r="H52" i="12"/>
  <c r="E51" i="12"/>
  <c r="H51" i="12" s="1"/>
  <c r="E50" i="12"/>
  <c r="H50" i="12"/>
  <c r="K117" i="5" l="1"/>
  <c r="I117" i="5"/>
  <c r="I131" i="7"/>
  <c r="J139" i="7"/>
  <c r="K131" i="7"/>
  <c r="K148" i="7"/>
  <c r="J148" i="7"/>
  <c r="K123" i="7"/>
  <c r="K124" i="7"/>
  <c r="J123" i="7"/>
  <c r="F23" i="7" s="1"/>
  <c r="I147" i="7"/>
  <c r="E23" i="7" s="1"/>
  <c r="I136" i="6"/>
  <c r="I152" i="6"/>
  <c r="K152" i="6"/>
  <c r="K136" i="6"/>
  <c r="K130" i="6"/>
  <c r="J130" i="6"/>
  <c r="I128" i="6"/>
  <c r="I120" i="6"/>
  <c r="I144" i="6"/>
  <c r="K128" i="6"/>
  <c r="K120" i="6"/>
  <c r="D37" i="6"/>
  <c r="H66" i="8" s="1"/>
  <c r="K150" i="5"/>
  <c r="I152" i="5"/>
  <c r="K152" i="5"/>
  <c r="J150" i="5"/>
  <c r="F23" i="5" s="1"/>
  <c r="K151" i="5"/>
  <c r="I151" i="5"/>
  <c r="C160" i="7"/>
  <c r="H175" i="7" s="1"/>
  <c r="C160" i="5"/>
  <c r="C160" i="6"/>
  <c r="H174" i="6" s="1"/>
  <c r="F108" i="4"/>
  <c r="C159" i="6"/>
  <c r="F163" i="6" s="1"/>
  <c r="C159" i="7"/>
  <c r="F163" i="7" s="1"/>
  <c r="C159" i="5"/>
  <c r="F163" i="5" s="1"/>
  <c r="B54" i="8"/>
  <c r="B160" i="8" s="1"/>
  <c r="B50" i="8"/>
  <c r="B265" i="8" s="1"/>
  <c r="B49" i="8"/>
  <c r="B155" i="8" s="1"/>
  <c r="C30" i="9"/>
  <c r="M269" i="8"/>
  <c r="M270" i="8"/>
  <c r="M271" i="8"/>
  <c r="B156" i="8"/>
  <c r="B157" i="8"/>
  <c r="H119" i="4"/>
  <c r="H300" i="4"/>
  <c r="H296" i="4"/>
  <c r="H292" i="4"/>
  <c r="H301" i="4"/>
  <c r="H297" i="4"/>
  <c r="H293" i="4"/>
  <c r="H299" i="4"/>
  <c r="H295" i="4"/>
  <c r="H291" i="4"/>
  <c r="H298" i="4"/>
  <c r="H294" i="4"/>
  <c r="H290" i="4"/>
  <c r="I290" i="4" s="1"/>
  <c r="E35" i="4" s="1"/>
  <c r="E33" i="9" s="1"/>
  <c r="G33" i="9" s="1"/>
  <c r="H33" i="9" s="1"/>
  <c r="D36" i="6"/>
  <c r="H65" i="8" s="1"/>
  <c r="H9" i="9"/>
  <c r="I86" i="4"/>
  <c r="E26" i="4" s="1"/>
  <c r="E24" i="9" s="1"/>
  <c r="D38" i="9" s="1"/>
  <c r="C393" i="7"/>
  <c r="D30" i="9"/>
  <c r="D29" i="6"/>
  <c r="F30" i="9"/>
  <c r="B53" i="8"/>
  <c r="C29" i="9"/>
  <c r="C42" i="9" s="1"/>
  <c r="J152" i="8"/>
  <c r="D135" i="8"/>
  <c r="J63" i="8"/>
  <c r="D74" i="8"/>
  <c r="D102" i="8"/>
  <c r="E29" i="7"/>
  <c r="H29" i="7" s="1"/>
  <c r="G27" i="7"/>
  <c r="F28" i="7"/>
  <c r="F29" i="7"/>
  <c r="I29" i="7" s="1"/>
  <c r="E27" i="6"/>
  <c r="E28" i="6"/>
  <c r="G28" i="7"/>
  <c r="G29" i="7"/>
  <c r="J29" i="7" s="1"/>
  <c r="F27" i="6"/>
  <c r="F28" i="6"/>
  <c r="G27" i="6"/>
  <c r="G28" i="6"/>
  <c r="H196" i="7"/>
  <c r="E27" i="7"/>
  <c r="H192" i="7"/>
  <c r="H197" i="7"/>
  <c r="H190" i="7"/>
  <c r="F24" i="7"/>
  <c r="K49" i="8" s="1"/>
  <c r="K155" i="8" s="1"/>
  <c r="H188" i="7"/>
  <c r="H194" i="7"/>
  <c r="H199" i="7"/>
  <c r="H193" i="7"/>
  <c r="H172" i="7"/>
  <c r="H186" i="7"/>
  <c r="H170" i="7"/>
  <c r="G71" i="4"/>
  <c r="C48" i="4" s="1"/>
  <c r="C70" i="8" s="1"/>
  <c r="E81" i="8" s="1"/>
  <c r="H113" i="4"/>
  <c r="H109" i="4"/>
  <c r="C399" i="5"/>
  <c r="H226" i="4"/>
  <c r="H116" i="4"/>
  <c r="H229" i="4"/>
  <c r="C396" i="7"/>
  <c r="H418" i="7" s="1"/>
  <c r="D172" i="8"/>
  <c r="J121" i="8"/>
  <c r="J89" i="8"/>
  <c r="J135" i="8"/>
  <c r="J74" i="8"/>
  <c r="J172" i="8"/>
  <c r="J185" i="8"/>
  <c r="D121" i="8"/>
  <c r="D152" i="8"/>
  <c r="G172" i="8"/>
  <c r="B204" i="8"/>
  <c r="B215" i="8" s="1"/>
  <c r="D63" i="8"/>
  <c r="D89" i="8"/>
  <c r="E28" i="7"/>
  <c r="F27" i="7"/>
  <c r="B205" i="8"/>
  <c r="B216" i="8" s="1"/>
  <c r="B71" i="8"/>
  <c r="B82" i="8" s="1"/>
  <c r="C204" i="5"/>
  <c r="C392" i="6"/>
  <c r="C400" i="5"/>
  <c r="C36" i="7"/>
  <c r="J65" i="8" s="1"/>
  <c r="J76" i="8" s="1"/>
  <c r="C37" i="5"/>
  <c r="D66" i="8" s="1"/>
  <c r="D77" i="8" s="1"/>
  <c r="F85" i="4"/>
  <c r="C112" i="7"/>
  <c r="F116" i="7" s="1"/>
  <c r="C112" i="5"/>
  <c r="F116" i="5" s="1"/>
  <c r="C112" i="6"/>
  <c r="F116" i="6" s="1"/>
  <c r="F28" i="5"/>
  <c r="F25" i="7"/>
  <c r="F26" i="7"/>
  <c r="E26" i="7"/>
  <c r="J51" i="8" s="1"/>
  <c r="G24" i="7"/>
  <c r="H150" i="7"/>
  <c r="H137" i="7"/>
  <c r="H120" i="7"/>
  <c r="H134" i="7"/>
  <c r="H147" i="7"/>
  <c r="E25" i="7"/>
  <c r="J50" i="8" s="1"/>
  <c r="J145" i="8" s="1"/>
  <c r="G25" i="7"/>
  <c r="G26" i="7"/>
  <c r="L51" i="8" s="1"/>
  <c r="E24" i="7"/>
  <c r="J49" i="8" s="1"/>
  <c r="E26" i="6"/>
  <c r="G51" i="8" s="1"/>
  <c r="F26" i="6"/>
  <c r="H51" i="8" s="1"/>
  <c r="H230" i="4"/>
  <c r="H233" i="4"/>
  <c r="C402" i="5"/>
  <c r="H437" i="5" s="1"/>
  <c r="H231" i="4"/>
  <c r="H234" i="4"/>
  <c r="H228" i="4"/>
  <c r="C395" i="6"/>
  <c r="H415" i="6" s="1"/>
  <c r="H224" i="4"/>
  <c r="H235" i="4"/>
  <c r="H225" i="4"/>
  <c r="H232" i="4"/>
  <c r="E71" i="4"/>
  <c r="C46" i="4" s="1"/>
  <c r="C68" i="8" s="1"/>
  <c r="D79" i="8" s="1"/>
  <c r="C36" i="5"/>
  <c r="D65" i="8" s="1"/>
  <c r="D76" i="8" s="1"/>
  <c r="I12" i="5"/>
  <c r="G26" i="6"/>
  <c r="I51" i="8" s="1"/>
  <c r="J12" i="7"/>
  <c r="E36" i="7" s="1"/>
  <c r="L65" i="8" s="1"/>
  <c r="L76" i="8" s="1"/>
  <c r="D36" i="7"/>
  <c r="K65" i="8" s="1"/>
  <c r="K76" i="8" s="1"/>
  <c r="J13" i="5"/>
  <c r="E37" i="5" s="1"/>
  <c r="F66" i="8" s="1"/>
  <c r="F77" i="8" s="1"/>
  <c r="D37" i="5"/>
  <c r="E66" i="8" s="1"/>
  <c r="E77" i="8" s="1"/>
  <c r="H132" i="7"/>
  <c r="H148" i="7"/>
  <c r="H127" i="7"/>
  <c r="H143" i="7"/>
  <c r="H129" i="7"/>
  <c r="H130" i="7"/>
  <c r="H146" i="7"/>
  <c r="H141" i="7"/>
  <c r="H124" i="7"/>
  <c r="H140" i="7"/>
  <c r="H119" i="7"/>
  <c r="H135" i="7"/>
  <c r="H151" i="7"/>
  <c r="H145" i="7"/>
  <c r="H122" i="7"/>
  <c r="H138" i="7"/>
  <c r="H125" i="7"/>
  <c r="H128" i="7"/>
  <c r="H144" i="7"/>
  <c r="H123" i="7"/>
  <c r="H139" i="7"/>
  <c r="H121" i="7"/>
  <c r="H117" i="7"/>
  <c r="H126" i="7"/>
  <c r="H142" i="7"/>
  <c r="H133" i="7"/>
  <c r="F26" i="5"/>
  <c r="E27" i="5"/>
  <c r="H149" i="7"/>
  <c r="H152" i="7"/>
  <c r="B48" i="8"/>
  <c r="I13" i="7"/>
  <c r="C37" i="7"/>
  <c r="J66" i="8" s="1"/>
  <c r="J77" i="8" s="1"/>
  <c r="G102" i="8"/>
  <c r="G121" i="8"/>
  <c r="G185" i="8"/>
  <c r="G135" i="8"/>
  <c r="G63" i="8"/>
  <c r="G74" i="8"/>
  <c r="G89" i="8"/>
  <c r="B40" i="5"/>
  <c r="B69" i="8"/>
  <c r="B80" i="8" s="1"/>
  <c r="B42" i="6"/>
  <c r="E25" i="6"/>
  <c r="G50" i="8" s="1"/>
  <c r="G25" i="6"/>
  <c r="E24" i="6"/>
  <c r="G49" i="8" s="1"/>
  <c r="G155" i="8" s="1"/>
  <c r="G24" i="6"/>
  <c r="F24" i="5"/>
  <c r="G25" i="5"/>
  <c r="E26" i="5"/>
  <c r="G28" i="5"/>
  <c r="G26" i="5"/>
  <c r="F51" i="8" s="1"/>
  <c r="G27" i="5"/>
  <c r="F27" i="5"/>
  <c r="F25" i="5"/>
  <c r="E28" i="5"/>
  <c r="E24" i="5"/>
  <c r="G24" i="5"/>
  <c r="E25" i="5"/>
  <c r="D50" i="8" s="1"/>
  <c r="D145" i="8" s="1"/>
  <c r="H76" i="8"/>
  <c r="G76" i="8"/>
  <c r="E31" i="4"/>
  <c r="F23" i="6"/>
  <c r="H128" i="6"/>
  <c r="H144" i="6"/>
  <c r="H123" i="6"/>
  <c r="H139" i="6"/>
  <c r="H118" i="6"/>
  <c r="H130" i="6"/>
  <c r="H146" i="6"/>
  <c r="H129" i="6"/>
  <c r="H145" i="6"/>
  <c r="H132" i="6"/>
  <c r="H148" i="6"/>
  <c r="H127" i="6"/>
  <c r="H143" i="6"/>
  <c r="H134" i="6"/>
  <c r="H150" i="6"/>
  <c r="H133" i="6"/>
  <c r="H149" i="6"/>
  <c r="F24" i="6"/>
  <c r="H117" i="6"/>
  <c r="H121" i="6"/>
  <c r="H122" i="6"/>
  <c r="H135" i="6"/>
  <c r="H140" i="6"/>
  <c r="F25" i="6"/>
  <c r="H141" i="6"/>
  <c r="H142" i="6"/>
  <c r="H131" i="6"/>
  <c r="H136" i="6"/>
  <c r="H71" i="4"/>
  <c r="C49" i="4" s="1"/>
  <c r="C71" i="8" s="1"/>
  <c r="C82" i="8" s="1"/>
  <c r="E29" i="4"/>
  <c r="E30" i="4"/>
  <c r="D71" i="4"/>
  <c r="F71" i="4"/>
  <c r="C47" i="4" s="1"/>
  <c r="C69" i="8" s="1"/>
  <c r="J80" i="8" s="1"/>
  <c r="C76" i="8"/>
  <c r="C395" i="7"/>
  <c r="F399" i="7" s="1"/>
  <c r="C393" i="6"/>
  <c r="F29" i="6"/>
  <c r="G29" i="6"/>
  <c r="E32" i="4"/>
  <c r="F32" i="4" s="1"/>
  <c r="B266" i="8"/>
  <c r="H112" i="4"/>
  <c r="H115" i="4"/>
  <c r="I76" i="8"/>
  <c r="B78" i="8"/>
  <c r="H117" i="4"/>
  <c r="H120" i="4"/>
  <c r="H114" i="4"/>
  <c r="H118" i="4"/>
  <c r="E29" i="6"/>
  <c r="B207" i="8"/>
  <c r="B218" i="8" s="1"/>
  <c r="E27" i="4"/>
  <c r="H111" i="4"/>
  <c r="H110" i="4"/>
  <c r="F29" i="5"/>
  <c r="I29" i="5" s="1"/>
  <c r="B52" i="8"/>
  <c r="F25" i="9"/>
  <c r="E28" i="4"/>
  <c r="B41" i="6"/>
  <c r="B41" i="7"/>
  <c r="B70" i="8"/>
  <c r="C394" i="6"/>
  <c r="F398" i="6" s="1"/>
  <c r="C401" i="5"/>
  <c r="F405" i="5" s="1"/>
  <c r="B42" i="5"/>
  <c r="B40" i="7"/>
  <c r="B40" i="6"/>
  <c r="C77" i="8"/>
  <c r="H77" i="8"/>
  <c r="G77" i="8"/>
  <c r="I77" i="8"/>
  <c r="G29" i="5"/>
  <c r="E29" i="5"/>
  <c r="G23" i="5" l="1"/>
  <c r="E23" i="5"/>
  <c r="H164" i="6"/>
  <c r="H198" i="6"/>
  <c r="H193" i="6"/>
  <c r="H181" i="6"/>
  <c r="H189" i="6"/>
  <c r="H184" i="6"/>
  <c r="H176" i="6"/>
  <c r="H197" i="6"/>
  <c r="H178" i="6"/>
  <c r="H172" i="6"/>
  <c r="H165" i="6"/>
  <c r="H199" i="6"/>
  <c r="H183" i="6"/>
  <c r="H177" i="6"/>
  <c r="H190" i="6"/>
  <c r="H187" i="6"/>
  <c r="H175" i="6"/>
  <c r="H196" i="6"/>
  <c r="H188" i="6"/>
  <c r="H185" i="6"/>
  <c r="H171" i="6"/>
  <c r="H180" i="6"/>
  <c r="H179" i="6"/>
  <c r="H195" i="6"/>
  <c r="H191" i="6"/>
  <c r="H168" i="6"/>
  <c r="H173" i="6"/>
  <c r="H186" i="6"/>
  <c r="H192" i="6"/>
  <c r="H166" i="6"/>
  <c r="H182" i="6"/>
  <c r="H170" i="6"/>
  <c r="H194" i="6"/>
  <c r="H198" i="7"/>
  <c r="H165" i="7"/>
  <c r="H169" i="7"/>
  <c r="H164" i="7"/>
  <c r="H177" i="7"/>
  <c r="H168" i="7"/>
  <c r="H184" i="7"/>
  <c r="H179" i="7"/>
  <c r="H191" i="7"/>
  <c r="H167" i="7"/>
  <c r="H174" i="7"/>
  <c r="H171" i="7"/>
  <c r="G23" i="7"/>
  <c r="G30" i="7" s="1"/>
  <c r="G23" i="6"/>
  <c r="I48" i="8" s="1"/>
  <c r="E23" i="6"/>
  <c r="H176" i="7"/>
  <c r="H180" i="7"/>
  <c r="H166" i="7"/>
  <c r="H181" i="7"/>
  <c r="H178" i="7"/>
  <c r="H189" i="7"/>
  <c r="H173" i="7"/>
  <c r="H183" i="7"/>
  <c r="H195" i="7"/>
  <c r="H185" i="7"/>
  <c r="H187" i="7"/>
  <c r="H182" i="7"/>
  <c r="H169" i="6"/>
  <c r="H167" i="6"/>
  <c r="C284" i="4" a="1"/>
  <c r="C284" i="4" s="1"/>
  <c r="E50" i="8"/>
  <c r="E145" i="8" s="1"/>
  <c r="E188" i="8" s="1"/>
  <c r="G53" i="8"/>
  <c r="G54" i="8"/>
  <c r="B264" i="8"/>
  <c r="I49" i="8"/>
  <c r="I155" i="8" s="1"/>
  <c r="L49" i="8"/>
  <c r="L155" i="8" s="1"/>
  <c r="M264" i="8"/>
  <c r="K53" i="8"/>
  <c r="H400" i="7"/>
  <c r="H413" i="7"/>
  <c r="H411" i="7"/>
  <c r="E53" i="8"/>
  <c r="H53" i="8"/>
  <c r="L53" i="8"/>
  <c r="H13" i="4"/>
  <c r="C45" i="4"/>
  <c r="C67" i="8" s="1"/>
  <c r="B159" i="8"/>
  <c r="E36" i="4"/>
  <c r="L54" i="8"/>
  <c r="E29" i="9"/>
  <c r="D42" i="9" s="1"/>
  <c r="E26" i="9"/>
  <c r="D39" i="9" s="1"/>
  <c r="E25" i="9"/>
  <c r="F27" i="4"/>
  <c r="G25" i="9" s="1"/>
  <c r="H25" i="9" s="1"/>
  <c r="E28" i="9"/>
  <c r="D41" i="9" s="1"/>
  <c r="E27" i="9"/>
  <c r="D40" i="9" s="1"/>
  <c r="D53" i="8"/>
  <c r="F53" i="8"/>
  <c r="B268" i="8"/>
  <c r="K54" i="8"/>
  <c r="J53" i="8"/>
  <c r="H10" i="9"/>
  <c r="H420" i="6"/>
  <c r="G30" i="9"/>
  <c r="H30" i="9" s="1"/>
  <c r="E30" i="9"/>
  <c r="J54" i="8"/>
  <c r="I53" i="8"/>
  <c r="H439" i="5"/>
  <c r="F81" i="8"/>
  <c r="H81" i="8"/>
  <c r="J81" i="8"/>
  <c r="D81" i="8"/>
  <c r="K81" i="8"/>
  <c r="L81" i="8"/>
  <c r="G81" i="8"/>
  <c r="I81" i="8"/>
  <c r="H407" i="7"/>
  <c r="H427" i="7"/>
  <c r="H435" i="7"/>
  <c r="C81" i="8"/>
  <c r="H414" i="7"/>
  <c r="H426" i="7"/>
  <c r="H430" i="6"/>
  <c r="H430" i="5"/>
  <c r="H431" i="7"/>
  <c r="H416" i="5"/>
  <c r="H428" i="5"/>
  <c r="H79" i="8"/>
  <c r="J79" i="8"/>
  <c r="H428" i="7"/>
  <c r="H433" i="7"/>
  <c r="H417" i="7"/>
  <c r="H429" i="7"/>
  <c r="H419" i="7"/>
  <c r="H425" i="7"/>
  <c r="H423" i="7"/>
  <c r="H430" i="7"/>
  <c r="H434" i="7"/>
  <c r="H403" i="7"/>
  <c r="H406" i="7"/>
  <c r="H416" i="7"/>
  <c r="H422" i="7"/>
  <c r="H401" i="7"/>
  <c r="H402" i="7"/>
  <c r="H405" i="7"/>
  <c r="H421" i="7"/>
  <c r="H410" i="7"/>
  <c r="H420" i="7"/>
  <c r="H409" i="7"/>
  <c r="H412" i="7"/>
  <c r="H408" i="6"/>
  <c r="H411" i="6"/>
  <c r="H424" i="6"/>
  <c r="H427" i="6"/>
  <c r="H408" i="7"/>
  <c r="H424" i="7"/>
  <c r="H432" i="7"/>
  <c r="H404" i="7"/>
  <c r="H415" i="7"/>
  <c r="K50" i="8"/>
  <c r="K145" i="8" s="1"/>
  <c r="K187" i="8" s="1"/>
  <c r="H414" i="6"/>
  <c r="H403" i="6"/>
  <c r="H406" i="6"/>
  <c r="H417" i="6"/>
  <c r="H418" i="6"/>
  <c r="H429" i="6"/>
  <c r="H405" i="6"/>
  <c r="H431" i="5"/>
  <c r="B210" i="8"/>
  <c r="B221" i="8" s="1"/>
  <c r="H417" i="5"/>
  <c r="I29" i="6"/>
  <c r="H410" i="5"/>
  <c r="H412" i="5"/>
  <c r="H422" i="5"/>
  <c r="H441" i="5"/>
  <c r="H407" i="5"/>
  <c r="H421" i="5"/>
  <c r="H438" i="5"/>
  <c r="H406" i="5"/>
  <c r="H411" i="5"/>
  <c r="H426" i="5"/>
  <c r="H408" i="5"/>
  <c r="H434" i="5"/>
  <c r="H418" i="5"/>
  <c r="H423" i="5"/>
  <c r="H436" i="5"/>
  <c r="H29" i="6"/>
  <c r="D24" i="7"/>
  <c r="I24" i="7" s="1"/>
  <c r="D24" i="5"/>
  <c r="I24" i="5" s="1"/>
  <c r="D24" i="6"/>
  <c r="I24" i="6" s="1"/>
  <c r="J29" i="6"/>
  <c r="H434" i="6"/>
  <c r="H422" i="6"/>
  <c r="H401" i="6"/>
  <c r="H416" i="6"/>
  <c r="D49" i="8"/>
  <c r="D155" i="8" s="1"/>
  <c r="K51" i="8"/>
  <c r="E30" i="6"/>
  <c r="E51" i="8"/>
  <c r="D51" i="8"/>
  <c r="F50" i="8"/>
  <c r="F145" i="8" s="1"/>
  <c r="F156" i="8" s="1"/>
  <c r="H50" i="8"/>
  <c r="H145" i="8" s="1"/>
  <c r="H189" i="8" s="1"/>
  <c r="E30" i="7"/>
  <c r="L50" i="8"/>
  <c r="L145" i="8" s="1"/>
  <c r="L156" i="8" s="1"/>
  <c r="F30" i="7"/>
  <c r="H48" i="8"/>
  <c r="H131" i="8" s="1"/>
  <c r="H154" i="8" s="1"/>
  <c r="H404" i="6"/>
  <c r="H431" i="6"/>
  <c r="H421" i="6"/>
  <c r="H400" i="6"/>
  <c r="H54" i="8"/>
  <c r="H419" i="6"/>
  <c r="H409" i="6"/>
  <c r="H407" i="6"/>
  <c r="H399" i="6"/>
  <c r="H412" i="6"/>
  <c r="H410" i="6"/>
  <c r="H433" i="6"/>
  <c r="H415" i="5"/>
  <c r="H414" i="5"/>
  <c r="H432" i="5"/>
  <c r="H433" i="5"/>
  <c r="H409" i="5"/>
  <c r="H413" i="5"/>
  <c r="H440" i="5"/>
  <c r="H429" i="5"/>
  <c r="H424" i="5"/>
  <c r="H427" i="5"/>
  <c r="H435" i="5"/>
  <c r="H420" i="5"/>
  <c r="H419" i="5"/>
  <c r="H425" i="5"/>
  <c r="H402" i="6"/>
  <c r="H425" i="6"/>
  <c r="H423" i="6"/>
  <c r="H413" i="6"/>
  <c r="H428" i="6"/>
  <c r="H426" i="6"/>
  <c r="H432" i="6"/>
  <c r="F79" i="8"/>
  <c r="G79" i="8"/>
  <c r="L79" i="8"/>
  <c r="I79" i="8"/>
  <c r="C79" i="8"/>
  <c r="K79" i="8"/>
  <c r="E79" i="8"/>
  <c r="J156" i="8"/>
  <c r="J189" i="8"/>
  <c r="J192" i="8"/>
  <c r="G82" i="8"/>
  <c r="J190" i="8"/>
  <c r="G145" i="8"/>
  <c r="G156" i="8" s="1"/>
  <c r="G48" i="8"/>
  <c r="G131" i="8" s="1"/>
  <c r="G154" i="8" s="1"/>
  <c r="G176" i="8" s="1"/>
  <c r="B208" i="8"/>
  <c r="B219" i="8" s="1"/>
  <c r="D37" i="7"/>
  <c r="K66" i="8" s="1"/>
  <c r="K77" i="8" s="1"/>
  <c r="J13" i="7"/>
  <c r="E37" i="7" s="1"/>
  <c r="L66" i="8" s="1"/>
  <c r="L77" i="8" s="1"/>
  <c r="J12" i="5"/>
  <c r="E36" i="5" s="1"/>
  <c r="F65" i="8" s="1"/>
  <c r="F76" i="8" s="1"/>
  <c r="D36" i="5"/>
  <c r="E65" i="8" s="1"/>
  <c r="E76" i="8" s="1"/>
  <c r="B154" i="8"/>
  <c r="B263" i="8"/>
  <c r="K48" i="8"/>
  <c r="K131" i="8" s="1"/>
  <c r="K154" i="8" s="1"/>
  <c r="J48" i="8"/>
  <c r="J131" i="8" s="1"/>
  <c r="J154" i="8" s="1"/>
  <c r="I50" i="8"/>
  <c r="F48" i="8"/>
  <c r="F131" i="8" s="1"/>
  <c r="F154" i="8" s="1"/>
  <c r="J193" i="8"/>
  <c r="D48" i="8"/>
  <c r="D131" i="8" s="1"/>
  <c r="D154" i="8" s="1"/>
  <c r="J188" i="8"/>
  <c r="E48" i="8"/>
  <c r="E131" i="8" s="1"/>
  <c r="E154" i="8" s="1"/>
  <c r="J187" i="8"/>
  <c r="E49" i="8"/>
  <c r="E155" i="8" s="1"/>
  <c r="F49" i="8"/>
  <c r="F155" i="8" s="1"/>
  <c r="F82" i="8"/>
  <c r="J82" i="8"/>
  <c r="D82" i="8"/>
  <c r="E80" i="8"/>
  <c r="L80" i="8"/>
  <c r="H80" i="8"/>
  <c r="L82" i="8"/>
  <c r="E82" i="8"/>
  <c r="D80" i="8"/>
  <c r="I82" i="8"/>
  <c r="K82" i="8"/>
  <c r="G80" i="8"/>
  <c r="F80" i="8"/>
  <c r="I80" i="8"/>
  <c r="J191" i="8"/>
  <c r="H82" i="8"/>
  <c r="K80" i="8"/>
  <c r="C80" i="8"/>
  <c r="H49" i="8"/>
  <c r="H155" i="8" s="1"/>
  <c r="F30" i="6"/>
  <c r="D192" i="8"/>
  <c r="D189" i="8"/>
  <c r="D190" i="8"/>
  <c r="D188" i="8"/>
  <c r="D187" i="8"/>
  <c r="I54" i="8"/>
  <c r="F30" i="5"/>
  <c r="E54" i="8"/>
  <c r="J155" i="8"/>
  <c r="D191" i="8"/>
  <c r="D156" i="8"/>
  <c r="B81" i="8"/>
  <c r="B209" i="8"/>
  <c r="B220" i="8" s="1"/>
  <c r="K52" i="8"/>
  <c r="H52" i="8"/>
  <c r="F52" i="8"/>
  <c r="B158" i="8"/>
  <c r="E52" i="8"/>
  <c r="G52" i="8"/>
  <c r="B267" i="8"/>
  <c r="L52" i="8"/>
  <c r="J52" i="8"/>
  <c r="I52" i="8"/>
  <c r="D52" i="8"/>
  <c r="D193" i="8"/>
  <c r="H29" i="5"/>
  <c r="E30" i="5"/>
  <c r="D54" i="8"/>
  <c r="J29" i="5"/>
  <c r="F54" i="8"/>
  <c r="G30" i="5"/>
  <c r="L48" i="8" l="1"/>
  <c r="L131" i="8" s="1"/>
  <c r="L154" i="8" s="1"/>
  <c r="L164" i="8" s="1"/>
  <c r="L165" i="8" s="1"/>
  <c r="G30" i="6"/>
  <c r="J194" i="8"/>
  <c r="D194" i="8"/>
  <c r="E189" i="8"/>
  <c r="E192" i="8"/>
  <c r="H12" i="9"/>
  <c r="C11" i="8"/>
  <c r="E156" i="8"/>
  <c r="E164" i="8" s="1"/>
  <c r="E165" i="8" s="1"/>
  <c r="E193" i="8"/>
  <c r="E190" i="8"/>
  <c r="E187" i="8"/>
  <c r="E191" i="8"/>
  <c r="E42" i="9"/>
  <c r="F42" i="9" s="1"/>
  <c r="E38" i="9"/>
  <c r="F38" i="9" s="1"/>
  <c r="E41" i="9"/>
  <c r="F41" i="9" s="1"/>
  <c r="E40" i="9"/>
  <c r="F40" i="9" s="1"/>
  <c r="E39" i="9"/>
  <c r="F39" i="9" s="1"/>
  <c r="K192" i="8"/>
  <c r="K193" i="8"/>
  <c r="F191" i="8"/>
  <c r="D30" i="4"/>
  <c r="F30" i="4" s="1"/>
  <c r="C300" i="7"/>
  <c r="C299" i="6"/>
  <c r="C306" i="5"/>
  <c r="K189" i="8"/>
  <c r="C353" i="5"/>
  <c r="D31" i="4"/>
  <c r="M268" i="8" s="1"/>
  <c r="C347" i="7"/>
  <c r="C346" i="6"/>
  <c r="C111" i="7"/>
  <c r="C111" i="6"/>
  <c r="C111" i="5"/>
  <c r="D26" i="4"/>
  <c r="C355" i="5"/>
  <c r="C349" i="7"/>
  <c r="C348" i="6"/>
  <c r="H210" i="4"/>
  <c r="H209" i="4"/>
  <c r="H212" i="4"/>
  <c r="H203" i="4"/>
  <c r="H207" i="4"/>
  <c r="H206" i="4"/>
  <c r="H208" i="4"/>
  <c r="H205" i="4"/>
  <c r="H211" i="4"/>
  <c r="H202" i="4"/>
  <c r="H201" i="4"/>
  <c r="H204" i="4"/>
  <c r="C308" i="5"/>
  <c r="C302" i="7"/>
  <c r="C301" i="6"/>
  <c r="H187" i="4"/>
  <c r="H185" i="4"/>
  <c r="H178" i="4"/>
  <c r="H180" i="4"/>
  <c r="H186" i="4"/>
  <c r="H179" i="4"/>
  <c r="H183" i="4"/>
  <c r="H188" i="4"/>
  <c r="H181" i="4"/>
  <c r="H184" i="4"/>
  <c r="H189" i="4"/>
  <c r="H182" i="4"/>
  <c r="K188" i="8"/>
  <c r="K156" i="8"/>
  <c r="K164" i="8" s="1"/>
  <c r="K165" i="8" s="1"/>
  <c r="D28" i="4"/>
  <c r="M265" i="8" s="1"/>
  <c r="C205" i="7"/>
  <c r="C205" i="6"/>
  <c r="C205" i="5"/>
  <c r="C207" i="5"/>
  <c r="C207" i="6"/>
  <c r="C207" i="7"/>
  <c r="H135" i="4"/>
  <c r="H136" i="4"/>
  <c r="H133" i="4"/>
  <c r="H137" i="4"/>
  <c r="H142" i="4"/>
  <c r="H140" i="4"/>
  <c r="H141" i="4"/>
  <c r="H134" i="4"/>
  <c r="H139" i="4"/>
  <c r="H143" i="4"/>
  <c r="H138" i="4"/>
  <c r="H132" i="4"/>
  <c r="K190" i="8"/>
  <c r="K191" i="8"/>
  <c r="D29" i="4"/>
  <c r="M266" i="8" s="1"/>
  <c r="C259" i="5"/>
  <c r="C253" i="7"/>
  <c r="C252" i="6"/>
  <c r="C254" i="6"/>
  <c r="C261" i="5"/>
  <c r="C255" i="7"/>
  <c r="H156" i="4"/>
  <c r="H162" i="4"/>
  <c r="H165" i="4"/>
  <c r="H160" i="4"/>
  <c r="H163" i="4"/>
  <c r="H164" i="4"/>
  <c r="H155" i="4"/>
  <c r="H157" i="4"/>
  <c r="H166" i="4"/>
  <c r="H161" i="4"/>
  <c r="H158" i="4"/>
  <c r="H159" i="4"/>
  <c r="J24" i="7"/>
  <c r="D340" i="8"/>
  <c r="J24" i="6"/>
  <c r="J24" i="5"/>
  <c r="H24" i="6"/>
  <c r="H24" i="5"/>
  <c r="D174" i="8"/>
  <c r="H24" i="7"/>
  <c r="G193" i="8"/>
  <c r="H192" i="8"/>
  <c r="H187" i="8"/>
  <c r="H193" i="8"/>
  <c r="H190" i="8"/>
  <c r="H191" i="8"/>
  <c r="H188" i="8"/>
  <c r="H156" i="8"/>
  <c r="H164" i="8" s="1"/>
  <c r="H165" i="8" s="1"/>
  <c r="F188" i="8"/>
  <c r="F190" i="8"/>
  <c r="F187" i="8"/>
  <c r="F193" i="8"/>
  <c r="F189" i="8"/>
  <c r="F192" i="8"/>
  <c r="D175" i="8"/>
  <c r="G188" i="8"/>
  <c r="L189" i="8"/>
  <c r="L187" i="8"/>
  <c r="L192" i="8"/>
  <c r="L190" i="8"/>
  <c r="L191" i="8"/>
  <c r="L188" i="8"/>
  <c r="L193" i="8"/>
  <c r="K175" i="8"/>
  <c r="G58" i="8"/>
  <c r="G60" i="8" s="1"/>
  <c r="G192" i="8"/>
  <c r="G191" i="8"/>
  <c r="G189" i="8"/>
  <c r="H176" i="8"/>
  <c r="G190" i="8"/>
  <c r="F164" i="8"/>
  <c r="F165" i="8" s="1"/>
  <c r="K58" i="8"/>
  <c r="K60" i="8" s="1"/>
  <c r="K179" i="8"/>
  <c r="H174" i="8"/>
  <c r="H177" i="8"/>
  <c r="H178" i="8"/>
  <c r="H179" i="8"/>
  <c r="H180" i="8"/>
  <c r="D180" i="8"/>
  <c r="J178" i="8"/>
  <c r="H175" i="8"/>
  <c r="J177" i="8"/>
  <c r="J58" i="8"/>
  <c r="J59" i="8" s="1"/>
  <c r="H58" i="8"/>
  <c r="H59" i="8" s="1"/>
  <c r="J179" i="8"/>
  <c r="J174" i="8"/>
  <c r="E180" i="8"/>
  <c r="E177" i="8"/>
  <c r="D177" i="8"/>
  <c r="K176" i="8"/>
  <c r="D176" i="8"/>
  <c r="J176" i="8"/>
  <c r="I58" i="8"/>
  <c r="I59" i="8" s="1"/>
  <c r="D178" i="8"/>
  <c r="I145" i="8"/>
  <c r="I187" i="8" s="1"/>
  <c r="I131" i="8"/>
  <c r="I154" i="8" s="1"/>
  <c r="I179" i="8" s="1"/>
  <c r="G187" i="8"/>
  <c r="K174" i="8"/>
  <c r="K177" i="8"/>
  <c r="K178" i="8"/>
  <c r="J164" i="8"/>
  <c r="J165" i="8" s="1"/>
  <c r="F178" i="8"/>
  <c r="E179" i="8"/>
  <c r="K180" i="8"/>
  <c r="D179" i="8"/>
  <c r="J180" i="8"/>
  <c r="E178" i="8"/>
  <c r="E176" i="8"/>
  <c r="E174" i="8"/>
  <c r="E175" i="8"/>
  <c r="F180" i="8"/>
  <c r="F176" i="8"/>
  <c r="F175" i="8"/>
  <c r="F179" i="8"/>
  <c r="F174" i="8"/>
  <c r="F177" i="8"/>
  <c r="G179" i="8"/>
  <c r="H78" i="8"/>
  <c r="F78" i="8"/>
  <c r="C78" i="8"/>
  <c r="J78" i="8"/>
  <c r="I78" i="8"/>
  <c r="D78" i="8"/>
  <c r="C274" i="8"/>
  <c r="D274" i="8" s="1"/>
  <c r="E274" i="8" s="1"/>
  <c r="F274" i="8" s="1"/>
  <c r="G274" i="8" s="1"/>
  <c r="H274" i="8" s="1"/>
  <c r="I274" i="8" s="1"/>
  <c r="J274" i="8" s="1"/>
  <c r="K274" i="8" s="1"/>
  <c r="L274" i="8" s="1"/>
  <c r="L78" i="8"/>
  <c r="K78" i="8"/>
  <c r="E78" i="8"/>
  <c r="G78" i="8"/>
  <c r="J175" i="8"/>
  <c r="E58" i="8"/>
  <c r="E59" i="8" s="1"/>
  <c r="D164" i="8"/>
  <c r="D165" i="8" s="1"/>
  <c r="D58" i="8"/>
  <c r="D60" i="8" s="1"/>
  <c r="G174" i="8"/>
  <c r="G178" i="8"/>
  <c r="G177" i="8"/>
  <c r="G164" i="8"/>
  <c r="G165" i="8" s="1"/>
  <c r="F58" i="8"/>
  <c r="F59" i="8" s="1"/>
  <c r="G180" i="8"/>
  <c r="G175" i="8"/>
  <c r="L58" i="8" l="1"/>
  <c r="L59" i="8" s="1"/>
  <c r="L176" i="8"/>
  <c r="L177" i="8"/>
  <c r="L175" i="8"/>
  <c r="L174" i="8"/>
  <c r="L181" i="8" s="1"/>
  <c r="L180" i="8"/>
  <c r="L178" i="8"/>
  <c r="L179" i="8"/>
  <c r="L194" i="8"/>
  <c r="K194" i="8"/>
  <c r="H194" i="8"/>
  <c r="F194" i="8"/>
  <c r="G194" i="8"/>
  <c r="E194" i="8"/>
  <c r="J181" i="8"/>
  <c r="K181" i="8"/>
  <c r="G181" i="8"/>
  <c r="H181" i="8"/>
  <c r="E181" i="8"/>
  <c r="D181" i="8"/>
  <c r="M267" i="8"/>
  <c r="D35" i="4"/>
  <c r="M272" i="8" s="1"/>
  <c r="C55" i="8"/>
  <c r="C161" i="8" s="1"/>
  <c r="C270" i="8" s="1"/>
  <c r="M263" i="8"/>
  <c r="F181" i="8"/>
  <c r="E46" i="9"/>
  <c r="F29" i="9"/>
  <c r="F31" i="4"/>
  <c r="G29" i="9" s="1"/>
  <c r="H29" i="9" s="1"/>
  <c r="F27" i="9"/>
  <c r="F29" i="4"/>
  <c r="G27" i="9" s="1"/>
  <c r="H27" i="9" s="1"/>
  <c r="F26" i="9"/>
  <c r="F28" i="4"/>
  <c r="G26" i="9" s="1"/>
  <c r="F24" i="9"/>
  <c r="E55" i="9" s="1"/>
  <c r="F26" i="4"/>
  <c r="F28" i="9"/>
  <c r="H226" i="5"/>
  <c r="H242" i="5"/>
  <c r="H217" i="5"/>
  <c r="H233" i="5"/>
  <c r="H250" i="5"/>
  <c r="H216" i="5"/>
  <c r="H232" i="5"/>
  <c r="H249" i="5"/>
  <c r="H219" i="5"/>
  <c r="H235" i="5"/>
  <c r="H252" i="5"/>
  <c r="H218" i="5"/>
  <c r="H238" i="5"/>
  <c r="H221" i="5"/>
  <c r="H241" i="5"/>
  <c r="H212" i="5"/>
  <c r="H236" i="5"/>
  <c r="H244" i="5"/>
  <c r="H231" i="5"/>
  <c r="H240" i="5"/>
  <c r="H251" i="5"/>
  <c r="H211" i="5"/>
  <c r="H245" i="5"/>
  <c r="H222" i="5"/>
  <c r="H247" i="5"/>
  <c r="H246" i="5"/>
  <c r="H220" i="5"/>
  <c r="H215" i="5"/>
  <c r="H239" i="5"/>
  <c r="H223" i="5"/>
  <c r="H214" i="5"/>
  <c r="H234" i="5"/>
  <c r="H213" i="5"/>
  <c r="H237" i="5"/>
  <c r="H228" i="5"/>
  <c r="H253" i="5"/>
  <c r="H227" i="5"/>
  <c r="H248" i="5"/>
  <c r="H225" i="5"/>
  <c r="H230" i="5"/>
  <c r="H229" i="5"/>
  <c r="H224" i="5"/>
  <c r="H243" i="5"/>
  <c r="D25" i="5"/>
  <c r="D25" i="7"/>
  <c r="D25" i="6"/>
  <c r="H320" i="6"/>
  <c r="H315" i="6"/>
  <c r="H322" i="6"/>
  <c r="H337" i="6"/>
  <c r="H324" i="6"/>
  <c r="H306" i="6"/>
  <c r="H321" i="6"/>
  <c r="H338" i="6"/>
  <c r="H336" i="6"/>
  <c r="H310" i="6"/>
  <c r="H327" i="6"/>
  <c r="H309" i="6"/>
  <c r="H311" i="6"/>
  <c r="H305" i="6"/>
  <c r="H330" i="6"/>
  <c r="H332" i="6"/>
  <c r="H318" i="6"/>
  <c r="H326" i="6"/>
  <c r="H328" i="6"/>
  <c r="H308" i="6"/>
  <c r="H319" i="6"/>
  <c r="H313" i="6"/>
  <c r="H307" i="6"/>
  <c r="H334" i="6"/>
  <c r="H331" i="6"/>
  <c r="H316" i="6"/>
  <c r="H333" i="6"/>
  <c r="H312" i="6"/>
  <c r="H335" i="6"/>
  <c r="H329" i="6"/>
  <c r="H323" i="6"/>
  <c r="H317" i="6"/>
  <c r="H340" i="6"/>
  <c r="H314" i="6"/>
  <c r="H339" i="6"/>
  <c r="H325" i="6"/>
  <c r="H374" i="7"/>
  <c r="H383" i="7"/>
  <c r="H353" i="7"/>
  <c r="H377" i="7"/>
  <c r="H372" i="7"/>
  <c r="H357" i="7"/>
  <c r="H379" i="7"/>
  <c r="H360" i="7"/>
  <c r="H371" i="7"/>
  <c r="H385" i="7"/>
  <c r="H359" i="7"/>
  <c r="H356" i="7"/>
  <c r="H373" i="7"/>
  <c r="H362" i="7"/>
  <c r="H384" i="7"/>
  <c r="H376" i="7"/>
  <c r="H387" i="7"/>
  <c r="H364" i="7"/>
  <c r="H375" i="7"/>
  <c r="H370" i="7"/>
  <c r="H361" i="7"/>
  <c r="H355" i="7"/>
  <c r="H369" i="7"/>
  <c r="H366" i="7"/>
  <c r="H386" i="7"/>
  <c r="H388" i="7"/>
  <c r="H382" i="7"/>
  <c r="H365" i="7"/>
  <c r="H358" i="7"/>
  <c r="H378" i="7"/>
  <c r="H380" i="7"/>
  <c r="H354" i="7"/>
  <c r="H367" i="7"/>
  <c r="H363" i="7"/>
  <c r="H368" i="7"/>
  <c r="H381" i="7"/>
  <c r="D28" i="5"/>
  <c r="D28" i="7"/>
  <c r="D28" i="6"/>
  <c r="H269" i="7"/>
  <c r="H290" i="7"/>
  <c r="H277" i="7"/>
  <c r="H285" i="7"/>
  <c r="H293" i="7"/>
  <c r="H268" i="7"/>
  <c r="H284" i="7"/>
  <c r="H273" i="7"/>
  <c r="H260" i="7"/>
  <c r="H292" i="7"/>
  <c r="H263" i="7"/>
  <c r="H271" i="7"/>
  <c r="H279" i="7"/>
  <c r="H287" i="7"/>
  <c r="H259" i="7"/>
  <c r="H266" i="7"/>
  <c r="H274" i="7"/>
  <c r="H282" i="7"/>
  <c r="H294" i="7"/>
  <c r="H272" i="7"/>
  <c r="H288" i="7"/>
  <c r="H265" i="7"/>
  <c r="H289" i="7"/>
  <c r="H267" i="7"/>
  <c r="H275" i="7"/>
  <c r="H283" i="7"/>
  <c r="H291" i="7"/>
  <c r="H262" i="7"/>
  <c r="H270" i="7"/>
  <c r="H278" i="7"/>
  <c r="H286" i="7"/>
  <c r="H264" i="7"/>
  <c r="H280" i="7"/>
  <c r="H261" i="7"/>
  <c r="H281" i="7"/>
  <c r="H276" i="7"/>
  <c r="H314" i="7"/>
  <c r="H330" i="7"/>
  <c r="H309" i="7"/>
  <c r="H325" i="7"/>
  <c r="H341" i="7"/>
  <c r="H331" i="7"/>
  <c r="H316" i="7"/>
  <c r="H332" i="7"/>
  <c r="H319" i="7"/>
  <c r="H310" i="7"/>
  <c r="H334" i="7"/>
  <c r="H317" i="7"/>
  <c r="H337" i="7"/>
  <c r="H339" i="7"/>
  <c r="H324" i="7"/>
  <c r="H311" i="7"/>
  <c r="H306" i="7"/>
  <c r="H315" i="7"/>
  <c r="H336" i="7"/>
  <c r="H318" i="7"/>
  <c r="H338" i="7"/>
  <c r="H321" i="7"/>
  <c r="H307" i="7"/>
  <c r="H308" i="7"/>
  <c r="H328" i="7"/>
  <c r="H327" i="7"/>
  <c r="H326" i="7"/>
  <c r="H313" i="7"/>
  <c r="H333" i="7"/>
  <c r="H323" i="7"/>
  <c r="H320" i="7"/>
  <c r="H340" i="7"/>
  <c r="H322" i="7"/>
  <c r="H329" i="7"/>
  <c r="H312" i="7"/>
  <c r="H335" i="7"/>
  <c r="H359" i="5"/>
  <c r="H371" i="5"/>
  <c r="H385" i="5"/>
  <c r="H365" i="5"/>
  <c r="H376" i="5"/>
  <c r="H394" i="5"/>
  <c r="H374" i="5"/>
  <c r="H391" i="5"/>
  <c r="H387" i="5"/>
  <c r="H367" i="5"/>
  <c r="H389" i="5"/>
  <c r="H392" i="5"/>
  <c r="H368" i="5"/>
  <c r="H378" i="5"/>
  <c r="H379" i="5"/>
  <c r="H384" i="5"/>
  <c r="H383" i="5"/>
  <c r="H381" i="5"/>
  <c r="H388" i="5"/>
  <c r="H360" i="5"/>
  <c r="H366" i="5"/>
  <c r="H363" i="5"/>
  <c r="H369" i="5"/>
  <c r="H372" i="5"/>
  <c r="H382" i="5"/>
  <c r="H373" i="5"/>
  <c r="H390" i="5"/>
  <c r="H370" i="5"/>
  <c r="H361" i="5"/>
  <c r="H380" i="5"/>
  <c r="H362" i="5"/>
  <c r="H386" i="5"/>
  <c r="H377" i="5"/>
  <c r="H364" i="5"/>
  <c r="H393" i="5"/>
  <c r="H375" i="5"/>
  <c r="H276" i="5"/>
  <c r="H296" i="5"/>
  <c r="H279" i="5"/>
  <c r="H266" i="5"/>
  <c r="H286" i="5"/>
  <c r="H273" i="5"/>
  <c r="H297" i="5"/>
  <c r="H268" i="5"/>
  <c r="H300" i="5"/>
  <c r="H291" i="5"/>
  <c r="H282" i="5"/>
  <c r="H281" i="5"/>
  <c r="H272" i="5"/>
  <c r="H270" i="5"/>
  <c r="H280" i="5"/>
  <c r="H271" i="5"/>
  <c r="H295" i="5"/>
  <c r="H290" i="5"/>
  <c r="H285" i="5"/>
  <c r="H275" i="5"/>
  <c r="H292" i="5"/>
  <c r="H287" i="5"/>
  <c r="H274" i="5"/>
  <c r="H269" i="5"/>
  <c r="H265" i="5"/>
  <c r="H284" i="5"/>
  <c r="H298" i="5"/>
  <c r="H289" i="5"/>
  <c r="H294" i="5"/>
  <c r="H267" i="5"/>
  <c r="H278" i="5"/>
  <c r="H288" i="5"/>
  <c r="H277" i="5"/>
  <c r="H293" i="5"/>
  <c r="H299" i="5"/>
  <c r="H283" i="5"/>
  <c r="H215" i="7"/>
  <c r="H224" i="7"/>
  <c r="H216" i="7"/>
  <c r="H236" i="7"/>
  <c r="H237" i="7"/>
  <c r="H221" i="7"/>
  <c r="H242" i="7"/>
  <c r="H226" i="7"/>
  <c r="H247" i="7"/>
  <c r="H231" i="7"/>
  <c r="H228" i="7"/>
  <c r="H240" i="7"/>
  <c r="H220" i="7"/>
  <c r="H233" i="7"/>
  <c r="H217" i="7"/>
  <c r="H238" i="7"/>
  <c r="H222" i="7"/>
  <c r="H243" i="7"/>
  <c r="H227" i="7"/>
  <c r="H232" i="7"/>
  <c r="H241" i="7"/>
  <c r="H246" i="7"/>
  <c r="H214" i="7"/>
  <c r="H219" i="7"/>
  <c r="H225" i="7"/>
  <c r="H235" i="7"/>
  <c r="H244" i="7"/>
  <c r="H229" i="7"/>
  <c r="H234" i="7"/>
  <c r="H239" i="7"/>
  <c r="H211" i="7"/>
  <c r="H245" i="7"/>
  <c r="H213" i="7"/>
  <c r="H218" i="7"/>
  <c r="H223" i="7"/>
  <c r="H212" i="7"/>
  <c r="H230" i="7"/>
  <c r="H330" i="5"/>
  <c r="H325" i="5"/>
  <c r="H340" i="5"/>
  <c r="H313" i="5"/>
  <c r="H347" i="5"/>
  <c r="H323" i="5"/>
  <c r="H320" i="5"/>
  <c r="H345" i="5"/>
  <c r="H314" i="5"/>
  <c r="H341" i="5"/>
  <c r="H319" i="5"/>
  <c r="H318" i="5"/>
  <c r="H316" i="5"/>
  <c r="H327" i="5"/>
  <c r="H321" i="5"/>
  <c r="H334" i="5"/>
  <c r="H339" i="5"/>
  <c r="H328" i="5"/>
  <c r="H312" i="5"/>
  <c r="H329" i="5"/>
  <c r="H331" i="5"/>
  <c r="H346" i="5"/>
  <c r="H336" i="5"/>
  <c r="H335" i="5"/>
  <c r="H343" i="5"/>
  <c r="H317" i="5"/>
  <c r="H324" i="5"/>
  <c r="H342" i="5"/>
  <c r="H338" i="5"/>
  <c r="H333" i="5"/>
  <c r="H344" i="5"/>
  <c r="H326" i="5"/>
  <c r="H337" i="5"/>
  <c r="H315" i="5"/>
  <c r="H332" i="5"/>
  <c r="H322" i="5"/>
  <c r="D23" i="7"/>
  <c r="D23" i="6"/>
  <c r="D23" i="5"/>
  <c r="H260" i="6"/>
  <c r="H264" i="6"/>
  <c r="H284" i="6"/>
  <c r="H271" i="6"/>
  <c r="H293" i="6"/>
  <c r="H266" i="6"/>
  <c r="H292" i="6"/>
  <c r="H273" i="6"/>
  <c r="H276" i="6"/>
  <c r="H263" i="6"/>
  <c r="H286" i="6"/>
  <c r="H278" i="6"/>
  <c r="H269" i="6"/>
  <c r="H287" i="6"/>
  <c r="H280" i="6"/>
  <c r="H275" i="6"/>
  <c r="H282" i="6"/>
  <c r="H277" i="6"/>
  <c r="H279" i="6"/>
  <c r="H268" i="6"/>
  <c r="H289" i="6"/>
  <c r="H274" i="6"/>
  <c r="H261" i="6"/>
  <c r="H291" i="6"/>
  <c r="H259" i="6"/>
  <c r="H262" i="6"/>
  <c r="H285" i="6"/>
  <c r="H281" i="6"/>
  <c r="H258" i="6"/>
  <c r="H272" i="6"/>
  <c r="H290" i="6"/>
  <c r="H265" i="6"/>
  <c r="H283" i="6"/>
  <c r="H288" i="6"/>
  <c r="H267" i="6"/>
  <c r="H270" i="6"/>
  <c r="D26" i="5"/>
  <c r="D26" i="7"/>
  <c r="D26" i="6"/>
  <c r="H240" i="6"/>
  <c r="H239" i="6"/>
  <c r="H238" i="6"/>
  <c r="H233" i="6"/>
  <c r="H228" i="6"/>
  <c r="H243" i="6"/>
  <c r="H217" i="6"/>
  <c r="H222" i="6"/>
  <c r="H212" i="6"/>
  <c r="H226" i="6"/>
  <c r="H244" i="6"/>
  <c r="H224" i="6"/>
  <c r="H227" i="6"/>
  <c r="H242" i="6"/>
  <c r="H211" i="6"/>
  <c r="H221" i="6"/>
  <c r="H223" i="6"/>
  <c r="H237" i="6"/>
  <c r="H231" i="6"/>
  <c r="H225" i="6"/>
  <c r="H219" i="6"/>
  <c r="H213" i="6"/>
  <c r="H246" i="6"/>
  <c r="H234" i="6"/>
  <c r="H216" i="6"/>
  <c r="H214" i="6"/>
  <c r="H241" i="6"/>
  <c r="H235" i="6"/>
  <c r="H229" i="6"/>
  <c r="H215" i="6"/>
  <c r="H236" i="6"/>
  <c r="H232" i="6"/>
  <c r="H230" i="6"/>
  <c r="H220" i="6"/>
  <c r="H218" i="6"/>
  <c r="H245" i="6"/>
  <c r="H361" i="6"/>
  <c r="H372" i="6"/>
  <c r="H379" i="6"/>
  <c r="H377" i="6"/>
  <c r="H359" i="6"/>
  <c r="H354" i="6"/>
  <c r="H381" i="6"/>
  <c r="H375" i="6"/>
  <c r="H364" i="6"/>
  <c r="H386" i="6"/>
  <c r="H355" i="6"/>
  <c r="H366" i="6"/>
  <c r="H358" i="6"/>
  <c r="H385" i="6"/>
  <c r="H383" i="6"/>
  <c r="H360" i="6"/>
  <c r="H356" i="6"/>
  <c r="H357" i="6"/>
  <c r="H376" i="6"/>
  <c r="H374" i="6"/>
  <c r="H368" i="6"/>
  <c r="H362" i="6"/>
  <c r="H352" i="6"/>
  <c r="H373" i="6"/>
  <c r="H387" i="6"/>
  <c r="H365" i="6"/>
  <c r="H369" i="6"/>
  <c r="H380" i="6"/>
  <c r="H353" i="6"/>
  <c r="H384" i="6"/>
  <c r="H378" i="6"/>
  <c r="H371" i="6"/>
  <c r="H382" i="6"/>
  <c r="H363" i="6"/>
  <c r="H370" i="6"/>
  <c r="H367" i="6"/>
  <c r="D27" i="7"/>
  <c r="D27" i="6"/>
  <c r="D27" i="5"/>
  <c r="G28" i="9"/>
  <c r="H28" i="9" s="1"/>
  <c r="G59" i="8"/>
  <c r="K59" i="8"/>
  <c r="H60" i="8"/>
  <c r="I60" i="8"/>
  <c r="I188" i="8"/>
  <c r="J60" i="8"/>
  <c r="I193" i="8"/>
  <c r="I156" i="8"/>
  <c r="I164" i="8" s="1"/>
  <c r="I165" i="8" s="1"/>
  <c r="I190" i="8"/>
  <c r="I189" i="8"/>
  <c r="I192" i="8"/>
  <c r="I191" i="8"/>
  <c r="E60" i="8"/>
  <c r="I178" i="8"/>
  <c r="I176" i="8"/>
  <c r="I174" i="8"/>
  <c r="I175" i="8"/>
  <c r="I177" i="8"/>
  <c r="I180" i="8"/>
  <c r="F60" i="8"/>
  <c r="G249" i="8" a="1"/>
  <c r="G249" i="8" s="1"/>
  <c r="G251" i="8" a="1"/>
  <c r="G251" i="8" s="1"/>
  <c r="G233" i="8" a="1"/>
  <c r="G233" i="8" s="1"/>
  <c r="G235" i="8" a="1"/>
  <c r="G235" i="8" s="1"/>
  <c r="G248" i="8" a="1"/>
  <c r="G248" i="8" s="1"/>
  <c r="G250" i="8" a="1"/>
  <c r="G250" i="8" s="1"/>
  <c r="G238" i="8" a="1"/>
  <c r="G238" i="8" s="1"/>
  <c r="G232" i="8" a="1"/>
  <c r="G232" i="8" s="1"/>
  <c r="G234" i="8" a="1"/>
  <c r="G234" i="8" s="1"/>
  <c r="G237" i="8" a="1"/>
  <c r="G237" i="8" s="1"/>
  <c r="G246" i="8" a="1"/>
  <c r="G246" i="8" s="1"/>
  <c r="G236" i="8" a="1"/>
  <c r="G236" i="8" s="1"/>
  <c r="G247" i="8" a="1"/>
  <c r="G247" i="8" s="1"/>
  <c r="G252" i="8" a="1"/>
  <c r="G252" i="8" s="1"/>
  <c r="E238" i="8" a="1"/>
  <c r="E238" i="8" s="1"/>
  <c r="E249" i="8" a="1"/>
  <c r="E249" i="8" s="1"/>
  <c r="E246" i="8" a="1"/>
  <c r="E246" i="8" s="1"/>
  <c r="E235" i="8" a="1"/>
  <c r="E235" i="8" s="1"/>
  <c r="E234" i="8" a="1"/>
  <c r="E234" i="8" s="1"/>
  <c r="E247" i="8" a="1"/>
  <c r="E247" i="8" s="1"/>
  <c r="E236" i="8" a="1"/>
  <c r="E236" i="8" s="1"/>
  <c r="E252" i="8" a="1"/>
  <c r="E252" i="8" s="1"/>
  <c r="E237" i="8" a="1"/>
  <c r="E237" i="8" s="1"/>
  <c r="E248" i="8" a="1"/>
  <c r="E248" i="8" s="1"/>
  <c r="E233" i="8" a="1"/>
  <c r="E233" i="8" s="1"/>
  <c r="E232" i="8" a="1"/>
  <c r="E232" i="8" s="1"/>
  <c r="E250" i="8" a="1"/>
  <c r="E250" i="8" s="1"/>
  <c r="E251" i="8" a="1"/>
  <c r="E251" i="8" s="1"/>
  <c r="D251" i="8" a="1"/>
  <c r="D251" i="8" s="1"/>
  <c r="D249" i="8" a="1"/>
  <c r="D249" i="8" s="1"/>
  <c r="D238" i="8" a="1"/>
  <c r="D238" i="8" s="1"/>
  <c r="D234" i="8" a="1"/>
  <c r="D234" i="8" s="1"/>
  <c r="D236" i="8" a="1"/>
  <c r="D236" i="8" s="1"/>
  <c r="D246" i="8" a="1"/>
  <c r="D246" i="8" s="1"/>
  <c r="D237" i="8" a="1"/>
  <c r="D237" i="8" s="1"/>
  <c r="D233" i="8" a="1"/>
  <c r="D233" i="8" s="1"/>
  <c r="D248" i="8" a="1"/>
  <c r="D248" i="8" s="1"/>
  <c r="D247" i="8" a="1"/>
  <c r="D247" i="8" s="1"/>
  <c r="D232" i="8" a="1"/>
  <c r="D232" i="8" s="1"/>
  <c r="D252" i="8" a="1"/>
  <c r="D252" i="8" s="1"/>
  <c r="D235" i="8" a="1"/>
  <c r="D235" i="8" s="1"/>
  <c r="D250" i="8" a="1"/>
  <c r="D250" i="8" s="1"/>
  <c r="F237" i="8" a="1"/>
  <c r="F237" i="8" s="1"/>
  <c r="F234" i="8" a="1"/>
  <c r="F234" i="8" s="1"/>
  <c r="F252" i="8" a="1"/>
  <c r="F252" i="8" s="1"/>
  <c r="F235" i="8" a="1"/>
  <c r="F235" i="8" s="1"/>
  <c r="F249" i="8" a="1"/>
  <c r="F249" i="8" s="1"/>
  <c r="F250" i="8" a="1"/>
  <c r="F250" i="8" s="1"/>
  <c r="F233" i="8" a="1"/>
  <c r="F233" i="8" s="1"/>
  <c r="F251" i="8" a="1"/>
  <c r="F251" i="8" s="1"/>
  <c r="F247" i="8" a="1"/>
  <c r="F247" i="8" s="1"/>
  <c r="F238" i="8" a="1"/>
  <c r="F238" i="8" s="1"/>
  <c r="F248" i="8" a="1"/>
  <c r="F248" i="8" s="1"/>
  <c r="F246" i="8" a="1"/>
  <c r="F246" i="8" s="1"/>
  <c r="F232" i="8" a="1"/>
  <c r="F232" i="8" s="1"/>
  <c r="F236" i="8" a="1"/>
  <c r="F236" i="8" s="1"/>
  <c r="K238" i="8" a="1"/>
  <c r="K238" i="8" s="1"/>
  <c r="K249" i="8" a="1"/>
  <c r="K249" i="8" s="1"/>
  <c r="K234" i="8" a="1"/>
  <c r="K234" i="8" s="1"/>
  <c r="K250" i="8" a="1"/>
  <c r="K250" i="8" s="1"/>
  <c r="K252" i="8" a="1"/>
  <c r="K252" i="8" s="1"/>
  <c r="K251" i="8" a="1"/>
  <c r="K251" i="8" s="1"/>
  <c r="K246" i="8" a="1"/>
  <c r="K246" i="8" s="1"/>
  <c r="K236" i="8" a="1"/>
  <c r="K236" i="8" s="1"/>
  <c r="K237" i="8" a="1"/>
  <c r="K237" i="8" s="1"/>
  <c r="K247" i="8" a="1"/>
  <c r="K247" i="8" s="1"/>
  <c r="K233" i="8" a="1"/>
  <c r="K233" i="8" s="1"/>
  <c r="K232" i="8" a="1"/>
  <c r="K232" i="8" s="1"/>
  <c r="K235" i="8" a="1"/>
  <c r="K235" i="8" s="1"/>
  <c r="K248" i="8" a="1"/>
  <c r="K248" i="8" s="1"/>
  <c r="I250" i="8" a="1"/>
  <c r="I250" i="8" s="1"/>
  <c r="I238" i="8" a="1"/>
  <c r="I238" i="8" s="1"/>
  <c r="I232" i="8" a="1"/>
  <c r="I232" i="8" s="1"/>
  <c r="I233" i="8" a="1"/>
  <c r="I233" i="8" s="1"/>
  <c r="I237" i="8" a="1"/>
  <c r="I237" i="8" s="1"/>
  <c r="I235" i="8" a="1"/>
  <c r="I235" i="8" s="1"/>
  <c r="I252" i="8" a="1"/>
  <c r="I252" i="8" s="1"/>
  <c r="I234" i="8" a="1"/>
  <c r="I234" i="8" s="1"/>
  <c r="I251" i="8" a="1"/>
  <c r="I251" i="8" s="1"/>
  <c r="I236" i="8" a="1"/>
  <c r="I236" i="8" s="1"/>
  <c r="I246" i="8" a="1"/>
  <c r="I246" i="8" s="1"/>
  <c r="I247" i="8" a="1"/>
  <c r="I247" i="8" s="1"/>
  <c r="I248" i="8" a="1"/>
  <c r="I248" i="8" s="1"/>
  <c r="I249" i="8" a="1"/>
  <c r="I249" i="8" s="1"/>
  <c r="H246" i="8" a="1"/>
  <c r="H246" i="8" s="1"/>
  <c r="H235" i="8" a="1"/>
  <c r="H235" i="8" s="1"/>
  <c r="H249" i="8" a="1"/>
  <c r="H249" i="8" s="1"/>
  <c r="H251" i="8" a="1"/>
  <c r="H251" i="8" s="1"/>
  <c r="H232" i="8" a="1"/>
  <c r="H232" i="8" s="1"/>
  <c r="H233" i="8" a="1"/>
  <c r="H233" i="8" s="1"/>
  <c r="H234" i="8" a="1"/>
  <c r="H234" i="8" s="1"/>
  <c r="H248" i="8" a="1"/>
  <c r="H248" i="8" s="1"/>
  <c r="H252" i="8" a="1"/>
  <c r="H252" i="8" s="1"/>
  <c r="H236" i="8" a="1"/>
  <c r="H236" i="8" s="1"/>
  <c r="H250" i="8" a="1"/>
  <c r="H250" i="8" s="1"/>
  <c r="H237" i="8" a="1"/>
  <c r="H237" i="8" s="1"/>
  <c r="H238" i="8" a="1"/>
  <c r="H238" i="8" s="1"/>
  <c r="H247" i="8" a="1"/>
  <c r="H247" i="8" s="1"/>
  <c r="L250" i="8" a="1"/>
  <c r="L250" i="8" s="1"/>
  <c r="L238" i="8" a="1"/>
  <c r="L238" i="8" s="1"/>
  <c r="L232" i="8" a="1"/>
  <c r="L232" i="8" s="1"/>
  <c r="L246" i="8" a="1"/>
  <c r="L246" i="8" s="1"/>
  <c r="L237" i="8" a="1"/>
  <c r="L237" i="8" s="1"/>
  <c r="L248" i="8" a="1"/>
  <c r="L248" i="8" s="1"/>
  <c r="L249" i="8" a="1"/>
  <c r="L249" i="8" s="1"/>
  <c r="L251" i="8" a="1"/>
  <c r="L251" i="8" s="1"/>
  <c r="L234" i="8" a="1"/>
  <c r="L234" i="8" s="1"/>
  <c r="L252" i="8" a="1"/>
  <c r="L252" i="8" s="1"/>
  <c r="L233" i="8" a="1"/>
  <c r="L233" i="8" s="1"/>
  <c r="L247" i="8" a="1"/>
  <c r="L247" i="8" s="1"/>
  <c r="L236" i="8" a="1"/>
  <c r="L236" i="8" s="1"/>
  <c r="L235" i="8" a="1"/>
  <c r="L235" i="8" s="1"/>
  <c r="J249" i="8" a="1"/>
  <c r="J249" i="8" s="1"/>
  <c r="J252" i="8" a="1"/>
  <c r="J252" i="8" s="1"/>
  <c r="J237" i="8" a="1"/>
  <c r="J237" i="8" s="1"/>
  <c r="J247" i="8" a="1"/>
  <c r="J247" i="8" s="1"/>
  <c r="J250" i="8" a="1"/>
  <c r="J250" i="8" s="1"/>
  <c r="J246" i="8" a="1"/>
  <c r="J246" i="8" s="1"/>
  <c r="J248" i="8" a="1"/>
  <c r="J248" i="8" s="1"/>
  <c r="J236" i="8" a="1"/>
  <c r="J236" i="8" s="1"/>
  <c r="J232" i="8" a="1"/>
  <c r="J232" i="8" s="1"/>
  <c r="J238" i="8" a="1"/>
  <c r="J238" i="8" s="1"/>
  <c r="J233" i="8" a="1"/>
  <c r="J233" i="8" s="1"/>
  <c r="J234" i="8" a="1"/>
  <c r="J234" i="8" s="1"/>
  <c r="J235" i="8" a="1"/>
  <c r="J235" i="8" s="1"/>
  <c r="J251" i="8" a="1"/>
  <c r="J251" i="8" s="1"/>
  <c r="D59" i="8"/>
  <c r="L60" i="8" l="1"/>
  <c r="K253" i="8"/>
  <c r="K265" i="8" s="1"/>
  <c r="L253" i="8"/>
  <c r="L265" i="8" s="1"/>
  <c r="G239" i="8"/>
  <c r="G264" i="8" s="1"/>
  <c r="H253" i="8"/>
  <c r="H265" i="8" s="1"/>
  <c r="J253" i="8"/>
  <c r="J265" i="8" s="1"/>
  <c r="G253" i="8"/>
  <c r="G265" i="8" s="1"/>
  <c r="F253" i="8"/>
  <c r="F265" i="8" s="1"/>
  <c r="D253" i="8"/>
  <c r="D265" i="8" s="1"/>
  <c r="E253" i="8"/>
  <c r="E265" i="8" s="1"/>
  <c r="L239" i="8"/>
  <c r="L264" i="8" s="1"/>
  <c r="K239" i="8"/>
  <c r="K263" i="8" s="1"/>
  <c r="H239" i="8"/>
  <c r="H263" i="8" s="1"/>
  <c r="J239" i="8"/>
  <c r="J264" i="8" s="1"/>
  <c r="I194" i="8"/>
  <c r="I253" i="8"/>
  <c r="I265" i="8" s="1"/>
  <c r="I181" i="8"/>
  <c r="C56" i="8"/>
  <c r="C162" i="8" s="1"/>
  <c r="C271" i="8" s="1"/>
  <c r="C50" i="8"/>
  <c r="C145" i="8" s="1"/>
  <c r="C156" i="8" s="1"/>
  <c r="C265" i="8" s="1"/>
  <c r="F35" i="4"/>
  <c r="F36" i="4" s="1"/>
  <c r="C51" i="8"/>
  <c r="C48" i="8"/>
  <c r="C131" i="8" s="1"/>
  <c r="C154" i="8" s="1"/>
  <c r="C49" i="8"/>
  <c r="C155" i="8" s="1"/>
  <c r="C264" i="8" s="1"/>
  <c r="C53" i="8"/>
  <c r="C52" i="8"/>
  <c r="E239" i="8"/>
  <c r="E263" i="8" s="1"/>
  <c r="D239" i="8"/>
  <c r="D264" i="8" s="1"/>
  <c r="C54" i="8"/>
  <c r="C57" i="8"/>
  <c r="C163" i="8" s="1"/>
  <c r="C272" i="8" s="1"/>
  <c r="E44" i="9"/>
  <c r="F239" i="8"/>
  <c r="F264" i="8" s="1"/>
  <c r="E52" i="9"/>
  <c r="E56" i="9"/>
  <c r="E53" i="9"/>
  <c r="E54" i="9"/>
  <c r="H26" i="9"/>
  <c r="G24" i="9"/>
  <c r="E45" i="9" s="1"/>
  <c r="H27" i="7"/>
  <c r="I27" i="7"/>
  <c r="J27" i="7"/>
  <c r="J26" i="6"/>
  <c r="I26" i="6"/>
  <c r="H26" i="6"/>
  <c r="I23" i="6"/>
  <c r="H23" i="6"/>
  <c r="J23" i="6"/>
  <c r="H26" i="7"/>
  <c r="J26" i="7"/>
  <c r="I26" i="7"/>
  <c r="I23" i="7"/>
  <c r="J23" i="7"/>
  <c r="H23" i="7"/>
  <c r="J28" i="7"/>
  <c r="I28" i="7"/>
  <c r="H28" i="7"/>
  <c r="I28" i="6"/>
  <c r="H28" i="6"/>
  <c r="J28" i="6"/>
  <c r="H25" i="5"/>
  <c r="J25" i="5"/>
  <c r="I25" i="5"/>
  <c r="I27" i="5"/>
  <c r="J27" i="5"/>
  <c r="H27" i="5"/>
  <c r="H26" i="5"/>
  <c r="J26" i="5"/>
  <c r="I26" i="5"/>
  <c r="I28" i="5"/>
  <c r="J28" i="5"/>
  <c r="H28" i="5"/>
  <c r="H25" i="6"/>
  <c r="J25" i="6"/>
  <c r="I25" i="6"/>
  <c r="H27" i="6"/>
  <c r="J27" i="6"/>
  <c r="I27" i="6"/>
  <c r="H23" i="5"/>
  <c r="I23" i="5"/>
  <c r="J23" i="5"/>
  <c r="I25" i="7"/>
  <c r="H25" i="7"/>
  <c r="J25" i="7"/>
  <c r="I239" i="8"/>
  <c r="I263" i="8" s="1"/>
  <c r="G263" i="8" l="1"/>
  <c r="G273" i="8" s="1"/>
  <c r="G275" i="8" s="1"/>
  <c r="J263" i="8"/>
  <c r="J273" i="8" s="1"/>
  <c r="J275" i="8" s="1"/>
  <c r="K264" i="8"/>
  <c r="K277" i="8" s="1"/>
  <c r="K279" i="8" s="1"/>
  <c r="L263" i="8"/>
  <c r="L273" i="8" s="1"/>
  <c r="L275" i="8" s="1"/>
  <c r="H264" i="8"/>
  <c r="H277" i="8" s="1"/>
  <c r="H279" i="8" s="1"/>
  <c r="H273" i="8"/>
  <c r="H275" i="8" s="1"/>
  <c r="K278" i="8"/>
  <c r="K273" i="8"/>
  <c r="K275" i="8" s="1"/>
  <c r="H278" i="8"/>
  <c r="D348" i="8"/>
  <c r="D350" i="8" s="1"/>
  <c r="E264" i="8"/>
  <c r="E273" i="8" s="1"/>
  <c r="E275" i="8" s="1"/>
  <c r="D263" i="8"/>
  <c r="D278" i="8" s="1"/>
  <c r="D347" i="8"/>
  <c r="D352" i="8" s="1"/>
  <c r="D357" i="8" s="1"/>
  <c r="F263" i="8"/>
  <c r="F273" i="8" s="1"/>
  <c r="F275" i="8" s="1"/>
  <c r="E57" i="9"/>
  <c r="E47" i="9" s="1"/>
  <c r="E49" i="9" s="1"/>
  <c r="C176" i="8"/>
  <c r="C58" i="8"/>
  <c r="C60" i="8" s="1"/>
  <c r="H24" i="9"/>
  <c r="C193" i="8"/>
  <c r="C190" i="8"/>
  <c r="C187" i="8"/>
  <c r="C192" i="8"/>
  <c r="C191" i="8"/>
  <c r="C189" i="8"/>
  <c r="C188" i="8"/>
  <c r="I30" i="5"/>
  <c r="J30" i="5"/>
  <c r="J30" i="7"/>
  <c r="H30" i="6"/>
  <c r="I30" i="7"/>
  <c r="I30" i="6"/>
  <c r="H30" i="5"/>
  <c r="H30" i="7"/>
  <c r="J30" i="6"/>
  <c r="C263" i="8"/>
  <c r="C273" i="8" s="1"/>
  <c r="C164" i="8"/>
  <c r="C165" i="8" s="1"/>
  <c r="C175" i="8"/>
  <c r="C178" i="8"/>
  <c r="C180" i="8"/>
  <c r="C174" i="8"/>
  <c r="C177" i="8"/>
  <c r="C179" i="8"/>
  <c r="I264" i="8"/>
  <c r="I277" i="8" s="1"/>
  <c r="J277" i="8" l="1"/>
  <c r="J279" i="8" s="1"/>
  <c r="J278" i="8"/>
  <c r="G277" i="8"/>
  <c r="G279" i="8" s="1"/>
  <c r="G278" i="8"/>
  <c r="L277" i="8"/>
  <c r="L279" i="8" s="1"/>
  <c r="L278" i="8"/>
  <c r="E277" i="8"/>
  <c r="E279" i="8" s="1"/>
  <c r="E278" i="8"/>
  <c r="I278" i="8"/>
  <c r="I273" i="8"/>
  <c r="I275" i="8" s="1"/>
  <c r="D277" i="8"/>
  <c r="D279" i="8" s="1"/>
  <c r="D273" i="8"/>
  <c r="D275" i="8" s="1"/>
  <c r="D351" i="8"/>
  <c r="D360" i="8" s="1"/>
  <c r="F277" i="8"/>
  <c r="F279" i="8" s="1"/>
  <c r="F278" i="8"/>
  <c r="P352" i="8"/>
  <c r="N352" i="8" s="1"/>
  <c r="D356" i="8"/>
  <c r="O356" i="8" s="1"/>
  <c r="C278" i="8"/>
  <c r="C277" i="8"/>
  <c r="C275" i="8"/>
  <c r="C59" i="8"/>
  <c r="P350" i="8"/>
  <c r="N350" i="8" s="1"/>
  <c r="P351" i="8"/>
  <c r="N351" i="8" s="1"/>
  <c r="P348" i="8"/>
  <c r="N348" i="8" s="1"/>
  <c r="P349" i="8"/>
  <c r="N349" i="8" s="1"/>
  <c r="C194" i="8"/>
  <c r="P347" i="8"/>
  <c r="N347" i="8" s="1"/>
  <c r="O357" i="8"/>
  <c r="C181" i="8"/>
  <c r="I279" i="8"/>
  <c r="C285" i="8" l="1"/>
  <c r="C286" i="8" s="1"/>
  <c r="C287" i="8" s="1"/>
  <c r="E351" i="8"/>
  <c r="E350" i="8"/>
  <c r="G350" i="8"/>
  <c r="C290" i="8"/>
  <c r="C279" i="8"/>
  <c r="D290" i="8" s="1"/>
  <c r="S361" i="8" l="1"/>
  <c r="S362" i="8"/>
  <c r="S363" i="8" s="1"/>
  <c r="D292" i="8"/>
  <c r="C294" i="8" s="1"/>
  <c r="R286" i="8" s="1"/>
  <c r="R287" i="8" s="1"/>
  <c r="C291" i="8"/>
  <c r="C295" i="8" s="1"/>
  <c r="C292" i="8"/>
  <c r="D291" i="8"/>
  <c r="D295" i="8" l="1"/>
  <c r="D355" i="8"/>
  <c r="D358" i="8" s="1"/>
  <c r="O355" i="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DarraghS</author>
    <author>SimsR</author>
  </authors>
  <commentList>
    <comment ref="C285" authorId="0" shapeId="0" xr:uid="{00000000-0006-0000-0700-000001000000}">
      <text>
        <r>
          <rPr>
            <sz val="9"/>
            <color indexed="81"/>
            <rFont val="Tahoma"/>
            <family val="2"/>
          </rPr>
          <t>All Comparable building emissions/energy treated as black for baseline calculation</t>
        </r>
      </text>
    </comment>
    <comment ref="C286" authorId="1" shapeId="0" xr:uid="{00000000-0006-0000-0700-000002000000}">
      <text>
        <r>
          <rPr>
            <sz val="9"/>
            <color indexed="81"/>
            <rFont val="Tahoma"/>
            <family val="2"/>
          </rPr>
          <t xml:space="preserve">Assumes that average performer sits on 30% mark, and 100% improvement equates to zero emissions
</t>
        </r>
      </text>
    </comment>
    <comment ref="C294" authorId="0" shapeId="0" xr:uid="{00000000-0006-0000-0700-000003000000}">
      <text>
        <r>
          <rPr>
            <sz val="9"/>
            <color indexed="81"/>
            <rFont val="Tahoma"/>
            <family val="2"/>
          </rPr>
          <t xml:space="preserve">Conditional Requirement determined from % Improvement over average performer, i.e. at least </t>
        </r>
        <r>
          <rPr>
            <b/>
            <sz val="9"/>
            <color indexed="81"/>
            <rFont val="Tahoma"/>
            <family val="2"/>
          </rPr>
          <t>10%</t>
        </r>
        <r>
          <rPr>
            <sz val="9"/>
            <color indexed="81"/>
            <rFont val="Tahoma"/>
            <family val="2"/>
          </rPr>
          <t xml:space="preserve"> better than the average greenhouse gas baseline without GreenPower or other low-emission electricity generated off-site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Jack Manning</author>
  </authors>
  <commentList>
    <comment ref="I7" authorId="0" shapeId="0" xr:uid="{00000000-0006-0000-0D00-000001000000}">
      <text>
        <r>
          <rPr>
            <sz val="8"/>
            <color indexed="81"/>
            <rFont val="Tahoma"/>
            <family val="2"/>
          </rPr>
          <t>Minimum Performer is defined as being 30% more carbon intensive than the average performer.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<sst xmlns="http://schemas.openxmlformats.org/spreadsheetml/2006/main" count="7831" uniqueCount="2034">
  <si>
    <t>DISCLAIMER, AUTHORISATION AND ACKNOWLEDGEMENT</t>
  </si>
  <si>
    <t>Cell Types</t>
  </si>
  <si>
    <t>User input cell.</t>
  </si>
  <si>
    <t xml:space="preserve">Please fill in these cells only (white background). </t>
  </si>
  <si>
    <t>Calculation cell.</t>
  </si>
  <si>
    <t>These cells are used for calculating user input values, please do not attempt to modify these cells (light blue background).</t>
  </si>
  <si>
    <t>Results cell.</t>
  </si>
  <si>
    <t>These cells are used to display the results from all calculations (blue background).</t>
  </si>
  <si>
    <t>Reference cell.</t>
  </si>
  <si>
    <t>These cells are used to display instructions in completing the user input cells and also provide references to the Submission Guidelines e.g. credit benchmarks (light grey background).</t>
  </si>
  <si>
    <t>Portfolio Submissions</t>
  </si>
  <si>
    <t>When a single applicant wishes to rate more than one building the GBCA offers a Portfolio approach to certification. A portfolio approach will reduce time and duplication of effort involved in attaining a Green Star - Performance rating for a number of properties. Where relevant, some credits can be submitted in a portfolio submission for assessment across multiple buildings. The calculators submitted for these credits must be uniquely identified according to the building they are relevant to, by completing the building information details at the top of the calculator worksheet.  
If you are submitting a credit which has a calculator under a portfolio submission, please use the below guidance:
     1. Open the credit's calculator.
     2. Open the relevant calculator worksheet.
     3. At the bottom of the page, right-click on the worksheet tab and select 'Move or Copy'.
     4. Tick the 'Create a copy' check box and then click 'OK'. 
     The calculator worksheet will be copied within the file, enabling information to be submitted for multiple buildings.
     5. Repeat for as many buildings that are being included within the portfolio submission. 
     6. Ensure each worksheet uniquely identifies each building by completing the building information details. 
Your Technical Coordinator will be able to assist with any questions you may have about this process.</t>
  </si>
  <si>
    <t>Support</t>
  </si>
  <si>
    <t xml:space="preserve">Please ensure to reference the Green Star - Performance v1.1 Submission Guidelines for guidance on how to complete the calculators. Submission Templates and Calculators jointly respond to credit requirements as outlined in the submission guidelines. The GBCA advises consulting and using each of these documents and any relevant supporting materials as needed to support an informed and consistent approach to your submission.
For any queries or additional information, please contact your project's GBCA Technical Coordinator. </t>
  </si>
  <si>
    <t>Please ensure that you use the most up-to-date version of Green Star calculators They are routinely updated, and using the most current version will make filling in your calculator easier, clearer and more accurate.
This calculator provides an indication of the number of points available in the rating tool. It is not final, and it is only intended for feedback purposes.</t>
  </si>
  <si>
    <t>Change Log</t>
  </si>
  <si>
    <t>Calculator Release</t>
  </si>
  <si>
    <t>Summary of Changes</t>
  </si>
  <si>
    <t>Green Star - Performance Submission Guidelines Version 1.2</t>
  </si>
  <si>
    <t>Release 10 - 12/11/2024</t>
  </si>
  <si>
    <t>Minor edits with relinked NZ emission factors</t>
  </si>
  <si>
    <t>Release 9 - 14/11/2022</t>
  </si>
  <si>
    <t>Minor edits</t>
  </si>
  <si>
    <t>Release 8 - 15/11/2022</t>
  </si>
  <si>
    <t>- Amended missing formula in 15C Building Details and 15C Baseline Bldg 1
- Amended incorrect cell reference in 15C Calculation
- Updated NGER Emission Factors with new values from Australian National Greenhouse Accounts Factors 2022</t>
  </si>
  <si>
    <t>Release 7 - 25/02/2021</t>
  </si>
  <si>
    <t>- Updated calculations for the tenant engagement section.
- Updated NGERS Emission Factors in line with the National Greenhouse Gas Accounts Factors - October 2020.</t>
  </si>
  <si>
    <t>Release 6 - 17/06/2020</t>
  </si>
  <si>
    <t xml:space="preserve">- Added section for project teams to select targeted Green Star rating for the project.
- Added prompt to notify project teams, when the Conditional Requirement for the 'Best Practice' or higher rating is not met. </t>
  </si>
  <si>
    <t>Release 5 - 11/03/2020</t>
  </si>
  <si>
    <t>Release 4 - 29/11/2019</t>
  </si>
  <si>
    <t xml:space="preserve">- Addition of Powered by Renewables Innovation challenge.
- Renamed National Carbon Offset Standard to Climate Active Carbon Neutral Standard throughout the calculator. </t>
  </si>
  <si>
    <t>Release 3 - 04/10/2019</t>
  </si>
  <si>
    <t>- Updated NGERS Emission Factors in line with the National Greenhouse Gas Account Factors - 2019.</t>
  </si>
  <si>
    <t>Release 2 - 24/08/2018</t>
  </si>
  <si>
    <t>- Inclusion of the 'Carbon Neutral Summary' tab for projects targetting carbon neutral certification through the National Carbon Offset Standard for Buildings
- Updated NGERS Emission Factors in line with the National Greenhouse Gas Account Factors - 2018.
- Addition of Renewable Energy inputs in the Building Details tab</t>
  </si>
  <si>
    <t>Release 1 - 29/11/2017</t>
  </si>
  <si>
    <t>Released for Green Star - Performance v1.2, 
- Inclusion of the selection of Electricity Networks
- Updated NGER Emission Factors 
- Calculator applicable for NZ Projects
- Minor formatting throughout</t>
  </si>
  <si>
    <t>Green Star - Performance Submission Guidelines Version 1.1</t>
  </si>
  <si>
    <t>Release 1 - 08/04/2016</t>
  </si>
  <si>
    <t>Released for Green Star - Performance v1.1,
- Added Tenant Engagement Section into the 'Calculation' tab</t>
  </si>
  <si>
    <t>Green Star - Performance Submission Guidelines Version 1.0</t>
  </si>
  <si>
    <t>Release 1 - 13/04/2015</t>
  </si>
  <si>
    <t>Initial release.</t>
  </si>
  <si>
    <t>x</t>
  </si>
  <si>
    <t xml:space="preserve">Summary of Changes - Internal Use only </t>
  </si>
  <si>
    <t>Release Number</t>
  </si>
  <si>
    <t>Date</t>
  </si>
  <si>
    <t>Author</t>
  </si>
  <si>
    <t>Reviewer</t>
  </si>
  <si>
    <t>Approver</t>
  </si>
  <si>
    <t>Sheet</t>
  </si>
  <si>
    <t>Range</t>
  </si>
  <si>
    <t>New Value</t>
  </si>
  <si>
    <t>Old Value</t>
  </si>
  <si>
    <t>Comments</t>
  </si>
  <si>
    <t>Version 1.2, Release 1</t>
  </si>
  <si>
    <t>SN</t>
  </si>
  <si>
    <t>DF</t>
  </si>
  <si>
    <t>NGER Emission Factors</t>
  </si>
  <si>
    <t>G5:I10</t>
  </si>
  <si>
    <t>Updated figures for 2017</t>
  </si>
  <si>
    <t>NGERS Emission Factors from 2012</t>
  </si>
  <si>
    <t>Amended to reference correct 2017 data</t>
  </si>
  <si>
    <t>A29:J31</t>
  </si>
  <si>
    <t>Addition of various WA networks</t>
  </si>
  <si>
    <t>Single WA figure</t>
  </si>
  <si>
    <t>Amended to reference correct 2016 data</t>
  </si>
  <si>
    <t>A39:K67</t>
  </si>
  <si>
    <t>Updated figures for 2016</t>
  </si>
  <si>
    <t>Included 2016 data for NCOS purposes</t>
  </si>
  <si>
    <t>Building Details</t>
  </si>
  <si>
    <t>H11</t>
  </si>
  <si>
    <t>=YEAR(H10)</t>
  </si>
  <si>
    <t>Included year formula used to determine appropriate NGERS emission factors</t>
  </si>
  <si>
    <t>B20:D20</t>
  </si>
  <si>
    <t>Drop down list for Electricity Network</t>
  </si>
  <si>
    <t>Included dropdown used to determine appropriate NGERS emission factors</t>
  </si>
  <si>
    <t>NZGBC</t>
  </si>
  <si>
    <t>E11</t>
  </si>
  <si>
    <t>=IF(C12="NZ", CONCATENATE(0,C11), C11)</t>
  </si>
  <si>
    <t>&lt;blank&gt;</t>
  </si>
  <si>
    <t>Amended for NZ projects</t>
  </si>
  <si>
    <t>G12</t>
  </si>
  <si>
    <t>'=IF(C12="NZ", "Net Lettable Area (m2)", "Gross building area (m2)")</t>
  </si>
  <si>
    <t>Gross building area (m2)</t>
  </si>
  <si>
    <t>H13</t>
  </si>
  <si>
    <t>'=IFERROR(VLOOKUP($E$11,'CDD &amp; HDD table'!$A:$D,3,FALSE),"")</t>
  </si>
  <si>
    <t>=IFERROR(VLOOKUP($C$11,'CDD &amp; HDD table'!$A:$D,3,FALSE),"")</t>
  </si>
  <si>
    <t>H14</t>
  </si>
  <si>
    <t>'=IFERROR(VLOOKUP($E$11,'CDD &amp; HDD table'!$A:$D,4,FALSE),"")</t>
  </si>
  <si>
    <t>=IFERROR(VLOOKUP($C$11,'CDD &amp; HDD table'!$A:$D,4,FALSE),"")</t>
  </si>
  <si>
    <t>D97</t>
  </si>
  <si>
    <t>'=IF($C$12="NZ", "Note: All NZ projects cannot utilise GreenPower in their ratings", "")</t>
  </si>
  <si>
    <t>Blank</t>
  </si>
  <si>
    <t>C75</t>
  </si>
  <si>
    <t>Scope 2</t>
  </si>
  <si>
    <t>'='NGER Emission Factors'!B34</t>
  </si>
  <si>
    <t>Simplification of emission information</t>
  </si>
  <si>
    <t>C77</t>
  </si>
  <si>
    <t>kWh</t>
  </si>
  <si>
    <t>'=IF(C74="Electricity",VLOOKUP($C$12,'NGER Emission Factors old'!$A$23:$J$34,5,FALSE),IF(C74="GreenPower",VLOOKUP(C74,'NGER Emission Factors old'!$A$23:$J$35,5,FALSE),VLOOKUP(C74,'NGER Emission Factors old'!$A$5:$J$18,5,FALSE)))</t>
  </si>
  <si>
    <t>C78</t>
  </si>
  <si>
    <t>'=VLOOKUP($C$12,'NGER Emission Factors'!$A$33:$J$47,6,FALSE)</t>
  </si>
  <si>
    <t>C76</t>
  </si>
  <si>
    <t>'=IF($H$10="2016",(VLOOKUP($C$19,'NGER Emission Factors'!D65:J75,7,FALSE)), VLOOKUP($C$19,'NGER Emission Factors'!D34:J44,7,FALSE))</t>
  </si>
  <si>
    <t>'=IF($H$10="2015",(VLOOKUP($C$19,'NGER Emission Factors'!D65:J74,7,FALSE)), VLOOKUP($C$19,'NGER Emission Factors'!D34:J43,7,FALSE))</t>
  </si>
  <si>
    <t>C123</t>
  </si>
  <si>
    <t>MJ</t>
  </si>
  <si>
    <t xml:space="preserve">'=C120="Electricity" VLOOKUP($C$12,'\\COLO-MS-FILE01\Greenstar\Tool Devt &amp; Review\02. New Generation Rating Tools\GS Performance\04. NCOS\[15B_ENE_GHG Emissions Calculator_v1.1_09022017.xlsx]NGER Emission Factors'!$A$23:$J$36,5,FALSE) </t>
  </si>
  <si>
    <t>C124</t>
  </si>
  <si>
    <t>'=IF($H$10=2015, VLOOKUP(C120,'NGER Emission Factors'!$A$54:$J$59,6,FALSE),VLOOKUP(C120,'NGER Emission Factors'!$A$5:$J$92,6,FALSE))</t>
  </si>
  <si>
    <t>C121</t>
  </si>
  <si>
    <t>Scope 1</t>
  </si>
  <si>
    <t>'=IF(C120="Electricity",VLOOKUP($C$12,'NGER Emission Factors old'!$A$23:$J$34,2,FALSE),IF(C120="GreenPower",VLOOKUP(C120,'NGER Emission Factors old'!$A$23:$J$35,2,FALSE),VLOOKUP(C120,'NGER Emission Factors old'!$A$5:$J$18,2,FALSE)))</t>
  </si>
  <si>
    <t>C122</t>
  </si>
  <si>
    <t>'=IF($C$12="NZ",'NGER Emission Factors'!J16,IF($H$10="2016",'NGER Emission Factors'!J54,'NGER Emission Factors'!J5))</t>
  </si>
  <si>
    <t>'=IF($H$10=2015, VLOOKUP(C120,'NGER Emission Factors'!A54:J59,10,FALSE),VLOOKUP(C120,'NGER Emission Factors'!$A$5:$J$10,10,FALSE))</t>
  </si>
  <si>
    <t>C144</t>
  </si>
  <si>
    <t>'=IF(C143="Electricity",VLOOKUP($C$12,'NGER Emission Factors old'!$A$23:$J$34,2,FALSE),IF(C143="GreenPower",VLOOKUP(C143,'NGER Emission Factors old'!$A$23:$J$35,2,FALSE),VLOOKUP(C143,'NGER Emission Factors old'!$A$5:$J$18,2,FALSE)))</t>
  </si>
  <si>
    <t>C146</t>
  </si>
  <si>
    <t>kL</t>
  </si>
  <si>
    <t xml:space="preserve">'=C143="Electricity" VLOOKUP($C$12,'\\COLO-MS-FILE01\Greenstar\Tool Devt &amp; Review\02. New Generation Rating Tools\GS Performance\04. NCOS\[15B_ENE_GHG Emissions Calculator_v1.1_09022017.xlsx]NGER Emission Factors'!$A$23:$J$36,5,FALSE) </t>
  </si>
  <si>
    <t>C147</t>
  </si>
  <si>
    <t>'=IF($H$10=2015,VLOOKUP($C$143,'NGER Emission Factors'!$A$54:$J$59,6,FALSE), VLOOKUP($C$143,'NGER Emission Factors'!$A$5:$J$10,6,FALSE))</t>
  </si>
  <si>
    <t>C145</t>
  </si>
  <si>
    <t>'=IF($C$12="NZ",'NGER Emission Factors'!J19,IF($H$10="2016",'NGER Emission Factors'!J57,'NGER Emission Factors'!J8))</t>
  </si>
  <si>
    <t>'=IF($H$10=2015,VLOOKUP($C$143,'NGER Emission Factors'!$A$54:$J$59,10,FALSE), VLOOKUP(C143,'NGER Emission Factors'!$A$5:$J$10,10,FALSE))</t>
  </si>
  <si>
    <t>C167</t>
  </si>
  <si>
    <t>'=IF(C166="Electricity",VLOOKUP($C$12,'NGER Emission Factors old'!$A$23:$J$34,2,FALSE),IF(C166="GreenPower",VLOOKUP(C166,'NGER Emission Factors old'!$A$23:$J$35,2,FALSE),VLOOKUP(C166,'NGER Emission Factors old'!$A$5:$J$18,2,FALSE)))</t>
  </si>
  <si>
    <t>C169</t>
  </si>
  <si>
    <t xml:space="preserve">'=C166="Electricity" VLOOKUP($C$12,'\\COLO-MS-FILE01\Greenstar\Tool Devt &amp; Review\02. New Generation Rating Tools\GS Performance\04. NCOS\[15B_ENE_GHG Emissions Calculator_v1.1_09022017.xlsx]NGER Emission Factors'!$A$23:$J$36,5,FALSE) </t>
  </si>
  <si>
    <t>C170</t>
  </si>
  <si>
    <t>'=IF($H$10=2015,VLOOKUP($C$166,'NGER Emission Factors'!$A$54:$J$59,6,FALSE),VLOOKUP($C$166,'NGER Emission Factors'!$A$5:$J$10,6,FALSE))</t>
  </si>
  <si>
    <t>C168</t>
  </si>
  <si>
    <t>'=IF($C$12="NZ",'NGER Emission Factors'!J17,IF($H$10="2016",'NGER Emission Factors'!J55,'NGER Emission Factors'!J6))</t>
  </si>
  <si>
    <t>'=IF($H$10=2015,VLOOKUP($C$166,'NGER Emission Factors'!$A$54:$J$59,10,FALSE),VLOOKUP($C$166,'NGER Emission Factors'!$A$5:$J$10,10,FALSE))</t>
  </si>
  <si>
    <t>C190</t>
  </si>
  <si>
    <t>'=IF(C189="Electricity",VLOOKUP($C$12,'NGER Emission Factors old'!$A$23:$J$34,2,FALSE),IF(C189="GreenPower",VLOOKUP(C189,'NGER Emission Factors old'!$A$23:$J$35,2,FALSE),VLOOKUP(C189,'NGER Emission Factors old'!$A$5:$J$18,2,FALSE)))</t>
  </si>
  <si>
    <t>C192</t>
  </si>
  <si>
    <t>Tonnes</t>
  </si>
  <si>
    <t xml:space="preserve">'=C189="Electricity" VLOOKUP($C$12,'\\COLO-MS-FILE01\Greenstar\Tool Devt &amp; Review\02. New Generation Rating Tools\GS Performance\04. NCOS\[15B_ENE_GHG Emissions Calculator_v1.1_09022017.xlsx]NGER Emission Factors'!$A$23:$J$36,5,FALSE) </t>
  </si>
  <si>
    <t>C193</t>
  </si>
  <si>
    <t>'=IF($H$10=2015,VLOOKUP($C$189,'NGER Emission Factors'!$A$54:$J$59,6,FALSE),VLOOKUP($C$189,'NGER Emission Factors'!$A$5:$J$10,6,FALSE))</t>
  </si>
  <si>
    <t>C191</t>
  </si>
  <si>
    <t>'=IF($C$12="NZ", 'NGER Emission Factors'!J20, IF($H$10="2016", 'NGER Emission Factors'!J58,'NGER Emission Factors'!J9))</t>
  </si>
  <si>
    <t>'=IF($H$10=2015,VLOOKUP($C$189,'NGER Emission Factors'!$A$54:$J$59,10,FALSE),VLOOKUP($C$189,'NGER Emission Factors'!$A$5:$J$10,10,FALSE))</t>
  </si>
  <si>
    <t>D25</t>
  </si>
  <si>
    <t>'=$C$76/C$78</t>
  </si>
  <si>
    <t>'=C25="Electricity" VLOOKUP($C$12,'NGER Emission Factors old'!$A$23:$K$34,10,FALSE)/VLOOKUP($C$12,'NGER Emission Factors old'!$A$23:$K$35,6,FALSE) C25="GreenPower" VLOOKUP(C25,'NGER Emission Factors old'!$A$23:$J$35,10,FALSE) C25 'NGER Emission Factors old</t>
  </si>
  <si>
    <t>D27</t>
  </si>
  <si>
    <t>'=C122</t>
  </si>
  <si>
    <t>'=C27="Electricity" VLOOKUP($C$12,'NGER Emission Factors old'!$A$23:$K$34,10,FALSE)/VLOOKUP($C$12,'NGER Emission Factors old'!$A$23:$K$35,6,FALSE) C27="GreenPower" VLOOKUP(C27,'NGER Emission Factors old'!$A$23:$J$35,10,FALSE) C27 'NGER Emission Factors old</t>
  </si>
  <si>
    <t>D28</t>
  </si>
  <si>
    <t>'=C145</t>
  </si>
  <si>
    <t>'=C28="Electricity" VLOOKUP($C$12,'NGER Emission Factors old'!$A$23:$K$34,10,FALSE)/VLOOKUP($C$12,'NGER Emission Factors old'!$A$23:$K$35,6,FALSE) C28="GreenPower" VLOOKUP(C28,'NGER Emission Factors old'!$A$23:$J$35,10,FALSE) C28 'NGER Emission Factors old</t>
  </si>
  <si>
    <t>D29</t>
  </si>
  <si>
    <t>'=C168</t>
  </si>
  <si>
    <t>'=C29="Electricity" VLOOKUP($C$12,'NGER Emission Factors old'!$A$23:$K$34,10,FALSE)/VLOOKUP($C$12,'NGER Emission Factors old'!$A$23:$K$35,6,FALSE) C29="GreenPower" VLOOKUP(C29,'NGER Emission Factors old'!$A$23:$J$35,10,FALSE) C29 'NGER Emission Factors old</t>
  </si>
  <si>
    <t>D30</t>
  </si>
  <si>
    <t>'=C191</t>
  </si>
  <si>
    <t>'=C30="Electricity" VLOOKUP($C$12,'NGER Emission Factors old'!$A$23:$K$34,10,FALSE)/VLOOKUP($C$12,'NGER Emission Factors old'!$A$23:$K$35,6,FALSE) C30="GreenPower" VLOOKUP(C30,'NGER Emission Factors old'!$A$23:$J$35,10,FALSE) C30 'NGER Emission Factors old</t>
  </si>
  <si>
    <t>15C Baseline Bldg 1</t>
  </si>
  <si>
    <t>C110</t>
  </si>
  <si>
    <t>'='Building Details'!C75</t>
  </si>
  <si>
    <t>'=IF(C109="Electricity",VLOOKUP($C$12,'NGER Emission Factors old'!$A$23:$J$34,2,FALSE),IF(C109="GreenPower",VLOOKUP(C109,'NGER Emission Factors old'!$A$23:$J$35,2,FALSE),VLOOKUP(C109,'NGER Emission Factors old'!$A$5:$J$18,2,FALSE)))</t>
  </si>
  <si>
    <t>C111</t>
  </si>
  <si>
    <t>'='Building Details'!C76</t>
  </si>
  <si>
    <t>'=IF(C109="Electricity",VLOOKUP($C$12,'NGER Emission Factors old'!$A$23:$J$34,10,FALSE),IF(C109="GreenPower",VLOOKUP(C109,'NGER Emission Factors old'!$A$23:$J$35,10,FALSE),VLOOKUP(C109,'NGER Emission Factors old'!$A$5:$J$18,10,FALSE)))</t>
  </si>
  <si>
    <t>C112</t>
  </si>
  <si>
    <t>'='Building Details'!C77</t>
  </si>
  <si>
    <t>'=IF(C109="Electricity",VLOOKUP($C$12,'NGER Emission Factors old'!$A$23:$J$34,5,FALSE),IF(C109="GreenPower",VLOOKUP(C109,'NGER Emission Factors old'!$A$23:$J$35,5,FALSE),VLOOKUP(C109,'NGER Emission Factors old'!$A$5:$J$18,5,FALSE)))</t>
  </si>
  <si>
    <t>C113</t>
  </si>
  <si>
    <t>'='Building Details'!C78</t>
  </si>
  <si>
    <t>'=IF(C109="Electricity",VLOOKUP($C$12,'NGER Emission Factors old'!$A$23:$J$34,6,FALSE),IF(C109="GreenPower",VLOOKUP(C109,'NGER Emission Factors old'!$A$23:$J$35,6,FALSE),VLOOKUP(C109,'NGER Emission Factors old'!$A$5:$J$18,6,FALSE)))</t>
  </si>
  <si>
    <t>C204</t>
  </si>
  <si>
    <t>'='Building Details'!C121</t>
  </si>
  <si>
    <t>'=IF(C203="Electricity",VLOOKUP($C$12,'NGER Emission Factors old'!$A$23:$J$34,2,FALSE),IF(C203="GreenPower",VLOOKUP(C203,'NGER Emission Factors old'!$A$23:$J$35,2,FALSE),VLOOKUP(C203,'NGER Emission Factors old'!$A$5:$J$18,2,FALSE)))</t>
  </si>
  <si>
    <t>C205</t>
  </si>
  <si>
    <t>'='Building Details'!C122</t>
  </si>
  <si>
    <t>'=IF(C203="Electricity",VLOOKUP($C$12,'NGER Emission Factors old'!$A$23:$J$34,10,FALSE),IF(C203="GreenPower",VLOOKUP(C203,'NGER Emission Factors old'!$A$23:$J$35,10,FALSE),VLOOKUP(C203,'NGER Emission Factors old'!$A$5:$J$18,10,FALSE)))</t>
  </si>
  <si>
    <t>C206</t>
  </si>
  <si>
    <t>'='Building Details'!C123</t>
  </si>
  <si>
    <t>'=IF(C203="Electricity",VLOOKUP($C$12,'NGER Emission Factors old'!$A$23:$J$34,5,FALSE),IF(C203="GreenPower",VLOOKUP(C203,'NGER Emission Factors old'!$A$23:$J$35,5,FALSE),VLOOKUP(C203,'NGER Emission Factors old'!$A$5:$J$18,5,FALSE)))</t>
  </si>
  <si>
    <t>C207</t>
  </si>
  <si>
    <t>'='Building Details'!C124</t>
  </si>
  <si>
    <t>'=IF(C203="Electricity",VLOOKUP($C$12,'NGER Emission Factors old'!$A$23:$J$34,6,FALSE),IF(C203="GreenPower",VLOOKUP(C203,'NGER Emission Factors old'!$A$23:$J$35,6,FALSE),VLOOKUP(C203,'NGER Emission Factors old'!$A$5:$J$18,6,FALSE)))</t>
  </si>
  <si>
    <t>C259</t>
  </si>
  <si>
    <t>'='Building Details'!C145</t>
  </si>
  <si>
    <t>'=IF(C257="Electricity",VLOOKUP($C$12,'NGER Emission Factors old'!$A$23:$J$34,10,FALSE),IF(C257="GreenPower",VLOOKUP(C257,'NGER Emission Factors old'!$A$23:$J$35,10,FALSE),VLOOKUP(C257,'NGER Emission Factors old'!$A$5:$J$18,10,FALSE)))</t>
  </si>
  <si>
    <t>C260</t>
  </si>
  <si>
    <t>'='Building Details'!C146</t>
  </si>
  <si>
    <t>'=IF(C257="Electricity",VLOOKUP($C$12,'NGER Emission Factors old'!$A$23:$J$34,5,FALSE),IF(C257="GreenPower",VLOOKUP(C257,'NGER Emission Factors old'!$A$23:$J$35,5,FALSE),VLOOKUP(C257,'NGER Emission Factors old'!$A$5:$J$18,5,FALSE)))</t>
  </si>
  <si>
    <t>C261</t>
  </si>
  <si>
    <t>'='Building Details'!C147</t>
  </si>
  <si>
    <t>'=IF(C257="Electricity",VLOOKUP($C$12,'NGER Emission Factors old'!$A$23:$J$34,6,FALSE),IF(C257="GreenPower",VLOOKUP(C257,'NGER Emission Factors old'!$A$23:$J$35,6,FALSE),VLOOKUP(C257,'NGER Emission Factors old'!$A$5:$J$18,6,FALSE)))</t>
  </si>
  <si>
    <t>C306</t>
  </si>
  <si>
    <t>'='Building Details'!C168</t>
  </si>
  <si>
    <t>'=IF(C304="Electricity",VLOOKUP($C$12,'NGER Emission Factors old'!$A$23:$J$34,10,FALSE),IF(C304="GreenPower",VLOOKUP(C304,'NGER Emission Factors old'!$A$23:$J$35,10,FALSE),VLOOKUP(C304,'NGER Emission Factors old'!$A$5:$J$18,10,FALSE)))</t>
  </si>
  <si>
    <t>C307</t>
  </si>
  <si>
    <t>'='Building Details'!C169</t>
  </si>
  <si>
    <t>'=IF(C304="Electricity",VLOOKUP($C$12,'NGER Emission Factors old'!$A$23:$J$34,5,FALSE),IF(C304="GreenPower",VLOOKUP(C304,'NGER Emission Factors old'!$A$23:$J$35,5,FALSE),VLOOKUP(C304,'NGER Emission Factors old'!$A$5:$J$18,5,FALSE)))</t>
  </si>
  <si>
    <t>C308</t>
  </si>
  <si>
    <t>'='Building Details'!C170</t>
  </si>
  <si>
    <t>'=IF(C304="Electricity",VLOOKUP($C$12,'NGER Emission Factors old'!$A$23:$J$34,6,FALSE),IF(C304="GreenPower",VLOOKUP(C304,'NGER Emission Factors old'!$A$23:$J$35,6,FALSE),VLOOKUP(C304,'NGER Emission Factors old'!$A$5:$J$18,6,FALSE)))</t>
  </si>
  <si>
    <t>C353</t>
  </si>
  <si>
    <t>'='Building Details'!C191</t>
  </si>
  <si>
    <t>'=IF(C351="Electricity",VLOOKUP($C$12,'NGER Emission Factors old'!$A$23:$J$34,10,FALSE),IF(C351="GreenPower",VLOOKUP(C351,'NGER Emission Factors old'!$A$23:$J$35,10,FALSE),VLOOKUP(C351,'NGER Emission Factors old'!$A$5:$J$18,10,FALSE)))</t>
  </si>
  <si>
    <t>C354</t>
  </si>
  <si>
    <t>'='Building Details'!C192</t>
  </si>
  <si>
    <t>'=IF(C351="Electricity",VLOOKUP($C$12,'NGER Emission Factors old'!$A$23:$J$34,5,FALSE),IF(C351="GreenPower",VLOOKUP(C351,'NGER Emission Factors old'!$A$23:$J$35,5,FALSE),VLOOKUP(C351,'NGER Emission Factors old'!$A$5:$J$18,5,FALSE)))</t>
  </si>
  <si>
    <t>C355</t>
  </si>
  <si>
    <t>'='Building Details'!C193</t>
  </si>
  <si>
    <t>'=IF(C351="Electricity",VLOOKUP($C$12,'NGER Emission Factors old'!$A$23:$J$34,6,FALSE),IF(C351="GreenPower",VLOOKUP(C351,'NGER Emission Factors old'!$A$23:$J$35,6,FALSE),VLOOKUP(C351,'NGER Emission Factors old'!$A$5:$J$18,6,FALSE)))</t>
  </si>
  <si>
    <t>D23</t>
  </si>
  <si>
    <t>'='Building Details'!D25</t>
  </si>
  <si>
    <t>'=C23="Electricity" VLOOKUP($C$12,'NGER Emission Factors old'!$A$23:$K$34,10,FALSE)/VLOOKUP($C$12,'NGER Emission Factors old'!$A$23:$K$35,6,FALSE) C23="GreenPower" VLOOKUP(C23,'NGER Emission Factors old'!$A$23:$J$35,10,FALSE) C23 'NGER Emission Factors old</t>
  </si>
  <si>
    <t>D24</t>
  </si>
  <si>
    <t>'='Building Details'!D26</t>
  </si>
  <si>
    <t>'=C24="Electricity" VLOOKUP($C$12,'NGER Emission Factors old'!$A$23:$K$34,10,FALSE)/VLOOKUP($C$12,'NGER Emission Factors old'!$A$23:$K$35,6,FALSE) C24="GreenPower" VLOOKUP(C24,'NGER Emission Factors old'!$A$23:$J$35,10,FALSE) C24 'NGER Emission Factors old</t>
  </si>
  <si>
    <t>'='Building Details'!D27</t>
  </si>
  <si>
    <t>D26</t>
  </si>
  <si>
    <t>'='Building Details'!D28</t>
  </si>
  <si>
    <t>'=C26="Electricity" VLOOKUP($C$12,'NGER Emission Factors old'!$A$23:$K$34,10,FALSE)/VLOOKUP($C$12,'NGER Emission Factors old'!$A$23:$K$35,6,FALSE) C26="GreenPower" VLOOKUP(C26,'NGER Emission Factors old'!$A$23:$J$35,10,FALSE) C26 'NGER Emission Factors old</t>
  </si>
  <si>
    <t>'='Building Details'!D29</t>
  </si>
  <si>
    <t>'='Building Details'!D30</t>
  </si>
  <si>
    <t>15C Baseline Bldg 2</t>
  </si>
  <si>
    <t>'='Building Details'!D31</t>
  </si>
  <si>
    <t>C252</t>
  </si>
  <si>
    <t>'=IF(C250="Electricity",VLOOKUP($C$12,'NGER Emission Factors old'!$A$23:$J$34,10,FALSE),IF(C250="GreenPower",VLOOKUP(C250,'NGER Emission Factors old'!$A$23:$J$35,10,FALSE),VLOOKUP(C250,'NGER Emission Factors old'!$A$5:$J$18,10,FALSE)))</t>
  </si>
  <si>
    <t>C253</t>
  </si>
  <si>
    <t>'=IF(C250="Electricity",VLOOKUP($C$12,'NGER Emission Factors old'!$A$23:$J$34,5,FALSE),IF(C250="GreenPower",VLOOKUP(C250,'NGER Emission Factors old'!$A$23:$J$35,5,FALSE),VLOOKUP(C250,'NGER Emission Factors old'!$A$5:$J$18,5,FALSE)))</t>
  </si>
  <si>
    <t>C254</t>
  </si>
  <si>
    <t>'=IF(C250="Electricity",VLOOKUP($C$12,'NGER Emission Factors old'!$A$23:$J$34,6,FALSE),IF(C250="GreenPower",VLOOKUP(C250,'NGER Emission Factors old'!$A$23:$J$35,6,FALSE),VLOOKUP(C250,'NGER Emission Factors old'!$A$5:$J$18,6,FALSE)))</t>
  </si>
  <si>
    <t>C299</t>
  </si>
  <si>
    <t>'=IF(C297="Electricity",VLOOKUP($C$12,'NGER Emission Factors old'!$A$23:$J$34,10,FALSE),IF(C297="GreenPower",VLOOKUP(C297,'NGER Emission Factors old'!$A$23:$J$35,10,FALSE),VLOOKUP(C297,'NGER Emission Factors old'!$A$5:$J$18,10,FALSE)))</t>
  </si>
  <si>
    <t>C300</t>
  </si>
  <si>
    <t>'=IF(C297="Electricity",VLOOKUP($C$12,'NGER Emission Factors old'!$A$23:$J$34,5,FALSE),IF(C297="GreenPower",VLOOKUP(C297,'NGER Emission Factors old'!$A$23:$J$35,5,FALSE),VLOOKUP(C297,'NGER Emission Factors old'!$A$5:$J$18,5,FALSE)))</t>
  </si>
  <si>
    <t>C301</t>
  </si>
  <si>
    <t>'=IF(C297="Electricity",VLOOKUP($C$12,'NGER Emission Factors old'!$A$23:$J$34,6,FALSE),IF(C297="GreenPower",VLOOKUP(C297,'NGER Emission Factors old'!$A$23:$J$35,6,FALSE),VLOOKUP(C297,'NGER Emission Factors old'!$A$5:$J$18,6,FALSE)))</t>
  </si>
  <si>
    <t>C346</t>
  </si>
  <si>
    <t>'=IF(C344="Electricity",VLOOKUP($C$12,'NGER Emission Factors old'!$A$23:$J$34,10,FALSE),IF(C344="GreenPower",VLOOKUP(C344,'NGER Emission Factors old'!$A$23:$J$35,10,FALSE),VLOOKUP(C344,'NGER Emission Factors old'!$A$5:$J$18,10,FALSE)))</t>
  </si>
  <si>
    <t>C347</t>
  </si>
  <si>
    <t>'=IF(C344="Electricity",VLOOKUP($C$12,'NGER Emission Factors old'!$A$23:$J$34,5,FALSE),IF(C344="GreenPower",VLOOKUP(C344,'NGER Emission Factors old'!$A$23:$J$35,5,FALSE),VLOOKUP(C344,'NGER Emission Factors old'!$A$5:$J$18,5,FALSE)))</t>
  </si>
  <si>
    <t>C348</t>
  </si>
  <si>
    <t>'=IF(C344="Electricity",VLOOKUP($C$12,'NGER Emission Factors old'!$A$23:$J$34,6,FALSE),IF(C344="GreenPower",VLOOKUP(C344,'NGER Emission Factors old'!$A$23:$J$35,6,FALSE),VLOOKUP(C344,'NGER Emission Factors old'!$A$5:$J$18,6,FALSE)))</t>
  </si>
  <si>
    <t>15C Baseline Bldg 3</t>
  </si>
  <si>
    <t>C23</t>
  </si>
  <si>
    <t>'=B23="Electricity" VLOOKUP($B$12,'NGER Emission Factors old'!$A$23:$K$34,10,FALSE)/VLOOKUP($B$12,'NGER Emission Factors old'!$A$23:$K$35,6,FALSE) B23="GreenPower" VLOOKUP(B23,'NGER Emission Factors old'!$A$23:$J$35,10,FALSE) B23 'NGER Emission Factors old</t>
  </si>
  <si>
    <t>C24</t>
  </si>
  <si>
    <t>'=B24="Electricity" VLOOKUP($B$12,'NGER Emission Factors old'!$A$23:$K$34,10,FALSE)/VLOOKUP($B$12,'NGER Emission Factors old'!$A$23:$K$35,6,FALSE) B24="GreenPower" VLOOKUP(B24,'NGER Emission Factors old'!$A$23:$J$35,10,FALSE) B24 'NGER Emission Factors old</t>
  </si>
  <si>
    <t>C25</t>
  </si>
  <si>
    <t>'=B25="Electricity" VLOOKUP($B$12,'NGER Emission Factors old'!$A$23:$K$34,10,FALSE)/VLOOKUP($B$12,'NGER Emission Factors old'!$A$23:$K$35,6,FALSE) B25="GreenPower" VLOOKUP(B25,'NGER Emission Factors old'!$A$23:$J$35,10,FALSE) B25 'NGER Emission Factors old</t>
  </si>
  <si>
    <t>C26</t>
  </si>
  <si>
    <t>'=B26="Electricity" VLOOKUP($B$12,'NGER Emission Factors old'!$A$23:$K$34,10,FALSE)/VLOOKUP($B$12,'NGER Emission Factors old'!$A$23:$K$35,6,FALSE) B26="GreenPower" VLOOKUP(B26,'NGER Emission Factors old'!$A$23:$J$35,10,FALSE) B26 'NGER Emission Factors old</t>
  </si>
  <si>
    <t>C27</t>
  </si>
  <si>
    <t>'=B27="Electricity" VLOOKUP($B$12,'NGER Emission Factors old'!$A$23:$K$34,10,FALSE)/VLOOKUP($B$12,'NGER Emission Factors old'!$A$23:$K$35,6,FALSE) B27="GreenPower" VLOOKUP(B27,'NGER Emission Factors old'!$A$23:$J$35,10,FALSE) B27 'NGER Emission Factors old</t>
  </si>
  <si>
    <t>C28</t>
  </si>
  <si>
    <t>'=B28="Electricity" VLOOKUP($B$12,'NGER Emission Factors old'!$A$23:$K$34,10,FALSE)/VLOOKUP($B$12,'NGER Emission Factors old'!$A$23:$K$35,6,FALSE) B28="GreenPower" VLOOKUP(B28,'NGER Emission Factors old'!$A$23:$J$35,10,FALSE) B28 'NGER Emission Factors old</t>
  </si>
  <si>
    <t>B110</t>
  </si>
  <si>
    <t>'=IF(B109="Electricity",VLOOKUP($B$12,'NGER Emission Factors old'!$A$23:$J$34,2,FALSE),IF(B109="GreenPower",VLOOKUP(B109,'NGER Emission Factors old'!$A$23:$J$35,2,FALSE),VLOOKUP(B109,'NGER Emission Factors old'!$A$5:$J$18,2,FALSE)))</t>
  </si>
  <si>
    <t>B111</t>
  </si>
  <si>
    <t>'=IF(B109="Electricity",VLOOKUP($B$12,'NGER Emission Factors old'!$A$23:$J$34,10,FALSE),IF(B109="GreenPower",VLOOKUP(B109,'NGER Emission Factors old'!$A$23:$J$35,10,FALSE),VLOOKUP(B109,'NGER Emission Factors old'!$A$5:$J$18,10,FALSE)))</t>
  </si>
  <si>
    <t>B112</t>
  </si>
  <si>
    <t>'=IF(B109="Electricity",VLOOKUP($B$12,'NGER Emission Factors old'!$A$23:$J$34,5,FALSE),IF(B109="GreenPower",VLOOKUP(B109,'NGER Emission Factors old'!$A$23:$J$35,5,FALSE),VLOOKUP(B109,'NGER Emission Factors old'!$A$5:$J$18,5,FALSE)))</t>
  </si>
  <si>
    <t>B113</t>
  </si>
  <si>
    <t>'=IF(B109="Electricity",VLOOKUP($B$12,'NGER Emission Factors old'!$A$23:$J$34,6,FALSE),IF(B109="GreenPower",VLOOKUP(B109,'NGER Emission Factors old'!$A$23:$J$35,6,FALSE),VLOOKUP(B109,'NGER Emission Factors old'!$A$5:$J$18,6,FALSE)))</t>
  </si>
  <si>
    <t>B205</t>
  </si>
  <si>
    <t>'=IF(B203="Electricity",VLOOKUP($B$12,'NGER Emission Factors old'!$A$23:$J$34,10,FALSE),IF(B203="GreenPower",VLOOKUP(B203,'NGER Emission Factors old'!$A$23:$J$35,10,FALSE),VLOOKUP(B203,'NGER Emission Factors old'!$A$5:$J$18,10,FALSE)))</t>
  </si>
  <si>
    <t>B206</t>
  </si>
  <si>
    <t>'=IF(B203="Electricity",VLOOKUP($B$12,'NGER Emission Factors old'!$A$23:$J$34,5,FALSE),IF(B203="GreenPower",VLOOKUP(B203,'NGER Emission Factors old'!$A$23:$J$35,5,FALSE),VLOOKUP(B203,'NGER Emission Factors old'!$A$5:$J$18,5,FALSE)))</t>
  </si>
  <si>
    <t>B207</t>
  </si>
  <si>
    <t>'=IF(B203="Electricity",VLOOKUP($B$12,'NGER Emission Factors old'!$A$23:$J$34,6,FALSE),IF(B203="GreenPower",VLOOKUP(B203,'NGER Emission Factors old'!$A$23:$J$35,6,FALSE),VLOOKUP(B203,'NGER Emission Factors old'!$A$5:$J$18,6,FALSE)))</t>
  </si>
  <si>
    <t>B253</t>
  </si>
  <si>
    <t>'=IF(B251="Electricity",VLOOKUP($B$12,'NGER Emission Factors old'!$A$23:$J$34,10,FALSE),IF(B251="GreenPower",VLOOKUP(B251,'NGER Emission Factors old'!$A$23:$J$35,10,FALSE),VLOOKUP(B251,'NGER Emission Factors old'!$A$5:$J$18,10,FALSE)))</t>
  </si>
  <si>
    <t>B254</t>
  </si>
  <si>
    <t>'=IF(B251="Electricity",VLOOKUP($B$12,'NGER Emission Factors old'!$A$23:$J$34,5,FALSE),IF(B251="GreenPower",VLOOKUP(B251,'NGER Emission Factors old'!$A$23:$J$35,5,FALSE),VLOOKUP(B251,'NGER Emission Factors old'!$A$5:$J$18,5,FALSE)))</t>
  </si>
  <si>
    <t>B255</t>
  </si>
  <si>
    <t>'=IF(B251="Electricity",VLOOKUP($B$12,'NGER Emission Factors old'!$A$23:$J$34,6,FALSE),IF(B251="GreenPower",VLOOKUP(B251,'NGER Emission Factors old'!$A$23:$J$35,6,FALSE),VLOOKUP(B251,'NGER Emission Factors old'!$A$5:$J$18,6,FALSE)))</t>
  </si>
  <si>
    <t>B300</t>
  </si>
  <si>
    <t>'=IF(B298="Electricity",VLOOKUP($B$12,'NGER Emission Factors old'!$A$23:$J$34,10,FALSE),IF(B298="GreenPower",VLOOKUP(B298,'NGER Emission Factors old'!$A$23:$J$35,10,FALSE),VLOOKUP(B298,'NGER Emission Factors old'!$A$5:$J$18,10,FALSE)))</t>
  </si>
  <si>
    <t>B301</t>
  </si>
  <si>
    <t>'=IF(B298="Electricity",VLOOKUP($B$12,'NGER Emission Factors old'!$A$23:$J$34,5,FALSE),IF(B298="GreenPower",VLOOKUP(B298,'NGER Emission Factors old'!$A$23:$J$35,5,FALSE),VLOOKUP(B298,'NGER Emission Factors old'!$A$5:$J$18,5,FALSE)))</t>
  </si>
  <si>
    <t>B302</t>
  </si>
  <si>
    <t>'=IF(B298="Electricity",VLOOKUP($B$12,'NGER Emission Factors old'!$A$23:$J$34,6,FALSE),IF(B298="GreenPower",VLOOKUP(B298,'NGER Emission Factors old'!$A$23:$J$35,6,FALSE),VLOOKUP(B298,'NGER Emission Factors old'!$A$5:$J$18,6,FALSE)))</t>
  </si>
  <si>
    <t>B347</t>
  </si>
  <si>
    <t>'=IF(B345="Electricity",VLOOKUP($B$12,'NGER Emission Factors old'!$A$23:$J$34,10,FALSE),IF(B345="GreenPower",VLOOKUP(B345,'NGER Emission Factors old'!$A$23:$J$35,10,FALSE),VLOOKUP(B345,'NGER Emission Factors old'!$A$5:$J$18,10,FALSE)))</t>
  </si>
  <si>
    <t>B348</t>
  </si>
  <si>
    <t>'=IF(B345="Electricity",VLOOKUP($B$12,'NGER Emission Factors old'!$A$23:$J$34,5,FALSE),IF(B345="GreenPower",VLOOKUP(B345,'NGER Emission Factors old'!$A$23:$J$35,5,FALSE),VLOOKUP(B345,'NGER Emission Factors old'!$A$5:$J$18,5,FALSE)))</t>
  </si>
  <si>
    <t>B349</t>
  </si>
  <si>
    <t>'=IF(B345="Electricity",VLOOKUP($B$12,'NGER Emission Factors old'!$A$23:$J$34,6,FALSE),IF(B345="GreenPower",VLOOKUP(B345,'NGER Emission Factors old'!$A$23:$J$35,6,FALSE),VLOOKUP(B345,'NGER Emission Factors old'!$A$5:$J$18,6,FALSE)))</t>
  </si>
  <si>
    <t>Version 1.2, Release 2</t>
  </si>
  <si>
    <t>UD</t>
  </si>
  <si>
    <t>Carbon Neutral Summary</t>
  </si>
  <si>
    <t>Whole Tab</t>
  </si>
  <si>
    <t>Referencing data from '15B Building Details' tab</t>
  </si>
  <si>
    <t>B235:I276</t>
  </si>
  <si>
    <t>Various new entries</t>
  </si>
  <si>
    <t>Creation of renewable energy inputs</t>
  </si>
  <si>
    <t>B32:F33</t>
  </si>
  <si>
    <t>Addition of renewable energy summary</t>
  </si>
  <si>
    <t>15C Calculation</t>
  </si>
  <si>
    <t>B335:T355</t>
  </si>
  <si>
    <t>Powered by Renewables Innovation Challenge</t>
  </si>
  <si>
    <t>Creation of Powered by Renewables Innovation Section</t>
  </si>
  <si>
    <t>D8</t>
  </si>
  <si>
    <t xml:space="preserve">Liquefied petroleum gas </t>
  </si>
  <si>
    <t>Liquefied petroleum gas (post-2004 vehicle)</t>
  </si>
  <si>
    <t>D57</t>
  </si>
  <si>
    <t>F57</t>
  </si>
  <si>
    <t>H57</t>
  </si>
  <si>
    <t>I57</t>
  </si>
  <si>
    <t>H8</t>
  </si>
  <si>
    <t>I8</t>
  </si>
  <si>
    <t>F8</t>
  </si>
  <si>
    <t>B34</t>
  </si>
  <si>
    <t>Are Large-scale Generation Certificates (LGC's) created on site?</t>
  </si>
  <si>
    <t>B35</t>
  </si>
  <si>
    <t>Are the Large-scale Generation Certificates (LGC's) retired?</t>
  </si>
  <si>
    <t>B36</t>
  </si>
  <si>
    <t>Are Large-scale Generation Certificates (LGC's) purchased and retired by the responsible entity ?</t>
  </si>
  <si>
    <t>E23</t>
  </si>
  <si>
    <t>Energy Consumption
(GJ)</t>
  </si>
  <si>
    <t>E24</t>
  </si>
  <si>
    <t>'='Building Details'!E25</t>
  </si>
  <si>
    <t>E25</t>
  </si>
  <si>
    <t>'='Building Details'!E26</t>
  </si>
  <si>
    <t>E26</t>
  </si>
  <si>
    <t>'='Building Details'!E27</t>
  </si>
  <si>
    <t>E27</t>
  </si>
  <si>
    <t>'='Building Details'!E28</t>
  </si>
  <si>
    <t>E28</t>
  </si>
  <si>
    <t>'='Building Details'!E29</t>
  </si>
  <si>
    <t>E29</t>
  </si>
  <si>
    <t>'='Building Details'!E30</t>
  </si>
  <si>
    <t>E30</t>
  </si>
  <si>
    <t>'='Building Details'!E31</t>
  </si>
  <si>
    <t>E31</t>
  </si>
  <si>
    <t>'='Building Details'!E32</t>
  </si>
  <si>
    <t>E32</t>
  </si>
  <si>
    <t>'='Building Details'!E33</t>
  </si>
  <si>
    <t>F38</t>
  </si>
  <si>
    <t>'=IF(AND($E$34="Yes", $E$35="No"), ((E31*F24)+SUM(G24:G30))/1000, SUM(G24:G30)/1000)</t>
  </si>
  <si>
    <t>'=SUM(G24:G30)</t>
  </si>
  <si>
    <t>B38</t>
  </si>
  <si>
    <t xml:space="preserve">Total Scope 1 Emissions ( t CO2-e) </t>
  </si>
  <si>
    <t>B39</t>
  </si>
  <si>
    <t xml:space="preserve">Total Scope 2 Emissions ( t CO2-e) </t>
  </si>
  <si>
    <t>B40</t>
  </si>
  <si>
    <t xml:space="preserve">LGCS not voluntarily retired ( t CO2-e) </t>
  </si>
  <si>
    <t>E38</t>
  </si>
  <si>
    <t>=SUMIF(D24:D32, "Scope 1", G24:G32)/1000</t>
  </si>
  <si>
    <t>E39</t>
  </si>
  <si>
    <t>=SUMIF(D24:D32, "Scope 2", G24:G32)/1000</t>
  </si>
  <si>
    <t>E40</t>
  </si>
  <si>
    <t>=IF(E35="No", (E31*0.0036*F24)/1000, 0)</t>
  </si>
  <si>
    <t>'=IF($H$10=2016,(VLOOKUP($C$19,'NGER Emission Factors'!D65:J75,7,FALSE)), VLOOKUP($C$19,'NGER Emission Factors'!D34:J44,7,FALSE))</t>
  </si>
  <si>
    <t>Scope 3 Emissions</t>
  </si>
  <si>
    <t>Source Item</t>
  </si>
  <si>
    <t>C36</t>
  </si>
  <si>
    <t>Energy Source</t>
  </si>
  <si>
    <t>D36</t>
  </si>
  <si>
    <t>E36</t>
  </si>
  <si>
    <t>Emissions Factor (kg CO2-e / GJ)</t>
  </si>
  <si>
    <t>F36</t>
  </si>
  <si>
    <t>Greenhouse Gas Emisisons (kg.CO2-e p.a.)</t>
  </si>
  <si>
    <t>B37</t>
  </si>
  <si>
    <t>C37</t>
  </si>
  <si>
    <t>'=C24</t>
  </si>
  <si>
    <t>C38</t>
  </si>
  <si>
    <t>'=C26</t>
  </si>
  <si>
    <t>C39</t>
  </si>
  <si>
    <t>'=C27</t>
  </si>
  <si>
    <t>C40</t>
  </si>
  <si>
    <t>'=C28</t>
  </si>
  <si>
    <t>B41</t>
  </si>
  <si>
    <t>C41</t>
  </si>
  <si>
    <t>'=C29</t>
  </si>
  <si>
    <t>D37</t>
  </si>
  <si>
    <t>'=E24</t>
  </si>
  <si>
    <t>D38</t>
  </si>
  <si>
    <t>'=E26</t>
  </si>
  <si>
    <t>D39</t>
  </si>
  <si>
    <t>'=E27</t>
  </si>
  <si>
    <t>D40</t>
  </si>
  <si>
    <t>'=E28</t>
  </si>
  <si>
    <t>D41</t>
  </si>
  <si>
    <t>'=E29</t>
  </si>
  <si>
    <t>F37</t>
  </si>
  <si>
    <t>'=D37*E37</t>
  </si>
  <si>
    <t>'=D38*E38</t>
  </si>
  <si>
    <t>F39</t>
  </si>
  <si>
    <t>'=D39*E39</t>
  </si>
  <si>
    <t>F40</t>
  </si>
  <si>
    <t>'=D40*E40</t>
  </si>
  <si>
    <t>F41</t>
  </si>
  <si>
    <t>'=D41*E41</t>
  </si>
  <si>
    <t>B49</t>
  </si>
  <si>
    <t xml:space="preserve">Total Scope 3 Emissions ( t CO2-e) </t>
  </si>
  <si>
    <t>E49</t>
  </si>
  <si>
    <t>'=SUM(F37:F41)/1000</t>
  </si>
  <si>
    <t>E37</t>
  </si>
  <si>
    <t>'=IF(H10="2016",VLOOKUP(C12,'NGER Emission Factors'!A83:M92,12,FALSE),VLOOKUP(C12,'NGER Emission Factors'!A34:M43,12,FALSE))</t>
  </si>
  <si>
    <t>E41</t>
  </si>
  <si>
    <t>'=IF(H10="2016", 'NGER Emission Factors'!L76, 'NGER Emission Factors'!L9)</t>
  </si>
  <si>
    <t>'=IF(H10="2016", 'NGER Emission Factors'!L73, 'NGER Emission Factors'!L6)</t>
  </si>
  <si>
    <t>'=IF(H10="2016", 'NGER Emission Factors'!L75, 'NGER Emission Factors'!L8)</t>
  </si>
  <si>
    <t>A63</t>
  </si>
  <si>
    <t>B63</t>
  </si>
  <si>
    <t>'=C12&amp;C13</t>
  </si>
  <si>
    <t>'=IF(H10="2016", VLOOKUP(B63,'NGER Emission Factors'!A100:B115,2,FALSE), VLOOKUP(B63, 'NGER Emission Factors'!A51:B66,2,FALSE))</t>
  </si>
  <si>
    <t>E51</t>
  </si>
  <si>
    <t>=IF(AND($E$43="Yes", $E$44="No"), ((E31*F24)+SUM(G24:G30)+E49)/1000, (SUM(G24:G30)+E49)/1000)</t>
  </si>
  <si>
    <t>=IF(AND($E$43="Yes", $E$44="No"), ((E31*F24)+SUM(G24:G30))/1000, SUM(G24:G30)/1000)</t>
  </si>
  <si>
    <t>Version 1.2, Release 3</t>
  </si>
  <si>
    <t>A2:M66</t>
  </si>
  <si>
    <t>Various</t>
  </si>
  <si>
    <t>Replaced NGA 2018 Emissions factors with NGA 2019 emission factors</t>
  </si>
  <si>
    <t>A68</t>
  </si>
  <si>
    <t>2018 Emission Factors</t>
  </si>
  <si>
    <t>2017 Emission Factors</t>
  </si>
  <si>
    <t>Replaced NGA 2017 Emissions factors with NGA 2018 emission factors</t>
  </si>
  <si>
    <t>A69:M115</t>
  </si>
  <si>
    <t>'=IF($H$10=2018,(VLOOKUP($C$19,'NGER Emission Factors'!D83:J93,7,FALSE)), VLOOKUP($C$19,'NGER Emission Factors'!D34:J44,7,FALSE))</t>
  </si>
  <si>
    <t>'=IF($H$10=2017,(VLOOKUP($C$19,'NGER Emission Factors'!D83:J93,7,FALSE)), VLOOKUP($C$19,'NGER Emission Factors'!D34:J44,7,FALSE))</t>
  </si>
  <si>
    <t>Updated to sources the updated emission factors for electricty</t>
  </si>
  <si>
    <t>'=IF($C$12="NZ",'NGER Emission Factors'!J16,IF($H$10="2018",'NGER Emission Factors'!J72,'NGER Emission Factors'!J5))</t>
  </si>
  <si>
    <t>'=IF($C$12="NZ",'NGER Emission Factors'!J16,IF($H$10="2017",'NGER Emission Factors'!J72,'NGER Emission Factors'!J5))</t>
  </si>
  <si>
    <t>Updated to sources the updated emission factors for Natural Gas</t>
  </si>
  <si>
    <t>'=IF($C$12="NZ",'NGER Emission Factors'!J19,IF($H$10="2018",'NGER Emission Factors'!J75,'NGER Emission Factors'!J8))</t>
  </si>
  <si>
    <t>'=IF($C$12="NZ",'NGER Emission Factors'!J19,IF($H$10="2017",'NGER Emission Factors'!J75,'NGER Emission Factors'!J8))</t>
  </si>
  <si>
    <t>Updated to sources the updated emission factors for electricty for LPG</t>
  </si>
  <si>
    <t>'=IF($C$12="NZ",'NGER Emission Factors'!J17,IF($H$10="2018",'NGER Emission Factors'!J73,'NGER Emission Factors'!J6))</t>
  </si>
  <si>
    <t>'=IF($C$12="NZ",'NGER Emission Factors'!J17,IF($H$10="2017",'NGER Emission Factors'!J73,'NGER Emission Factors'!J6))</t>
  </si>
  <si>
    <t>Updated to sources the updated emission factors for electricty for Diesel oil</t>
  </si>
  <si>
    <t>'=IF($C$12="NZ", 'NGER Emission Factors'!J20, IF($H$10="2018", 'NGER Emission Factors'!J76,'NGER Emission Factors'!J9))</t>
  </si>
  <si>
    <t>'=IF($C$12="NZ", 'NGER Emission Factors'!J20, IF($H$10="2017", 'NGER Emission Factors'!J76,'NGER Emission Factors'!J9))</t>
  </si>
  <si>
    <t>Updated to sources the updated emission factors for electricty for Black coal</t>
  </si>
  <si>
    <t>'=IF(H10="2018",VLOOKUP(C12,'NGER Emission Factors'!A83:M92,12,FALSE),VLOOKUP(C12,'NGER Emission Factors'!A34:M43,12,FALSE))</t>
  </si>
  <si>
    <t>'=IF(H10="2017",VLOOKUP(C12,'NGER Emission Factors'!A83:M92,12,FALSE),VLOOKUP(C12,'NGER Emission Factors'!A34:M43,12,FALSE))</t>
  </si>
  <si>
    <t>Updated to sources the updated emission factors for electricty - scope 3</t>
  </si>
  <si>
    <t>'=IF(H10="2018", VLOOKUP(B69,'NGER Emission Factors'!A100:B115,2,FALSE), VLOOKUP(B69, 'NGER Emission Factors'!A51:B66,2,FALSE))</t>
  </si>
  <si>
    <t>'=IF(H10="2017", VLOOKUP(B69,'NGER Emission Factors'!A100:B115,2,FALSE), VLOOKUP(B69, 'NGER Emission Factors'!A51:B66,2,FALSE))</t>
  </si>
  <si>
    <t>Updated to sources the updated emission factors for Natural Gas - Scope 3</t>
  </si>
  <si>
    <t>'=IF(H10="2018", 'NGER Emission Factors'!L75, 'NGER Emission Factors'!L8)</t>
  </si>
  <si>
    <t>'=IF(H10="2017", 'NGER Emission Factors'!L75, 'NGER Emission Factors'!L8)</t>
  </si>
  <si>
    <t>Updated to sources the updated emission factors for electricty for LPG - Scope 3</t>
  </si>
  <si>
    <t>'=IF(H10="2018", 'NGER Emission Factors'!L73, 'NGER Emission Factors'!L6)</t>
  </si>
  <si>
    <t>'=IF(H10="2017", 'NGER Emission Factors'!L73, 'NGER Emission Factors'!L6)</t>
  </si>
  <si>
    <t>Updated to sources the updated emission factors for electricty for Diesel oil - Scope 3</t>
  </si>
  <si>
    <t>'=IF(H10="2018", 'NGER Emission Factors'!L76, 'NGER Emission Factors'!L9)</t>
  </si>
  <si>
    <t>'=IF(H10="2017", 'NGER Emission Factors'!L76, 'NGER Emission Factors'!L9)</t>
  </si>
  <si>
    <t>Updated to sources the updated emission factors for electricty for Black coal - Scope 3</t>
  </si>
  <si>
    <t>C9:L38</t>
  </si>
  <si>
    <t>Added section to capture data for comparable buildings in line with 19C calculator</t>
  </si>
  <si>
    <t>Version 1.2, Release 4</t>
  </si>
  <si>
    <t>Add a row to include 'Carbon Neutral electricity' in the summary seciton</t>
  </si>
  <si>
    <t>C34</t>
  </si>
  <si>
    <t>Carbon Neutral Certified Electricity</t>
  </si>
  <si>
    <t>Added a section for carbon neutral certified electricity</t>
  </si>
  <si>
    <t>D34</t>
  </si>
  <si>
    <t>=D25</t>
  </si>
  <si>
    <t xml:space="preserve">Calcualations to divide GHG emissions by 3 when Carbon neutral electricity is used in the building. </t>
  </si>
  <si>
    <t>F32</t>
  </si>
  <si>
    <t>'=IFERROR(E32*$D32,0)</t>
  </si>
  <si>
    <t>F33</t>
  </si>
  <si>
    <t>'=IFERROR(E33*$D33,0)</t>
  </si>
  <si>
    <t>F34</t>
  </si>
  <si>
    <t>'=IFERROR(E34*$D34,0)</t>
  </si>
  <si>
    <t>'279:300</t>
  </si>
  <si>
    <t>B281</t>
  </si>
  <si>
    <t>Fuel Type</t>
  </si>
  <si>
    <t>D281</t>
  </si>
  <si>
    <t>'=IF(C193="NZ", "Note: All NZ projects cannot utilise GreenPower in their ratings", "")</t>
  </si>
  <si>
    <t>E281</t>
  </si>
  <si>
    <t>Meter No.</t>
  </si>
  <si>
    <t>B282</t>
  </si>
  <si>
    <t>Emissions Scope</t>
  </si>
  <si>
    <t>E282</t>
  </si>
  <si>
    <t>Description of coverage</t>
  </si>
  <si>
    <t>F282</t>
  </si>
  <si>
    <t>E.g. GreenPower 10% of electricity supply</t>
  </si>
  <si>
    <t>B283</t>
  </si>
  <si>
    <t>NGER Emissions Factor</t>
  </si>
  <si>
    <t>B284</t>
  </si>
  <si>
    <t>Input Unit of Measure</t>
  </si>
  <si>
    <t>B285</t>
  </si>
  <si>
    <t>Conversion to GJ</t>
  </si>
  <si>
    <t>E285</t>
  </si>
  <si>
    <t>Note: Copies of Utility Bills to be submitted with rating.</t>
  </si>
  <si>
    <t>B288</t>
  </si>
  <si>
    <t>Supplier</t>
  </si>
  <si>
    <t>C288</t>
  </si>
  <si>
    <t>Account number</t>
  </si>
  <si>
    <t>D288</t>
  </si>
  <si>
    <t>Start of billed period</t>
  </si>
  <si>
    <t>E288</t>
  </si>
  <si>
    <t>End of billed period</t>
  </si>
  <si>
    <t>F288</t>
  </si>
  <si>
    <t>'="Billed Quantity ("&amp;C284&amp;")"</t>
  </si>
  <si>
    <t>G288</t>
  </si>
  <si>
    <t>Days in billing period</t>
  </si>
  <si>
    <t>H288</t>
  </si>
  <si>
    <t>I288</t>
  </si>
  <si>
    <t>Energy in performance period (GJ)</t>
  </si>
  <si>
    <t>G289</t>
  </si>
  <si>
    <t>'=IF(ISBLANK(D289),"",E289-D289+1)</t>
  </si>
  <si>
    <t>H289</t>
  </si>
  <si>
    <t>'=$C$104</t>
  </si>
  <si>
    <t>I289</t>
  </si>
  <si>
    <t>'=IF(F289&gt;0,F289*H289*IF(OR(D289&gt;$H$9,E289&lt;$H$8), 0, IF(D289&lt;$H$8,E289-$H$8,IF($H$9&lt;E289,E289-$H$9,G289)))/G289,0)</t>
  </si>
  <si>
    <t>G290</t>
  </si>
  <si>
    <t>'=IF(ISBLANK(D290),"",E290-D290+1)</t>
  </si>
  <si>
    <t>H290</t>
  </si>
  <si>
    <t>I290</t>
  </si>
  <si>
    <t>'=IF(F290&gt;0,F290*H290*IF(OR(D290&gt;$H$9,E290&lt;$H$8), 0, IF(D290&lt;$H$8,E290-$H$8,IF($H$9&lt;E290,E290-$H$9,G290)))/G290,0)</t>
  </si>
  <si>
    <t>G291</t>
  </si>
  <si>
    <t>'=IF(ISBLANK(D291),"",E291-D291+1)</t>
  </si>
  <si>
    <t>H291</t>
  </si>
  <si>
    <t>I291</t>
  </si>
  <si>
    <t>'=IF(F291&gt;0,F291*H291*IF(OR(D291&gt;$H$9,E291&lt;$H$8), 0, IF(D291&lt;$H$8,E291-$H$8,IF($H$9&lt;E291,E291-$H$9,G291)))/G291,0)</t>
  </si>
  <si>
    <t>G292</t>
  </si>
  <si>
    <t>'=IF(ISBLANK(D292),"",E292-D292+1)</t>
  </si>
  <si>
    <t>H292</t>
  </si>
  <si>
    <t>I292</t>
  </si>
  <si>
    <t>'=IF(F292&gt;0,F292*H292*IF(OR(D292&gt;$H$9,E292&lt;$H$8), 0, IF(D292&lt;$H$8,E292-$H$8,IF($H$9&lt;E292,E292-$H$9,G292)))/G292,0)</t>
  </si>
  <si>
    <t>G293</t>
  </si>
  <si>
    <t>'=IF(ISBLANK(D293),"",E293-D293+1)</t>
  </si>
  <si>
    <t>H293</t>
  </si>
  <si>
    <t>I293</t>
  </si>
  <si>
    <t>'=IF(F293&gt;0,F293*H293*IF(OR(D293&gt;$H$9,E293&lt;$H$8), 0, IF(D293&lt;$H$8,E293-$H$8,IF($H$9&lt;E293,E293-$H$9,G293)))/G293,0)</t>
  </si>
  <si>
    <t>G294</t>
  </si>
  <si>
    <t>'=IF(ISBLANK(D294),"",E294-D294+1)</t>
  </si>
  <si>
    <t>H294</t>
  </si>
  <si>
    <t>I294</t>
  </si>
  <si>
    <t>'=IF(F294&gt;0,F294*H294*IF(OR(D294&gt;$H$9,E294&lt;$H$8), 0, IF(D294&lt;$H$8,E294-$H$8,IF($H$9&lt;E294,E294-$H$9,G294)))/G294,0)</t>
  </si>
  <si>
    <t>G295</t>
  </si>
  <si>
    <t>'=IF(ISBLANK(D295),"",E295-D295+1)</t>
  </si>
  <si>
    <t>H295</t>
  </si>
  <si>
    <t>I295</t>
  </si>
  <si>
    <t>'=IF(F295&gt;0,F295*H295*IF(OR(D295&gt;$H$9,E295&lt;$H$8), 0, IF(D295&lt;$H$8,E295-$H$8,IF($H$9&lt;E295,E295-$H$9,G295)))/G295,0)</t>
  </si>
  <si>
    <t>G296</t>
  </si>
  <si>
    <t>'=IF(ISBLANK(D296),"",E296-D296+1)</t>
  </si>
  <si>
    <t>H296</t>
  </si>
  <si>
    <t>I296</t>
  </si>
  <si>
    <t>'=IF(F296&gt;0,F296*H296*IF(OR(D296&gt;$H$9,E296&lt;$H$8), 0, IF(D296&lt;$H$8,E296-$H$8,IF($H$9&lt;E296,E296-$H$9,G296)))/G296,0)</t>
  </si>
  <si>
    <t>G297</t>
  </si>
  <si>
    <t>'=IF(ISBLANK(D297),"",E297-D297+1)</t>
  </si>
  <si>
    <t>H297</t>
  </si>
  <si>
    <t>I297</t>
  </si>
  <si>
    <t>'=IF(F297&gt;0,F297*H297*IF(OR(D297&gt;$H$9,E297&lt;$H$8), 0, IF(D297&lt;$H$8,E297-$H$8,IF($H$9&lt;E297,E297-$H$9,G297)))/G297,0)</t>
  </si>
  <si>
    <t>G298</t>
  </si>
  <si>
    <t>'=IF(ISBLANK(D298),"",E298-D298+1)</t>
  </si>
  <si>
    <t>H298</t>
  </si>
  <si>
    <t>I298</t>
  </si>
  <si>
    <t>'=IF(F298&gt;0,F298*H298*IF(OR(D298&gt;$H$9,E298&lt;$H$8), 0, IF(D298&lt;$H$8,E298-$H$8,IF($H$9&lt;E298,E298-$H$9,G298)))/G298,0)</t>
  </si>
  <si>
    <t>G299</t>
  </si>
  <si>
    <t>'=IF(ISBLANK(D299),"",E299-D299+1)</t>
  </si>
  <si>
    <t>H299</t>
  </si>
  <si>
    <t>I299</t>
  </si>
  <si>
    <t>'=IF(F299&gt;0,F299*H299*IF(OR(D299&gt;$H$9,E299&lt;$H$8), 0, IF(D299&lt;$H$8,E299-$H$8,IF($H$9&lt;E299,E299-$H$9,G299)))/G299,0)</t>
  </si>
  <si>
    <t>G300</t>
  </si>
  <si>
    <t>'=IF(ISBLANK(D300),"",E300-D300+1)</t>
  </si>
  <si>
    <t>H300</t>
  </si>
  <si>
    <t>I300</t>
  </si>
  <si>
    <t>'=IF(F300&gt;0,F300*H300*IF(OR(D300&gt;$H$9,E300&lt;$H$8), 0, IF(D300&lt;$H$8,E300-$H$8,IF($H$9&lt;E300,E300-$H$9,G300)))/G300,0)</t>
  </si>
  <si>
    <t>B279</t>
  </si>
  <si>
    <t>Electricity certified as Carbon Neutral against the Climate Active Carbon Neutral Standard</t>
  </si>
  <si>
    <t>C281</t>
  </si>
  <si>
    <t>Electricity</t>
  </si>
  <si>
    <t>C282</t>
  </si>
  <si>
    <t>C284</t>
  </si>
  <si>
    <t>C285</t>
  </si>
  <si>
    <t>C283</t>
  </si>
  <si>
    <t>E34</t>
  </si>
  <si>
    <t>'=SUM(I289:I300)</t>
  </si>
  <si>
    <t>E35</t>
  </si>
  <si>
    <t>'=SUM(E25:E34)</t>
  </si>
  <si>
    <t>'=SUM(E25:E31)</t>
  </si>
  <si>
    <t>Updated formula to calculate energy consumption of the building to include On-site, Purchased Renewable and Certified Carbon Neutral Electricity</t>
  </si>
  <si>
    <t>F35</t>
  </si>
  <si>
    <t>'=SUM(F25:F34)</t>
  </si>
  <si>
    <t>'=SUM(F25:F31)</t>
  </si>
  <si>
    <t>'55:55</t>
  </si>
  <si>
    <t>Added rows to include On-site renewables,Purchased renewables and Carbon neutral electricity for Step 2 of calculations</t>
  </si>
  <si>
    <t>'56:56</t>
  </si>
  <si>
    <t>B55</t>
  </si>
  <si>
    <t>Onsite Renewable</t>
  </si>
  <si>
    <t>B56</t>
  </si>
  <si>
    <t>Purchased renewable electricity</t>
  </si>
  <si>
    <t>B57</t>
  </si>
  <si>
    <t>C48</t>
  </si>
  <si>
    <t>'=SUMIF('Building Details'!$B$25:$D$35,$B48,'Building Details'!$D$25:$D$34)</t>
  </si>
  <si>
    <t>'=SUMIF('Building Details'!$B$25:$D$35,$B48,'Building Details'!$D$25:$D$31)</t>
  </si>
  <si>
    <t>Updated formula to extract energy usage through On-site, Purchased Renewable and Certified Carbon Neutral Electricity</t>
  </si>
  <si>
    <t>C49</t>
  </si>
  <si>
    <t>'=SUMIF('Building Details'!$B$25:$D$35,$B49,'Building Details'!$D$25:$D$34)</t>
  </si>
  <si>
    <t>'=SUMIF('Building Details'!$B$25:$D$35,$B49,'Building Details'!$D$25:$D$31)</t>
  </si>
  <si>
    <t>C50</t>
  </si>
  <si>
    <t>'=SUMIF('Building Details'!$B$25:$D$35,$B50,'Building Details'!$D$25:$D$34)</t>
  </si>
  <si>
    <t>'=SUMIF('Building Details'!$B$25:$D$35,$B50,'Building Details'!$D$25:$D$31)</t>
  </si>
  <si>
    <t>C51</t>
  </si>
  <si>
    <t>'=SUMIF('Building Details'!$B$25:$D$35,$B51,'Building Details'!$D$25:$D$34)</t>
  </si>
  <si>
    <t>'=SUMIF('Building Details'!$B$25:$D$35,$B51,'Building Details'!$D$25:$D$31)</t>
  </si>
  <si>
    <t>C52</t>
  </si>
  <si>
    <t>'=SUMIF('Building Details'!$B$25:$D$35,$B52,'Building Details'!$D$25:$D$34)</t>
  </si>
  <si>
    <t>'=SUMIF('Building Details'!$B$25:$D$35,$B52,'Building Details'!$D$25:$D$31)</t>
  </si>
  <si>
    <t>C53</t>
  </si>
  <si>
    <t>'=SUMIF('Building Details'!$B$25:$D$35,$B53,'Building Details'!$D$25:$D$34)</t>
  </si>
  <si>
    <t>'=SUMIF('Building Details'!$B$25:$D$35,$B53,'Building Details'!$D$25:$D$31)</t>
  </si>
  <si>
    <t>C54</t>
  </si>
  <si>
    <t>'=SUMIF('Building Details'!$B$25:$D$35,$B54,'Building Details'!$D$25:$D$34)</t>
  </si>
  <si>
    <t>'=SUMIF('Building Details'!$B$25:$D$35,$B54,'Building Details'!$D$25:$D$31)</t>
  </si>
  <si>
    <t>C55</t>
  </si>
  <si>
    <t>'=SUMIF('Building Details'!$B$25:$D$35,$B55,'Building Details'!$D$25:$D$34)</t>
  </si>
  <si>
    <t>C56</t>
  </si>
  <si>
    <t>'=SUMIF('Building Details'!$B$25:$D$35,$B56,'Building Details'!$D$25:$D$34)</t>
  </si>
  <si>
    <t>C57</t>
  </si>
  <si>
    <t>'=SUMIF('Building Details'!$B$25:$D$35,$B57,'Building Details'!$D$25:$D$34)</t>
  </si>
  <si>
    <t>B161</t>
  </si>
  <si>
    <t>Added rows to include On-site renewables,Purchased renewables and Carbon neutral electricity for Step 4 of calculations</t>
  </si>
  <si>
    <t>B162</t>
  </si>
  <si>
    <t>B163</t>
  </si>
  <si>
    <t>C161</t>
  </si>
  <si>
    <t>'=C55</t>
  </si>
  <si>
    <t>C162</t>
  </si>
  <si>
    <t>'=C56</t>
  </si>
  <si>
    <t>C163</t>
  </si>
  <si>
    <t>'=C57</t>
  </si>
  <si>
    <t>C289</t>
  </si>
  <si>
    <t>Greenhouse Gas Emissions with GreenPower,Purchased Renewable electricity,Carbon Neutral Electricity (kg.CO2-e p.a.)</t>
  </si>
  <si>
    <t>Greenhouse Gas Emissions Performance with GreenPower (kg.CO2-e p.a.)</t>
  </si>
  <si>
    <t xml:space="preserve">Updated section to include the term 'Purchased renewables and Certified Carbon neutral electricity' and update the unit </t>
  </si>
  <si>
    <t>B277</t>
  </si>
  <si>
    <t>TOTAL NORMALISED EMISSIONS without GreenPower,Purchased Renewable electricity,Carbon Neutral Electricity (kg CO2-e)</t>
  </si>
  <si>
    <t>TOTAL NORMALISED EMISSIONS without GreenPower (kg CO2-e)</t>
  </si>
  <si>
    <t>B278</t>
  </si>
  <si>
    <t>TOTAL NORMALISED EMISSIONS with GreenPower,Purchased Renewable electricity,Carbon Neutral Electricity (kg CO2-e)</t>
  </si>
  <si>
    <t>TOTAL NORMALISED EMISSIONS with GreenPower (kg CO2-e)</t>
  </si>
  <si>
    <t>Updated section to include the term 'Purchased renewables and Certified Carbon neutral electricity'.</t>
  </si>
  <si>
    <t>TOTAL NORMALISED EMISSIONS INTENSITY without  GreenPower,Purchased Renewable electricity,Carbon Neutral Electricity  (kg CO2-e/m2)</t>
  </si>
  <si>
    <t>TOTAL NORMALISED EMISSIONS INTENSITY without GreenPower (kg CO2-e/m2)</t>
  </si>
  <si>
    <t>D161</t>
  </si>
  <si>
    <t>For the peer group - entered the values as 0 for PPA,On-site and Carbon Neutral for step 4 of the calculations</t>
  </si>
  <si>
    <t>E161</t>
  </si>
  <si>
    <t>F161</t>
  </si>
  <si>
    <t>G161</t>
  </si>
  <si>
    <t>H161</t>
  </si>
  <si>
    <t>I161</t>
  </si>
  <si>
    <t>J161</t>
  </si>
  <si>
    <t>K161</t>
  </si>
  <si>
    <t>L161</t>
  </si>
  <si>
    <t>D162</t>
  </si>
  <si>
    <t>E162</t>
  </si>
  <si>
    <t>F162</t>
  </si>
  <si>
    <t>G162</t>
  </si>
  <si>
    <t>H162</t>
  </si>
  <si>
    <t>I162</t>
  </si>
  <si>
    <t>J162</t>
  </si>
  <si>
    <t>K162</t>
  </si>
  <si>
    <t>L162</t>
  </si>
  <si>
    <t>D163</t>
  </si>
  <si>
    <t>E163</t>
  </si>
  <si>
    <t>F163</t>
  </si>
  <si>
    <t>G163</t>
  </si>
  <si>
    <t>H163</t>
  </si>
  <si>
    <t>I163</t>
  </si>
  <si>
    <t>J163</t>
  </si>
  <si>
    <t>K163</t>
  </si>
  <si>
    <t>L163</t>
  </si>
  <si>
    <t>'272:272</t>
  </si>
  <si>
    <t>Added rows to include On-site renewables,Purchased renewables and Carbon neutral electricity for Step 7 of calculations</t>
  </si>
  <si>
    <t>'270:270</t>
  </si>
  <si>
    <t>'271:271</t>
  </si>
  <si>
    <t>B270</t>
  </si>
  <si>
    <t>B271</t>
  </si>
  <si>
    <t>B272</t>
  </si>
  <si>
    <t>'269:269</t>
  </si>
  <si>
    <t>B269</t>
  </si>
  <si>
    <t>Other</t>
  </si>
  <si>
    <t>C269</t>
  </si>
  <si>
    <t>'=C160</t>
  </si>
  <si>
    <t>C270</t>
  </si>
  <si>
    <t>'=C161</t>
  </si>
  <si>
    <t>C271</t>
  </si>
  <si>
    <t>'=C162</t>
  </si>
  <si>
    <t>C272</t>
  </si>
  <si>
    <t>'=C163</t>
  </si>
  <si>
    <t>D269</t>
  </si>
  <si>
    <t>'=D160</t>
  </si>
  <si>
    <t>E269</t>
  </si>
  <si>
    <t>'=E160</t>
  </si>
  <si>
    <t>F269</t>
  </si>
  <si>
    <t>'=F160</t>
  </si>
  <si>
    <t>G269</t>
  </si>
  <si>
    <t>'=G160</t>
  </si>
  <si>
    <t>H269</t>
  </si>
  <si>
    <t>'=H160</t>
  </si>
  <si>
    <t>I269</t>
  </si>
  <si>
    <t>'=I160</t>
  </si>
  <si>
    <t>J269</t>
  </si>
  <si>
    <t>'=J160</t>
  </si>
  <si>
    <t>K269</t>
  </si>
  <si>
    <t>'=K160</t>
  </si>
  <si>
    <t>L269</t>
  </si>
  <si>
    <t>'=L160</t>
  </si>
  <si>
    <t>D270</t>
  </si>
  <si>
    <t>'=D161</t>
  </si>
  <si>
    <t>E270</t>
  </si>
  <si>
    <t>'=E161</t>
  </si>
  <si>
    <t>F270</t>
  </si>
  <si>
    <t>'=F161</t>
  </si>
  <si>
    <t>G270</t>
  </si>
  <si>
    <t>'=G161</t>
  </si>
  <si>
    <t>H270</t>
  </si>
  <si>
    <t>'=H161</t>
  </si>
  <si>
    <t>I270</t>
  </si>
  <si>
    <t>'=I161</t>
  </si>
  <si>
    <t>J270</t>
  </si>
  <si>
    <t>'=J161</t>
  </si>
  <si>
    <t>K270</t>
  </si>
  <si>
    <t>'=K161</t>
  </si>
  <si>
    <t>L270</t>
  </si>
  <si>
    <t>'=L161</t>
  </si>
  <si>
    <t>D271</t>
  </si>
  <si>
    <t>'=D162</t>
  </si>
  <si>
    <t>E271</t>
  </si>
  <si>
    <t>'=E162</t>
  </si>
  <si>
    <t>F271</t>
  </si>
  <si>
    <t>'=F162</t>
  </si>
  <si>
    <t>G271</t>
  </si>
  <si>
    <t>'=G162</t>
  </si>
  <si>
    <t>H271</t>
  </si>
  <si>
    <t>'=H162</t>
  </si>
  <si>
    <t>I271</t>
  </si>
  <si>
    <t>'=I162</t>
  </si>
  <si>
    <t>J271</t>
  </si>
  <si>
    <t>'=J162</t>
  </si>
  <si>
    <t>K271</t>
  </si>
  <si>
    <t>'=K162</t>
  </si>
  <si>
    <t>L271</t>
  </si>
  <si>
    <t>'=L162</t>
  </si>
  <si>
    <t>D272</t>
  </si>
  <si>
    <t>'=D163</t>
  </si>
  <si>
    <t>E272</t>
  </si>
  <si>
    <t>'=E163</t>
  </si>
  <si>
    <t>F272</t>
  </si>
  <si>
    <t>'=F163</t>
  </si>
  <si>
    <t>G272</t>
  </si>
  <si>
    <t>'=G163</t>
  </si>
  <si>
    <t>H272</t>
  </si>
  <si>
    <t>'=H163</t>
  </si>
  <si>
    <t>I272</t>
  </si>
  <si>
    <t>'=I163</t>
  </si>
  <si>
    <t>J272</t>
  </si>
  <si>
    <t>'=J163</t>
  </si>
  <si>
    <t>K272</t>
  </si>
  <si>
    <t>'=K163</t>
  </si>
  <si>
    <t>L272</t>
  </si>
  <si>
    <t>'=L163</t>
  </si>
  <si>
    <t>C273</t>
  </si>
  <si>
    <t>'=SUM(C263:C272)</t>
  </si>
  <si>
    <t>'=SUM(C263:C268)</t>
  </si>
  <si>
    <t>M269</t>
  </si>
  <si>
    <t>'=IFERROR(VLOOKUP(B269,'Building Details'!$C$25:$D$35,2, FALSE),0)</t>
  </si>
  <si>
    <t xml:space="preserve">Added formula to extract the relevant emission factors </t>
  </si>
  <si>
    <t>M270</t>
  </si>
  <si>
    <t>'=IFERROR(VLOOKUP(B270,'Building Details'!$C$25:$D$35,2, FALSE),0)</t>
  </si>
  <si>
    <t>M271</t>
  </si>
  <si>
    <t>'=IFERROR(VLOOKUP(B271,'Building Details'!$C$25:$D$35,2, FALSE),0)</t>
  </si>
  <si>
    <t>M272</t>
  </si>
  <si>
    <t>'=IFERROR(VLOOKUP(B272,'Building Details'!$C$25:$D$35,2, FALSE),0)</t>
  </si>
  <si>
    <t>D273</t>
  </si>
  <si>
    <t>'=SUM(D263:D272)</t>
  </si>
  <si>
    <t>'=SUM(D263:D268)</t>
  </si>
  <si>
    <t>Updated formula to include PPA,on-site,Carbon neutral electricity for the peer group's normalised energy</t>
  </si>
  <si>
    <t>E273</t>
  </si>
  <si>
    <t>'=SUM(E263:E272)</t>
  </si>
  <si>
    <t>'=SUM(E263:E268)</t>
  </si>
  <si>
    <t>F273</t>
  </si>
  <si>
    <t>'=SUM(F263:F272)</t>
  </si>
  <si>
    <t>'=SUM(F263:F268)</t>
  </si>
  <si>
    <t>G273</t>
  </si>
  <si>
    <t>'=SUM(G263:G272)</t>
  </si>
  <si>
    <t>'=SUM(G263:G268)</t>
  </si>
  <si>
    <t>H273</t>
  </si>
  <si>
    <t>'=SUM(H263:H272)</t>
  </si>
  <si>
    <t>'=SUM(H263:H268)</t>
  </si>
  <si>
    <t>I273</t>
  </si>
  <si>
    <t>'=SUM(I263:I272)</t>
  </si>
  <si>
    <t>'=SUM(I263:I268)</t>
  </si>
  <si>
    <t>J273</t>
  </si>
  <si>
    <t>'=SUM(J263:J272)</t>
  </si>
  <si>
    <t>'=SUM(J263:J268)</t>
  </si>
  <si>
    <t>K273</t>
  </si>
  <si>
    <t>'=SUM(K263:K272)</t>
  </si>
  <si>
    <t>'=SUM(K263:K268)</t>
  </si>
  <si>
    <t>L273</t>
  </si>
  <si>
    <t>'=SUM(L263:L272)</t>
  </si>
  <si>
    <t>'=SUM(L263:L268)</t>
  </si>
  <si>
    <t>C277</t>
  </si>
  <si>
    <t>'=SUMPRODUCT(C265:C269,$M$265:$M$269)+(C263+C271+C272+C264)*$M$263</t>
  </si>
  <si>
    <t>'=SUMPRODUCT(C263:C268,$M$263:$M$268)</t>
  </si>
  <si>
    <t>Updated formla to include PPA and Carbon neutral electrcity. On-site is excluded from the energy calculations.</t>
  </si>
  <si>
    <t>D277</t>
  </si>
  <si>
    <t>'=SUMPRODUCT(D265:D269,$M$265:$M$269)+(D263+D270+D271+D272+D264)*$M$263</t>
  </si>
  <si>
    <t>'=SUMPRODUCT(D263:D268,$M$263:$M$268)</t>
  </si>
  <si>
    <t>E277</t>
  </si>
  <si>
    <t>'=SUMPRODUCT(E265:E269,$M$265:$M$269)+(E263+E270+E271+E272+E264)*$M$263</t>
  </si>
  <si>
    <t>'=SUMPRODUCT(E263:E268,$M$263:$M$268)</t>
  </si>
  <si>
    <t>F277</t>
  </si>
  <si>
    <t>'=SUMPRODUCT(F265:F269,$M$265:$M$269)+(F263+F270+F271+F272+F264)*$M$263</t>
  </si>
  <si>
    <t>'=SUMPRODUCT(F263:F268,$M$263:$M$268)</t>
  </si>
  <si>
    <t>G277</t>
  </si>
  <si>
    <t>'=SUMPRODUCT(G265:G269,$M$265:$M$269)+(G263+G270+G271+G272+G264)*$M$263</t>
  </si>
  <si>
    <t>'=SUMPRODUCT(G263:G268,$M$263:$M$268)</t>
  </si>
  <si>
    <t>H277</t>
  </si>
  <si>
    <t>'=SUMPRODUCT(H265:H269,$M$265:$M$269)+(H263+H270+H271+H272+H264)*$M$263</t>
  </si>
  <si>
    <t>'=SUMPRODUCT(H263:H268,$M$263:$M$268)</t>
  </si>
  <si>
    <t>I277</t>
  </si>
  <si>
    <t>'=SUMPRODUCT(I265:I269,$M$265:$M$269)+(I263+I270+I271+I272+I264)*$M$263</t>
  </si>
  <si>
    <t>'=SUMPRODUCT(I263:I268,$M$263:$M$268)</t>
  </si>
  <si>
    <t>J277</t>
  </si>
  <si>
    <t>'=SUMPRODUCT(J265:J269,$M$265:$M$269)+(J263+J270+J271+J272+J264)*$M$263</t>
  </si>
  <si>
    <t>'=SUMPRODUCT(J263:J268,$M$263:$M$268)</t>
  </si>
  <si>
    <t>K277</t>
  </si>
  <si>
    <t>'=SUMPRODUCT(K265:K269,$M$265:$M$269)+(K263+K270+K271+K272+K264)*$M$263</t>
  </si>
  <si>
    <t>'=SUMPRODUCT(K263:K268,$M$263:$M$268)</t>
  </si>
  <si>
    <t>L277</t>
  </si>
  <si>
    <t>'=SUMPRODUCT(L265:L269,$M$265:$M$269)+(L263+L270+L271+L272+L264)*$M$263</t>
  </si>
  <si>
    <t>'=SUMPRODUCT(L263:L268,$M$263:$M$268)</t>
  </si>
  <si>
    <t>C278</t>
  </si>
  <si>
    <t>'=SUMPRODUCT(C263:C272,$M$263:$M$272)</t>
  </si>
  <si>
    <t>'=C277-(C264*$M$263)</t>
  </si>
  <si>
    <t>Updated formuals to calculate GHG emissions using the relevant emission facrtors</t>
  </si>
  <si>
    <t>D278</t>
  </si>
  <si>
    <t>'=SUMPRODUCT(D263:D272,$M$263:$M$272)</t>
  </si>
  <si>
    <t>'=D277-(D264*$M$263)</t>
  </si>
  <si>
    <t>E278</t>
  </si>
  <si>
    <t>'=SUMPRODUCT(E263:E272,$M$263:$M$272)</t>
  </si>
  <si>
    <t>'=E277-(E264*$M$263)</t>
  </si>
  <si>
    <t>F278</t>
  </si>
  <si>
    <t>'=SUMPRODUCT(F263:F272,$M$263:$M$272)</t>
  </si>
  <si>
    <t>'=F277-(F264*$M$263)</t>
  </si>
  <si>
    <t>G278</t>
  </si>
  <si>
    <t>'=SUMPRODUCT(G263:G272,$M$263:$M$272)</t>
  </si>
  <si>
    <t>'=G277-(G264*$M$263)</t>
  </si>
  <si>
    <t>H278</t>
  </si>
  <si>
    <t>'=SUMPRODUCT(H263:H272,$M$263:$M$272)</t>
  </si>
  <si>
    <t>'=H277-(H264*$M$263)</t>
  </si>
  <si>
    <t>I278</t>
  </si>
  <si>
    <t>'=SUMPRODUCT(I263:I272,$M$263:$M$272)</t>
  </si>
  <si>
    <t>'=I277-(I264*$M$263)</t>
  </si>
  <si>
    <t>J278</t>
  </si>
  <si>
    <t>'=SUMPRODUCT(J263:J272,$M$263:$M$272)</t>
  </si>
  <si>
    <t>'=J277-(J264*$M$263)</t>
  </si>
  <si>
    <t>K278</t>
  </si>
  <si>
    <t>'=SUMPRODUCT(K263:K272,$M$263:$M$272)</t>
  </si>
  <si>
    <t>'=K277-(K264*$M$263)</t>
  </si>
  <si>
    <t>L278</t>
  </si>
  <si>
    <t>'=SUMPRODUCT(L263:L272,$M$263:$M$272)</t>
  </si>
  <si>
    <t>'=L277-(L264*$M$263)</t>
  </si>
  <si>
    <t>D345</t>
  </si>
  <si>
    <t>'=C48+C49+C55+C56+C57</t>
  </si>
  <si>
    <t>'=C48+C49</t>
  </si>
  <si>
    <t>Updated formula to include On-site electricity generation+PPA+Carbon neutral for total building electricity generation</t>
  </si>
  <si>
    <t>N358</t>
  </si>
  <si>
    <t>Calculations for Energy effeciency points through on-site solutions</t>
  </si>
  <si>
    <t>Added back end section to calculate energy effeciency points achieved through on-site energy effeciency solutions.</t>
  </si>
  <si>
    <t>N359</t>
  </si>
  <si>
    <t>Energy effeciency of the rated building through building systems alone</t>
  </si>
  <si>
    <t>S359</t>
  </si>
  <si>
    <t>'=D290</t>
  </si>
  <si>
    <t>T359</t>
  </si>
  <si>
    <t>kg.CO2-e/m2</t>
  </si>
  <si>
    <t>'359:359</t>
  </si>
  <si>
    <t>N360</t>
  </si>
  <si>
    <t>% improvement over Minimum Performer</t>
  </si>
  <si>
    <t>S360</t>
  </si>
  <si>
    <t>'=MAX(0,IFERROR(1-(D290/C286/100),0))</t>
  </si>
  <si>
    <t>'360:360</t>
  </si>
  <si>
    <t>N361</t>
  </si>
  <si>
    <t>points achieved</t>
  </si>
  <si>
    <t>S361</t>
  </si>
  <si>
    <t>'=VLOOKUP(S359,'Points Table'!B7:C30,2,TRUE)</t>
  </si>
  <si>
    <t>D353</t>
  </si>
  <si>
    <t>'=IF(S360&gt;=9, "Yes", "No")</t>
  </si>
  <si>
    <t>'=IF(C295&gt;=9, "Yes", "No")</t>
  </si>
  <si>
    <t>Updated formula to capture energy effeciency points achieved through Onsite solutions</t>
  </si>
  <si>
    <t>D356</t>
  </si>
  <si>
    <t>'=IF(D352="No","Minimum requirement not met",IF(AND(D353="Yes",D354="Yes",D355="Yes"),"1 point achieved","No points achieved"))</t>
  </si>
  <si>
    <t>'=IF(AND(D353="Yes",D354="Yes",D355="Yes"),"1 point achieved","No points achieved")</t>
  </si>
  <si>
    <t>Added minimum requirement as per the PBR inn challenge</t>
  </si>
  <si>
    <t>D358</t>
  </si>
  <si>
    <t>'=IF(D352="No","Minimum requirement not met",IF(D349&lt;0.15,"No points achieved",IF(D349&lt;0.3,IF(F349="Yes","1 point achieved","No points achieved"),IF(F349="Yes","2 points achieved","No points achieved"))))</t>
  </si>
  <si>
    <t>'=IF(D349&lt;0.15,"No points achieved",IF(D349&lt;0.3,IF(F349="Yes","1 point achieved","No points achieved"),IF(F349="Yes","2 points achieved","No points achieved")))</t>
  </si>
  <si>
    <t>C295</t>
  </si>
  <si>
    <t>=IF('15C Building Details'!C18="Whole Building",VLOOKUP('15C Calculation'!C291,'Points Table'!B7:C30,2,1),VLOOKUP(C291,'Points Table'!E7:F27,2,1))</t>
  </si>
  <si>
    <t>=VLOOKUP(C291,'Points Table'!B7:C30,2,TRUE)</t>
  </si>
  <si>
    <t xml:space="preserve">Corrected formula to return formula based on the scope of the energy captured. Previous formula captured the scope for whole building only. </t>
  </si>
  <si>
    <t>'33:33</t>
  </si>
  <si>
    <t>Added Carbon Neutral electricity section for the Carbon Neutral Summary</t>
  </si>
  <si>
    <t>B33</t>
  </si>
  <si>
    <t>'='15C Building Details'!B34</t>
  </si>
  <si>
    <t>C33</t>
  </si>
  <si>
    <t>'='15C Building Details'!C34</t>
  </si>
  <si>
    <t>D33</t>
  </si>
  <si>
    <t>E33</t>
  </si>
  <si>
    <t>'='15C Building Details'!E34</t>
  </si>
  <si>
    <t>G33</t>
  </si>
  <si>
    <t>'=F33*E33</t>
  </si>
  <si>
    <t>H33</t>
  </si>
  <si>
    <t>'=G33/1000</t>
  </si>
  <si>
    <t>E44</t>
  </si>
  <si>
    <t>'=SUMIF(D24:D33, "Scope 1", G24:G33)/1000</t>
  </si>
  <si>
    <t>'=SUMIF(D24:D32, "Scope 1", G24:G32)/1000</t>
  </si>
  <si>
    <t>E45</t>
  </si>
  <si>
    <t>'=SUMIF(D24:D33, "Scope 2", G24:G33)/1000</t>
  </si>
  <si>
    <t>'=SUMIF(D24:D32, "Scope 2", G24:G32)/1000</t>
  </si>
  <si>
    <t>Version 1.2, Release 5</t>
  </si>
  <si>
    <t>EC</t>
  </si>
  <si>
    <t>-</t>
  </si>
  <si>
    <t>All sheets</t>
  </si>
  <si>
    <t>Password change</t>
  </si>
  <si>
    <t>6GT8bxo*`N</t>
  </si>
  <si>
    <t>captainplanet</t>
  </si>
  <si>
    <t>Password updates for all calculators and scorecards</t>
  </si>
  <si>
    <t>Version 1.2, Release 6</t>
  </si>
  <si>
    <t>15C Building Details</t>
  </si>
  <si>
    <t>'9:9</t>
  </si>
  <si>
    <t>Added additional rows for project teams to select the targeted Green Star rating for the project</t>
  </si>
  <si>
    <t>B9</t>
  </si>
  <si>
    <t>Please select the Green Star Rating targeted for the project</t>
  </si>
  <si>
    <t>M7</t>
  </si>
  <si>
    <t>Please Select</t>
  </si>
  <si>
    <t>Added Star Ratings available for project teams to select as Drop down menu</t>
  </si>
  <si>
    <t>M8</t>
  </si>
  <si>
    <t>0 Star</t>
  </si>
  <si>
    <t>M9</t>
  </si>
  <si>
    <t>1 star</t>
  </si>
  <si>
    <t>M10</t>
  </si>
  <si>
    <t>2 star</t>
  </si>
  <si>
    <t>M11</t>
  </si>
  <si>
    <t>3 star</t>
  </si>
  <si>
    <t>M12</t>
  </si>
  <si>
    <t xml:space="preserve">4 Star </t>
  </si>
  <si>
    <t>M13</t>
  </si>
  <si>
    <t>5 Star</t>
  </si>
  <si>
    <t>M14</t>
  </si>
  <si>
    <t>6 Star</t>
  </si>
  <si>
    <t>Q284</t>
  </si>
  <si>
    <t>Conditional requirements for 4 Star, 5 Star and 6 Star</t>
  </si>
  <si>
    <t>Added back end calculations to calculate the conditional requirements for 4,5 and 6 Star</t>
  </si>
  <si>
    <t>Q285</t>
  </si>
  <si>
    <t>Targeted Star Rating</t>
  </si>
  <si>
    <t>Q286</t>
  </si>
  <si>
    <t>Requirement for Best Practice Rating Achieved</t>
  </si>
  <si>
    <t>Q287</t>
  </si>
  <si>
    <t xml:space="preserve">Conditional Requirements Met for 4,5 &amp; 6 met? </t>
  </si>
  <si>
    <t>R285</t>
  </si>
  <si>
    <t>'='15C Building Details'!C9</t>
  </si>
  <si>
    <t>R286</t>
  </si>
  <si>
    <t>'=C294</t>
  </si>
  <si>
    <t>R287</t>
  </si>
  <si>
    <t>'=IF(AND(R286="No",IF(ISNUMBER(MATCH(R285,T286:T288,0)),1,0)=1),"No","")</t>
  </si>
  <si>
    <t>T281</t>
  </si>
  <si>
    <t>T282</t>
  </si>
  <si>
    <t>T283</t>
  </si>
  <si>
    <t>T284</t>
  </si>
  <si>
    <t>T285</t>
  </si>
  <si>
    <t>T286</t>
  </si>
  <si>
    <t>T287</t>
  </si>
  <si>
    <t>T288</t>
  </si>
  <si>
    <t>D295</t>
  </si>
  <si>
    <t>'=IFERROR(IF(R287="No","Conditional Requirements not met for the Green Star Rating targeted",""),"")</t>
  </si>
  <si>
    <t>Added prompt when the conditional requirements for 4,5 and  are not met</t>
  </si>
  <si>
    <t>=IF(OR(R285="Please Select",R285=""),"Please select the Green Star Rating targeted",IF('15C Building Details'!C19="Whole Building",VLOOKUP('15C Calculation'!C291,'Points Table'!B7:C30,2,1),IF('15C Building Details'!C19="Base Building",VLOOKUP(C291,'Points Table'!E7:F27,2,1),"Please nominate scope of emissions in the Building Details Tab")))</t>
  </si>
  <si>
    <t>=IF('15C Building Details'!C19="Whole Building",VLOOKUP('15C Calculation'!C291,'Points Table'!B7:C30,2,1),VLOOKUP(C291,'Points Table'!E7:F27,2,1))</t>
  </si>
  <si>
    <t>Amended formula to ensure project teams select the Green Star rating targeted for the project</t>
  </si>
  <si>
    <t>Version 1.2, Release 7</t>
  </si>
  <si>
    <t>TC</t>
  </si>
  <si>
    <t>A62</t>
  </si>
  <si>
    <t>2019 Emission Factors</t>
  </si>
  <si>
    <t>Replacing 2018 emission factors with 2019 and updating 2019 to 2020 emission factors</t>
  </si>
  <si>
    <t>K66</t>
  </si>
  <si>
    <t>NGA Factors - August 2019; Table 2</t>
  </si>
  <si>
    <t>NGER Determination 2018; Schedule 1 - Part 2</t>
  </si>
  <si>
    <t>Replacing 2018 Scope 1 emission factors with 2019 (most values were the same between the 2 years) for fuel combusted</t>
  </si>
  <si>
    <t>H67</t>
  </si>
  <si>
    <t>K67</t>
  </si>
  <si>
    <t>NGA Factors - August 2019; Table 3</t>
  </si>
  <si>
    <t>NGER Determination 2018; Schedule 1 - Part 3</t>
  </si>
  <si>
    <t>K68</t>
  </si>
  <si>
    <t>NGER Determination 2018; Schedule 1 - Part 4, Division 4.2</t>
  </si>
  <si>
    <t>K69</t>
  </si>
  <si>
    <t>K70</t>
  </si>
  <si>
    <t>NGA Factors - August 2019; Table 1</t>
  </si>
  <si>
    <t>NGER Determination 2018; Schedule 1 - Part 1</t>
  </si>
  <si>
    <t>K71</t>
  </si>
  <si>
    <t>M67</t>
  </si>
  <si>
    <t>NGA Factors - August 2019; Table 43</t>
  </si>
  <si>
    <t>NGA factors 2018, Table 40</t>
  </si>
  <si>
    <t>Replacing 2018 Scope 3 emission factors with 2019 (values were the same between the 2 years) for fuel combusted</t>
  </si>
  <si>
    <t>M68</t>
  </si>
  <si>
    <t>M69</t>
  </si>
  <si>
    <t>M70</t>
  </si>
  <si>
    <t>NGA Factors - August 2019; Table 40</t>
  </si>
  <si>
    <t>NGA factors 2018, Table 37</t>
  </si>
  <si>
    <t>M71</t>
  </si>
  <si>
    <t>G77</t>
  </si>
  <si>
    <t>Replacing 2018 Scope 1 emission factors with 2019 (most values were the same between the 2 years) for purchased electricity</t>
  </si>
  <si>
    <t>K77</t>
  </si>
  <si>
    <t>NGA Factors - August 2019; Table 5</t>
  </si>
  <si>
    <t>NGER Determination 2018; Schedule 1 - Part 6</t>
  </si>
  <si>
    <t>G78</t>
  </si>
  <si>
    <t>K78</t>
  </si>
  <si>
    <t>G79</t>
  </si>
  <si>
    <t>K79</t>
  </si>
  <si>
    <t>G80</t>
  </si>
  <si>
    <t>K80</t>
  </si>
  <si>
    <t>G81</t>
  </si>
  <si>
    <t>K81</t>
  </si>
  <si>
    <t>G82</t>
  </si>
  <si>
    <t>K82</t>
  </si>
  <si>
    <t>G83</t>
  </si>
  <si>
    <t>K83</t>
  </si>
  <si>
    <t>G84</t>
  </si>
  <si>
    <t>K84</t>
  </si>
  <si>
    <t>G85</t>
  </si>
  <si>
    <t>K85</t>
  </si>
  <si>
    <t>G86</t>
  </si>
  <si>
    <t>K86</t>
  </si>
  <si>
    <t>L77</t>
  </si>
  <si>
    <t>Replacing 2018 Scope 3 emission factors with 2019 for purchased electricity</t>
  </si>
  <si>
    <t>M77</t>
  </si>
  <si>
    <t>NGA Factors - August 2019; Table 49</t>
  </si>
  <si>
    <t>NGA factors 2018, Appendix 5</t>
  </si>
  <si>
    <t>L78</t>
  </si>
  <si>
    <t>M78</t>
  </si>
  <si>
    <t>L79</t>
  </si>
  <si>
    <t>M79</t>
  </si>
  <si>
    <t>L80</t>
  </si>
  <si>
    <t>M80</t>
  </si>
  <si>
    <t>L81</t>
  </si>
  <si>
    <t>M81</t>
  </si>
  <si>
    <t>L82</t>
  </si>
  <si>
    <t>M82</t>
  </si>
  <si>
    <t>L85</t>
  </si>
  <si>
    <t>M85</t>
  </si>
  <si>
    <t>L86</t>
  </si>
  <si>
    <t>M86</t>
  </si>
  <si>
    <t>B107</t>
  </si>
  <si>
    <t>NA</t>
  </si>
  <si>
    <t>na</t>
  </si>
  <si>
    <t>Replacing 2018 Scope 3 emission factors with 2019 (values were the same between the 2 years) for natural gas</t>
  </si>
  <si>
    <t>B108</t>
  </si>
  <si>
    <t>B109</t>
  </si>
  <si>
    <t>C95</t>
  </si>
  <si>
    <t>NGA Factors - August 2019; Table 41</t>
  </si>
  <si>
    <t>NGA Factors 2018; Table 38</t>
  </si>
  <si>
    <t>K5</t>
  </si>
  <si>
    <t>NGA Factors - October 2020; Table 2</t>
  </si>
  <si>
    <t>Replacing 2019 Scope 1 emission factors with 2020 (most values were the same between the 2 years) for fuel combusted</t>
  </si>
  <si>
    <t>H6</t>
  </si>
  <si>
    <t>K6</t>
  </si>
  <si>
    <t>NGA Factors - October 2020; Table 3</t>
  </si>
  <si>
    <t>K7</t>
  </si>
  <si>
    <t>K8</t>
  </si>
  <si>
    <t>H9</t>
  </si>
  <si>
    <t>K9</t>
  </si>
  <si>
    <t>NGA Factors - October 2020; Table 1</t>
  </si>
  <si>
    <t>H10</t>
  </si>
  <si>
    <t>K10</t>
  </si>
  <si>
    <t>M6</t>
  </si>
  <si>
    <t>NGA Factors - October 2020; Table 43</t>
  </si>
  <si>
    <t>Replacing 2019 Scope 3 emission factors with 2020 (values were the same between the 2 years) for fuel combusted</t>
  </si>
  <si>
    <t>NGA Factors - October 2020; Table 40</t>
  </si>
  <si>
    <t>K27</t>
  </si>
  <si>
    <t>NGA Factors - October 2020; Table 5</t>
  </si>
  <si>
    <t>Replacing 2019 Scope 1 emission factors with 2020 for purchased electricity</t>
  </si>
  <si>
    <t>K28</t>
  </si>
  <si>
    <t>G29</t>
  </si>
  <si>
    <t>K29</t>
  </si>
  <si>
    <t>K30</t>
  </si>
  <si>
    <t>G31</t>
  </si>
  <si>
    <t>K31</t>
  </si>
  <si>
    <t>G32</t>
  </si>
  <si>
    <t>K32</t>
  </si>
  <si>
    <t>K33</t>
  </si>
  <si>
    <t>G34</t>
  </si>
  <si>
    <t>K34</t>
  </si>
  <si>
    <t>G35</t>
  </si>
  <si>
    <t>K35</t>
  </si>
  <si>
    <t>G36</t>
  </si>
  <si>
    <t>K36</t>
  </si>
  <si>
    <t>L27</t>
  </si>
  <si>
    <t>Replacing 2019 Scope 3 emission factors with 2020 (some values were the same between the 2 years) for purchased electricity</t>
  </si>
  <si>
    <t>M27</t>
  </si>
  <si>
    <t>NGA Factors - October 2020; Table 44</t>
  </si>
  <si>
    <t>L28</t>
  </si>
  <si>
    <t>M28</t>
  </si>
  <si>
    <t>M29</t>
  </si>
  <si>
    <t>M30</t>
  </si>
  <si>
    <t>L31</t>
  </si>
  <si>
    <t>M31</t>
  </si>
  <si>
    <t>L32</t>
  </si>
  <si>
    <t>M32</t>
  </si>
  <si>
    <t>L35</t>
  </si>
  <si>
    <t>M35</t>
  </si>
  <si>
    <t>L36</t>
  </si>
  <si>
    <t>M36</t>
  </si>
  <si>
    <t>B45</t>
  </si>
  <si>
    <t>Replacing 2019 Scope 3 emission factors with 2020 for natural gas</t>
  </si>
  <si>
    <t>B46</t>
  </si>
  <si>
    <t>B47</t>
  </si>
  <si>
    <t>B48</t>
  </si>
  <si>
    <t>B50</t>
  </si>
  <si>
    <t>B51</t>
  </si>
  <si>
    <t>B52</t>
  </si>
  <si>
    <t>B53</t>
  </si>
  <si>
    <t>B54</t>
  </si>
  <si>
    <t>B58</t>
  </si>
  <si>
    <t>B59</t>
  </si>
  <si>
    <t>B60</t>
  </si>
  <si>
    <t>C45</t>
  </si>
  <si>
    <t>NGA Factors - October 2020; Table 41</t>
  </si>
  <si>
    <t>B8</t>
  </si>
  <si>
    <t>Please enter the project (asset) Green Star number.</t>
  </si>
  <si>
    <t>Please enter the project's Green Star number.</t>
  </si>
  <si>
    <t>Update wording so that project teams don't enter the portfolio GS number</t>
  </si>
  <si>
    <t>A8</t>
  </si>
  <si>
    <t>Project (asset) Green Star number</t>
  </si>
  <si>
    <t>'299:300</t>
  </si>
  <si>
    <t>Updating calculation of Percentage of Engaged Tenant Area (%) to be a ratio of total tenant area instead of total building area</t>
  </si>
  <si>
    <t>B299</t>
  </si>
  <si>
    <t>Please enter the total area of all tenants</t>
  </si>
  <si>
    <t>D338</t>
  </si>
  <si>
    <t>'=IFERROR(D337/D299,0)</t>
  </si>
  <si>
    <t>'=IFERROR(D337/C11,0)</t>
  </si>
  <si>
    <t>Version 1.2, Release 8</t>
  </si>
  <si>
    <t>G121:G146, G168:G193</t>
  </si>
  <si>
    <t>=IF(ISBLANK(D121),"",E121-D121+1)</t>
  </si>
  <si>
    <t>Formulas were missing to calculate the days in billed period</t>
  </si>
  <si>
    <t>C11</t>
  </si>
  <si>
    <t>='15C Building Details'!H13</t>
  </si>
  <si>
    <t>='15C Building Details'!D60</t>
  </si>
  <si>
    <t>Was referencing the wrong cell for the size of the building</t>
  </si>
  <si>
    <t>Entire sheet</t>
  </si>
  <si>
    <t>The entire sheet has been redone so that NGA factors can be updated more easily and a larger history of records is kept (as per previous work done on 15B calculator)</t>
  </si>
  <si>
    <t>Amended all formulas that refer to the NGER Emission Factors sheet</t>
  </si>
  <si>
    <t>Version 1.2, Release 9 NZ</t>
  </si>
  <si>
    <t>Miscoded rev number</t>
  </si>
  <si>
    <t>Miscoded rev number by GBCA. This version was received from GBCA who fixed some issues with this calculator.</t>
  </si>
  <si>
    <t>Version 1.2, Release 10 NZ</t>
  </si>
  <si>
    <t>BS</t>
  </si>
  <si>
    <t>Minor edits and emission factor change</t>
  </si>
  <si>
    <t>Row 82 and 83</t>
  </si>
  <si>
    <t>NGER Emission Factors, Purchased electricity consumption</t>
  </si>
  <si>
    <t xml:space="preserve">n/a added a new row </t>
  </si>
  <si>
    <t>Correcting filename and revision number. Also looked up and linked the NZ emission factors for year 2022 to years 2023 &amp; 2024</t>
  </si>
  <si>
    <t>15C PEER GROUP OF COMPARABLE BUILDINGS</t>
  </si>
  <si>
    <t>Building Details - Input</t>
  </si>
  <si>
    <t>Period</t>
  </si>
  <si>
    <t>Performance Period</t>
  </si>
  <si>
    <t>Start date</t>
  </si>
  <si>
    <t>End date</t>
  </si>
  <si>
    <t>Street Address</t>
  </si>
  <si>
    <t>Emission Factors</t>
  </si>
  <si>
    <t>City or Suburb</t>
  </si>
  <si>
    <t>PostCode</t>
  </si>
  <si>
    <t>State / territory</t>
  </si>
  <si>
    <t>Metro / Non-metro</t>
  </si>
  <si>
    <t>Cooling degree days</t>
  </si>
  <si>
    <t>Heating degree days</t>
  </si>
  <si>
    <t>Primary building use</t>
  </si>
  <si>
    <t xml:space="preserve">Building Type selected according to pre-defined list of available building types. </t>
  </si>
  <si>
    <t>Industry</t>
  </si>
  <si>
    <t>Define Primary Use of Building - Require evidence to be submitted along with rating application to prove primary use of building (floor plans, lease documents?)</t>
  </si>
  <si>
    <t>Building description</t>
  </si>
  <si>
    <t>Principal building types are classified according to the commercial activities, which are types of business, commerce, or function carried on within each building'</t>
  </si>
  <si>
    <t>Scope of Emissions Captured in this analysis</t>
  </si>
  <si>
    <t>Please define whether emissions for the whole building or just the base building have been captured in this analysis. Note: the scope of emissions selected must be aligned with the benchmark for space use type selected in 15C Baseline Tables</t>
  </si>
  <si>
    <t>Electricity Network</t>
  </si>
  <si>
    <t>NZ</t>
  </si>
  <si>
    <t>Total Emissions Summary (Not Normalised)</t>
  </si>
  <si>
    <t>Energy consumption (GJ)</t>
  </si>
  <si>
    <r>
      <t>Total emissions (</t>
    </r>
    <r>
      <rPr>
        <b/>
        <sz val="10"/>
        <color theme="0"/>
        <rFont val="Arial"/>
        <family val="2"/>
      </rPr>
      <t>kg.CO</t>
    </r>
    <r>
      <rPr>
        <b/>
        <vertAlign val="subscript"/>
        <sz val="8"/>
        <color theme="0"/>
        <rFont val="Arial"/>
        <family val="2"/>
      </rPr>
      <t>2</t>
    </r>
    <r>
      <rPr>
        <b/>
        <sz val="8"/>
        <color theme="0"/>
        <rFont val="Arial"/>
        <family val="2"/>
      </rPr>
      <t>-e p.a.)</t>
    </r>
  </si>
  <si>
    <t>TOTAL</t>
  </si>
  <si>
    <t>Operational Variables Summary</t>
  </si>
  <si>
    <t>Operating variable</t>
  </si>
  <si>
    <t>Value</t>
  </si>
  <si>
    <t>Adjusted Area</t>
  </si>
  <si>
    <t>Adjusted Hours</t>
  </si>
  <si>
    <t>Operational variables - Input Data</t>
  </si>
  <si>
    <t>Building Details*</t>
  </si>
  <si>
    <t>Description*</t>
  </si>
  <si>
    <r>
      <t>Area (m</t>
    </r>
    <r>
      <rPr>
        <b/>
        <vertAlign val="superscript"/>
        <sz val="10"/>
        <color theme="8"/>
        <rFont val="Arial"/>
        <family val="2"/>
      </rPr>
      <t>2</t>
    </r>
    <r>
      <rPr>
        <b/>
        <sz val="10"/>
        <color theme="8"/>
        <rFont val="Arial"/>
        <family val="2"/>
      </rPr>
      <t>)*</t>
    </r>
  </si>
  <si>
    <t>Hours of operation (hours / week)*</t>
  </si>
  <si>
    <t>Operational Variable 1</t>
  </si>
  <si>
    <t>Operational Variable 2</t>
  </si>
  <si>
    <t>Operational Variable 3</t>
  </si>
  <si>
    <t>Duration of operation within performance period (days)*</t>
  </si>
  <si>
    <t>Functional space 1</t>
  </si>
  <si>
    <t>Functional space 2</t>
  </si>
  <si>
    <t>Functional space 3</t>
  </si>
  <si>
    <t>Functional space 4</t>
  </si>
  <si>
    <t>Functional space 5</t>
  </si>
  <si>
    <t>Functional space 6</t>
  </si>
  <si>
    <t>Functional space 7</t>
  </si>
  <si>
    <t>Functional space 8</t>
  </si>
  <si>
    <t>Functional space 9</t>
  </si>
  <si>
    <t>Functional space 10</t>
  </si>
  <si>
    <t>Functional space 11</t>
  </si>
  <si>
    <t>Functional space 12</t>
  </si>
  <si>
    <t>Functional space 13</t>
  </si>
  <si>
    <t>Functional space 14</t>
  </si>
  <si>
    <t>Functional space 15</t>
  </si>
  <si>
    <r>
      <t xml:space="preserve">Adjusted </t>
    </r>
    <r>
      <rPr>
        <b/>
        <sz val="10"/>
        <color theme="8"/>
        <rFont val="Arial"/>
        <family val="2"/>
      </rPr>
      <t>area (m</t>
    </r>
    <r>
      <rPr>
        <b/>
        <vertAlign val="superscript"/>
        <sz val="10"/>
        <color theme="8"/>
        <rFont val="Arial"/>
        <family val="2"/>
      </rPr>
      <t>2</t>
    </r>
    <r>
      <rPr>
        <b/>
        <sz val="10"/>
        <color theme="8"/>
        <rFont val="Arial"/>
        <family val="2"/>
      </rPr>
      <t>)</t>
    </r>
  </si>
  <si>
    <t>Adjusted hours (hours / week)</t>
  </si>
  <si>
    <t>* Columns above listed with an asterisk must be completed for all functional spaces in the building</t>
  </si>
  <si>
    <t>Historical Billing Data - Input Data</t>
  </si>
  <si>
    <t>Source Item 1</t>
  </si>
  <si>
    <t>Source Item 2</t>
  </si>
  <si>
    <t>GreenPower</t>
  </si>
  <si>
    <t>Source Item 3</t>
  </si>
  <si>
    <t>Natural gas distributed in a pipeline</t>
  </si>
  <si>
    <t>Source Item 4</t>
  </si>
  <si>
    <t>Liquefied petroleum gas</t>
  </si>
  <si>
    <t>Source Item 5</t>
  </si>
  <si>
    <t>Diesel Oil</t>
  </si>
  <si>
    <t>Source Item 6</t>
  </si>
  <si>
    <t>Bituminous coal</t>
  </si>
  <si>
    <t>Source Item 7</t>
  </si>
  <si>
    <t>Renewable Energy Source</t>
  </si>
  <si>
    <t>Start of metered period</t>
  </si>
  <si>
    <t>End of metered period</t>
  </si>
  <si>
    <t>Produced Amount</t>
  </si>
  <si>
    <t>Renewable electricity purchased directly from a generator / retailer through a PPA or contract</t>
  </si>
  <si>
    <t>Electricity Purchased</t>
  </si>
  <si>
    <t>Emission Factor</t>
  </si>
  <si>
    <t>The GBCA notes that renewable electricity purchased directly from a generator/retailer through a PPA or contract must also provide evidence that the LGC's are provided to the user AND retired by the user.
Where LGC's are surrendered by the renewable energy provider, evidence must be provided that the surrender is allocated uniquely to the user</t>
  </si>
  <si>
    <t>E.g.  Carbon neutral 10% of electricity supply</t>
  </si>
  <si>
    <t>COMPARABLE BUILDING 1</t>
  </si>
  <si>
    <t>Year 1</t>
  </si>
  <si>
    <t>Year 2</t>
  </si>
  <si>
    <t>Year 3</t>
  </si>
  <si>
    <t>Baseline period start date</t>
  </si>
  <si>
    <t>Baseline period end date</t>
  </si>
  <si>
    <r>
      <t>Gross building area (m</t>
    </r>
    <r>
      <rPr>
        <vertAlign val="superscript"/>
        <sz val="10"/>
        <rFont val="Arial"/>
        <family val="2"/>
      </rPr>
      <t>2</t>
    </r>
    <r>
      <rPr>
        <sz val="10"/>
        <rFont val="Arial"/>
        <family val="2"/>
      </rPr>
      <t>)</t>
    </r>
  </si>
  <si>
    <t>Principal building types are classified according to the commercial activities, which are types of business, commerce, or function carried on within each building</t>
  </si>
  <si>
    <r>
      <t>Total emissions (</t>
    </r>
    <r>
      <rPr>
        <b/>
        <sz val="10"/>
        <color theme="8"/>
        <rFont val="Arial"/>
        <family val="2"/>
      </rPr>
      <t>kg.CO</t>
    </r>
    <r>
      <rPr>
        <b/>
        <vertAlign val="subscript"/>
        <sz val="8"/>
        <color theme="8"/>
        <rFont val="Arial"/>
        <family val="2"/>
      </rPr>
      <t>2</t>
    </r>
    <r>
      <rPr>
        <b/>
        <sz val="8"/>
        <color theme="8"/>
        <rFont val="Arial"/>
        <family val="2"/>
      </rPr>
      <t>-e p.a.)</t>
    </r>
  </si>
  <si>
    <t>Operational Variables</t>
  </si>
  <si>
    <t>Description</t>
  </si>
  <si>
    <r>
      <t>Area (m</t>
    </r>
    <r>
      <rPr>
        <b/>
        <vertAlign val="superscript"/>
        <sz val="10"/>
        <color theme="8"/>
        <rFont val="Arial"/>
        <family val="2"/>
      </rPr>
      <t>2</t>
    </r>
    <r>
      <rPr>
        <b/>
        <sz val="10"/>
        <color theme="8"/>
        <rFont val="Arial"/>
        <family val="2"/>
      </rPr>
      <t>)</t>
    </r>
  </si>
  <si>
    <t>Typical hours of operation (hours / week)</t>
  </si>
  <si>
    <t>Supporting evidence</t>
  </si>
  <si>
    <t>Duration of occupation within performance period</t>
  </si>
  <si>
    <t>Energy in performance period Year 1 (GJ)</t>
  </si>
  <si>
    <t>Energy in performance period Year 2 (GJ)</t>
  </si>
  <si>
    <t>Energy in performance period Year 3 (GJ)</t>
  </si>
  <si>
    <t>LPG</t>
  </si>
  <si>
    <t>Black Coal</t>
  </si>
  <si>
    <t>COMPARABLE BUILDING 2</t>
  </si>
  <si>
    <t>COMPARABLE BUILDING 3</t>
  </si>
  <si>
    <r>
      <t>Gross building area (m</t>
    </r>
    <r>
      <rPr>
        <vertAlign val="superscript"/>
        <sz val="10"/>
        <color theme="8"/>
        <rFont val="Arial"/>
        <family val="2"/>
      </rPr>
      <t>2</t>
    </r>
    <r>
      <rPr>
        <sz val="10"/>
        <color theme="8"/>
        <rFont val="Arial"/>
        <family val="2"/>
      </rPr>
      <t>)</t>
    </r>
  </si>
  <si>
    <t>15C PEER GROUP OF COMPARABLE BUILDINGS - CALCULATION</t>
  </si>
  <si>
    <t>Step 1 - Peer Group Selection</t>
  </si>
  <si>
    <t>Qualitative Analysis of prospective peer group buildings</t>
  </si>
  <si>
    <t>Building Characteristics</t>
  </si>
  <si>
    <t>Rated Building</t>
  </si>
  <si>
    <t>Comparable Building 1</t>
  </si>
  <si>
    <t>Comparable Building 2</t>
  </si>
  <si>
    <t>Comparable Building 3</t>
  </si>
  <si>
    <t>Size (m2)</t>
  </si>
  <si>
    <t>State / Territory</t>
  </si>
  <si>
    <t>Metro / Non-Metro</t>
  </si>
  <si>
    <t>Building Type</t>
  </si>
  <si>
    <t>Building End Use Services</t>
  </si>
  <si>
    <t>Services in use?</t>
  </si>
  <si>
    <t>Space Cooling</t>
  </si>
  <si>
    <t>Lighting</t>
  </si>
  <si>
    <t>Total Equipment</t>
  </si>
  <si>
    <t>Domestic Hot Water</t>
  </si>
  <si>
    <t>Other Electrical Processes</t>
  </si>
  <si>
    <t>Ventilation</t>
  </si>
  <si>
    <t>Data Availability</t>
  </si>
  <si>
    <t>YES</t>
  </si>
  <si>
    <t>Chosen buildings for Peer Group</t>
  </si>
  <si>
    <t>Step 2 - Gather Historical Energy and Activity Data for the Rated and Peer Group Buildings</t>
  </si>
  <si>
    <t>Note: GreenPower is input as a separate energy source but is combined with electricity for subsequent normalisation calculations.</t>
  </si>
  <si>
    <t>Energy Consumption (GJ)</t>
  </si>
  <si>
    <t>TOTAL INTENSITY (GJ/m2)</t>
  </si>
  <si>
    <t>% Green Power</t>
  </si>
  <si>
    <t>Annualised Data for Operating Variables</t>
  </si>
  <si>
    <t>Scaling Factors</t>
  </si>
  <si>
    <t>Step 3 - Obtain end use break up for each energy source</t>
  </si>
  <si>
    <t>End Use Breakup</t>
  </si>
  <si>
    <t>End Use</t>
  </si>
  <si>
    <t>Natural Gas</t>
  </si>
  <si>
    <t>Space Heating</t>
  </si>
  <si>
    <t>Pool Heating</t>
  </si>
  <si>
    <t>Gas Fired Co-Gen Plant</t>
  </si>
  <si>
    <t>Commercial Kitchen</t>
  </si>
  <si>
    <t>Other gas</t>
  </si>
  <si>
    <t>Step 4 - Determine End Use Adjustments</t>
  </si>
  <si>
    <t>Determine End Use adjustments for each energy source and end use</t>
  </si>
  <si>
    <t>End Use Adjustments (GJ)</t>
  </si>
  <si>
    <t>TOTAL ADJUSTMENTS (GJ)</t>
  </si>
  <si>
    <t>ADJUSTED TOTAL (GJ)</t>
  </si>
  <si>
    <t>Combine End Use adjustments into total adjusted energy consumption</t>
  </si>
  <si>
    <t>Adjusted Energy Consumption (GJ)</t>
  </si>
  <si>
    <t>TOTAL INTENSITY (MJ/m2)</t>
  </si>
  <si>
    <t>Determine Adjusted End Use breakups for each energy source</t>
  </si>
  <si>
    <t>Adjusted End Use Breakup</t>
  </si>
  <si>
    <t>Step 5 - Qualitatively map operational variables with energy end uses</t>
  </si>
  <si>
    <t>Qualitative Analysis to develop End Use vs Operating Variables Relationship Matrix</t>
  </si>
  <si>
    <t>Step 6 - Determine End Use Adjustment factors and Building Adjustment Factors</t>
  </si>
  <si>
    <t>End Use Adjustment Factors</t>
  </si>
  <si>
    <t>Building Adjustment Factor</t>
  </si>
  <si>
    <t>Step 7 - Calculate normalised energy and emissions</t>
  </si>
  <si>
    <t>Normalised Energy consumption (GJ)</t>
  </si>
  <si>
    <t>NORMALISED ENERGY (GJ)</t>
  </si>
  <si>
    <t>NORMALISED AREA (m2)</t>
  </si>
  <si>
    <t>NORMALISED ENERGY INTENSITY (MJ)/m2</t>
  </si>
  <si>
    <t>Step 8 - Compare performance against baseline and determine Credit Points</t>
  </si>
  <si>
    <t>Baseline Period</t>
  </si>
  <si>
    <r>
      <t>Baseline Emissions Intensity (kG CO</t>
    </r>
    <r>
      <rPr>
        <b/>
        <vertAlign val="subscript"/>
        <sz val="10"/>
        <color theme="0"/>
        <rFont val="Arial"/>
        <family val="2"/>
      </rPr>
      <t>2</t>
    </r>
    <r>
      <rPr>
        <b/>
        <sz val="10"/>
        <color theme="0"/>
        <rFont val="Arial"/>
        <family val="2"/>
      </rPr>
      <t>-e/m</t>
    </r>
    <r>
      <rPr>
        <b/>
        <vertAlign val="superscript"/>
        <sz val="10"/>
        <color theme="0"/>
        <rFont val="Arial"/>
        <family val="2"/>
      </rPr>
      <t>2</t>
    </r>
    <r>
      <rPr>
        <b/>
        <sz val="10"/>
        <color theme="0"/>
        <rFont val="Arial"/>
        <family val="2"/>
      </rPr>
      <t>)</t>
    </r>
  </si>
  <si>
    <t>Average performer</t>
  </si>
  <si>
    <t>Increment</t>
  </si>
  <si>
    <t>Minimum performer</t>
  </si>
  <si>
    <t>Greenhouse Gas Emissions with GreenPower,Purchased Renewable electricity,Carbon Neutral Electricity (kg.CO2-e/m2)</t>
  </si>
  <si>
    <r>
      <t>Greenhouse Gas Emissions Performance without GreenPower,Purchased Renewable electricity,Carbon Neutral Electricity (kg.CO</t>
    </r>
    <r>
      <rPr>
        <b/>
        <vertAlign val="subscript"/>
        <sz val="8"/>
        <color theme="2"/>
        <rFont val="Arial"/>
        <family val="2"/>
      </rPr>
      <t>2</t>
    </r>
    <r>
      <rPr>
        <b/>
        <sz val="8"/>
        <color theme="2"/>
        <rFont val="Arial"/>
        <family val="2"/>
      </rPr>
      <t>-e/m2)</t>
    </r>
  </si>
  <si>
    <t>Building to be rated</t>
  </si>
  <si>
    <t>Improvement over Minimum Performer</t>
  </si>
  <si>
    <t>Improvement over Average Performer</t>
  </si>
  <si>
    <t>Requirement For Best Practice Rating Achieved?</t>
  </si>
  <si>
    <t>Total Points Awarded</t>
  </si>
  <si>
    <t>Step 9 - Tenant Engagement - Input Data (where a emission for the building is Base Building only)</t>
  </si>
  <si>
    <t>Tenant 1</t>
  </si>
  <si>
    <t>Tenant Engagement Pathway</t>
  </si>
  <si>
    <t>See 15.0.4 for details on theTenant Engagement Pathway</t>
  </si>
  <si>
    <t>Tenant name</t>
  </si>
  <si>
    <t>Area (m2)</t>
  </si>
  <si>
    <t>Space use or type</t>
  </si>
  <si>
    <t>Hours of Operation</t>
  </si>
  <si>
    <t>Tenant 2</t>
  </si>
  <si>
    <t>Tenant 3</t>
  </si>
  <si>
    <t>Tenant 4</t>
  </si>
  <si>
    <t>Tenant 5</t>
  </si>
  <si>
    <r>
      <t>Total engaged tenanted area  (m</t>
    </r>
    <r>
      <rPr>
        <b/>
        <vertAlign val="superscript"/>
        <sz val="10"/>
        <color theme="1"/>
        <rFont val="Arial"/>
        <family val="2"/>
      </rPr>
      <t>2</t>
    </r>
    <r>
      <rPr>
        <b/>
        <sz val="10"/>
        <color theme="1"/>
        <rFont val="Arial"/>
        <family val="2"/>
      </rPr>
      <t>)</t>
    </r>
  </si>
  <si>
    <t>Percentage of Engaged Tenant Area (%)</t>
  </si>
  <si>
    <t>Points Allocation</t>
  </si>
  <si>
    <t>Points</t>
  </si>
  <si>
    <t>Tenant Engagement</t>
  </si>
  <si>
    <t>Please contact your Technical Coordinator if more cells area required.</t>
  </si>
  <si>
    <t>Decision box</t>
  </si>
  <si>
    <t>True?</t>
  </si>
  <si>
    <t>% FF</t>
  </si>
  <si>
    <t>E118</t>
  </si>
  <si>
    <t>F118</t>
  </si>
  <si>
    <t>G118</t>
  </si>
  <si>
    <t>Total Electricity Consumption (including GreenPower) (GJ)</t>
  </si>
  <si>
    <t>%FF=0</t>
  </si>
  <si>
    <t>Fossil Fuel use (GJ)</t>
  </si>
  <si>
    <t>0&lt;%FF&lt;=1</t>
  </si>
  <si>
    <t>Are there commercial alternatives to fossil fuel use on site?</t>
  </si>
  <si>
    <t>Yes OR ""</t>
  </si>
  <si>
    <t>Onsite Renewable Energy (GJ)</t>
  </si>
  <si>
    <t>No</t>
  </si>
  <si>
    <t>Have offsets equal to these emissions been purchased &amp; retired?</t>
  </si>
  <si>
    <t>Percentage of fossil fuels used on site</t>
  </si>
  <si>
    <t>Yes</t>
  </si>
  <si>
    <t>1&lt;%FF&lt;=5</t>
  </si>
  <si>
    <t>Has a public commitment to transition been made?</t>
  </si>
  <si>
    <t>Percentage of Onsite Renewable Electricity</t>
  </si>
  <si>
    <t>No OR ""</t>
  </si>
  <si>
    <t>Percentage of Total Renewable Electricity</t>
  </si>
  <si>
    <t>%FF&gt;5</t>
  </si>
  <si>
    <t>Powered By Renewables Innovation Challenge</t>
  </si>
  <si>
    <t>Has the Building manager publicly commit to maintaining a Green Star – Performance rating for two certification cycles or 6 years from initial certification</t>
  </si>
  <si>
    <t>Energy Efficiency requirement achieved?</t>
  </si>
  <si>
    <t>Fuel Switching requirement achieved?</t>
  </si>
  <si>
    <t>100% Renewable electricity requirement</t>
  </si>
  <si>
    <t>Refer to Appendix B of the Renewables and Offsets in Green Star Guide for details on accepted methods of renewable energy</t>
  </si>
  <si>
    <t>Powered By Renewables Points Awarded</t>
  </si>
  <si>
    <t>Onsite renewables Innovation Points Awarded</t>
  </si>
  <si>
    <t>Percentage of onsite renewable energy</t>
  </si>
  <si>
    <t>Points available</t>
  </si>
  <si>
    <t>=/&gt;</t>
  </si>
  <si>
    <t>1 point</t>
  </si>
  <si>
    <t>&gt;</t>
  </si>
  <si>
    <t>2 points</t>
  </si>
  <si>
    <t>Climate Active Carbon Neutral Standard for Buildings Summary</t>
  </si>
  <si>
    <r>
      <t>Gross building area (m</t>
    </r>
    <r>
      <rPr>
        <vertAlign val="superscript"/>
        <sz val="10"/>
        <rFont val="Arial"/>
        <family val="2"/>
        <scheme val="minor"/>
      </rPr>
      <t>2</t>
    </r>
    <r>
      <rPr>
        <sz val="10"/>
        <rFont val="Arial"/>
        <family val="2"/>
        <scheme val="minor"/>
      </rPr>
      <t>)</t>
    </r>
  </si>
  <si>
    <t>Scope of Emissions Captured in this anlaysis</t>
  </si>
  <si>
    <t>Please define whether emissions for the whole building or just the base building have been captured in this analysis. Note: the scope of emissions selected must be aligned with the benchmark for space use type selected in 15B Baseline Tables</t>
  </si>
  <si>
    <t xml:space="preserve">Electricity Network </t>
  </si>
  <si>
    <t>Scope 1 &amp; 2 Emissions</t>
  </si>
  <si>
    <t xml:space="preserve">Scope </t>
  </si>
  <si>
    <t>Greenhouse Gs Emissions (t CO2-e p.a)</t>
  </si>
  <si>
    <t>Total LGCs generated onsite and NOT surrendered ( t CO2-e)</t>
  </si>
  <si>
    <t>Total Offset units retired (t CO2-e)</t>
  </si>
  <si>
    <t>TOTAL GREENHOUSE GAS EMISSIONS associated with energy consumption ( t CO2-e)</t>
  </si>
  <si>
    <t>LGCs generated onsite and NOT surrendered</t>
  </si>
  <si>
    <t>Quantity (MWh)
1 LGC = 1MWh</t>
  </si>
  <si>
    <t>Quantity (GJ)</t>
  </si>
  <si>
    <t xml:space="preserve">t CO2 –e </t>
  </si>
  <si>
    <t>Total Emissions not surrendered</t>
  </si>
  <si>
    <t>Offsets retired</t>
  </si>
  <si>
    <t>t CO2-e</t>
  </si>
  <si>
    <t>Include details of registry and type of offset unit. Provide enough information to allow readers to identify offsets used to maintain carbon neutral status. Include details on scheme and type of project e.g. Gold Standard VERs from XXX wind power project, Markit registry. 
Note: Include offset retirements that relate to the current reporting period. Identify any offset batches that also contain offsets used for purposes outside the Climate Active Carbon Neutral Standard for Buildings.</t>
  </si>
  <si>
    <t>Total offset units retired</t>
  </si>
  <si>
    <t>Fuel combustion &amp; consumption</t>
  </si>
  <si>
    <t>Fuel combusted</t>
  </si>
  <si>
    <t>Year</t>
  </si>
  <si>
    <r>
      <t>Scope 1 emission factor (kg CO</t>
    </r>
    <r>
      <rPr>
        <b/>
        <vertAlign val="subscript"/>
        <sz val="12"/>
        <color theme="8"/>
        <rFont val="Arial"/>
        <family val="2"/>
        <scheme val="minor"/>
      </rPr>
      <t>2</t>
    </r>
    <r>
      <rPr>
        <b/>
        <sz val="12"/>
        <color theme="8"/>
        <rFont val="Arial"/>
        <family val="2"/>
        <scheme val="minor"/>
      </rPr>
      <t xml:space="preserve"> e/GJ)</t>
    </r>
  </si>
  <si>
    <r>
      <t>Total (kg CO</t>
    </r>
    <r>
      <rPr>
        <b/>
        <vertAlign val="subscript"/>
        <sz val="12"/>
        <color theme="8"/>
        <rFont val="Arial"/>
        <family val="2"/>
        <scheme val="minor"/>
      </rPr>
      <t>2</t>
    </r>
    <r>
      <rPr>
        <b/>
        <sz val="12"/>
        <color theme="8"/>
        <rFont val="Arial"/>
        <family val="2"/>
        <scheme val="minor"/>
      </rPr>
      <t xml:space="preserve"> e/GJ)</t>
    </r>
  </si>
  <si>
    <t>Source</t>
  </si>
  <si>
    <r>
      <t>Scope 3 emission factor
(kg CO</t>
    </r>
    <r>
      <rPr>
        <b/>
        <vertAlign val="subscript"/>
        <sz val="12"/>
        <color theme="8"/>
        <rFont val="Arial"/>
        <family val="2"/>
        <scheme val="minor"/>
      </rPr>
      <t>2</t>
    </r>
    <r>
      <rPr>
        <b/>
        <sz val="12"/>
        <color theme="8"/>
        <rFont val="Arial"/>
        <family val="2"/>
        <scheme val="minor"/>
      </rPr>
      <t xml:space="preserve"> e/GJ)</t>
    </r>
  </si>
  <si>
    <r>
      <t>CO</t>
    </r>
    <r>
      <rPr>
        <b/>
        <vertAlign val="subscript"/>
        <sz val="12"/>
        <color theme="8"/>
        <rFont val="Arial"/>
        <family val="2"/>
        <scheme val="minor"/>
      </rPr>
      <t>2</t>
    </r>
  </si>
  <si>
    <r>
      <t>CH</t>
    </r>
    <r>
      <rPr>
        <b/>
        <vertAlign val="subscript"/>
        <sz val="12"/>
        <color theme="8"/>
        <rFont val="Arial"/>
        <family val="2"/>
        <scheme val="minor"/>
      </rPr>
      <t>4</t>
    </r>
  </si>
  <si>
    <r>
      <t>N</t>
    </r>
    <r>
      <rPr>
        <b/>
        <vertAlign val="subscript"/>
        <sz val="12"/>
        <color theme="8"/>
        <rFont val="Arial"/>
        <family val="2"/>
        <scheme val="minor"/>
      </rPr>
      <t>2</t>
    </r>
    <r>
      <rPr>
        <b/>
        <sz val="12"/>
        <color theme="8"/>
        <rFont val="Arial"/>
        <family val="2"/>
        <scheme val="minor"/>
      </rPr>
      <t>0</t>
    </r>
  </si>
  <si>
    <t>Sub-bituminous coal</t>
  </si>
  <si>
    <t>See below</t>
  </si>
  <si>
    <t>Diesel oil</t>
  </si>
  <si>
    <t>Gasoline (other than for use as fuel in an aircraft)</t>
  </si>
  <si>
    <t>NGA Factors - August 2021; Table 1</t>
  </si>
  <si>
    <t>NGA Factors - August 2021; Table 42</t>
  </si>
  <si>
    <t>NGA Factors - August 2021; Table 2</t>
  </si>
  <si>
    <t>NGA Factors - August 2021; Table 3</t>
  </si>
  <si>
    <t>NGA Factors - August 2021; Table 45</t>
  </si>
  <si>
    <t>NGA Factors - November 2022; Table 2</t>
  </si>
  <si>
    <t>NGA Factors - November 2022; Table 3</t>
  </si>
  <si>
    <t>NGA Factors - November 2022; Table 6</t>
  </si>
  <si>
    <t>Fuel combustion &amp; consumption (New Zealand)</t>
  </si>
  <si>
    <r>
      <t>Scope 1 emission factor (kg CO</t>
    </r>
    <r>
      <rPr>
        <b/>
        <vertAlign val="subscript"/>
        <sz val="12"/>
        <color theme="8"/>
        <rFont val="Arial"/>
        <family val="2"/>
        <scheme val="minor"/>
      </rPr>
      <t>2</t>
    </r>
    <r>
      <rPr>
        <b/>
        <sz val="12"/>
        <color theme="8"/>
        <rFont val="Arial"/>
        <family val="2"/>
        <scheme val="minor"/>
      </rPr>
      <t>-e/GJ)</t>
    </r>
  </si>
  <si>
    <r>
      <t>Total 
(kg CO</t>
    </r>
    <r>
      <rPr>
        <b/>
        <vertAlign val="subscript"/>
        <sz val="12"/>
        <color theme="8"/>
        <rFont val="Arial"/>
        <family val="2"/>
        <scheme val="minor"/>
      </rPr>
      <t>2</t>
    </r>
    <r>
      <rPr>
        <b/>
        <sz val="12"/>
        <color theme="8"/>
        <rFont val="Arial"/>
        <family val="2"/>
        <scheme val="minor"/>
      </rPr>
      <t>-e/GJ)</t>
    </r>
  </si>
  <si>
    <t>Guidance for voluntary greenhouse gas reporting - 2016</t>
  </si>
  <si>
    <t>Purchased electricity consumption</t>
  </si>
  <si>
    <t>State or territory</t>
  </si>
  <si>
    <r>
      <t>Scope 2 EF 
(kg CO</t>
    </r>
    <r>
      <rPr>
        <b/>
        <vertAlign val="subscript"/>
        <sz val="12"/>
        <color theme="8"/>
        <rFont val="Arial"/>
        <family val="2"/>
        <scheme val="minor"/>
      </rPr>
      <t>2</t>
    </r>
    <r>
      <rPr>
        <b/>
        <sz val="12"/>
        <color theme="8"/>
        <rFont val="Arial"/>
        <family val="2"/>
        <scheme val="minor"/>
      </rPr>
      <t>-e/kWH)</t>
    </r>
  </si>
  <si>
    <r>
      <t>Scope 2 EF 
(kg CO</t>
    </r>
    <r>
      <rPr>
        <b/>
        <vertAlign val="subscript"/>
        <sz val="12"/>
        <color theme="8"/>
        <rFont val="Arial"/>
        <family val="2"/>
        <scheme val="minor"/>
      </rPr>
      <t>2</t>
    </r>
    <r>
      <rPr>
        <b/>
        <sz val="12"/>
        <color theme="8"/>
        <rFont val="Arial"/>
        <family val="2"/>
        <scheme val="minor"/>
      </rPr>
      <t>-e/GJ)</t>
    </r>
  </si>
  <si>
    <r>
      <t>Scope 3 EF 
(kg CO</t>
    </r>
    <r>
      <rPr>
        <b/>
        <vertAlign val="subscript"/>
        <sz val="12"/>
        <color theme="8"/>
        <rFont val="Arial"/>
        <family val="2"/>
        <scheme val="minor"/>
      </rPr>
      <t>2</t>
    </r>
    <r>
      <rPr>
        <b/>
        <sz val="12"/>
        <color theme="8"/>
        <rFont val="Arial"/>
        <family val="2"/>
        <scheme val="minor"/>
      </rPr>
      <t>-e/kWH)</t>
    </r>
  </si>
  <si>
    <r>
      <t>Scope 3 EF 
(kg CO</t>
    </r>
    <r>
      <rPr>
        <b/>
        <vertAlign val="subscript"/>
        <sz val="12"/>
        <color theme="8"/>
        <rFont val="Arial"/>
        <family val="2"/>
        <scheme val="minor"/>
      </rPr>
      <t>2</t>
    </r>
    <r>
      <rPr>
        <b/>
        <sz val="12"/>
        <color theme="8"/>
        <rFont val="Arial"/>
        <family val="2"/>
        <scheme val="minor"/>
      </rPr>
      <t>-e/GJ)</t>
    </r>
  </si>
  <si>
    <t>New South Wales</t>
  </si>
  <si>
    <t>Australian Capital Territory</t>
  </si>
  <si>
    <t>Victoria</t>
  </si>
  <si>
    <t>Queensland</t>
  </si>
  <si>
    <t>South Australia</t>
  </si>
  <si>
    <t>South West Interconnected System (SWIS) in Western Australia</t>
  </si>
  <si>
    <t>North Western Interconnected System (NWIS) in Western Australia</t>
  </si>
  <si>
    <t>Darwin Katherine Interconnected System (DKIS) in the Northern Territory</t>
  </si>
  <si>
    <t>Tasmania</t>
  </si>
  <si>
    <t>Northern Territory</t>
  </si>
  <si>
    <t>NGA Factors - August 2021; Table 46</t>
  </si>
  <si>
    <t>NGA Factors - August 2021; Table 5</t>
  </si>
  <si>
    <t>NGA Factors - November 2022; Table 1</t>
  </si>
  <si>
    <t>Renewable electricity</t>
  </si>
  <si>
    <t>Type</t>
  </si>
  <si>
    <t>Electricity (not from grid). Energy commodity</t>
  </si>
  <si>
    <t>Electricity Production (thermal energy)</t>
  </si>
  <si>
    <t>Electricity Production (solar energy)</t>
  </si>
  <si>
    <t>Electricity Production (Green Power)</t>
  </si>
  <si>
    <t>Solar energy for electricity generation. Energy commodity</t>
  </si>
  <si>
    <t>NGER Determination 2018; Part 6.2</t>
  </si>
  <si>
    <t>Natural gas</t>
  </si>
  <si>
    <t>State</t>
  </si>
  <si>
    <r>
      <t>Scope 3 EF
(kg CO</t>
    </r>
    <r>
      <rPr>
        <b/>
        <vertAlign val="subscript"/>
        <sz val="12"/>
        <color theme="8"/>
        <rFont val="Arial"/>
        <family val="2"/>
        <scheme val="minor"/>
      </rPr>
      <t>2</t>
    </r>
    <r>
      <rPr>
        <b/>
        <sz val="12"/>
        <color theme="8"/>
        <rFont val="Arial"/>
        <family val="2"/>
        <scheme val="minor"/>
      </rPr>
      <t>-e/GJ)</t>
    </r>
  </si>
  <si>
    <t>NSWMetro</t>
  </si>
  <si>
    <t>NSWNon-Metro</t>
  </si>
  <si>
    <t>ACTMetro</t>
  </si>
  <si>
    <t>ACTNon-Metro</t>
  </si>
  <si>
    <t>VICMetro</t>
  </si>
  <si>
    <t>VICNon-Metro</t>
  </si>
  <si>
    <t>QLDMetro</t>
  </si>
  <si>
    <t>QLDNon-Metro</t>
  </si>
  <si>
    <t>SAMetro</t>
  </si>
  <si>
    <t>SANon-Metro</t>
  </si>
  <si>
    <t>WAMetro</t>
  </si>
  <si>
    <t>WANon-Metro</t>
  </si>
  <si>
    <t>NTMetro</t>
  </si>
  <si>
    <t>NTNon-Metro</t>
  </si>
  <si>
    <t>TASMetro</t>
  </si>
  <si>
    <t>TASNon-Metro</t>
  </si>
  <si>
    <t>NGA Factors - August 2021; Table 43</t>
  </si>
  <si>
    <t>NGA Factors - November 2022; Table 4</t>
  </si>
  <si>
    <t>Scope</t>
  </si>
  <si>
    <t>NGER Item Number</t>
  </si>
  <si>
    <t>Energy Content Factor</t>
  </si>
  <si>
    <r>
      <t>Emission Factors (kg CO</t>
    </r>
    <r>
      <rPr>
        <b/>
        <vertAlign val="subscript"/>
        <sz val="11"/>
        <color theme="8"/>
        <rFont val="Arial"/>
        <family val="2"/>
        <scheme val="minor"/>
      </rPr>
      <t>2</t>
    </r>
    <r>
      <rPr>
        <b/>
        <sz val="11"/>
        <color theme="8"/>
        <rFont val="Arial"/>
        <family val="2"/>
        <scheme val="minor"/>
      </rPr>
      <t>e/unit)</t>
    </r>
  </si>
  <si>
    <r>
      <t>Combined Emission Factor (kg CO</t>
    </r>
    <r>
      <rPr>
        <b/>
        <vertAlign val="subscript"/>
        <sz val="11"/>
        <color theme="8"/>
        <rFont val="Arial"/>
        <family val="2"/>
        <scheme val="minor"/>
      </rPr>
      <t>2</t>
    </r>
    <r>
      <rPr>
        <b/>
        <sz val="11"/>
        <color theme="8"/>
        <rFont val="Arial"/>
        <family val="2"/>
        <scheme val="minor"/>
      </rPr>
      <t>e/unit)</t>
    </r>
  </si>
  <si>
    <t>Unit</t>
  </si>
  <si>
    <t>GJ/unit</t>
  </si>
  <si>
    <r>
      <t>CO</t>
    </r>
    <r>
      <rPr>
        <b/>
        <vertAlign val="subscript"/>
        <sz val="11"/>
        <color theme="8"/>
        <rFont val="Arial"/>
        <family val="2"/>
        <scheme val="minor"/>
      </rPr>
      <t>2</t>
    </r>
  </si>
  <si>
    <r>
      <t>CH</t>
    </r>
    <r>
      <rPr>
        <b/>
        <vertAlign val="subscript"/>
        <sz val="11"/>
        <color theme="8"/>
        <rFont val="Arial"/>
        <family val="2"/>
        <scheme val="minor"/>
      </rPr>
      <t>4</t>
    </r>
  </si>
  <si>
    <r>
      <t>N</t>
    </r>
    <r>
      <rPr>
        <b/>
        <vertAlign val="subscript"/>
        <sz val="11"/>
        <color theme="8"/>
        <rFont val="Arial"/>
        <family val="2"/>
        <scheme val="minor"/>
      </rPr>
      <t>2</t>
    </r>
    <r>
      <rPr>
        <b/>
        <sz val="11"/>
        <color theme="8"/>
        <rFont val="Arial"/>
        <family val="2"/>
        <scheme val="minor"/>
      </rPr>
      <t>0</t>
    </r>
  </si>
  <si>
    <t>NGER Determination 2012; Schedule 1 - Part 2</t>
  </si>
  <si>
    <t>Diesel Oil (Stationary)</t>
  </si>
  <si>
    <t xml:space="preserve">NGER Determination 2012; Schedule 1 - Part 3 </t>
  </si>
  <si>
    <t>NGER Determination 2012; Schedule 1 - Part 4, Division 4.2</t>
  </si>
  <si>
    <t>NGER Determination 2012; Schedule 1 - Part 1</t>
  </si>
  <si>
    <t>Black Coal (Sub-bituminous)</t>
  </si>
  <si>
    <t>1A</t>
  </si>
  <si>
    <t>Purchased electricity</t>
  </si>
  <si>
    <t>Energy Content Factor (GJ/unit)</t>
  </si>
  <si>
    <t>n/a</t>
  </si>
  <si>
    <t>NGER Determination 2012; Part 6.2</t>
  </si>
  <si>
    <t>NSW</t>
  </si>
  <si>
    <t>Purchased electricity NSW and ACT</t>
  </si>
  <si>
    <t>NGER Determination 2012; Schedule 1 - Part 6</t>
  </si>
  <si>
    <t>ACT</t>
  </si>
  <si>
    <t>VIC</t>
  </si>
  <si>
    <t>Purchased electricity from VIC</t>
  </si>
  <si>
    <t>QLD</t>
  </si>
  <si>
    <t>Purchased electricity from QLD</t>
  </si>
  <si>
    <t>SA</t>
  </si>
  <si>
    <t>Purchased electricity from SA</t>
  </si>
  <si>
    <t>WA</t>
  </si>
  <si>
    <t>Purchased electricity from WA</t>
  </si>
  <si>
    <t>TAS</t>
  </si>
  <si>
    <t>Purchased electricity from TAS</t>
  </si>
  <si>
    <t>NT</t>
  </si>
  <si>
    <t>Purchased electricity from NT</t>
  </si>
  <si>
    <t>Econs</t>
  </si>
  <si>
    <t>EprodTherm</t>
  </si>
  <si>
    <t>EprodSolar</t>
  </si>
  <si>
    <t>Green</t>
  </si>
  <si>
    <t>SUMMARY TABLES:</t>
  </si>
  <si>
    <t>Table 1</t>
  </si>
  <si>
    <t>Table 2</t>
  </si>
  <si>
    <t>Table 3</t>
  </si>
  <si>
    <t>Metro</t>
  </si>
  <si>
    <t>Base Building</t>
  </si>
  <si>
    <t>NABERS Energy Tenancy Rating</t>
  </si>
  <si>
    <t>Non-Metro</t>
  </si>
  <si>
    <t>Whole Building</t>
  </si>
  <si>
    <t>Tenant Collaboration</t>
  </si>
  <si>
    <t>Original Unit</t>
  </si>
  <si>
    <t>Desired Unit</t>
  </si>
  <si>
    <t>Conversion Factor</t>
  </si>
  <si>
    <t>Wh</t>
  </si>
  <si>
    <t>MWh</t>
  </si>
  <si>
    <t>GWh</t>
  </si>
  <si>
    <t>GJ</t>
  </si>
  <si>
    <t>J</t>
  </si>
  <si>
    <t>kJ</t>
  </si>
  <si>
    <t>TJ</t>
  </si>
  <si>
    <t>Coal</t>
  </si>
  <si>
    <t>t</t>
  </si>
  <si>
    <t>kg</t>
  </si>
  <si>
    <t>L</t>
  </si>
  <si>
    <t>Table 4a</t>
  </si>
  <si>
    <r>
      <t>Electricity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-e/kWh)</t>
    </r>
  </si>
  <si>
    <t>Source: NGA Factors workbook - July 2012</t>
  </si>
  <si>
    <t>NZ Source: Ministry for the Environment - Guidance for voluntary greenhouse gas reporting - 2016: Data and methods for the 2014 calendar year</t>
  </si>
  <si>
    <t>http://www.climatechange.gov.au/en/publications/greenhouse-acctg/national-greenhouse-factors.aspx</t>
  </si>
  <si>
    <t>http://www.mfe.govt.nz/publications/climate-change/guidance-voluntary-greenhouse-gas-reporting-2016-data-and-methods-2014</t>
  </si>
  <si>
    <t>Scope 3</t>
  </si>
  <si>
    <t>Total</t>
  </si>
  <si>
    <t>Table 5a</t>
  </si>
  <si>
    <r>
      <t>Natural gas - emi</t>
    </r>
    <r>
      <rPr>
        <b/>
        <sz val="10"/>
        <color theme="1"/>
        <rFont val="Arial"/>
        <family val="2"/>
        <scheme val="major"/>
      </rPr>
      <t>ssion factor (kgCO</t>
    </r>
    <r>
      <rPr>
        <b/>
        <vertAlign val="subscript"/>
        <sz val="10"/>
        <color theme="1"/>
        <rFont val="Arial"/>
        <family val="2"/>
        <scheme val="major"/>
      </rPr>
      <t>2</t>
    </r>
    <r>
      <rPr>
        <b/>
        <sz val="10"/>
        <color theme="1"/>
        <rFont val="Arial"/>
        <family val="2"/>
        <scheme val="major"/>
      </rPr>
      <t>-e/GJ)</t>
    </r>
  </si>
  <si>
    <t>Scope 1 Total</t>
  </si>
  <si>
    <t>Metro Scope 3 Total</t>
  </si>
  <si>
    <t>Non-Metro Scope 3 Total</t>
  </si>
  <si>
    <t>Full Fuel Cycle Total (Based project location information)</t>
  </si>
  <si>
    <r>
      <t>CO</t>
    </r>
    <r>
      <rPr>
        <b/>
        <vertAlign val="subscript"/>
        <sz val="11"/>
        <color theme="8"/>
        <rFont val="Tahoma"/>
        <family val="2"/>
      </rPr>
      <t>2</t>
    </r>
  </si>
  <si>
    <r>
      <t>CH</t>
    </r>
    <r>
      <rPr>
        <b/>
        <vertAlign val="subscript"/>
        <sz val="11"/>
        <color theme="8"/>
        <rFont val="Tahoma"/>
        <family val="2"/>
      </rPr>
      <t>4</t>
    </r>
  </si>
  <si>
    <r>
      <t>N</t>
    </r>
    <r>
      <rPr>
        <b/>
        <vertAlign val="subscript"/>
        <sz val="10"/>
        <color theme="8"/>
        <rFont val="Tahoma"/>
        <family val="2"/>
      </rPr>
      <t>2</t>
    </r>
    <r>
      <rPr>
        <b/>
        <sz val="10"/>
        <color theme="8"/>
        <rFont val="Calibri"/>
        <family val="2"/>
      </rPr>
      <t>O</t>
    </r>
  </si>
  <si>
    <t>Table 6a</t>
  </si>
  <si>
    <r>
      <t>Diesel - emission factor kg CO</t>
    </r>
    <r>
      <rPr>
        <b/>
        <vertAlign val="subscript"/>
        <sz val="10"/>
        <color theme="1"/>
        <rFont val="Arial"/>
        <family val="2"/>
        <scheme val="minor"/>
      </rPr>
      <t>2</t>
    </r>
    <r>
      <rPr>
        <b/>
        <sz val="10"/>
        <color theme="1"/>
        <rFont val="Arial"/>
        <family val="2"/>
        <scheme val="minor"/>
      </rPr>
      <t>-e/GJ</t>
    </r>
  </si>
  <si>
    <t>Scope 3 Total</t>
  </si>
  <si>
    <t>Full Fuel Cycle Total</t>
  </si>
  <si>
    <r>
      <t>LPG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-e/GJ)</t>
    </r>
  </si>
  <si>
    <r>
      <t>Coal - emission factor (k</t>
    </r>
    <r>
      <rPr>
        <b/>
        <sz val="10"/>
        <color theme="1"/>
        <rFont val="Arial"/>
        <family val="2"/>
        <scheme val="major"/>
      </rPr>
      <t>g/CO</t>
    </r>
    <r>
      <rPr>
        <b/>
        <vertAlign val="subscript"/>
        <sz val="10"/>
        <color theme="1"/>
        <rFont val="Arial"/>
        <family val="2"/>
        <scheme val="major"/>
      </rPr>
      <t>2</t>
    </r>
    <r>
      <rPr>
        <b/>
        <sz val="10"/>
        <color theme="1"/>
        <rFont val="Arial"/>
        <family val="2"/>
        <scheme val="major"/>
      </rPr>
      <t>-e/t)</t>
    </r>
  </si>
  <si>
    <t>Table 7</t>
  </si>
  <si>
    <t>Hotels</t>
  </si>
  <si>
    <t>Energy Star</t>
  </si>
  <si>
    <t>Retail Stores</t>
  </si>
  <si>
    <t>Courthouses</t>
  </si>
  <si>
    <t>Houses of Worship</t>
  </si>
  <si>
    <t>Senior Care Facility</t>
  </si>
  <si>
    <t>Data Centers</t>
  </si>
  <si>
    <t>K-12 Schools</t>
  </si>
  <si>
    <t>Supermarkets</t>
  </si>
  <si>
    <t>Dormitories</t>
  </si>
  <si>
    <t>Medical Offices</t>
  </si>
  <si>
    <t>Warehouses</t>
  </si>
  <si>
    <t>Hospitals</t>
  </si>
  <si>
    <t>Offices</t>
  </si>
  <si>
    <t>Wastewater Treatment Plants</t>
  </si>
  <si>
    <t>-----</t>
  </si>
  <si>
    <t>DCCEE Commercial Buildings Source Spreadsheet</t>
  </si>
  <si>
    <t>Food Stores</t>
  </si>
  <si>
    <t>Clothing/Fabric Stores</t>
  </si>
  <si>
    <t>Department Stores</t>
  </si>
  <si>
    <t>Household Appl &amp; Hardware Stores</t>
  </si>
  <si>
    <t>Accommodation</t>
  </si>
  <si>
    <t>Communications</t>
  </si>
  <si>
    <t>Schools</t>
  </si>
  <si>
    <t>Fast Food Restaurants</t>
  </si>
  <si>
    <t>Clubs and Meeting Places</t>
  </si>
  <si>
    <t>Retail / Wholesale - nec</t>
  </si>
  <si>
    <t>Comm Serv &amp; Pub Adm - nec</t>
  </si>
  <si>
    <t>Recreation - Not Elsewhere</t>
  </si>
  <si>
    <t xml:space="preserve">Education </t>
  </si>
  <si>
    <t>National Renewable Energy Laboratory</t>
  </si>
  <si>
    <t xml:space="preserve">Food Sales </t>
  </si>
  <si>
    <t>Food Service</t>
  </si>
  <si>
    <t xml:space="preserve">Health Care </t>
  </si>
  <si>
    <t xml:space="preserve">Lodging </t>
  </si>
  <si>
    <t xml:space="preserve">Mercantile </t>
  </si>
  <si>
    <t xml:space="preserve">Office </t>
  </si>
  <si>
    <t>Public Assembly</t>
  </si>
  <si>
    <t>Public Order and Safety</t>
  </si>
  <si>
    <t>Religious Worship</t>
  </si>
  <si>
    <t xml:space="preserve">Other Service </t>
  </si>
  <si>
    <t>Warehouse and Storage</t>
  </si>
  <si>
    <t>Parking</t>
  </si>
  <si>
    <t>Vacant</t>
  </si>
  <si>
    <t>Division A - Agriculture, Forestry and Fishing</t>
  </si>
  <si>
    <t>Division B - Mining</t>
  </si>
  <si>
    <t>Division C - Manufacturing</t>
  </si>
  <si>
    <t>Division D - Electricity, Gas and Water Supply</t>
  </si>
  <si>
    <t>Division E - Construction</t>
  </si>
  <si>
    <t>Division F - Wholesale Trade</t>
  </si>
  <si>
    <t>Division G - Retail Trade</t>
  </si>
  <si>
    <t>Division H - Accommodation, Cafes and Restaurants</t>
  </si>
  <si>
    <t>Division I - Transport and Storage</t>
  </si>
  <si>
    <t>Division J - Communication Services</t>
  </si>
  <si>
    <t>Division K - Finance and Insurance</t>
  </si>
  <si>
    <t>Division L - Property and Business Services</t>
  </si>
  <si>
    <t>Division M - Government Administration and Defence</t>
  </si>
  <si>
    <t>Division N - Education</t>
  </si>
  <si>
    <t>Division O - Health and Community Services</t>
  </si>
  <si>
    <t>Division P - Cultural and Recreational Services</t>
  </si>
  <si>
    <t>Division Q - Personal and Other Services</t>
  </si>
  <si>
    <t>Mixed Use</t>
  </si>
  <si>
    <t>Unknown</t>
  </si>
  <si>
    <t>Form Data</t>
  </si>
  <si>
    <t>[Select TRUE where a relationship between two operating variables exists]</t>
  </si>
  <si>
    <t>[Answer Yes or No]</t>
  </si>
  <si>
    <t>NO</t>
  </si>
  <si>
    <t>Postcode vs Climate Data Matrix</t>
  </si>
  <si>
    <t>Ave CDD and Ave HDD are annual figures for Cooling (Wet bulb - base = 15 degrees) and Heating (Dry bulb - base = 18 degrees) Degree Days, which are drawn from averages of between 1 and 7 years of data</t>
  </si>
  <si>
    <t>Postcode</t>
  </si>
  <si>
    <t>Weather Station ID</t>
  </si>
  <si>
    <t>Ave CDD</t>
  </si>
  <si>
    <t>Ave HDD</t>
  </si>
  <si>
    <t>0110</t>
  </si>
  <si>
    <t>0112</t>
  </si>
  <si>
    <t>0114</t>
  </si>
  <si>
    <t>0116</t>
  </si>
  <si>
    <t>0200</t>
  </si>
  <si>
    <t>0202</t>
  </si>
  <si>
    <t>0210</t>
  </si>
  <si>
    <t>0211</t>
  </si>
  <si>
    <t>0230</t>
  </si>
  <si>
    <t>0310</t>
  </si>
  <si>
    <t>0405</t>
  </si>
  <si>
    <t>0410</t>
  </si>
  <si>
    <t>0420</t>
  </si>
  <si>
    <t>0505</t>
  </si>
  <si>
    <t>0510</t>
  </si>
  <si>
    <t>0520</t>
  </si>
  <si>
    <t>0530</t>
  </si>
  <si>
    <t>0600</t>
  </si>
  <si>
    <t>0602</t>
  </si>
  <si>
    <t>0604</t>
  </si>
  <si>
    <t>0610</t>
  </si>
  <si>
    <t>0612</t>
  </si>
  <si>
    <t>0614</t>
  </si>
  <si>
    <t>0618</t>
  </si>
  <si>
    <t>0620</t>
  </si>
  <si>
    <t>0622</t>
  </si>
  <si>
    <t>0624</t>
  </si>
  <si>
    <t>0626</t>
  </si>
  <si>
    <t>0627</t>
  </si>
  <si>
    <t>0629</t>
  </si>
  <si>
    <t>0630</t>
  </si>
  <si>
    <t>0632</t>
  </si>
  <si>
    <t>0800</t>
  </si>
  <si>
    <t>0810</t>
  </si>
  <si>
    <t>0812</t>
  </si>
  <si>
    <t>0814</t>
  </si>
  <si>
    <t>0820</t>
  </si>
  <si>
    <t>0830</t>
  </si>
  <si>
    <t>0900</t>
  </si>
  <si>
    <t>0910</t>
  </si>
  <si>
    <t>0920</t>
  </si>
  <si>
    <t>0930</t>
  </si>
  <si>
    <t>0931</t>
  </si>
  <si>
    <t>0932</t>
  </si>
  <si>
    <t>01010</t>
  </si>
  <si>
    <t>01011</t>
  </si>
  <si>
    <t>01021</t>
  </si>
  <si>
    <t>01022</t>
  </si>
  <si>
    <t>01023</t>
  </si>
  <si>
    <t>01024</t>
  </si>
  <si>
    <t>01025</t>
  </si>
  <si>
    <t>01026</t>
  </si>
  <si>
    <t>01041</t>
  </si>
  <si>
    <t>01042</t>
  </si>
  <si>
    <t>01050</t>
  </si>
  <si>
    <t>01051</t>
  </si>
  <si>
    <t>01052</t>
  </si>
  <si>
    <t>01060</t>
  </si>
  <si>
    <t>01061</t>
  </si>
  <si>
    <t>01062</t>
  </si>
  <si>
    <t>01071</t>
  </si>
  <si>
    <t>01072</t>
  </si>
  <si>
    <t>01081</t>
  </si>
  <si>
    <t>02010</t>
  </si>
  <si>
    <t>02012</t>
  </si>
  <si>
    <t>02013</t>
  </si>
  <si>
    <t>02014</t>
  </si>
  <si>
    <t>02016</t>
  </si>
  <si>
    <t>02018</t>
  </si>
  <si>
    <t>02022</t>
  </si>
  <si>
    <t>02023</t>
  </si>
  <si>
    <t>02024</t>
  </si>
  <si>
    <t>02025</t>
  </si>
  <si>
    <t>02102</t>
  </si>
  <si>
    <t>02103</t>
  </si>
  <si>
    <t>02104</t>
  </si>
  <si>
    <t>02105</t>
  </si>
  <si>
    <t>02110</t>
  </si>
  <si>
    <t>02112</t>
  </si>
  <si>
    <t>02113</t>
  </si>
  <si>
    <t>02120</t>
  </si>
  <si>
    <t>02121</t>
  </si>
  <si>
    <t>02122</t>
  </si>
  <si>
    <t>02123</t>
  </si>
  <si>
    <t>03010</t>
  </si>
  <si>
    <t>03015</t>
  </si>
  <si>
    <t>03020</t>
  </si>
  <si>
    <t>03025</t>
  </si>
  <si>
    <t>03110</t>
  </si>
  <si>
    <t>03112</t>
  </si>
  <si>
    <t>03114</t>
  </si>
  <si>
    <t>03116</t>
  </si>
  <si>
    <t>03118</t>
  </si>
  <si>
    <t>03119</t>
  </si>
  <si>
    <t>03120</t>
  </si>
  <si>
    <t>03121</t>
  </si>
  <si>
    <t>03122</t>
  </si>
  <si>
    <t>03123</t>
  </si>
  <si>
    <t>03127</t>
  </si>
  <si>
    <t>03129</t>
  </si>
  <si>
    <t>03200</t>
  </si>
  <si>
    <t>03204</t>
  </si>
  <si>
    <t>03206</t>
  </si>
  <si>
    <t>03210</t>
  </si>
  <si>
    <t>03214</t>
  </si>
  <si>
    <t>03216</t>
  </si>
  <si>
    <t>03218</t>
  </si>
  <si>
    <t>03225</t>
  </si>
  <si>
    <t>03300</t>
  </si>
  <si>
    <t>03310</t>
  </si>
  <si>
    <t>03320</t>
  </si>
  <si>
    <t>03330</t>
  </si>
  <si>
    <t>03332</t>
  </si>
  <si>
    <t>03334</t>
  </si>
  <si>
    <t>03400</t>
  </si>
  <si>
    <t>03401</t>
  </si>
  <si>
    <t>03410</t>
  </si>
  <si>
    <t>03411</t>
  </si>
  <si>
    <t>03415</t>
  </si>
  <si>
    <t>03420</t>
  </si>
  <si>
    <t>03421</t>
  </si>
  <si>
    <t>03432</t>
  </si>
  <si>
    <t>03434</t>
  </si>
  <si>
    <t>03500</t>
  </si>
  <si>
    <t>03503</t>
  </si>
  <si>
    <t>03506</t>
  </si>
  <si>
    <t>03508</t>
  </si>
  <si>
    <t>03510</t>
  </si>
  <si>
    <t>03600</t>
  </si>
  <si>
    <t>03610</t>
  </si>
  <si>
    <t>03611</t>
  </si>
  <si>
    <t>03620</t>
  </si>
  <si>
    <t>03700</t>
  </si>
  <si>
    <t>03710</t>
  </si>
  <si>
    <t>03720</t>
  </si>
  <si>
    <t>03721</t>
  </si>
  <si>
    <t>03800</t>
  </si>
  <si>
    <t>03802</t>
  </si>
  <si>
    <t>03803</t>
  </si>
  <si>
    <t>03900</t>
  </si>
  <si>
    <t>03910</t>
  </si>
  <si>
    <t>03912</t>
  </si>
  <si>
    <t>03920</t>
  </si>
  <si>
    <t>03924</t>
  </si>
  <si>
    <t>03926</t>
  </si>
  <si>
    <t>04010</t>
  </si>
  <si>
    <t>04022</t>
  </si>
  <si>
    <t>04032</t>
  </si>
  <si>
    <t>04102</t>
  </si>
  <si>
    <t>04104</t>
  </si>
  <si>
    <t>04108</t>
  </si>
  <si>
    <t>04110</t>
  </si>
  <si>
    <t>04112</t>
  </si>
  <si>
    <t>04120</t>
  </si>
  <si>
    <t>04122</t>
  </si>
  <si>
    <t>04130</t>
  </si>
  <si>
    <t>04200</t>
  </si>
  <si>
    <t>04202</t>
  </si>
  <si>
    <t>04203</t>
  </si>
  <si>
    <t>04210</t>
  </si>
  <si>
    <t>04310</t>
  </si>
  <si>
    <t>04312</t>
  </si>
  <si>
    <t>04314</t>
  </si>
  <si>
    <t>04320</t>
  </si>
  <si>
    <t>04322</t>
  </si>
  <si>
    <t>04330</t>
  </si>
  <si>
    <t>04332</t>
  </si>
  <si>
    <t>04335</t>
  </si>
  <si>
    <t>04410</t>
  </si>
  <si>
    <t>04412</t>
  </si>
  <si>
    <t>04414</t>
  </si>
  <si>
    <t>04500</t>
  </si>
  <si>
    <t>04501</t>
  </si>
  <si>
    <t>04510</t>
  </si>
  <si>
    <t>04520</t>
  </si>
  <si>
    <t>04610</t>
  </si>
  <si>
    <t>04612</t>
  </si>
  <si>
    <t>04614</t>
  </si>
  <si>
    <t>04616</t>
  </si>
  <si>
    <t>04625</t>
  </si>
  <si>
    <t>04632</t>
  </si>
  <si>
    <t>04702</t>
  </si>
  <si>
    <t>04710</t>
  </si>
  <si>
    <t>04720</t>
  </si>
  <si>
    <t>04730</t>
  </si>
  <si>
    <t>04810</t>
  </si>
  <si>
    <t>04814</t>
  </si>
  <si>
    <t>04815</t>
  </si>
  <si>
    <t>04816</t>
  </si>
  <si>
    <t>04817</t>
  </si>
  <si>
    <t>04818</t>
  </si>
  <si>
    <t>04820</t>
  </si>
  <si>
    <t>04821</t>
  </si>
  <si>
    <t>04822</t>
  </si>
  <si>
    <t>04825</t>
  </si>
  <si>
    <t>04826</t>
  </si>
  <si>
    <t>04900</t>
  </si>
  <si>
    <t>04910</t>
  </si>
  <si>
    <t>04920</t>
  </si>
  <si>
    <t>04930</t>
  </si>
  <si>
    <t>05010</t>
  </si>
  <si>
    <t>05011</t>
  </si>
  <si>
    <t>05012</t>
  </si>
  <si>
    <t>05013</t>
  </si>
  <si>
    <t>05014</t>
  </si>
  <si>
    <t>05016</t>
  </si>
  <si>
    <t>05018</t>
  </si>
  <si>
    <t>05019</t>
  </si>
  <si>
    <t>05022</t>
  </si>
  <si>
    <t>05024</t>
  </si>
  <si>
    <t>05026</t>
  </si>
  <si>
    <t>05028</t>
  </si>
  <si>
    <t>05032</t>
  </si>
  <si>
    <t>05034</t>
  </si>
  <si>
    <t>05036</t>
  </si>
  <si>
    <t>05510</t>
  </si>
  <si>
    <t>05512</t>
  </si>
  <si>
    <t>05710</t>
  </si>
  <si>
    <t>05711</t>
  </si>
  <si>
    <t>05712</t>
  </si>
  <si>
    <t>05713</t>
  </si>
  <si>
    <t>05810</t>
  </si>
  <si>
    <t>06011</t>
  </si>
  <si>
    <t>06012</t>
  </si>
  <si>
    <t>06021</t>
  </si>
  <si>
    <t>06022</t>
  </si>
  <si>
    <t>06023</t>
  </si>
  <si>
    <t>06035</t>
  </si>
  <si>
    <t>06037</t>
  </si>
  <si>
    <t>07005</t>
  </si>
  <si>
    <t>07007</t>
  </si>
  <si>
    <t>07010</t>
  </si>
  <si>
    <t>07011</t>
  </si>
  <si>
    <t>07020</t>
  </si>
  <si>
    <t>07022</t>
  </si>
  <si>
    <t>07025</t>
  </si>
  <si>
    <t>07100</t>
  </si>
  <si>
    <t>07110</t>
  </si>
  <si>
    <t>07120</t>
  </si>
  <si>
    <t>07201</t>
  </si>
  <si>
    <t>07202</t>
  </si>
  <si>
    <t>07204</t>
  </si>
  <si>
    <t>07206</t>
  </si>
  <si>
    <t>07210</t>
  </si>
  <si>
    <t>07220</t>
  </si>
  <si>
    <t>07300</t>
  </si>
  <si>
    <t>07310</t>
  </si>
  <si>
    <t>07332</t>
  </si>
  <si>
    <t>07334</t>
  </si>
  <si>
    <t>07400</t>
  </si>
  <si>
    <t>07402</t>
  </si>
  <si>
    <t>07410</t>
  </si>
  <si>
    <t>07420</t>
  </si>
  <si>
    <t>07430</t>
  </si>
  <si>
    <t>07500</t>
  </si>
  <si>
    <t>07510</t>
  </si>
  <si>
    <t>07520</t>
  </si>
  <si>
    <t>07600</t>
  </si>
  <si>
    <t>07602</t>
  </si>
  <si>
    <t>07604</t>
  </si>
  <si>
    <t>07608</t>
  </si>
  <si>
    <t>07610</t>
  </si>
  <si>
    <t>07614</t>
  </si>
  <si>
    <t>07630</t>
  </si>
  <si>
    <t>07632</t>
  </si>
  <si>
    <t>07700</t>
  </si>
  <si>
    <t>07710</t>
  </si>
  <si>
    <t>07730</t>
  </si>
  <si>
    <t>07802</t>
  </si>
  <si>
    <t>07803</t>
  </si>
  <si>
    <t>07804</t>
  </si>
  <si>
    <t>07805</t>
  </si>
  <si>
    <t>07810</t>
  </si>
  <si>
    <t>07811</t>
  </si>
  <si>
    <t>07812</t>
  </si>
  <si>
    <t>07822</t>
  </si>
  <si>
    <t>07823</t>
  </si>
  <si>
    <t>07825</t>
  </si>
  <si>
    <t>07830</t>
  </si>
  <si>
    <t>07832</t>
  </si>
  <si>
    <t>07901</t>
  </si>
  <si>
    <t>07903</t>
  </si>
  <si>
    <t>07910</t>
  </si>
  <si>
    <t>07912</t>
  </si>
  <si>
    <t>07920</t>
  </si>
  <si>
    <t>07924</t>
  </si>
  <si>
    <t>07925</t>
  </si>
  <si>
    <t>07930</t>
  </si>
  <si>
    <t>07999</t>
  </si>
  <si>
    <t>08011</t>
  </si>
  <si>
    <t>08013</t>
  </si>
  <si>
    <t>08014</t>
  </si>
  <si>
    <t>08022</t>
  </si>
  <si>
    <t>08023</t>
  </si>
  <si>
    <t>08024</t>
  </si>
  <si>
    <t>08025</t>
  </si>
  <si>
    <t>08041</t>
  </si>
  <si>
    <t>08042</t>
  </si>
  <si>
    <t>08051</t>
  </si>
  <si>
    <t>08052</t>
  </si>
  <si>
    <t>08053</t>
  </si>
  <si>
    <t>08061</t>
  </si>
  <si>
    <t>08062</t>
  </si>
  <si>
    <t>08081</t>
  </si>
  <si>
    <t>08082</t>
  </si>
  <si>
    <t>08083</t>
  </si>
  <si>
    <t>09010</t>
  </si>
  <si>
    <t>09011</t>
  </si>
  <si>
    <t>09012</t>
  </si>
  <si>
    <t>09013</t>
  </si>
  <si>
    <t>09014</t>
  </si>
  <si>
    <t>09016</t>
  </si>
  <si>
    <t>09018</t>
  </si>
  <si>
    <t>09019</t>
  </si>
  <si>
    <t>09022</t>
  </si>
  <si>
    <t>09023</t>
  </si>
  <si>
    <t>09024</t>
  </si>
  <si>
    <t>09035</t>
  </si>
  <si>
    <t>09210</t>
  </si>
  <si>
    <t>09220</t>
  </si>
  <si>
    <t>09230</t>
  </si>
  <si>
    <t>09231</t>
  </si>
  <si>
    <t>09300</t>
  </si>
  <si>
    <t>09302</t>
  </si>
  <si>
    <t>09305</t>
  </si>
  <si>
    <t>09310</t>
  </si>
  <si>
    <t>09320</t>
  </si>
  <si>
    <t>09330</t>
  </si>
  <si>
    <t>09332</t>
  </si>
  <si>
    <t>09400</t>
  </si>
  <si>
    <t>09401</t>
  </si>
  <si>
    <t>09410</t>
  </si>
  <si>
    <t>09412</t>
  </si>
  <si>
    <t>09430</t>
  </si>
  <si>
    <t>09435</t>
  </si>
  <si>
    <t>09500</t>
  </si>
  <si>
    <t>09510</t>
  </si>
  <si>
    <t>09522</t>
  </si>
  <si>
    <t>09532</t>
  </si>
  <si>
    <t>09534</t>
  </si>
  <si>
    <t>09535</t>
  </si>
  <si>
    <t>09600</t>
  </si>
  <si>
    <t>09610</t>
  </si>
  <si>
    <t>09620</t>
  </si>
  <si>
    <t>09630</t>
  </si>
  <si>
    <t>09635</t>
  </si>
  <si>
    <t>09710</t>
  </si>
  <si>
    <t>09712</t>
  </si>
  <si>
    <t>09720</t>
  </si>
  <si>
    <t>09730</t>
  </si>
  <si>
    <t>09810</t>
  </si>
  <si>
    <t>09812</t>
  </si>
  <si>
    <t>09814</t>
  </si>
  <si>
    <t>09816</t>
  </si>
  <si>
    <t>09818</t>
  </si>
  <si>
    <t>09822</t>
  </si>
  <si>
    <t>09825</t>
  </si>
  <si>
    <t>09831</t>
  </si>
  <si>
    <t>09888</t>
  </si>
  <si>
    <t>Greenhouse Gas Emissions Credit - Points Tables</t>
  </si>
  <si>
    <t>All Compliance Pathways in accordance with Table 15.0.3</t>
  </si>
  <si>
    <t>Whole of building emissions</t>
  </si>
  <si>
    <t>Base building emissions only</t>
  </si>
  <si>
    <t>Percentage improvement</t>
  </si>
  <si>
    <t>Legend:</t>
  </si>
  <si>
    <t>minimum performer</t>
  </si>
  <si>
    <t>average performer</t>
  </si>
  <si>
    <t>Zero net operating emissions</t>
  </si>
  <si>
    <t>Tenant Engagement in accordance with 15.0.4</t>
  </si>
  <si>
    <t>Percentage of tenanted floor area</t>
  </si>
  <si>
    <t>Compliance pathway A in accordance with 15A NABERS Energy</t>
  </si>
  <si>
    <t>Whole of building NABERS Energy rating</t>
  </si>
  <si>
    <t>Base building NABERS rating</t>
  </si>
  <si>
    <t>NABERS Energy Certificate Star Rating</t>
  </si>
  <si>
    <t>Option 1(b) - NABERS Energy Base Building</t>
  </si>
  <si>
    <t>Option 1(b) - NABERS Energy Whole Building</t>
  </si>
  <si>
    <t>0 operating emissions</t>
  </si>
  <si>
    <t>Release 11 - 09/01/2025</t>
  </si>
  <si>
    <t xml:space="preserve">-Updated emission factors MfE Measuring Emissions Guidance 2024, Released in May 2024
-Updated formulas in the 15C Building details tab to capture emission factors for different years </t>
  </si>
  <si>
    <t>Ministry for the Environment Measuring Emissions Guidance 2023</t>
  </si>
  <si>
    <t>MfE Measuring Emissions Guidance 2024</t>
  </si>
  <si>
    <t>Guidance for voluntary greenhouse gas reporting - 2024</t>
  </si>
  <si>
    <t>MfE Measuring Emissions Guidance 2025</t>
  </si>
  <si>
    <t>Guidance for voluntary greenhouse gas reporting - 2025</t>
  </si>
  <si>
    <t>Release 12 - 18/06/2025</t>
  </si>
  <si>
    <t xml:space="preserve">-Updated emission factors MfE Measuring Emissions Guidance 2025, Released in May 2025
-Updated formulas in the 15C Building details tab to capture emission factors for different years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</si>
</sst>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quot;$&quot;* #,##0.00_-;_-&quot;$&quot;* &quot;-&quot;??_-;_-@_-"/>
    <numFmt numFmtId="43" formatCode="_-* #,##0.00_-;\-* #,##0.00_-;_-* &quot;-&quot;??_-;_-@_-"/>
    <numFmt numFmtId="164" formatCode="_(&quot;$&quot;* #,##0.00_);_(&quot;$&quot;* \(#,##0.00\);_(&quot;$&quot;* &quot;-&quot;??_);_(@_)"/>
    <numFmt numFmtId="165" formatCode="_(* #,##0.00_);_(* \(#,##0.00\);_(* &quot;-&quot;??_);_(@_)"/>
    <numFmt numFmtId="166" formatCode="0.0"/>
    <numFmt numFmtId="167" formatCode="[$-C09]dd\-mmmm\-yyyy;@"/>
    <numFmt numFmtId="168" formatCode="_-* #,##0.0_-;\-* #,##0.0_-;_-* &quot;-&quot;??_-;_-@_-"/>
    <numFmt numFmtId="169" formatCode="dd/mm/yyyy"/>
    <numFmt numFmtId="170" formatCode="#,##0.0000000000"/>
    <numFmt numFmtId="171" formatCode="0.00000"/>
    <numFmt numFmtId="172" formatCode="#,##0.0"/>
    <numFmt numFmtId="173" formatCode="0.0%"/>
    <numFmt numFmtId="174" formatCode="#,##0.0000"/>
    <numFmt numFmtId="175" formatCode="0.00_)"/>
    <numFmt numFmtId="176" formatCode="[$-C09]dd\-mmm\-yy;@"/>
    <numFmt numFmtId="177" formatCode="#,##0.000"/>
    <numFmt numFmtId="178" formatCode="0.000"/>
  </numFmts>
  <fonts count="136">
    <font>
      <sz val="10"/>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8"/>
      <name val="Arial"/>
      <family val="2"/>
    </font>
    <font>
      <sz val="10"/>
      <color theme="1"/>
      <name val="Arial"/>
      <family val="2"/>
      <scheme val="minor"/>
    </font>
    <font>
      <sz val="11"/>
      <color indexed="8"/>
      <name val="Calibri"/>
      <family val="2"/>
    </font>
    <font>
      <sz val="10"/>
      <color indexed="8"/>
      <name val="Arial"/>
      <family val="2"/>
    </font>
    <font>
      <b/>
      <sz val="10"/>
      <name val="Arial"/>
      <family val="2"/>
    </font>
    <font>
      <b/>
      <sz val="10"/>
      <color theme="1"/>
      <name val="Arial"/>
      <family val="2"/>
      <scheme val="minor"/>
    </font>
    <font>
      <i/>
      <sz val="10"/>
      <color theme="1"/>
      <name val="Arial"/>
      <family val="2"/>
      <scheme val="minor"/>
    </font>
    <font>
      <b/>
      <sz val="8"/>
      <name val="Arial"/>
      <family val="2"/>
    </font>
    <font>
      <b/>
      <sz val="10"/>
      <color rgb="FF0070C0"/>
      <name val="Arial"/>
      <family val="2"/>
      <scheme val="minor"/>
    </font>
    <font>
      <sz val="10"/>
      <color rgb="FF0070C0"/>
      <name val="Arial"/>
      <family val="2"/>
      <scheme val="minor"/>
    </font>
    <font>
      <b/>
      <sz val="10"/>
      <color theme="9" tint="-0.249977111117893"/>
      <name val="Arial"/>
      <family val="2"/>
      <scheme val="minor"/>
    </font>
    <font>
      <sz val="8"/>
      <color rgb="FF0070C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8"/>
      <color indexed="8"/>
      <name val="Arial"/>
      <family val="2"/>
    </font>
    <font>
      <sz val="11"/>
      <color indexed="60"/>
      <name val="Calibri"/>
      <family val="2"/>
    </font>
    <font>
      <sz val="10"/>
      <name val="Trebuchet MS"/>
      <family val="2"/>
    </font>
    <font>
      <sz val="11"/>
      <color theme="1"/>
      <name val="Arial"/>
      <family val="2"/>
    </font>
    <font>
      <b/>
      <sz val="11"/>
      <color indexed="63"/>
      <name val="Calibri"/>
      <family val="2"/>
    </font>
    <font>
      <sz val="11"/>
      <color indexed="23"/>
      <name val="Arial"/>
      <family val="2"/>
    </font>
    <font>
      <sz val="10"/>
      <name val="Geneva"/>
    </font>
    <font>
      <b/>
      <sz val="18"/>
      <color indexed="56"/>
      <name val="Cambria"/>
      <family val="2"/>
    </font>
    <font>
      <b/>
      <sz val="11"/>
      <color indexed="8"/>
      <name val="Calibri"/>
      <family val="2"/>
    </font>
    <font>
      <sz val="11"/>
      <color indexed="10"/>
      <name val="Calibri"/>
      <family val="2"/>
    </font>
    <font>
      <b/>
      <sz val="11"/>
      <color theme="1"/>
      <name val="Arial"/>
      <family val="2"/>
      <scheme val="minor"/>
    </font>
    <font>
      <sz val="10"/>
      <color theme="9" tint="-0.249977111117893"/>
      <name val="Arial"/>
      <family val="2"/>
      <scheme val="minor"/>
    </font>
    <font>
      <sz val="10"/>
      <name val="Arial"/>
      <family val="2"/>
      <scheme val="minor"/>
    </font>
    <font>
      <sz val="12"/>
      <color theme="1"/>
      <name val="Arial"/>
      <family val="2"/>
      <scheme val="minor"/>
    </font>
    <font>
      <u/>
      <sz val="10"/>
      <color theme="10"/>
      <name val="Arial"/>
      <family val="2"/>
    </font>
    <font>
      <i/>
      <u/>
      <sz val="10"/>
      <color theme="10"/>
      <name val="Arial"/>
      <family val="2"/>
    </font>
    <font>
      <b/>
      <sz val="10"/>
      <name val="Arial"/>
      <family val="2"/>
      <scheme val="minor"/>
    </font>
    <font>
      <b/>
      <sz val="10"/>
      <color indexed="8"/>
      <name val="Arial"/>
      <family val="2"/>
    </font>
    <font>
      <b/>
      <sz val="10"/>
      <color theme="1"/>
      <name val="Arial"/>
      <family val="2"/>
      <scheme val="major"/>
    </font>
    <font>
      <b/>
      <vertAlign val="subscript"/>
      <sz val="10"/>
      <color theme="1"/>
      <name val="Arial"/>
      <family val="2"/>
      <scheme val="major"/>
    </font>
    <font>
      <sz val="9"/>
      <color indexed="81"/>
      <name val="Tahoma"/>
      <family val="2"/>
    </font>
    <font>
      <b/>
      <vertAlign val="subscript"/>
      <sz val="10"/>
      <color theme="1"/>
      <name val="Arial"/>
      <family val="2"/>
      <scheme val="minor"/>
    </font>
    <font>
      <sz val="8"/>
      <color theme="1"/>
      <name val="Arial"/>
      <family val="2"/>
      <scheme val="minor"/>
    </font>
    <font>
      <b/>
      <u/>
      <sz val="10"/>
      <name val="Arial"/>
      <family val="2"/>
      <scheme val="minor"/>
    </font>
    <font>
      <b/>
      <sz val="10"/>
      <color theme="0"/>
      <name val="Arial"/>
      <family val="2"/>
    </font>
    <font>
      <b/>
      <vertAlign val="subscript"/>
      <sz val="8"/>
      <color theme="0"/>
      <name val="Arial"/>
      <family val="2"/>
    </font>
    <font>
      <b/>
      <sz val="8"/>
      <color theme="0"/>
      <name val="Arial"/>
      <family val="2"/>
    </font>
    <font>
      <b/>
      <vertAlign val="superscript"/>
      <sz val="10"/>
      <color theme="0"/>
      <name val="Arial"/>
      <family val="2"/>
    </font>
    <font>
      <vertAlign val="superscript"/>
      <sz val="10"/>
      <name val="Arial"/>
      <family val="2"/>
    </font>
    <font>
      <b/>
      <sz val="18"/>
      <color theme="3"/>
      <name val="Arial"/>
      <family val="2"/>
      <scheme val="major"/>
    </font>
    <font>
      <b/>
      <sz val="15"/>
      <color theme="3"/>
      <name val="Arial"/>
      <family val="2"/>
      <scheme val="minor"/>
    </font>
    <font>
      <b/>
      <sz val="13"/>
      <color theme="3"/>
      <name val="Arial"/>
      <family val="2"/>
      <scheme val="minor"/>
    </font>
    <font>
      <b/>
      <sz val="11"/>
      <color theme="3"/>
      <name val="Arial"/>
      <family val="2"/>
      <scheme val="minor"/>
    </font>
    <font>
      <sz val="11"/>
      <color rgb="FF006100"/>
      <name val="Arial"/>
      <family val="2"/>
      <scheme val="minor"/>
    </font>
    <font>
      <sz val="11"/>
      <color rgb="FF9C0006"/>
      <name val="Arial"/>
      <family val="2"/>
      <scheme val="minor"/>
    </font>
    <font>
      <sz val="11"/>
      <color rgb="FF9C6500"/>
      <name val="Arial"/>
      <family val="2"/>
      <scheme val="minor"/>
    </font>
    <font>
      <sz val="11"/>
      <color rgb="FF3F3F76"/>
      <name val="Arial"/>
      <family val="2"/>
      <scheme val="minor"/>
    </font>
    <font>
      <b/>
      <sz val="11"/>
      <color rgb="FF3F3F3F"/>
      <name val="Arial"/>
      <family val="2"/>
      <scheme val="minor"/>
    </font>
    <font>
      <b/>
      <sz val="11"/>
      <color rgb="FFFA7D00"/>
      <name val="Arial"/>
      <family val="2"/>
      <scheme val="minor"/>
    </font>
    <font>
      <sz val="11"/>
      <color rgb="FFFA7D00"/>
      <name val="Arial"/>
      <family val="2"/>
      <scheme val="minor"/>
    </font>
    <font>
      <b/>
      <sz val="11"/>
      <color theme="0"/>
      <name val="Arial"/>
      <family val="2"/>
      <scheme val="minor"/>
    </font>
    <font>
      <sz val="11"/>
      <color rgb="FFFF0000"/>
      <name val="Arial"/>
      <family val="2"/>
      <scheme val="minor"/>
    </font>
    <font>
      <i/>
      <sz val="11"/>
      <color rgb="FF7F7F7F"/>
      <name val="Arial"/>
      <family val="2"/>
      <scheme val="minor"/>
    </font>
    <font>
      <sz val="11"/>
      <color theme="0"/>
      <name val="Arial"/>
      <family val="2"/>
      <scheme val="minor"/>
    </font>
    <font>
      <i/>
      <sz val="10"/>
      <color indexed="8"/>
      <name val="Arial"/>
      <family val="2"/>
    </font>
    <font>
      <i/>
      <sz val="10"/>
      <name val="Arial"/>
      <family val="2"/>
      <scheme val="minor"/>
    </font>
    <font>
      <sz val="12"/>
      <name val="Arial MT"/>
    </font>
    <font>
      <b/>
      <i/>
      <sz val="16"/>
      <name val="Helv"/>
    </font>
    <font>
      <b/>
      <sz val="9"/>
      <color indexed="81"/>
      <name val="Tahoma"/>
      <family val="2"/>
    </font>
    <font>
      <b/>
      <vertAlign val="subscript"/>
      <sz val="8"/>
      <color theme="2"/>
      <name val="Arial"/>
      <family val="2"/>
    </font>
    <font>
      <b/>
      <sz val="8"/>
      <color theme="2"/>
      <name val="Arial"/>
      <family val="2"/>
    </font>
    <font>
      <b/>
      <vertAlign val="subscript"/>
      <sz val="10"/>
      <color theme="0"/>
      <name val="Arial"/>
      <family val="2"/>
    </font>
    <font>
      <sz val="10"/>
      <color theme="1"/>
      <name val="Arial"/>
      <family val="2"/>
    </font>
    <font>
      <b/>
      <sz val="12"/>
      <color theme="0"/>
      <name val="Arial"/>
      <family val="2"/>
      <scheme val="minor"/>
    </font>
    <font>
      <b/>
      <sz val="10"/>
      <color theme="0"/>
      <name val="Arial"/>
      <family val="2"/>
      <scheme val="minor"/>
    </font>
    <font>
      <i/>
      <sz val="10"/>
      <color theme="1"/>
      <name val="Arial"/>
      <family val="2"/>
    </font>
    <font>
      <b/>
      <sz val="10"/>
      <color theme="1"/>
      <name val="Arial"/>
      <family val="2"/>
    </font>
    <font>
      <i/>
      <sz val="10"/>
      <color rgb="FFFF0000"/>
      <name val="Arial"/>
      <family val="2"/>
      <scheme val="minor"/>
    </font>
    <font>
      <sz val="8"/>
      <color indexed="81"/>
      <name val="Tahoma"/>
      <family val="2"/>
    </font>
    <font>
      <b/>
      <sz val="10"/>
      <color theme="8"/>
      <name val="Arial"/>
      <family val="2"/>
      <scheme val="minor"/>
    </font>
    <font>
      <sz val="10"/>
      <color theme="8"/>
      <name val="Arial"/>
      <family val="2"/>
      <scheme val="minor"/>
    </font>
    <font>
      <b/>
      <sz val="10"/>
      <color theme="8"/>
      <name val="Arial"/>
      <family val="2"/>
    </font>
    <font>
      <b/>
      <vertAlign val="superscript"/>
      <sz val="10"/>
      <color theme="8"/>
      <name val="Arial"/>
      <family val="2"/>
    </font>
    <font>
      <b/>
      <vertAlign val="subscript"/>
      <sz val="8"/>
      <color theme="8"/>
      <name val="Arial"/>
      <family val="2"/>
    </font>
    <font>
      <b/>
      <sz val="8"/>
      <color theme="8"/>
      <name val="Arial"/>
      <family val="2"/>
    </font>
    <font>
      <b/>
      <i/>
      <sz val="10"/>
      <color theme="1"/>
      <name val="Arial"/>
      <family val="2"/>
      <scheme val="minor"/>
    </font>
    <font>
      <b/>
      <i/>
      <sz val="10"/>
      <color theme="0"/>
      <name val="Arial"/>
      <family val="2"/>
      <scheme val="minor"/>
    </font>
    <font>
      <sz val="10"/>
      <name val="Verdana"/>
      <family val="2"/>
    </font>
    <font>
      <b/>
      <sz val="14"/>
      <color theme="0"/>
      <name val="Arial"/>
      <family val="2"/>
    </font>
    <font>
      <sz val="10"/>
      <color theme="8"/>
      <name val="Arial"/>
      <family val="2"/>
    </font>
    <font>
      <vertAlign val="superscript"/>
      <sz val="10"/>
      <color theme="8"/>
      <name val="Arial"/>
      <family val="2"/>
    </font>
    <font>
      <b/>
      <vertAlign val="subscript"/>
      <sz val="11"/>
      <color theme="8"/>
      <name val="Arial"/>
      <family val="2"/>
      <scheme val="minor"/>
    </font>
    <font>
      <b/>
      <sz val="11"/>
      <color theme="8"/>
      <name val="Arial"/>
      <family val="2"/>
      <scheme val="minor"/>
    </font>
    <font>
      <b/>
      <vertAlign val="subscript"/>
      <sz val="11"/>
      <color theme="8"/>
      <name val="Tahoma"/>
      <family val="2"/>
    </font>
    <font>
      <b/>
      <vertAlign val="subscript"/>
      <sz val="10"/>
      <color theme="8"/>
      <name val="Tahoma"/>
      <family val="2"/>
    </font>
    <font>
      <b/>
      <sz val="10"/>
      <color theme="8"/>
      <name val="Calibri"/>
      <family val="2"/>
    </font>
    <font>
      <sz val="14"/>
      <name val="Arial"/>
      <family val="2"/>
      <scheme val="minor"/>
    </font>
    <font>
      <b/>
      <sz val="14"/>
      <color theme="0"/>
      <name val="Arial"/>
      <family val="2"/>
      <scheme val="minor"/>
    </font>
    <font>
      <b/>
      <vertAlign val="superscript"/>
      <sz val="10"/>
      <color theme="1"/>
      <name val="Arial"/>
      <family val="2"/>
    </font>
    <font>
      <u/>
      <sz val="10"/>
      <color theme="10"/>
      <name val="Arial"/>
      <family val="2"/>
      <scheme val="minor"/>
    </font>
    <font>
      <sz val="10"/>
      <color theme="2"/>
      <name val="Arial"/>
      <family val="2"/>
    </font>
    <font>
      <sz val="10"/>
      <color theme="0"/>
      <name val="Arial"/>
      <family val="2"/>
    </font>
    <font>
      <b/>
      <sz val="10"/>
      <color theme="9" tint="-0.499984740745262"/>
      <name val="Arial"/>
      <family val="2"/>
      <scheme val="minor"/>
    </font>
    <font>
      <sz val="10"/>
      <color theme="0"/>
      <name val="Arial"/>
      <family val="2"/>
      <scheme val="minor"/>
    </font>
    <font>
      <i/>
      <sz val="11"/>
      <color rgb="FF4BACC6"/>
      <name val="Arial"/>
      <family val="2"/>
      <scheme val="minor"/>
    </font>
    <font>
      <b/>
      <sz val="8"/>
      <color theme="0"/>
      <name val="Arial"/>
      <family val="2"/>
      <scheme val="minor"/>
    </font>
    <font>
      <b/>
      <sz val="12"/>
      <color theme="8"/>
      <name val="Arial"/>
      <family val="2"/>
      <scheme val="minor"/>
    </font>
    <font>
      <b/>
      <vertAlign val="subscript"/>
      <sz val="12"/>
      <color theme="8"/>
      <name val="Arial"/>
      <family val="2"/>
      <scheme val="minor"/>
    </font>
    <font>
      <sz val="12"/>
      <color theme="8"/>
      <name val="Arial"/>
      <family val="2"/>
      <scheme val="minor"/>
    </font>
    <font>
      <sz val="11"/>
      <name val="Arial"/>
      <family val="2"/>
      <scheme val="minor"/>
    </font>
    <font>
      <b/>
      <sz val="16"/>
      <name val="Arial"/>
      <family val="2"/>
      <scheme val="minor"/>
    </font>
    <font>
      <vertAlign val="superscript"/>
      <sz val="10"/>
      <name val="Arial"/>
      <family val="2"/>
      <scheme val="minor"/>
    </font>
    <font>
      <b/>
      <sz val="10"/>
      <color indexed="8"/>
      <name val="Arial"/>
      <family val="2"/>
      <scheme val="minor"/>
    </font>
    <font>
      <sz val="8"/>
      <name val="Arial"/>
      <family val="2"/>
      <scheme val="minor"/>
    </font>
    <font>
      <b/>
      <sz val="12"/>
      <color rgb="FFFFFFFF"/>
      <name val="Arial"/>
      <family val="2"/>
      <scheme val="minor"/>
    </font>
    <font>
      <b/>
      <sz val="11"/>
      <color rgb="FFFFFFFF"/>
      <name val="Arial"/>
      <family val="2"/>
      <scheme val="minor"/>
    </font>
    <font>
      <i/>
      <sz val="12"/>
      <color theme="8"/>
      <name val="Arial"/>
      <family val="2"/>
      <scheme val="minor"/>
    </font>
  </fonts>
  <fills count="71">
    <fill>
      <patternFill patternType="none"/>
    </fill>
    <fill>
      <patternFill patternType="gray125"/>
    </fill>
    <fill>
      <patternFill patternType="solid">
        <fgColor rgb="FFFFFFCC"/>
      </patternFill>
    </fill>
    <fill>
      <patternFill patternType="solid">
        <fgColor theme="0" tint="-0.14999847407452621"/>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patternFill>
    </fill>
    <fill>
      <patternFill patternType="solid">
        <fgColor indexed="43"/>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rgb="FFFF5050"/>
        <bgColor indexed="64"/>
      </patternFill>
    </fill>
    <fill>
      <patternFill patternType="solid">
        <fgColor rgb="FF92D050"/>
        <bgColor indexed="64"/>
      </patternFill>
    </fill>
    <fill>
      <patternFill patternType="solid">
        <fgColor theme="1" tint="-0.499984740745262"/>
        <bgColor indexed="64"/>
      </patternFill>
    </fill>
    <fill>
      <patternFill patternType="solid">
        <fgColor theme="3"/>
        <bgColor indexed="64"/>
      </patternFill>
    </fill>
    <fill>
      <patternFill patternType="solid">
        <fgColor theme="7"/>
        <bgColor indexed="64"/>
      </patternFill>
    </fill>
    <fill>
      <patternFill patternType="solid">
        <fgColor theme="9" tint="0.79998168889431442"/>
        <bgColor indexed="64"/>
      </patternFill>
    </fill>
    <fill>
      <patternFill patternType="solid">
        <fgColor theme="6"/>
        <bgColor indexed="64"/>
      </patternFill>
    </fill>
    <fill>
      <patternFill patternType="solid">
        <fgColor rgb="FF000000"/>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0070C0"/>
        <bgColor indexed="64"/>
      </patternFill>
    </fill>
  </fills>
  <borders count="9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thin">
        <color indexed="64"/>
      </top>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top/>
      <bottom/>
      <diagonal/>
    </border>
    <border>
      <left/>
      <right style="hair">
        <color indexed="64"/>
      </right>
      <top style="thin">
        <color indexed="64"/>
      </top>
      <bottom style="thin">
        <color indexed="64"/>
      </bottom>
      <diagonal/>
    </border>
    <border>
      <left/>
      <right/>
      <top style="hair">
        <color auto="1"/>
      </top>
      <bottom style="thin">
        <color indexed="64"/>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medium">
        <color auto="1"/>
      </left>
      <right style="medium">
        <color auto="1"/>
      </right>
      <top style="medium">
        <color auto="1"/>
      </top>
      <bottom/>
      <diagonal/>
    </border>
    <border>
      <left style="hair">
        <color indexed="64"/>
      </left>
      <right style="hair">
        <color indexed="64"/>
      </right>
      <top style="thin">
        <color indexed="64"/>
      </top>
      <bottom style="thin">
        <color indexed="64"/>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right style="hair">
        <color auto="1"/>
      </right>
      <top style="thin">
        <color indexed="64"/>
      </top>
      <bottom style="hair">
        <color auto="1"/>
      </bottom>
      <diagonal/>
    </border>
    <border>
      <left/>
      <right style="hair">
        <color auto="1"/>
      </right>
      <top/>
      <bottom style="hair">
        <color auto="1"/>
      </bottom>
      <diagonal/>
    </border>
    <border>
      <left/>
      <right style="hair">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s>
  <cellStyleXfs count="4334">
    <xf numFmtId="0" fontId="0" fillId="0" borderId="0"/>
    <xf numFmtId="43" fontId="15" fillId="0" borderId="0" applyFont="0" applyFill="0" applyBorder="0" applyAlignment="0" applyProtection="0"/>
    <xf numFmtId="165" fontId="15" fillId="0" borderId="0" applyFont="0" applyFill="0" applyBorder="0" applyAlignment="0" applyProtection="0"/>
    <xf numFmtId="44" fontId="15" fillId="0" borderId="0" applyFont="0" applyFill="0" applyBorder="0" applyAlignment="0" applyProtection="0"/>
    <xf numFmtId="0" fontId="17" fillId="0" borderId="0"/>
    <xf numFmtId="0" fontId="15" fillId="0" borderId="0"/>
    <xf numFmtId="0" fontId="14" fillId="0" borderId="0"/>
    <xf numFmtId="0" fontId="19" fillId="0" borderId="0"/>
    <xf numFmtId="0" fontId="15" fillId="0" borderId="0"/>
    <xf numFmtId="0" fontId="15" fillId="0" borderId="0"/>
    <xf numFmtId="0" fontId="17" fillId="0" borderId="0"/>
    <xf numFmtId="0" fontId="15" fillId="0" borderId="0"/>
    <xf numFmtId="0" fontId="14" fillId="0" borderId="0"/>
    <xf numFmtId="0" fontId="14" fillId="0" borderId="0"/>
    <xf numFmtId="0" fontId="14" fillId="0" borderId="0"/>
    <xf numFmtId="0" fontId="14" fillId="0" borderId="0"/>
    <xf numFmtId="9" fontId="15" fillId="0" borderId="0" applyFont="0" applyFill="0" applyBorder="0" applyAlignment="0" applyProtection="0"/>
    <xf numFmtId="0" fontId="15" fillId="0" borderId="0"/>
    <xf numFmtId="167" fontId="15" fillId="0" borderId="0"/>
    <xf numFmtId="167" fontId="18" fillId="5" borderId="0" applyNumberFormat="0" applyBorder="0" applyAlignment="0" applyProtection="0"/>
    <xf numFmtId="167" fontId="18" fillId="6" borderId="0" applyNumberFormat="0" applyBorder="0" applyAlignment="0" applyProtection="0"/>
    <xf numFmtId="167" fontId="18" fillId="7" borderId="0" applyNumberFormat="0" applyBorder="0" applyAlignment="0" applyProtection="0"/>
    <xf numFmtId="167" fontId="18" fillId="8" borderId="0" applyNumberFormat="0" applyBorder="0" applyAlignment="0" applyProtection="0"/>
    <xf numFmtId="167" fontId="18" fillId="9" borderId="0" applyNumberFormat="0" applyBorder="0" applyAlignment="0" applyProtection="0"/>
    <xf numFmtId="167" fontId="18" fillId="10" borderId="0" applyNumberFormat="0" applyBorder="0" applyAlignment="0" applyProtection="0"/>
    <xf numFmtId="167" fontId="18" fillId="11" borderId="0" applyNumberFormat="0" applyBorder="0" applyAlignment="0" applyProtection="0"/>
    <xf numFmtId="167" fontId="18" fillId="12" borderId="0" applyNumberFormat="0" applyBorder="0" applyAlignment="0" applyProtection="0"/>
    <xf numFmtId="167" fontId="18" fillId="13" borderId="0" applyNumberFormat="0" applyBorder="0" applyAlignment="0" applyProtection="0"/>
    <xf numFmtId="167" fontId="18" fillId="8" borderId="0" applyNumberFormat="0" applyBorder="0" applyAlignment="0" applyProtection="0"/>
    <xf numFmtId="167" fontId="18" fillId="11" borderId="0" applyNumberFormat="0" applyBorder="0" applyAlignment="0" applyProtection="0"/>
    <xf numFmtId="167" fontId="18" fillId="14" borderId="0" applyNumberFormat="0" applyBorder="0" applyAlignment="0" applyProtection="0"/>
    <xf numFmtId="167" fontId="28" fillId="15" borderId="0" applyNumberFormat="0" applyBorder="0" applyAlignment="0" applyProtection="0"/>
    <xf numFmtId="167" fontId="28" fillId="12" borderId="0" applyNumberFormat="0" applyBorder="0" applyAlignment="0" applyProtection="0"/>
    <xf numFmtId="167" fontId="28" fillId="13" borderId="0" applyNumberFormat="0" applyBorder="0" applyAlignment="0" applyProtection="0"/>
    <xf numFmtId="167" fontId="28" fillId="16" borderId="0" applyNumberFormat="0" applyBorder="0" applyAlignment="0" applyProtection="0"/>
    <xf numFmtId="167" fontId="28" fillId="17" borderId="0" applyNumberFormat="0" applyBorder="0" applyAlignment="0" applyProtection="0"/>
    <xf numFmtId="167" fontId="28" fillId="18" borderId="0" applyNumberFormat="0" applyBorder="0" applyAlignment="0" applyProtection="0"/>
    <xf numFmtId="167" fontId="28" fillId="19" borderId="0" applyNumberFormat="0" applyBorder="0" applyAlignment="0" applyProtection="0"/>
    <xf numFmtId="167" fontId="28" fillId="20" borderId="0" applyNumberFormat="0" applyBorder="0" applyAlignment="0" applyProtection="0"/>
    <xf numFmtId="167" fontId="28" fillId="21" borderId="0" applyNumberFormat="0" applyBorder="0" applyAlignment="0" applyProtection="0"/>
    <xf numFmtId="167" fontId="28" fillId="16" borderId="0" applyNumberFormat="0" applyBorder="0" applyAlignment="0" applyProtection="0"/>
    <xf numFmtId="167" fontId="28" fillId="17" borderId="0" applyNumberFormat="0" applyBorder="0" applyAlignment="0" applyProtection="0"/>
    <xf numFmtId="167" fontId="28" fillId="22" borderId="0" applyNumberFormat="0" applyBorder="0" applyAlignment="0" applyProtection="0"/>
    <xf numFmtId="167" fontId="29" fillId="6" borderId="0" applyNumberFormat="0" applyBorder="0" applyAlignment="0" applyProtection="0"/>
    <xf numFmtId="167" fontId="30" fillId="23" borderId="5" applyNumberFormat="0" applyAlignment="0" applyProtection="0"/>
    <xf numFmtId="167" fontId="31" fillId="24" borderId="6" applyNumberFormat="0" applyAlignment="0" applyProtection="0"/>
    <xf numFmtId="43" fontId="18"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43" fontId="15" fillId="0" borderId="0" applyFont="0" applyFill="0" applyBorder="0" applyAlignment="0" applyProtection="0"/>
    <xf numFmtId="43" fontId="14"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164" fontId="20"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5" fillId="0" borderId="0" applyFont="0" applyFill="0" applyBorder="0" applyAlignment="0" applyProtection="0"/>
    <xf numFmtId="44" fontId="14" fillId="0" borderId="0" applyFont="0" applyFill="0" applyBorder="0" applyAlignment="0" applyProtection="0"/>
    <xf numFmtId="167" fontId="32" fillId="0" borderId="0" applyNumberFormat="0" applyFill="0" applyBorder="0" applyAlignment="0" applyProtection="0"/>
    <xf numFmtId="167" fontId="33" fillId="7" borderId="0" applyNumberFormat="0" applyBorder="0" applyAlignment="0" applyProtection="0"/>
    <xf numFmtId="167" fontId="34" fillId="0" borderId="7" applyNumberFormat="0" applyFill="0" applyAlignment="0" applyProtection="0"/>
    <xf numFmtId="167" fontId="35" fillId="0" borderId="8" applyNumberFormat="0" applyFill="0" applyAlignment="0" applyProtection="0"/>
    <xf numFmtId="167" fontId="36" fillId="0" borderId="9" applyNumberFormat="0" applyFill="0" applyAlignment="0" applyProtection="0"/>
    <xf numFmtId="167" fontId="23" fillId="0" borderId="0" applyFill="0" applyBorder="0">
      <alignment vertical="center"/>
    </xf>
    <xf numFmtId="167" fontId="36" fillId="0" borderId="0" applyNumberFormat="0" applyFill="0" applyBorder="0" applyAlignment="0" applyProtection="0"/>
    <xf numFmtId="167" fontId="37" fillId="10" borderId="5" applyNumberFormat="0" applyAlignment="0" applyProtection="0"/>
    <xf numFmtId="167" fontId="38" fillId="0" borderId="10" applyNumberFormat="0" applyFill="0" applyAlignment="0" applyProtection="0"/>
    <xf numFmtId="167" fontId="39" fillId="25" borderId="0">
      <alignment horizontal="center"/>
    </xf>
    <xf numFmtId="167" fontId="40" fillId="26" borderId="0" applyNumberFormat="0" applyBorder="0" applyAlignment="0" applyProtection="0"/>
    <xf numFmtId="167" fontId="14" fillId="0" borderId="0"/>
    <xf numFmtId="0" fontId="17" fillId="0" borderId="0"/>
    <xf numFmtId="167" fontId="15" fillId="0" borderId="0"/>
    <xf numFmtId="0" fontId="41" fillId="0" borderId="0"/>
    <xf numFmtId="0" fontId="19" fillId="0" borderId="0"/>
    <xf numFmtId="0" fontId="19" fillId="0" borderId="0"/>
    <xf numFmtId="0" fontId="19" fillId="0" borderId="0"/>
    <xf numFmtId="0" fontId="14" fillId="0" borderId="0"/>
    <xf numFmtId="0" fontId="14" fillId="0" borderId="0"/>
    <xf numFmtId="0" fontId="14" fillId="0" borderId="0"/>
    <xf numFmtId="0" fontId="14" fillId="0" borderId="0"/>
    <xf numFmtId="0" fontId="15" fillId="0" borderId="0"/>
    <xf numFmtId="167" fontId="15" fillId="0" borderId="0"/>
    <xf numFmtId="167" fontId="14" fillId="0" borderId="0"/>
    <xf numFmtId="167" fontId="14" fillId="0" borderId="0"/>
    <xf numFmtId="167" fontId="14" fillId="0" borderId="0"/>
    <xf numFmtId="167" fontId="19" fillId="0" borderId="0"/>
    <xf numFmtId="167" fontId="15" fillId="0" borderId="0"/>
    <xf numFmtId="167" fontId="19" fillId="0" borderId="0"/>
    <xf numFmtId="167" fontId="15" fillId="0" borderId="0"/>
    <xf numFmtId="0" fontId="14" fillId="0" borderId="0"/>
    <xf numFmtId="0" fontId="14" fillId="0" borderId="0"/>
    <xf numFmtId="167" fontId="14" fillId="0" borderId="0"/>
    <xf numFmtId="0" fontId="14" fillId="0" borderId="0"/>
    <xf numFmtId="167" fontId="14" fillId="0" borderId="0"/>
    <xf numFmtId="0" fontId="14" fillId="0" borderId="0"/>
    <xf numFmtId="167" fontId="19" fillId="0" borderId="0">
      <alignment vertical="top"/>
    </xf>
    <xf numFmtId="167" fontId="19" fillId="0" borderId="0">
      <alignment vertical="top"/>
    </xf>
    <xf numFmtId="0" fontId="14" fillId="0" borderId="0"/>
    <xf numFmtId="167" fontId="19" fillId="0" borderId="0">
      <alignment vertical="top"/>
    </xf>
    <xf numFmtId="167" fontId="19" fillId="0" borderId="0">
      <alignment vertical="top"/>
    </xf>
    <xf numFmtId="167" fontId="15" fillId="0" borderId="0">
      <alignment wrapText="1"/>
    </xf>
    <xf numFmtId="167" fontId="19" fillId="0" borderId="0">
      <alignment vertical="top"/>
    </xf>
    <xf numFmtId="167" fontId="15" fillId="0" borderId="0">
      <alignment wrapText="1"/>
    </xf>
    <xf numFmtId="167" fontId="42" fillId="0" borderId="0"/>
    <xf numFmtId="167" fontId="15" fillId="0" borderId="0"/>
    <xf numFmtId="167" fontId="15" fillId="0" borderId="0"/>
    <xf numFmtId="167" fontId="15" fillId="0" borderId="0"/>
    <xf numFmtId="167" fontId="17" fillId="0" borderId="0"/>
    <xf numFmtId="167" fontId="15" fillId="27" borderId="1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0" fontId="14" fillId="2" borderId="1" applyNumberFormat="0" applyFont="0" applyAlignment="0" applyProtection="0"/>
    <xf numFmtId="167" fontId="43" fillId="23" borderId="12" applyNumberFormat="0" applyAlignment="0" applyProtection="0"/>
    <xf numFmtId="9" fontId="15" fillId="0" borderId="0" applyFont="0" applyFill="0" applyBorder="0" applyAlignment="0" applyProtection="0"/>
    <xf numFmtId="9" fontId="44" fillId="0" borderId="0" applyFont="0" applyFill="0" applyBorder="0" applyAlignment="0" applyProtection="0"/>
    <xf numFmtId="9" fontId="14" fillId="0" borderId="0" applyFont="0" applyFill="0" applyBorder="0" applyAlignment="0" applyProtection="0"/>
    <xf numFmtId="9" fontId="15" fillId="0" borderId="0" applyFont="0" applyFill="0" applyBorder="0" applyAlignment="0" applyProtection="0"/>
    <xf numFmtId="9" fontId="14" fillId="0" borderId="0" applyFont="0" applyFill="0" applyBorder="0" applyAlignment="0" applyProtection="0"/>
    <xf numFmtId="167" fontId="45" fillId="0" borderId="0"/>
    <xf numFmtId="167" fontId="46" fillId="0" borderId="0" applyNumberFormat="0" applyFill="0" applyBorder="0" applyAlignment="0" applyProtection="0"/>
    <xf numFmtId="167" fontId="47" fillId="0" borderId="13" applyNumberFormat="0" applyFill="0" applyAlignment="0" applyProtection="0"/>
    <xf numFmtId="167" fontId="48" fillId="0" borderId="0" applyNumberFormat="0" applyFill="0" applyBorder="0" applyAlignment="0" applyProtection="0"/>
    <xf numFmtId="43" fontId="17" fillId="0" borderId="0" applyFont="0" applyFill="0" applyBorder="0" applyAlignment="0" applyProtection="0"/>
    <xf numFmtId="0" fontId="13" fillId="0" borderId="0"/>
    <xf numFmtId="43"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7" fontId="13" fillId="0" borderId="0"/>
    <xf numFmtId="167" fontId="19" fillId="0" borderId="0"/>
    <xf numFmtId="167" fontId="13" fillId="0" borderId="0"/>
    <xf numFmtId="167" fontId="13" fillId="0" borderId="0"/>
    <xf numFmtId="167" fontId="13" fillId="0" borderId="0"/>
    <xf numFmtId="167" fontId="13" fillId="0" borderId="0"/>
    <xf numFmtId="167" fontId="15" fillId="0" borderId="0">
      <alignment wrapText="1"/>
    </xf>
    <xf numFmtId="167" fontId="13" fillId="0" borderId="0"/>
    <xf numFmtId="167" fontId="13" fillId="0" borderId="0"/>
    <xf numFmtId="167" fontId="15" fillId="0" borderId="0"/>
    <xf numFmtId="167" fontId="15" fillId="0" borderId="0"/>
    <xf numFmtId="9" fontId="13" fillId="0" borderId="0" applyFont="0" applyFill="0" applyBorder="0" applyAlignment="0" applyProtection="0"/>
    <xf numFmtId="167" fontId="13" fillId="0" borderId="0"/>
    <xf numFmtId="0" fontId="53" fillId="0" borderId="0" applyNumberFormat="0" applyFill="0" applyBorder="0" applyAlignment="0" applyProtection="0">
      <alignment vertical="top"/>
      <protection locked="0"/>
    </xf>
    <xf numFmtId="0" fontId="19" fillId="0" borderId="0"/>
    <xf numFmtId="0" fontId="15" fillId="0" borderId="0"/>
    <xf numFmtId="0" fontId="15" fillId="0" borderId="0"/>
    <xf numFmtId="0" fontId="12" fillId="0" borderId="0"/>
    <xf numFmtId="0" fontId="12" fillId="0" borderId="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7" fontId="12" fillId="0" borderId="0"/>
    <xf numFmtId="0" fontId="12" fillId="0" borderId="0"/>
    <xf numFmtId="0" fontId="12" fillId="0" borderId="0"/>
    <xf numFmtId="0" fontId="12" fillId="0" borderId="0"/>
    <xf numFmtId="0" fontId="12" fillId="0" borderId="0"/>
    <xf numFmtId="167" fontId="12" fillId="0" borderId="0"/>
    <xf numFmtId="167" fontId="12" fillId="0" borderId="0"/>
    <xf numFmtId="167" fontId="12" fillId="0" borderId="0"/>
    <xf numFmtId="0" fontId="12" fillId="0" borderId="0"/>
    <xf numFmtId="0" fontId="12" fillId="0" borderId="0"/>
    <xf numFmtId="167" fontId="12" fillId="0" borderId="0"/>
    <xf numFmtId="0" fontId="12" fillId="0" borderId="0"/>
    <xf numFmtId="167" fontId="12" fillId="0" borderId="0"/>
    <xf numFmtId="0" fontId="12" fillId="0" borderId="0"/>
    <xf numFmtId="0" fontId="12" fillId="0" borderId="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0" fontId="12" fillId="2" borderId="1" applyNumberFormat="0" applyFont="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43" fontId="12" fillId="0" borderId="0" applyFon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167" fontId="12" fillId="0" borderId="0"/>
    <xf numFmtId="167" fontId="12" fillId="0" borderId="0"/>
    <xf numFmtId="167" fontId="12" fillId="0" borderId="0"/>
    <xf numFmtId="167" fontId="12" fillId="0" borderId="0"/>
    <xf numFmtId="167" fontId="12" fillId="0" borderId="0"/>
    <xf numFmtId="167" fontId="12" fillId="0" borderId="0"/>
    <xf numFmtId="167" fontId="12" fillId="0" borderId="0"/>
    <xf numFmtId="9" fontId="12" fillId="0" borderId="0" applyFont="0" applyFill="0" applyBorder="0" applyAlignment="0" applyProtection="0"/>
    <xf numFmtId="167" fontId="12" fillId="0" borderId="0"/>
    <xf numFmtId="0" fontId="68" fillId="0" borderId="0" applyNumberFormat="0" applyFill="0" applyBorder="0" applyAlignment="0" applyProtection="0"/>
    <xf numFmtId="0" fontId="69" fillId="0" borderId="18" applyNumberFormat="0" applyFill="0" applyAlignment="0" applyProtection="0"/>
    <xf numFmtId="0" fontId="70" fillId="0" borderId="19" applyNumberFormat="0" applyFill="0" applyAlignment="0" applyProtection="0"/>
    <xf numFmtId="0" fontId="71" fillId="0" borderId="20" applyNumberFormat="0" applyFill="0" applyAlignment="0" applyProtection="0"/>
    <xf numFmtId="0" fontId="71" fillId="0" borderId="0" applyNumberFormat="0" applyFill="0" applyBorder="0" applyAlignment="0" applyProtection="0"/>
    <xf numFmtId="0" fontId="72" fillId="28" borderId="0" applyNumberFormat="0" applyBorder="0" applyAlignment="0" applyProtection="0"/>
    <xf numFmtId="0" fontId="73" fillId="29" borderId="0" applyNumberFormat="0" applyBorder="0" applyAlignment="0" applyProtection="0"/>
    <xf numFmtId="0" fontId="74" fillId="30" borderId="0" applyNumberFormat="0" applyBorder="0" applyAlignment="0" applyProtection="0"/>
    <xf numFmtId="0" fontId="75" fillId="31" borderId="21" applyNumberFormat="0" applyAlignment="0" applyProtection="0"/>
    <xf numFmtId="0" fontId="76" fillId="32" borderId="22" applyNumberFormat="0" applyAlignment="0" applyProtection="0"/>
    <xf numFmtId="0" fontId="77" fillId="32" borderId="21" applyNumberFormat="0" applyAlignment="0" applyProtection="0"/>
    <xf numFmtId="0" fontId="78" fillId="0" borderId="23" applyNumberFormat="0" applyFill="0" applyAlignment="0" applyProtection="0"/>
    <xf numFmtId="0" fontId="79" fillId="33" borderId="24" applyNumberFormat="0" applyAlignment="0" applyProtection="0"/>
    <xf numFmtId="0" fontId="80" fillId="0" borderId="0" applyNumberFormat="0" applyFill="0" applyBorder="0" applyAlignment="0" applyProtection="0"/>
    <xf numFmtId="0" fontId="81" fillId="0" borderId="0" applyNumberFormat="0" applyFill="0" applyBorder="0" applyAlignment="0" applyProtection="0"/>
    <xf numFmtId="0" fontId="49" fillId="0" borderId="25" applyNumberFormat="0" applyFill="0" applyAlignment="0" applyProtection="0"/>
    <xf numFmtId="0" fontId="82"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82" fillId="37" borderId="0" applyNumberFormat="0" applyBorder="0" applyAlignment="0" applyProtection="0"/>
    <xf numFmtId="0" fontId="82"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82" fillId="41" borderId="0" applyNumberFormat="0" applyBorder="0" applyAlignment="0" applyProtection="0"/>
    <xf numFmtId="0" fontId="82"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82" fillId="45" borderId="0" applyNumberFormat="0" applyBorder="0" applyAlignment="0" applyProtection="0"/>
    <xf numFmtId="0" fontId="82" fillId="46" borderId="0" applyNumberFormat="0" applyBorder="0" applyAlignment="0" applyProtection="0"/>
    <xf numFmtId="0" fontId="11" fillId="47" borderId="0" applyNumberFormat="0" applyBorder="0" applyAlignment="0" applyProtection="0"/>
    <xf numFmtId="0" fontId="11" fillId="48" borderId="0" applyNumberFormat="0" applyBorder="0" applyAlignment="0" applyProtection="0"/>
    <xf numFmtId="0" fontId="82" fillId="49" borderId="0" applyNumberFormat="0" applyBorder="0" applyAlignment="0" applyProtection="0"/>
    <xf numFmtId="0" fontId="82" fillId="50" borderId="0" applyNumberFormat="0" applyBorder="0" applyAlignment="0" applyProtection="0"/>
    <xf numFmtId="0" fontId="11" fillId="51" borderId="0" applyNumberFormat="0" applyBorder="0" applyAlignment="0" applyProtection="0"/>
    <xf numFmtId="0" fontId="11" fillId="52" borderId="0" applyNumberFormat="0" applyBorder="0" applyAlignment="0" applyProtection="0"/>
    <xf numFmtId="0" fontId="82" fillId="53" borderId="0" applyNumberFormat="0" applyBorder="0" applyAlignment="0" applyProtection="0"/>
    <xf numFmtId="0" fontId="82" fillId="54" borderId="0" applyNumberFormat="0" applyBorder="0" applyAlignment="0" applyProtection="0"/>
    <xf numFmtId="0" fontId="11" fillId="55" borderId="0" applyNumberFormat="0" applyBorder="0" applyAlignment="0" applyProtection="0"/>
    <xf numFmtId="0" fontId="11" fillId="56" borderId="0" applyNumberFormat="0" applyBorder="0" applyAlignment="0" applyProtection="0"/>
    <xf numFmtId="0" fontId="82" fillId="57" borderId="0" applyNumberFormat="0" applyBorder="0" applyAlignment="0" applyProtection="0"/>
    <xf numFmtId="0" fontId="11" fillId="0" borderId="0"/>
    <xf numFmtId="0" fontId="11" fillId="2" borderId="1" applyNumberFormat="0" applyFont="0" applyAlignment="0" applyProtection="0"/>
    <xf numFmtId="9" fontId="17" fillId="0" borderId="0" applyFont="0" applyFill="0" applyBorder="0" applyAlignment="0" applyProtection="0"/>
    <xf numFmtId="0" fontId="10" fillId="0" borderId="0"/>
    <xf numFmtId="9" fontId="17" fillId="0" borderId="0" applyFont="0" applyFill="0" applyBorder="0" applyAlignment="0" applyProtection="0"/>
    <xf numFmtId="0" fontId="10" fillId="0" borderId="0"/>
    <xf numFmtId="0" fontId="9" fillId="0" borderId="0"/>
    <xf numFmtId="0" fontId="9" fillId="2" borderId="1" applyNumberFormat="0" applyFont="0" applyAlignment="0" applyProtection="0"/>
    <xf numFmtId="0" fontId="9" fillId="35" borderId="0" applyNumberFormat="0" applyBorder="0" applyAlignment="0" applyProtection="0"/>
    <xf numFmtId="0" fontId="9" fillId="36"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3" borderId="0" applyNumberFormat="0" applyBorder="0" applyAlignment="0" applyProtection="0"/>
    <xf numFmtId="0" fontId="9" fillId="44" borderId="0" applyNumberFormat="0" applyBorder="0" applyAlignment="0" applyProtection="0"/>
    <xf numFmtId="0" fontId="9" fillId="47" borderId="0" applyNumberFormat="0" applyBorder="0" applyAlignment="0" applyProtection="0"/>
    <xf numFmtId="0" fontId="9" fillId="48" borderId="0" applyNumberFormat="0" applyBorder="0" applyAlignment="0" applyProtection="0"/>
    <xf numFmtId="0" fontId="9" fillId="51" borderId="0" applyNumberFormat="0" applyBorder="0" applyAlignment="0" applyProtection="0"/>
    <xf numFmtId="0" fontId="9" fillId="52" borderId="0" applyNumberFormat="0" applyBorder="0" applyAlignment="0" applyProtection="0"/>
    <xf numFmtId="0" fontId="9" fillId="55" borderId="0" applyNumberFormat="0" applyBorder="0" applyAlignment="0" applyProtection="0"/>
    <xf numFmtId="0" fontId="9" fillId="56"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0" fontId="8" fillId="0" borderId="0"/>
    <xf numFmtId="167"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9"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xf numFmtId="0" fontId="8" fillId="0" borderId="0"/>
    <xf numFmtId="0" fontId="8" fillId="0" borderId="0"/>
    <xf numFmtId="0" fontId="8" fillId="0" borderId="0"/>
    <xf numFmtId="0" fontId="8" fillId="0" borderId="0"/>
    <xf numFmtId="167" fontId="8" fillId="0" borderId="0"/>
    <xf numFmtId="167" fontId="8" fillId="0" borderId="0"/>
    <xf numFmtId="167" fontId="8" fillId="0" borderId="0"/>
    <xf numFmtId="0" fontId="8" fillId="0" borderId="0"/>
    <xf numFmtId="0" fontId="8" fillId="0" borderId="0"/>
    <xf numFmtId="167" fontId="8" fillId="0" borderId="0"/>
    <xf numFmtId="0" fontId="8" fillId="0" borderId="0"/>
    <xf numFmtId="167" fontId="8" fillId="0" borderId="0"/>
    <xf numFmtId="0" fontId="8" fillId="0" borderId="0"/>
    <xf numFmtId="0" fontId="8" fillId="0" borderId="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0" fontId="8" fillId="2" borderId="1" applyNumberFormat="0" applyFont="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43" fontId="8" fillId="0" borderId="0" applyFont="0" applyFill="0" applyBorder="0" applyAlignment="0" applyProtection="0"/>
    <xf numFmtId="43" fontId="8"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167" fontId="8" fillId="0" borderId="0"/>
    <xf numFmtId="167" fontId="8" fillId="0" borderId="0"/>
    <xf numFmtId="167" fontId="8" fillId="0" borderId="0"/>
    <xf numFmtId="167" fontId="8" fillId="0" borderId="0"/>
    <xf numFmtId="167" fontId="8" fillId="0" borderId="0"/>
    <xf numFmtId="167" fontId="8" fillId="0" borderId="0"/>
    <xf numFmtId="167" fontId="8" fillId="0" borderId="0"/>
    <xf numFmtId="9" fontId="8" fillId="0" borderId="0" applyFont="0" applyFill="0" applyBorder="0" applyAlignment="0" applyProtection="0"/>
    <xf numFmtId="167" fontId="8" fillId="0" borderId="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8" fillId="0" borderId="0"/>
    <xf numFmtId="0" fontId="8" fillId="2" borderId="1" applyNumberFormat="0" applyFont="0" applyAlignment="0" applyProtection="0"/>
    <xf numFmtId="0" fontId="8" fillId="0" borderId="0"/>
    <xf numFmtId="0" fontId="8" fillId="0" borderId="0"/>
    <xf numFmtId="0" fontId="8" fillId="0" borderId="0"/>
    <xf numFmtId="0" fontId="8" fillId="2" borderId="1" applyNumberFormat="0" applyFont="0" applyAlignment="0" applyProtection="0"/>
    <xf numFmtId="0" fontId="8" fillId="35" borderId="0" applyNumberFormat="0" applyBorder="0" applyAlignment="0" applyProtection="0"/>
    <xf numFmtId="0" fontId="8" fillId="36"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3" borderId="0" applyNumberFormat="0" applyBorder="0" applyAlignment="0" applyProtection="0"/>
    <xf numFmtId="0" fontId="8" fillId="44" borderId="0" applyNumberFormat="0" applyBorder="0" applyAlignment="0" applyProtection="0"/>
    <xf numFmtId="0" fontId="8" fillId="47" borderId="0" applyNumberFormat="0" applyBorder="0" applyAlignment="0" applyProtection="0"/>
    <xf numFmtId="0" fontId="8" fillId="48" borderId="0" applyNumberFormat="0" applyBorder="0" applyAlignment="0" applyProtection="0"/>
    <xf numFmtId="0" fontId="8" fillId="51" borderId="0" applyNumberFormat="0" applyBorder="0" applyAlignment="0" applyProtection="0"/>
    <xf numFmtId="0" fontId="8" fillId="52" borderId="0" applyNumberFormat="0" applyBorder="0" applyAlignment="0" applyProtection="0"/>
    <xf numFmtId="0" fontId="8" fillId="55" borderId="0" applyNumberFormat="0" applyBorder="0" applyAlignment="0" applyProtection="0"/>
    <xf numFmtId="0" fontId="8"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43" fontId="7" fillId="0" borderId="0" applyFont="0" applyFill="0" applyBorder="0" applyAlignment="0" applyProtection="0"/>
    <xf numFmtId="0" fontId="85" fillId="25" borderId="0"/>
    <xf numFmtId="175" fontId="86" fillId="0" borderId="0"/>
    <xf numFmtId="0" fontId="15" fillId="0" borderId="0"/>
    <xf numFmtId="0" fontId="7" fillId="0" borderId="0"/>
    <xf numFmtId="9" fontId="7" fillId="0" borderId="0" applyFont="0" applyFill="0" applyBorder="0" applyAlignment="0" applyProtection="0"/>
    <xf numFmtId="44" fontId="7" fillId="0" borderId="0" applyFont="0" applyFill="0" applyBorder="0" applyAlignment="0" applyProtection="0"/>
    <xf numFmtId="0" fontId="17" fillId="0" borderId="0"/>
    <xf numFmtId="0" fontId="1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0" fontId="7" fillId="0" borderId="0"/>
    <xf numFmtId="0" fontId="7" fillId="0" borderId="0"/>
    <xf numFmtId="0" fontId="7" fillId="0" borderId="0"/>
    <xf numFmtId="0" fontId="7" fillId="0" borderId="0"/>
    <xf numFmtId="167" fontId="7" fillId="0" borderId="0"/>
    <xf numFmtId="167" fontId="7" fillId="0" borderId="0"/>
    <xf numFmtId="167" fontId="7" fillId="0" borderId="0"/>
    <xf numFmtId="0" fontId="7" fillId="0" borderId="0"/>
    <xf numFmtId="0" fontId="7" fillId="0" borderId="0"/>
    <xf numFmtId="167" fontId="7" fillId="0" borderId="0"/>
    <xf numFmtId="0" fontId="7" fillId="0" borderId="0"/>
    <xf numFmtId="167" fontId="7" fillId="0" borderId="0"/>
    <xf numFmtId="0" fontId="7" fillId="0" borderId="0"/>
    <xf numFmtId="0" fontId="7" fillId="0" borderId="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0" fontId="7" fillId="2" borderId="1"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67" fontId="7" fillId="0" borderId="0"/>
    <xf numFmtId="167" fontId="7" fillId="0" borderId="0"/>
    <xf numFmtId="167" fontId="7" fillId="0" borderId="0"/>
    <xf numFmtId="167" fontId="7" fillId="0" borderId="0"/>
    <xf numFmtId="167" fontId="7" fillId="0" borderId="0"/>
    <xf numFmtId="167" fontId="7" fillId="0" borderId="0"/>
    <xf numFmtId="167" fontId="7" fillId="0" borderId="0"/>
    <xf numFmtId="9" fontId="7" fillId="0" borderId="0" applyFont="0" applyFill="0" applyBorder="0" applyAlignment="0" applyProtection="0"/>
    <xf numFmtId="167" fontId="7" fillId="0" borderId="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0" borderId="0"/>
    <xf numFmtId="0" fontId="7" fillId="0" borderId="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0" fontId="7" fillId="0" borderId="0"/>
    <xf numFmtId="0" fontId="7" fillId="2" borderId="1" applyNumberFormat="0" applyFont="0" applyAlignment="0" applyProtection="0"/>
    <xf numFmtId="0" fontId="7" fillId="35" borderId="0" applyNumberFormat="0" applyBorder="0" applyAlignment="0" applyProtection="0"/>
    <xf numFmtId="0" fontId="7" fillId="36"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3" borderId="0" applyNumberFormat="0" applyBorder="0" applyAlignment="0" applyProtection="0"/>
    <xf numFmtId="0" fontId="7" fillId="44" borderId="0" applyNumberFormat="0" applyBorder="0" applyAlignment="0" applyProtection="0"/>
    <xf numFmtId="0" fontId="7" fillId="47" borderId="0" applyNumberFormat="0" applyBorder="0" applyAlignment="0" applyProtection="0"/>
    <xf numFmtId="0" fontId="7" fillId="48" borderId="0" applyNumberFormat="0" applyBorder="0" applyAlignment="0" applyProtection="0"/>
    <xf numFmtId="0" fontId="7" fillId="51" borderId="0" applyNumberFormat="0" applyBorder="0" applyAlignment="0" applyProtection="0"/>
    <xf numFmtId="0" fontId="7" fillId="52" borderId="0" applyNumberFormat="0" applyBorder="0" applyAlignment="0" applyProtection="0"/>
    <xf numFmtId="0" fontId="7" fillId="55" borderId="0" applyNumberFormat="0" applyBorder="0" applyAlignment="0" applyProtection="0"/>
    <xf numFmtId="0" fontId="7" fillId="56" borderId="0" applyNumberFormat="0" applyBorder="0" applyAlignment="0" applyProtection="0"/>
    <xf numFmtId="43" fontId="7" fillId="0" borderId="0" applyFont="0" applyFill="0" applyBorder="0" applyAlignment="0" applyProtection="0"/>
    <xf numFmtId="0" fontId="7" fillId="0" borderId="0"/>
    <xf numFmtId="9" fontId="7" fillId="0" borderId="0" applyFont="0" applyFill="0" applyBorder="0" applyAlignment="0" applyProtection="0"/>
    <xf numFmtId="44"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0" fontId="6" fillId="0" borderId="0"/>
    <xf numFmtId="0" fontId="6" fillId="0" borderId="0"/>
    <xf numFmtId="0" fontId="6" fillId="0" borderId="0"/>
    <xf numFmtId="0" fontId="6" fillId="0" borderId="0"/>
    <xf numFmtId="167" fontId="6" fillId="0" borderId="0"/>
    <xf numFmtId="167" fontId="6" fillId="0" borderId="0"/>
    <xf numFmtId="167" fontId="6" fillId="0" borderId="0"/>
    <xf numFmtId="0" fontId="6" fillId="0" borderId="0"/>
    <xf numFmtId="0" fontId="6" fillId="0" borderId="0"/>
    <xf numFmtId="167" fontId="6" fillId="0" borderId="0"/>
    <xf numFmtId="0" fontId="6" fillId="0" borderId="0"/>
    <xf numFmtId="167" fontId="6" fillId="0" borderId="0"/>
    <xf numFmtId="0" fontId="6" fillId="0" borderId="0"/>
    <xf numFmtId="0" fontId="6" fillId="0" borderId="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0" fontId="6" fillId="2" borderId="1" applyNumberFormat="0" applyFont="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7" fontId="6" fillId="0" borderId="0"/>
    <xf numFmtId="167" fontId="6" fillId="0" borderId="0"/>
    <xf numFmtId="167" fontId="6" fillId="0" borderId="0"/>
    <xf numFmtId="167" fontId="6" fillId="0" borderId="0"/>
    <xf numFmtId="167" fontId="6" fillId="0" borderId="0"/>
    <xf numFmtId="167" fontId="6" fillId="0" borderId="0"/>
    <xf numFmtId="167" fontId="6" fillId="0" borderId="0"/>
    <xf numFmtId="9" fontId="6" fillId="0" borderId="0" applyFont="0" applyFill="0" applyBorder="0" applyAlignment="0" applyProtection="0"/>
    <xf numFmtId="167" fontId="6" fillId="0" borderId="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0" borderId="0"/>
    <xf numFmtId="0" fontId="6" fillId="0" borderId="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0" fontId="6" fillId="0" borderId="0"/>
    <xf numFmtId="0" fontId="6" fillId="2" borderId="1" applyNumberFormat="0" applyFont="0" applyAlignment="0" applyProtection="0"/>
    <xf numFmtId="0" fontId="6" fillId="35" borderId="0" applyNumberFormat="0" applyBorder="0" applyAlignment="0" applyProtection="0"/>
    <xf numFmtId="0" fontId="6" fillId="36" borderId="0" applyNumberFormat="0" applyBorder="0" applyAlignment="0" applyProtection="0"/>
    <xf numFmtId="0" fontId="6" fillId="39" borderId="0" applyNumberFormat="0" applyBorder="0" applyAlignment="0" applyProtection="0"/>
    <xf numFmtId="0" fontId="6" fillId="40" borderId="0" applyNumberFormat="0" applyBorder="0" applyAlignment="0" applyProtection="0"/>
    <xf numFmtId="0" fontId="6" fillId="43" borderId="0" applyNumberFormat="0" applyBorder="0" applyAlignment="0" applyProtection="0"/>
    <xf numFmtId="0" fontId="6" fillId="44" borderId="0" applyNumberFormat="0" applyBorder="0" applyAlignment="0" applyProtection="0"/>
    <xf numFmtId="0" fontId="6" fillId="47" borderId="0" applyNumberFormat="0" applyBorder="0" applyAlignment="0" applyProtection="0"/>
    <xf numFmtId="0" fontId="6" fillId="48" borderId="0" applyNumberFormat="0" applyBorder="0" applyAlignment="0" applyProtection="0"/>
    <xf numFmtId="0" fontId="6" fillId="51" borderId="0" applyNumberFormat="0" applyBorder="0" applyAlignment="0" applyProtection="0"/>
    <xf numFmtId="0" fontId="6" fillId="52" borderId="0" applyNumberFormat="0" applyBorder="0" applyAlignment="0" applyProtection="0"/>
    <xf numFmtId="0" fontId="6" fillId="55" borderId="0" applyNumberFormat="0" applyBorder="0" applyAlignment="0" applyProtection="0"/>
    <xf numFmtId="0" fontId="6" fillId="56" borderId="0" applyNumberFormat="0" applyBorder="0" applyAlignment="0" applyProtection="0"/>
    <xf numFmtId="43" fontId="6"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4" fillId="0" borderId="0"/>
    <xf numFmtId="176" fontId="15" fillId="0" borderId="0"/>
    <xf numFmtId="176" fontId="106"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0" fontId="3"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0" fontId="3" fillId="0" borderId="0"/>
    <xf numFmtId="0" fontId="3" fillId="0" borderId="0"/>
    <xf numFmtId="0" fontId="3" fillId="0" borderId="0"/>
    <xf numFmtId="0" fontId="3" fillId="0" borderId="0"/>
    <xf numFmtId="167" fontId="3" fillId="0" borderId="0"/>
    <xf numFmtId="167" fontId="3" fillId="0" borderId="0"/>
    <xf numFmtId="167" fontId="3" fillId="0" borderId="0"/>
    <xf numFmtId="0" fontId="3" fillId="0" borderId="0"/>
    <xf numFmtId="0" fontId="3" fillId="0" borderId="0"/>
    <xf numFmtId="167" fontId="3" fillId="0" borderId="0"/>
    <xf numFmtId="0" fontId="3" fillId="0" borderId="0"/>
    <xf numFmtId="167" fontId="3" fillId="0" borderId="0"/>
    <xf numFmtId="0" fontId="3" fillId="0" borderId="0"/>
    <xf numFmtId="0" fontId="3" fillId="0" borderId="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0" fontId="3" fillId="2" borderId="1"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167" fontId="3" fillId="0" borderId="0"/>
    <xf numFmtId="167" fontId="3" fillId="0" borderId="0"/>
    <xf numFmtId="167" fontId="3" fillId="0" borderId="0"/>
    <xf numFmtId="167" fontId="3" fillId="0" borderId="0"/>
    <xf numFmtId="167" fontId="3" fillId="0" borderId="0"/>
    <xf numFmtId="167" fontId="3" fillId="0" borderId="0"/>
    <xf numFmtId="167" fontId="3" fillId="0" borderId="0"/>
    <xf numFmtId="9" fontId="3" fillId="0" borderId="0" applyFont="0" applyFill="0" applyBorder="0" applyAlignment="0" applyProtection="0"/>
    <xf numFmtId="167" fontId="3" fillId="0" borderId="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0" borderId="0"/>
    <xf numFmtId="0" fontId="3" fillId="0" borderId="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0" borderId="0"/>
    <xf numFmtId="0" fontId="3" fillId="2" borderId="1" applyNumberFormat="0" applyFont="0" applyAlignment="0" applyProtection="0"/>
    <xf numFmtId="0" fontId="3" fillId="35" borderId="0" applyNumberFormat="0" applyBorder="0" applyAlignment="0" applyProtection="0"/>
    <xf numFmtId="0" fontId="3" fillId="36" borderId="0" applyNumberFormat="0" applyBorder="0" applyAlignment="0" applyProtection="0"/>
    <xf numFmtId="0" fontId="3" fillId="39" borderId="0" applyNumberFormat="0" applyBorder="0" applyAlignment="0" applyProtection="0"/>
    <xf numFmtId="0" fontId="3" fillId="40" borderId="0" applyNumberFormat="0" applyBorder="0" applyAlignment="0" applyProtection="0"/>
    <xf numFmtId="0" fontId="3" fillId="43" borderId="0" applyNumberFormat="0" applyBorder="0" applyAlignment="0" applyProtection="0"/>
    <xf numFmtId="0" fontId="3" fillId="44" borderId="0" applyNumberFormat="0" applyBorder="0" applyAlignment="0" applyProtection="0"/>
    <xf numFmtId="0" fontId="3" fillId="47" borderId="0" applyNumberFormat="0" applyBorder="0" applyAlignment="0" applyProtection="0"/>
    <xf numFmtId="0" fontId="3" fillId="48" borderId="0" applyNumberFormat="0" applyBorder="0" applyAlignment="0" applyProtection="0"/>
    <xf numFmtId="0" fontId="3" fillId="51" borderId="0" applyNumberFormat="0" applyBorder="0" applyAlignment="0" applyProtection="0"/>
    <xf numFmtId="0" fontId="3" fillId="52"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43" fontId="3" fillId="0" borderId="0" applyFont="0" applyFill="0" applyBorder="0" applyAlignment="0" applyProtection="0"/>
    <xf numFmtId="0" fontId="3" fillId="0" borderId="0"/>
    <xf numFmtId="9" fontId="3" fillId="0" borderId="0" applyFont="0" applyFill="0" applyBorder="0" applyAlignment="0" applyProtection="0"/>
    <xf numFmtId="44" fontId="3" fillId="0" borderId="0" applyFont="0" applyFill="0" applyBorder="0" applyAlignment="0" applyProtection="0"/>
    <xf numFmtId="0" fontId="3" fillId="0" borderId="0"/>
    <xf numFmtId="0" fontId="3" fillId="0" borderId="0"/>
    <xf numFmtId="0" fontId="2" fillId="0" borderId="0"/>
    <xf numFmtId="0" fontId="118" fillId="0" borderId="0" applyNumberFormat="0" applyFill="0" applyBorder="0" applyAlignment="0" applyProtection="0"/>
  </cellStyleXfs>
  <cellXfs count="675">
    <xf numFmtId="0" fontId="0" fillId="0" borderId="0" xfId="0"/>
    <xf numFmtId="167" fontId="54" fillId="0" borderId="0" xfId="151" applyNumberFormat="1" applyFont="1" applyAlignment="1" applyProtection="1">
      <alignment vertical="center"/>
    </xf>
    <xf numFmtId="3" fontId="19" fillId="4" borderId="2" xfId="154" applyNumberFormat="1" applyFont="1" applyFill="1" applyBorder="1" applyAlignment="1" applyProtection="1">
      <alignment horizontal="center" vertical="center" wrapText="1"/>
      <protection locked="0"/>
    </xf>
    <xf numFmtId="0" fontId="0" fillId="3" borderId="2" xfId="0" applyFill="1" applyBorder="1" applyAlignment="1">
      <alignment horizontal="center" vertical="center"/>
    </xf>
    <xf numFmtId="1" fontId="0" fillId="3" borderId="2" xfId="0" applyNumberFormat="1" applyFill="1" applyBorder="1" applyAlignment="1">
      <alignment horizontal="center" vertical="center"/>
    </xf>
    <xf numFmtId="3" fontId="19" fillId="3" borderId="2" xfId="154" applyNumberFormat="1" applyFont="1" applyFill="1" applyBorder="1" applyAlignment="1">
      <alignment horizontal="center" vertical="center" wrapText="1"/>
    </xf>
    <xf numFmtId="0" fontId="93" fillId="62" borderId="2" xfId="0" applyFont="1" applyFill="1" applyBorder="1" applyAlignment="1">
      <alignment horizontal="left" vertical="center" wrapText="1"/>
    </xf>
    <xf numFmtId="0" fontId="22" fillId="0" borderId="0" xfId="0" applyFont="1" applyAlignment="1">
      <alignment vertical="center"/>
    </xf>
    <xf numFmtId="0" fontId="82" fillId="0" borderId="0" xfId="245" applyFont="1"/>
    <xf numFmtId="0" fontId="5" fillId="0" borderId="0" xfId="245" applyFont="1"/>
    <xf numFmtId="0" fontId="92" fillId="61" borderId="0" xfId="0" applyFont="1" applyFill="1"/>
    <xf numFmtId="0" fontId="0" fillId="0" borderId="0" xfId="0" applyAlignment="1">
      <alignment vertical="center"/>
    </xf>
    <xf numFmtId="0" fontId="93" fillId="62" borderId="2" xfId="0" applyFont="1" applyFill="1" applyBorder="1" applyAlignment="1">
      <alignment horizontal="center" vertical="center" wrapText="1"/>
    </xf>
    <xf numFmtId="14" fontId="19" fillId="3" borderId="17" xfId="154" applyNumberFormat="1" applyFont="1" applyFill="1" applyBorder="1" applyAlignment="1">
      <alignment horizontal="center" vertical="center" wrapText="1"/>
    </xf>
    <xf numFmtId="0" fontId="25" fillId="0" borderId="0" xfId="0" applyFont="1" applyAlignment="1">
      <alignment vertical="center"/>
    </xf>
    <xf numFmtId="3" fontId="56" fillId="0" borderId="0" xfId="154" applyNumberFormat="1" applyFont="1" applyAlignment="1">
      <alignment horizontal="center" vertical="center" wrapText="1"/>
    </xf>
    <xf numFmtId="3" fontId="56" fillId="4" borderId="0" xfId="154" applyNumberFormat="1" applyFont="1" applyFill="1" applyAlignment="1">
      <alignment horizontal="center" vertical="center" wrapText="1"/>
    </xf>
    <xf numFmtId="170" fontId="0" fillId="0" borderId="0" xfId="0" applyNumberFormat="1" applyAlignment="1">
      <alignment vertical="center"/>
    </xf>
    <xf numFmtId="3" fontId="56" fillId="4" borderId="0" xfId="154" applyNumberFormat="1" applyFont="1" applyFill="1" applyAlignment="1">
      <alignment horizontal="left" vertical="center" wrapText="1"/>
    </xf>
    <xf numFmtId="0" fontId="27" fillId="0" borderId="0" xfId="11" applyFont="1" applyAlignment="1">
      <alignment vertical="center"/>
    </xf>
    <xf numFmtId="0" fontId="16" fillId="0" borderId="0" xfId="11" applyFont="1" applyAlignment="1">
      <alignment vertical="center"/>
    </xf>
    <xf numFmtId="0" fontId="26" fillId="0" borderId="0" xfId="0" applyFont="1" applyAlignment="1">
      <alignment horizontal="left" vertical="center" wrapText="1"/>
    </xf>
    <xf numFmtId="168" fontId="0" fillId="0" borderId="0" xfId="132" applyNumberFormat="1" applyFont="1" applyAlignment="1" applyProtection="1">
      <alignment horizontal="center" vertical="center"/>
    </xf>
    <xf numFmtId="168" fontId="21" fillId="0" borderId="0" xfId="132" applyNumberFormat="1" applyFont="1" applyAlignment="1" applyProtection="1">
      <alignment horizontal="center" vertical="center"/>
    </xf>
    <xf numFmtId="0" fontId="24" fillId="0" borderId="0" xfId="0" applyFont="1" applyAlignment="1">
      <alignment vertical="center"/>
    </xf>
    <xf numFmtId="0" fontId="21" fillId="0" borderId="0" xfId="0" applyFont="1" applyAlignment="1">
      <alignment vertical="center"/>
    </xf>
    <xf numFmtId="14" fontId="50" fillId="0" borderId="0" xfId="0" applyNumberFormat="1" applyFont="1" applyAlignment="1">
      <alignment vertical="center"/>
    </xf>
    <xf numFmtId="166" fontId="0" fillId="0" borderId="0" xfId="0" applyNumberFormat="1" applyAlignment="1">
      <alignment vertical="center"/>
    </xf>
    <xf numFmtId="3" fontId="19" fillId="4" borderId="35" xfId="154" applyNumberFormat="1" applyFont="1" applyFill="1" applyBorder="1" applyAlignment="1" applyProtection="1">
      <alignment horizontal="center" vertical="center" wrapText="1"/>
      <protection locked="0"/>
    </xf>
    <xf numFmtId="3" fontId="19" fillId="4" borderId="36" xfId="154" applyNumberFormat="1" applyFont="1" applyFill="1" applyBorder="1" applyAlignment="1" applyProtection="1">
      <alignment horizontal="center" vertical="center" wrapText="1"/>
      <protection locked="0"/>
    </xf>
    <xf numFmtId="3" fontId="19" fillId="0" borderId="0" xfId="154" applyNumberFormat="1" applyFont="1" applyAlignment="1">
      <alignment horizontal="center" vertical="center" wrapText="1"/>
    </xf>
    <xf numFmtId="3" fontId="19" fillId="4" borderId="0" xfId="154" applyNumberFormat="1" applyFont="1" applyFill="1" applyAlignment="1">
      <alignment horizontal="center" vertical="center" wrapText="1"/>
    </xf>
    <xf numFmtId="0" fontId="19" fillId="4" borderId="0" xfId="154" applyFont="1" applyFill="1" applyAlignment="1">
      <alignment horizontal="center" vertical="center" wrapText="1"/>
    </xf>
    <xf numFmtId="169" fontId="19" fillId="4" borderId="0" xfId="154" applyNumberFormat="1" applyFont="1" applyFill="1" applyAlignment="1">
      <alignment horizontal="center" vertical="center" wrapText="1"/>
    </xf>
    <xf numFmtId="0" fontId="10" fillId="0" borderId="0" xfId="245"/>
    <xf numFmtId="0" fontId="10" fillId="0" borderId="0" xfId="245" applyAlignment="1">
      <alignment horizontal="center"/>
    </xf>
    <xf numFmtId="0" fontId="15" fillId="0" borderId="0" xfId="5" applyAlignment="1">
      <alignment vertical="center"/>
    </xf>
    <xf numFmtId="167" fontId="55" fillId="0" borderId="0" xfId="88" applyFont="1" applyAlignment="1">
      <alignment horizontal="left" vertical="center"/>
    </xf>
    <xf numFmtId="167" fontId="55" fillId="0" borderId="0" xfId="88" applyFont="1" applyAlignment="1">
      <alignment vertical="center"/>
    </xf>
    <xf numFmtId="0" fontId="17" fillId="0" borderId="2" xfId="138" applyNumberFormat="1" applyFont="1" applyBorder="1" applyAlignment="1">
      <alignment horizontal="left" vertical="center"/>
    </xf>
    <xf numFmtId="0" fontId="15" fillId="0" borderId="0" xfId="5" applyAlignment="1">
      <alignment horizontal="left" vertical="center"/>
    </xf>
    <xf numFmtId="2" fontId="17" fillId="0" borderId="2" xfId="138" applyNumberFormat="1" applyFont="1" applyBorder="1" applyAlignment="1">
      <alignment horizontal="center" vertical="center"/>
    </xf>
    <xf numFmtId="167" fontId="17" fillId="0" borderId="2" xfId="138" applyFont="1" applyBorder="1" applyAlignment="1">
      <alignment horizontal="center" vertical="center"/>
    </xf>
    <xf numFmtId="167" fontId="20" fillId="0" borderId="0" xfId="88" applyFont="1" applyAlignment="1">
      <alignment vertical="center"/>
    </xf>
    <xf numFmtId="167" fontId="15" fillId="0" borderId="0" xfId="78" applyAlignment="1">
      <alignment vertical="center"/>
    </xf>
    <xf numFmtId="167" fontId="21" fillId="0" borderId="0" xfId="138" applyFont="1" applyAlignment="1">
      <alignment vertical="center"/>
    </xf>
    <xf numFmtId="167" fontId="22" fillId="0" borderId="0" xfId="138" applyFont="1" applyAlignment="1">
      <alignment vertical="center"/>
    </xf>
    <xf numFmtId="167" fontId="52" fillId="0" borderId="0" xfId="138" applyFont="1" applyAlignment="1">
      <alignment vertical="center"/>
    </xf>
    <xf numFmtId="3" fontId="20" fillId="0" borderId="0" xfId="88" applyNumberFormat="1" applyFont="1" applyAlignment="1">
      <alignment vertical="center"/>
    </xf>
    <xf numFmtId="167" fontId="15" fillId="0" borderId="0" xfId="88" applyAlignment="1">
      <alignment vertical="center"/>
    </xf>
    <xf numFmtId="3" fontId="15" fillId="0" borderId="0" xfId="88" applyNumberFormat="1" applyAlignment="1">
      <alignment vertical="center"/>
    </xf>
    <xf numFmtId="167" fontId="17" fillId="0" borderId="0" xfId="138" applyFont="1" applyAlignment="1">
      <alignment vertical="center"/>
    </xf>
    <xf numFmtId="166" fontId="17" fillId="0" borderId="2" xfId="138" applyNumberFormat="1" applyFont="1" applyBorder="1" applyAlignment="1">
      <alignment horizontal="center" vertical="center"/>
    </xf>
    <xf numFmtId="167" fontId="49" fillId="0" borderId="0" xfId="138" applyFont="1" applyAlignment="1">
      <alignment vertical="center"/>
    </xf>
    <xf numFmtId="0" fontId="17" fillId="0" borderId="2" xfId="138" applyNumberFormat="1" applyFont="1" applyBorder="1" applyAlignment="1">
      <alignment horizontal="center" vertical="center"/>
    </xf>
    <xf numFmtId="167" fontId="51" fillId="0" borderId="0" xfId="88" applyFont="1" applyAlignment="1">
      <alignment vertical="center"/>
    </xf>
    <xf numFmtId="167" fontId="13" fillId="0" borderId="0" xfId="138" applyAlignment="1">
      <alignment vertical="center"/>
    </xf>
    <xf numFmtId="167" fontId="62" fillId="0" borderId="0" xfId="88" applyFont="1" applyAlignment="1">
      <alignment vertical="center"/>
    </xf>
    <xf numFmtId="0" fontId="0" fillId="0" borderId="0" xfId="0" quotePrefix="1"/>
    <xf numFmtId="0" fontId="61" fillId="0" borderId="0" xfId="0" applyFont="1" applyAlignment="1">
      <alignment horizontal="justify"/>
    </xf>
    <xf numFmtId="0" fontId="51" fillId="0" borderId="0" xfId="0" applyFont="1"/>
    <xf numFmtId="1" fontId="51" fillId="0" borderId="2" xfId="138" applyNumberFormat="1" applyFont="1" applyBorder="1" applyAlignment="1">
      <alignment horizontal="center" vertical="center"/>
    </xf>
    <xf numFmtId="172" fontId="51" fillId="0" borderId="2" xfId="138" applyNumberFormat="1" applyFont="1" applyBorder="1" applyAlignment="1">
      <alignment horizontal="center" vertical="center"/>
    </xf>
    <xf numFmtId="0" fontId="84" fillId="59" borderId="2" xfId="138" applyNumberFormat="1" applyFont="1" applyFill="1" applyBorder="1" applyAlignment="1">
      <alignment horizontal="center" vertical="center"/>
    </xf>
    <xf numFmtId="0" fontId="84" fillId="58" borderId="2" xfId="138" applyNumberFormat="1" applyFont="1" applyFill="1" applyBorder="1" applyAlignment="1">
      <alignment horizontal="center" vertical="center"/>
    </xf>
    <xf numFmtId="0" fontId="84" fillId="60" borderId="2" xfId="138" applyNumberFormat="1" applyFont="1" applyFill="1" applyBorder="1" applyAlignment="1">
      <alignment horizontal="center" vertical="center"/>
    </xf>
    <xf numFmtId="9" fontId="84" fillId="59" borderId="2" xfId="244" applyFont="1" applyFill="1" applyBorder="1" applyAlignment="1" applyProtection="1">
      <alignment horizontal="center" vertical="center"/>
    </xf>
    <xf numFmtId="0" fontId="84" fillId="0" borderId="2" xfId="138" applyNumberFormat="1" applyFont="1" applyBorder="1" applyAlignment="1">
      <alignment horizontal="center" vertical="center"/>
    </xf>
    <xf numFmtId="9" fontId="84" fillId="0" borderId="2" xfId="244" applyFont="1" applyBorder="1" applyAlignment="1" applyProtection="1">
      <alignment horizontal="center" vertical="center"/>
    </xf>
    <xf numFmtId="9" fontId="84" fillId="58" borderId="2" xfId="244" applyFont="1" applyFill="1" applyBorder="1" applyAlignment="1" applyProtection="1">
      <alignment horizontal="center" vertical="center"/>
    </xf>
    <xf numFmtId="9" fontId="84" fillId="0" borderId="2" xfId="138" applyNumberFormat="1" applyFont="1" applyBorder="1" applyAlignment="1">
      <alignment horizontal="center" vertical="center"/>
    </xf>
    <xf numFmtId="9" fontId="84" fillId="60" borderId="2" xfId="244" applyFont="1" applyFill="1" applyBorder="1" applyAlignment="1" applyProtection="1">
      <alignment horizontal="center" vertical="center"/>
    </xf>
    <xf numFmtId="0" fontId="15" fillId="0" borderId="0" xfId="5" applyAlignment="1">
      <alignment horizontal="center" vertical="center"/>
    </xf>
    <xf numFmtId="174" fontId="19" fillId="4" borderId="37" xfId="154" applyNumberFormat="1" applyFont="1" applyFill="1" applyBorder="1" applyAlignment="1" applyProtection="1">
      <alignment horizontal="center" vertical="center" wrapText="1"/>
      <protection locked="0"/>
    </xf>
    <xf numFmtId="9" fontId="84" fillId="0" borderId="2" xfId="244" applyFont="1" applyFill="1" applyBorder="1" applyAlignment="1" applyProtection="1">
      <alignment horizontal="center" vertical="center"/>
    </xf>
    <xf numFmtId="0" fontId="93" fillId="0" borderId="0" xfId="0" applyFont="1" applyAlignment="1">
      <alignment horizontal="center" vertical="center" wrapText="1"/>
    </xf>
    <xf numFmtId="3" fontId="19" fillId="0" borderId="0" xfId="154" applyNumberFormat="1" applyFont="1" applyAlignment="1" applyProtection="1">
      <alignment horizontal="left" vertical="center" wrapText="1"/>
      <protection locked="0"/>
    </xf>
    <xf numFmtId="0" fontId="99" fillId="63" borderId="14" xfId="0" applyFont="1" applyFill="1" applyBorder="1" applyAlignment="1">
      <alignment horizontal="center" vertical="center"/>
    </xf>
    <xf numFmtId="0" fontId="98" fillId="63" borderId="2" xfId="0" applyFont="1" applyFill="1" applyBorder="1" applyAlignment="1">
      <alignment horizontal="center" vertical="center" wrapText="1"/>
    </xf>
    <xf numFmtId="0" fontId="99" fillId="63" borderId="2" xfId="0" applyFont="1" applyFill="1" applyBorder="1" applyAlignment="1">
      <alignment horizontal="center" vertical="center"/>
    </xf>
    <xf numFmtId="0" fontId="98" fillId="63" borderId="14" xfId="0" applyFont="1" applyFill="1" applyBorder="1" applyAlignment="1">
      <alignment horizontal="left" vertical="center" wrapText="1"/>
    </xf>
    <xf numFmtId="0" fontId="98" fillId="63" borderId="2" xfId="0" applyFont="1" applyFill="1" applyBorder="1" applyAlignment="1">
      <alignment horizontal="left" vertical="center" wrapText="1"/>
    </xf>
    <xf numFmtId="3" fontId="19" fillId="4" borderId="56" xfId="154" applyNumberFormat="1" applyFont="1" applyFill="1" applyBorder="1" applyAlignment="1" applyProtection="1">
      <alignment horizontal="left" vertical="center" wrapText="1"/>
      <protection locked="0"/>
    </xf>
    <xf numFmtId="0" fontId="0" fillId="64" borderId="2" xfId="0" applyFill="1" applyBorder="1" applyAlignment="1">
      <alignment horizontal="center" vertical="center"/>
    </xf>
    <xf numFmtId="3" fontId="19" fillId="64" borderId="2" xfId="154" applyNumberFormat="1" applyFont="1" applyFill="1" applyBorder="1" applyAlignment="1">
      <alignment horizontal="center" vertical="center" wrapText="1"/>
    </xf>
    <xf numFmtId="3" fontId="19" fillId="64" borderId="17" xfId="154" applyNumberFormat="1" applyFont="1" applyFill="1" applyBorder="1" applyAlignment="1">
      <alignment horizontal="center" vertical="center" wrapText="1"/>
    </xf>
    <xf numFmtId="4" fontId="19" fillId="64" borderId="2" xfId="154" applyNumberFormat="1" applyFont="1" applyFill="1" applyBorder="1" applyAlignment="1">
      <alignment horizontal="center" vertical="center" wrapText="1"/>
    </xf>
    <xf numFmtId="0" fontId="19" fillId="64" borderId="2" xfId="154" applyFont="1" applyFill="1" applyBorder="1" applyAlignment="1">
      <alignment horizontal="center" vertical="center" wrapText="1"/>
    </xf>
    <xf numFmtId="3" fontId="19" fillId="64" borderId="15" xfId="154" applyNumberFormat="1" applyFont="1" applyFill="1" applyBorder="1" applyAlignment="1">
      <alignment horizontal="center" vertical="center" wrapText="1"/>
    </xf>
    <xf numFmtId="0" fontId="98" fillId="65" borderId="16" xfId="0" applyFont="1" applyFill="1" applyBorder="1" applyAlignment="1">
      <alignment horizontal="center" vertical="center" wrapText="1"/>
    </xf>
    <xf numFmtId="0" fontId="98" fillId="65" borderId="2" xfId="0" applyFont="1" applyFill="1" applyBorder="1" applyAlignment="1">
      <alignment horizontal="center" vertical="center" wrapText="1"/>
    </xf>
    <xf numFmtId="0" fontId="98" fillId="65" borderId="14" xfId="0" applyFont="1" applyFill="1" applyBorder="1" applyAlignment="1">
      <alignment horizontal="center" vertical="center" wrapText="1"/>
    </xf>
    <xf numFmtId="0" fontId="98" fillId="65" borderId="17" xfId="0" applyFont="1" applyFill="1" applyBorder="1" applyAlignment="1">
      <alignment horizontal="center" vertical="center" wrapText="1"/>
    </xf>
    <xf numFmtId="0" fontId="98" fillId="63" borderId="14" xfId="0" applyFont="1" applyFill="1" applyBorder="1" applyAlignment="1">
      <alignment horizontal="left" vertical="center"/>
    </xf>
    <xf numFmtId="0" fontId="99" fillId="0" borderId="0" xfId="0" applyFont="1" applyAlignment="1">
      <alignment vertical="center"/>
    </xf>
    <xf numFmtId="0" fontId="0" fillId="64" borderId="14" xfId="0" applyFill="1" applyBorder="1" applyAlignment="1">
      <alignment horizontal="left" vertical="center" wrapText="1"/>
    </xf>
    <xf numFmtId="0" fontId="0" fillId="64" borderId="2" xfId="0" applyFill="1" applyBorder="1" applyAlignment="1">
      <alignment horizontal="left" vertical="center" wrapText="1"/>
    </xf>
    <xf numFmtId="3" fontId="91" fillId="64" borderId="17" xfId="154" applyNumberFormat="1" applyFont="1" applyFill="1" applyBorder="1" applyAlignment="1">
      <alignment horizontal="center" vertical="center" wrapText="1"/>
    </xf>
    <xf numFmtId="3" fontId="91" fillId="64" borderId="2" xfId="154" applyNumberFormat="1" applyFont="1" applyFill="1" applyBorder="1" applyAlignment="1">
      <alignment horizontal="center" vertical="center" wrapText="1"/>
    </xf>
    <xf numFmtId="0" fontId="0" fillId="64" borderId="2" xfId="0" applyFill="1" applyBorder="1" applyAlignment="1">
      <alignment horizontal="center" vertical="center" wrapText="1"/>
    </xf>
    <xf numFmtId="3" fontId="0" fillId="64" borderId="2" xfId="0" applyNumberFormat="1" applyFill="1" applyBorder="1" applyAlignment="1">
      <alignment horizontal="center" vertical="center" wrapText="1"/>
    </xf>
    <xf numFmtId="166" fontId="0" fillId="64" borderId="2" xfId="0" applyNumberFormat="1" applyFill="1" applyBorder="1" applyAlignment="1">
      <alignment horizontal="center" vertical="center" wrapText="1"/>
    </xf>
    <xf numFmtId="1" fontId="91" fillId="64" borderId="2" xfId="154" applyNumberFormat="1" applyFont="1" applyFill="1" applyBorder="1" applyAlignment="1">
      <alignment horizontal="center" vertical="center" wrapText="1"/>
    </xf>
    <xf numFmtId="3" fontId="95" fillId="64" borderId="2" xfId="154" applyNumberFormat="1" applyFont="1" applyFill="1" applyBorder="1" applyAlignment="1">
      <alignment horizontal="center" vertical="center" wrapText="1"/>
    </xf>
    <xf numFmtId="0" fontId="0" fillId="64" borderId="0" xfId="0" applyFill="1" applyAlignment="1">
      <alignment vertical="center"/>
    </xf>
    <xf numFmtId="3" fontId="91" fillId="64" borderId="15" xfId="0" applyNumberFormat="1" applyFont="1" applyFill="1" applyBorder="1" applyAlignment="1">
      <alignment horizontal="center" vertical="center" wrapText="1"/>
    </xf>
    <xf numFmtId="0" fontId="91" fillId="64" borderId="2" xfId="0" applyFont="1" applyFill="1" applyBorder="1" applyAlignment="1">
      <alignment horizontal="center" vertical="center" wrapText="1"/>
    </xf>
    <xf numFmtId="3" fontId="91" fillId="64" borderId="2" xfId="0" applyNumberFormat="1" applyFont="1" applyFill="1" applyBorder="1" applyAlignment="1">
      <alignment horizontal="center" vertical="center" wrapText="1"/>
    </xf>
    <xf numFmtId="0" fontId="99" fillId="63" borderId="14" xfId="0" applyFont="1" applyFill="1" applyBorder="1" applyAlignment="1">
      <alignment horizontal="left" vertical="center" wrapText="1"/>
    </xf>
    <xf numFmtId="0" fontId="98" fillId="63" borderId="3" xfId="0" applyFont="1" applyFill="1" applyBorder="1" applyAlignment="1">
      <alignment horizontal="center" vertical="center" wrapText="1"/>
    </xf>
    <xf numFmtId="3" fontId="19" fillId="63" borderId="2" xfId="154" applyNumberFormat="1" applyFont="1" applyFill="1" applyBorder="1" applyAlignment="1">
      <alignment horizontal="center" vertical="center" wrapText="1"/>
    </xf>
    <xf numFmtId="3" fontId="19" fillId="4" borderId="58" xfId="154" applyNumberFormat="1" applyFont="1" applyFill="1" applyBorder="1" applyAlignment="1" applyProtection="1">
      <alignment horizontal="left" vertical="center" wrapText="1"/>
      <protection locked="0"/>
    </xf>
    <xf numFmtId="3" fontId="19" fillId="4" borderId="59" xfId="154" applyNumberFormat="1" applyFont="1" applyFill="1" applyBorder="1" applyAlignment="1" applyProtection="1">
      <alignment horizontal="center" vertical="center" wrapText="1"/>
      <protection locked="0"/>
    </xf>
    <xf numFmtId="3" fontId="19" fillId="4" borderId="60" xfId="154" applyNumberFormat="1" applyFont="1" applyFill="1" applyBorder="1" applyAlignment="1" applyProtection="1">
      <alignment horizontal="center" vertical="center" wrapText="1"/>
      <protection locked="0"/>
    </xf>
    <xf numFmtId="3" fontId="19" fillId="4" borderId="64" xfId="154" applyNumberFormat="1" applyFont="1" applyFill="1" applyBorder="1" applyAlignment="1" applyProtection="1">
      <alignment horizontal="left" vertical="center" wrapText="1"/>
      <protection locked="0"/>
    </xf>
    <xf numFmtId="3" fontId="19" fillId="4" borderId="65" xfId="154" applyNumberFormat="1" applyFont="1" applyFill="1" applyBorder="1" applyAlignment="1" applyProtection="1">
      <alignment horizontal="center" vertical="center" wrapText="1"/>
      <protection locked="0"/>
    </xf>
    <xf numFmtId="3" fontId="19" fillId="4" borderId="66" xfId="154" applyNumberFormat="1" applyFont="1" applyFill="1" applyBorder="1" applyAlignment="1" applyProtection="1">
      <alignment horizontal="center" vertical="center" wrapText="1"/>
      <protection locked="0"/>
    </xf>
    <xf numFmtId="3" fontId="19" fillId="4" borderId="61" xfId="154" applyNumberFormat="1" applyFont="1" applyFill="1" applyBorder="1" applyAlignment="1" applyProtection="1">
      <alignment horizontal="left" vertical="center" wrapText="1"/>
      <protection locked="0"/>
    </xf>
    <xf numFmtId="3" fontId="19" fillId="4" borderId="62" xfId="154" applyNumberFormat="1" applyFont="1" applyFill="1" applyBorder="1" applyAlignment="1" applyProtection="1">
      <alignment horizontal="center" vertical="center" wrapText="1"/>
      <protection locked="0"/>
    </xf>
    <xf numFmtId="3" fontId="19" fillId="4" borderId="63" xfId="154" applyNumberFormat="1" applyFont="1" applyFill="1" applyBorder="1" applyAlignment="1" applyProtection="1">
      <alignment horizontal="center" vertical="center" wrapText="1"/>
      <protection locked="0"/>
    </xf>
    <xf numFmtId="3" fontId="19" fillId="4" borderId="58" xfId="154" applyNumberFormat="1" applyFont="1" applyFill="1" applyBorder="1" applyAlignment="1" applyProtection="1">
      <alignment horizontal="center" vertical="center" wrapText="1"/>
      <protection locked="0"/>
    </xf>
    <xf numFmtId="0" fontId="19" fillId="4" borderId="59" xfId="154" applyFont="1" applyFill="1" applyBorder="1" applyAlignment="1" applyProtection="1">
      <alignment horizontal="center" vertical="center" wrapText="1"/>
      <protection locked="0"/>
    </xf>
    <xf numFmtId="169" fontId="19" fillId="4" borderId="59" xfId="154" applyNumberFormat="1" applyFont="1" applyFill="1" applyBorder="1" applyAlignment="1" applyProtection="1">
      <alignment horizontal="center" vertical="center" wrapText="1"/>
      <protection locked="0"/>
    </xf>
    <xf numFmtId="3" fontId="19" fillId="4" borderId="64" xfId="154" applyNumberFormat="1" applyFont="1" applyFill="1" applyBorder="1" applyAlignment="1" applyProtection="1">
      <alignment horizontal="center" vertical="center" wrapText="1"/>
      <protection locked="0"/>
    </xf>
    <xf numFmtId="0" fontId="19" fillId="4" borderId="65" xfId="154" applyFont="1" applyFill="1" applyBorder="1" applyAlignment="1" applyProtection="1">
      <alignment horizontal="center" vertical="center" wrapText="1"/>
      <protection locked="0"/>
    </xf>
    <xf numFmtId="169" fontId="19" fillId="4" borderId="65" xfId="154" applyNumberFormat="1" applyFont="1" applyFill="1" applyBorder="1" applyAlignment="1" applyProtection="1">
      <alignment horizontal="center" vertical="center" wrapText="1"/>
      <protection locked="0"/>
    </xf>
    <xf numFmtId="3" fontId="19" fillId="4" borderId="61" xfId="154" applyNumberFormat="1" applyFont="1" applyFill="1" applyBorder="1" applyAlignment="1" applyProtection="1">
      <alignment horizontal="center" vertical="center" wrapText="1"/>
      <protection locked="0"/>
    </xf>
    <xf numFmtId="0" fontId="19" fillId="4" borderId="62" xfId="154" applyFont="1" applyFill="1" applyBorder="1" applyAlignment="1" applyProtection="1">
      <alignment horizontal="center" vertical="center" wrapText="1"/>
      <protection locked="0"/>
    </xf>
    <xf numFmtId="169" fontId="19" fillId="4" borderId="62" xfId="154" applyNumberFormat="1" applyFont="1" applyFill="1" applyBorder="1" applyAlignment="1" applyProtection="1">
      <alignment horizontal="center" vertical="center" wrapText="1"/>
      <protection locked="0"/>
    </xf>
    <xf numFmtId="3" fontId="19" fillId="4" borderId="67" xfId="154" applyNumberFormat="1" applyFont="1" applyFill="1" applyBorder="1" applyAlignment="1" applyProtection="1">
      <alignment horizontal="center" vertical="center" wrapText="1"/>
      <protection locked="0"/>
    </xf>
    <xf numFmtId="0" fontId="19" fillId="4" borderId="68" xfId="154" applyFont="1" applyFill="1" applyBorder="1" applyAlignment="1" applyProtection="1">
      <alignment horizontal="center" vertical="center" wrapText="1"/>
      <protection locked="0"/>
    </xf>
    <xf numFmtId="169" fontId="19" fillId="4" borderId="68" xfId="154" applyNumberFormat="1" applyFont="1" applyFill="1" applyBorder="1" applyAlignment="1" applyProtection="1">
      <alignment horizontal="center" vertical="center" wrapText="1"/>
      <protection locked="0"/>
    </xf>
    <xf numFmtId="3" fontId="19" fillId="4" borderId="69" xfId="154" applyNumberFormat="1" applyFont="1" applyFill="1" applyBorder="1" applyAlignment="1" applyProtection="1">
      <alignment horizontal="center" vertical="center" wrapText="1"/>
      <protection locked="0"/>
    </xf>
    <xf numFmtId="0" fontId="98" fillId="0" borderId="0" xfId="0" applyFont="1" applyAlignment="1">
      <alignment horizontal="center" vertical="center" wrapText="1"/>
    </xf>
    <xf numFmtId="0" fontId="98" fillId="63" borderId="2" xfId="0" applyFont="1" applyFill="1" applyBorder="1" applyAlignment="1">
      <alignment vertical="center" wrapText="1"/>
    </xf>
    <xf numFmtId="0" fontId="98" fillId="63" borderId="14" xfId="0" applyFont="1" applyFill="1" applyBorder="1" applyAlignment="1">
      <alignment vertical="center" wrapText="1"/>
    </xf>
    <xf numFmtId="0" fontId="17" fillId="0" borderId="0" xfId="2235" applyFont="1"/>
    <xf numFmtId="0" fontId="104" fillId="0" borderId="65" xfId="2235" applyFont="1" applyBorder="1" applyAlignment="1">
      <alignment horizontal="center" vertical="center"/>
    </xf>
    <xf numFmtId="0" fontId="104" fillId="0" borderId="0" xfId="2235" applyFont="1" applyAlignment="1">
      <alignment horizontal="center" vertical="center"/>
    </xf>
    <xf numFmtId="0" fontId="17" fillId="0" borderId="0" xfId="2235" applyFont="1" applyAlignment="1">
      <alignment vertical="center"/>
    </xf>
    <xf numFmtId="0" fontId="104" fillId="63" borderId="2" xfId="2235" applyFont="1" applyFill="1" applyBorder="1" applyAlignment="1">
      <alignment horizontal="center" vertical="center"/>
    </xf>
    <xf numFmtId="0" fontId="105" fillId="62" borderId="2" xfId="2235" applyFont="1" applyFill="1" applyBorder="1" applyAlignment="1">
      <alignment horizontal="center" vertical="center"/>
    </xf>
    <xf numFmtId="0" fontId="21" fillId="0" borderId="0" xfId="2235" applyFont="1"/>
    <xf numFmtId="0" fontId="104" fillId="64" borderId="2" xfId="2235" applyFont="1" applyFill="1" applyBorder="1" applyAlignment="1">
      <alignment horizontal="center" vertical="center"/>
    </xf>
    <xf numFmtId="0" fontId="4" fillId="4" borderId="0" xfId="2235" applyFill="1"/>
    <xf numFmtId="176" fontId="15" fillId="4" borderId="0" xfId="2236" applyFill="1" applyAlignment="1" applyProtection="1">
      <alignment vertical="top" wrapText="1"/>
      <protection hidden="1"/>
    </xf>
    <xf numFmtId="176" fontId="107" fillId="66" borderId="0" xfId="2237" applyFont="1" applyFill="1" applyAlignment="1">
      <alignment horizontal="left" vertical="center"/>
    </xf>
    <xf numFmtId="176" fontId="63" fillId="0" borderId="0" xfId="2237" applyFont="1" applyAlignment="1">
      <alignment horizontal="left" vertical="center"/>
    </xf>
    <xf numFmtId="176" fontId="63" fillId="0" borderId="0" xfId="2237" applyFont="1"/>
    <xf numFmtId="14" fontId="19" fillId="4" borderId="2" xfId="154" applyNumberFormat="1" applyFont="1" applyFill="1" applyBorder="1" applyAlignment="1">
      <alignment horizontal="center" vertical="center" wrapText="1"/>
    </xf>
    <xf numFmtId="3" fontId="0" fillId="64" borderId="2" xfId="0" applyNumberFormat="1" applyFill="1" applyBorder="1" applyAlignment="1">
      <alignment horizontal="left" vertical="center" wrapText="1"/>
    </xf>
    <xf numFmtId="3" fontId="108" fillId="64" borderId="15" xfId="0" applyNumberFormat="1" applyFont="1" applyFill="1" applyBorder="1" applyAlignment="1">
      <alignment horizontal="center" vertical="center" wrapText="1"/>
    </xf>
    <xf numFmtId="0" fontId="108" fillId="64" borderId="2" xfId="0" applyFont="1" applyFill="1" applyBorder="1" applyAlignment="1">
      <alignment horizontal="center" vertical="center" wrapText="1"/>
    </xf>
    <xf numFmtId="3" fontId="108" fillId="64" borderId="2" xfId="0" applyNumberFormat="1" applyFont="1" applyFill="1" applyBorder="1" applyAlignment="1">
      <alignment horizontal="center" vertical="center" wrapText="1"/>
    </xf>
    <xf numFmtId="0" fontId="99" fillId="64" borderId="2" xfId="0" applyFont="1" applyFill="1" applyBorder="1" applyAlignment="1">
      <alignment horizontal="center" vertical="center" wrapText="1"/>
    </xf>
    <xf numFmtId="3" fontId="108" fillId="64" borderId="2" xfId="154" applyNumberFormat="1" applyFont="1" applyFill="1" applyBorder="1" applyAlignment="1">
      <alignment horizontal="center" vertical="center" wrapText="1"/>
    </xf>
    <xf numFmtId="3" fontId="99" fillId="64" borderId="2" xfId="0" applyNumberFormat="1" applyFont="1" applyFill="1" applyBorder="1" applyAlignment="1">
      <alignment horizontal="left" vertical="center" wrapText="1"/>
    </xf>
    <xf numFmtId="0" fontId="99" fillId="64" borderId="2" xfId="0" applyFont="1" applyFill="1" applyBorder="1" applyAlignment="1">
      <alignment horizontal="left" vertical="center" wrapText="1"/>
    </xf>
    <xf numFmtId="3" fontId="99" fillId="64" borderId="2" xfId="0" applyNumberFormat="1" applyFont="1" applyFill="1" applyBorder="1" applyAlignment="1">
      <alignment horizontal="center" vertical="center" wrapText="1"/>
    </xf>
    <xf numFmtId="166" fontId="99" fillId="64" borderId="2" xfId="0" applyNumberFormat="1" applyFont="1" applyFill="1" applyBorder="1" applyAlignment="1">
      <alignment horizontal="center" vertical="center" wrapText="1"/>
    </xf>
    <xf numFmtId="1" fontId="108" fillId="64" borderId="2" xfId="154" applyNumberFormat="1" applyFont="1" applyFill="1" applyBorder="1" applyAlignment="1">
      <alignment horizontal="center" vertical="center" wrapText="1"/>
    </xf>
    <xf numFmtId="3" fontId="100" fillId="64" borderId="2" xfId="154" applyNumberFormat="1" applyFont="1" applyFill="1" applyBorder="1" applyAlignment="1">
      <alignment horizontal="center" vertical="center" wrapText="1"/>
    </xf>
    <xf numFmtId="3" fontId="108" fillId="64" borderId="17" xfId="154" applyNumberFormat="1" applyFont="1" applyFill="1" applyBorder="1" applyAlignment="1">
      <alignment horizontal="center" vertical="center" wrapText="1"/>
    </xf>
    <xf numFmtId="0" fontId="99" fillId="64" borderId="14" xfId="0" applyFont="1" applyFill="1" applyBorder="1" applyAlignment="1">
      <alignment horizontal="left" vertical="center" wrapText="1"/>
    </xf>
    <xf numFmtId="4" fontId="91" fillId="64" borderId="2" xfId="154" applyNumberFormat="1" applyFont="1" applyFill="1" applyBorder="1" applyAlignment="1">
      <alignment horizontal="center" vertical="center" wrapText="1"/>
    </xf>
    <xf numFmtId="174" fontId="91" fillId="64" borderId="2" xfId="154" applyNumberFormat="1" applyFont="1" applyFill="1" applyBorder="1" applyAlignment="1">
      <alignment horizontal="center" vertical="center" wrapText="1"/>
    </xf>
    <xf numFmtId="9" fontId="95" fillId="64" borderId="17" xfId="244" applyFont="1" applyFill="1" applyBorder="1" applyAlignment="1" applyProtection="1">
      <alignment horizontal="center" vertical="center" wrapText="1"/>
    </xf>
    <xf numFmtId="3" fontId="0" fillId="64" borderId="14" xfId="0" applyNumberFormat="1" applyFill="1" applyBorder="1" applyAlignment="1">
      <alignment horizontal="left" vertical="center" wrapText="1"/>
    </xf>
    <xf numFmtId="3" fontId="95" fillId="64" borderId="17" xfId="154" applyNumberFormat="1" applyFont="1" applyFill="1" applyBorder="1" applyAlignment="1">
      <alignment horizontal="center" vertical="center" wrapText="1"/>
    </xf>
    <xf numFmtId="9" fontId="91" fillId="64" borderId="2" xfId="244" applyFont="1" applyFill="1" applyBorder="1" applyAlignment="1" applyProtection="1">
      <alignment horizontal="center" vertical="center" wrapText="1"/>
    </xf>
    <xf numFmtId="9" fontId="95" fillId="64" borderId="2" xfId="244" applyFont="1" applyFill="1" applyBorder="1" applyAlignment="1" applyProtection="1">
      <alignment horizontal="center" vertical="center" wrapText="1"/>
    </xf>
    <xf numFmtId="9" fontId="91" fillId="64" borderId="14" xfId="244" applyFont="1" applyFill="1" applyBorder="1" applyAlignment="1" applyProtection="1">
      <alignment horizontal="center" vertical="center" wrapText="1"/>
    </xf>
    <xf numFmtId="2" fontId="19" fillId="64" borderId="2" xfId="244" applyNumberFormat="1" applyFont="1" applyFill="1" applyBorder="1" applyAlignment="1" applyProtection="1">
      <alignment horizontal="center" vertical="center" wrapText="1"/>
    </xf>
    <xf numFmtId="2" fontId="19" fillId="64" borderId="2" xfId="154" applyNumberFormat="1" applyFont="1" applyFill="1" applyBorder="1" applyAlignment="1">
      <alignment horizontal="center" vertical="center" wrapText="1"/>
    </xf>
    <xf numFmtId="173" fontId="91" fillId="64" borderId="2" xfId="154" applyNumberFormat="1" applyFont="1" applyFill="1" applyBorder="1" applyAlignment="1">
      <alignment horizontal="center" vertical="center" wrapText="1"/>
    </xf>
    <xf numFmtId="0" fontId="98" fillId="63" borderId="16" xfId="0" applyFont="1" applyFill="1" applyBorder="1" applyAlignment="1">
      <alignment horizontal="center" vertical="center" wrapText="1"/>
    </xf>
    <xf numFmtId="0" fontId="20" fillId="63" borderId="2" xfId="154" applyFont="1" applyFill="1" applyBorder="1" applyAlignment="1">
      <alignment horizontal="center" vertical="center" wrapText="1"/>
    </xf>
    <xf numFmtId="0" fontId="98" fillId="0" borderId="0" xfId="0" applyFont="1" applyAlignment="1">
      <alignment horizontal="left" vertical="center" wrapText="1"/>
    </xf>
    <xf numFmtId="3" fontId="91" fillId="0" borderId="0" xfId="154" applyNumberFormat="1" applyFont="1" applyAlignment="1">
      <alignment horizontal="center" vertical="center" wrapText="1"/>
    </xf>
    <xf numFmtId="167" fontId="99" fillId="63" borderId="0" xfId="138" applyFont="1" applyFill="1" applyAlignment="1">
      <alignment vertical="center"/>
    </xf>
    <xf numFmtId="0" fontId="116" fillId="62" borderId="0" xfId="0" applyFont="1" applyFill="1" applyAlignment="1">
      <alignment vertical="center"/>
    </xf>
    <xf numFmtId="3" fontId="91" fillId="3" borderId="2" xfId="154" applyNumberFormat="1" applyFont="1" applyFill="1" applyBorder="1" applyAlignment="1">
      <alignment horizontal="center" vertical="center" wrapText="1"/>
    </xf>
    <xf numFmtId="173" fontId="91" fillId="3" borderId="2" xfId="244" applyNumberFormat="1" applyFont="1" applyFill="1" applyBorder="1" applyAlignment="1" applyProtection="1">
      <alignment horizontal="center" vertical="center" wrapText="1"/>
    </xf>
    <xf numFmtId="0" fontId="93" fillId="62" borderId="2" xfId="0" applyFont="1" applyFill="1" applyBorder="1" applyAlignment="1">
      <alignment horizontal="center" vertical="center"/>
    </xf>
    <xf numFmtId="3" fontId="93" fillId="62" borderId="2" xfId="0" applyNumberFormat="1" applyFont="1" applyFill="1" applyBorder="1" applyAlignment="1">
      <alignment horizontal="center" vertical="center"/>
    </xf>
    <xf numFmtId="0" fontId="51" fillId="4" borderId="0" xfId="0" applyFont="1" applyFill="1" applyAlignment="1">
      <alignment vertical="center"/>
    </xf>
    <xf numFmtId="0" fontId="21" fillId="0" borderId="4" xfId="0" applyFont="1" applyBorder="1" applyAlignment="1">
      <alignment horizontal="left" vertical="center" wrapText="1"/>
    </xf>
    <xf numFmtId="0" fontId="17" fillId="0" borderId="72" xfId="0" applyFont="1" applyBorder="1" applyAlignment="1" applyProtection="1">
      <alignment horizontal="left" vertical="center"/>
      <protection locked="0"/>
    </xf>
    <xf numFmtId="0" fontId="20" fillId="0" borderId="0" xfId="5" applyFont="1" applyAlignment="1">
      <alignment vertical="center"/>
    </xf>
    <xf numFmtId="0" fontId="21" fillId="63" borderId="2" xfId="0" applyFont="1" applyFill="1" applyBorder="1" applyAlignment="1">
      <alignment vertical="center" wrapText="1"/>
    </xf>
    <xf numFmtId="0" fontId="95" fillId="0" borderId="0" xfId="154" applyFont="1" applyAlignment="1">
      <alignment vertical="center" wrapText="1"/>
    </xf>
    <xf numFmtId="2" fontId="0" fillId="64" borderId="2" xfId="0" applyNumberFormat="1" applyFill="1" applyBorder="1" applyAlignment="1">
      <alignment horizontal="center" vertical="center" wrapText="1"/>
    </xf>
    <xf numFmtId="0" fontId="19" fillId="3" borderId="17" xfId="154" applyFont="1" applyFill="1" applyBorder="1" applyAlignment="1">
      <alignment horizontal="center" vertical="center" wrapText="1"/>
    </xf>
    <xf numFmtId="2" fontId="0" fillId="64" borderId="2" xfId="0" applyNumberFormat="1" applyFill="1" applyBorder="1" applyAlignment="1">
      <alignment horizontal="center" vertical="center"/>
    </xf>
    <xf numFmtId="4" fontId="0" fillId="64" borderId="2" xfId="0" applyNumberFormat="1" applyFill="1" applyBorder="1" applyAlignment="1">
      <alignment horizontal="center" vertical="center" wrapText="1"/>
    </xf>
    <xf numFmtId="177" fontId="0" fillId="64" borderId="2" xfId="0" applyNumberFormat="1" applyFill="1" applyBorder="1" applyAlignment="1">
      <alignment horizontal="center" vertical="center" wrapText="1"/>
    </xf>
    <xf numFmtId="174" fontId="0" fillId="64" borderId="2" xfId="0" applyNumberFormat="1" applyFill="1" applyBorder="1" applyAlignment="1">
      <alignment horizontal="center" vertical="center" wrapText="1"/>
    </xf>
    <xf numFmtId="4" fontId="99" fillId="64" borderId="2" xfId="0" applyNumberFormat="1" applyFont="1" applyFill="1" applyBorder="1" applyAlignment="1">
      <alignment horizontal="center" vertical="center" wrapText="1"/>
    </xf>
    <xf numFmtId="177" fontId="99" fillId="64" borderId="2" xfId="0" applyNumberFormat="1" applyFont="1" applyFill="1" applyBorder="1" applyAlignment="1">
      <alignment horizontal="center" vertical="center" wrapText="1"/>
    </xf>
    <xf numFmtId="174" fontId="99" fillId="64" borderId="2" xfId="0" applyNumberFormat="1" applyFont="1" applyFill="1" applyBorder="1" applyAlignment="1">
      <alignment horizontal="center" vertical="center" wrapText="1"/>
    </xf>
    <xf numFmtId="0" fontId="51" fillId="67" borderId="2" xfId="0" applyFont="1" applyFill="1" applyBorder="1" applyAlignment="1">
      <alignment horizontal="center"/>
    </xf>
    <xf numFmtId="166" fontId="51" fillId="67" borderId="2" xfId="0" applyNumberFormat="1" applyFont="1" applyFill="1" applyBorder="1" applyAlignment="1">
      <alignment horizontal="center"/>
    </xf>
    <xf numFmtId="167" fontId="0" fillId="67" borderId="2" xfId="138" applyFont="1" applyFill="1" applyBorder="1" applyAlignment="1">
      <alignment horizontal="center" vertical="center"/>
    </xf>
    <xf numFmtId="2" fontId="17" fillId="67" borderId="2" xfId="138" applyNumberFormat="1" applyFont="1" applyFill="1" applyBorder="1" applyAlignment="1">
      <alignment horizontal="center" vertical="center"/>
    </xf>
    <xf numFmtId="166" fontId="17" fillId="67" borderId="2" xfId="138" applyNumberFormat="1" applyFont="1" applyFill="1" applyBorder="1" applyAlignment="1">
      <alignment horizontal="center" vertical="center"/>
    </xf>
    <xf numFmtId="0" fontId="17" fillId="67" borderId="2" xfId="138" applyNumberFormat="1" applyFont="1" applyFill="1" applyBorder="1" applyAlignment="1">
      <alignment horizontal="center" vertical="center"/>
    </xf>
    <xf numFmtId="167" fontId="118" fillId="0" borderId="0" xfId="4333" applyNumberFormat="1" applyAlignment="1" applyProtection="1">
      <alignment vertical="center"/>
    </xf>
    <xf numFmtId="3" fontId="0" fillId="3" borderId="2" xfId="0" applyNumberFormat="1" applyFill="1" applyBorder="1" applyAlignment="1">
      <alignment horizontal="center" vertical="center"/>
    </xf>
    <xf numFmtId="9" fontId="0" fillId="3" borderId="2" xfId="244" applyFont="1" applyFill="1" applyBorder="1" applyAlignment="1" applyProtection="1">
      <alignment horizontal="center" vertical="center"/>
    </xf>
    <xf numFmtId="0" fontId="95" fillId="63" borderId="2" xfId="154" applyFont="1" applyFill="1" applyBorder="1" applyAlignment="1">
      <alignment horizontal="center" vertical="center" wrapText="1"/>
    </xf>
    <xf numFmtId="43" fontId="0" fillId="0" borderId="0" xfId="132" applyFont="1" applyAlignment="1" applyProtection="1">
      <alignment vertical="center"/>
    </xf>
    <xf numFmtId="3" fontId="119" fillId="0" borderId="0" xfId="154" applyNumberFormat="1" applyFont="1" applyAlignment="1" applyProtection="1">
      <alignment horizontal="left" vertical="center" wrapText="1"/>
      <protection hidden="1"/>
    </xf>
    <xf numFmtId="3" fontId="120" fillId="0" borderId="0" xfId="154" applyNumberFormat="1" applyFont="1" applyAlignment="1" applyProtection="1">
      <alignment horizontal="left" vertical="center" wrapText="1"/>
      <protection hidden="1"/>
    </xf>
    <xf numFmtId="0" fontId="21" fillId="0" borderId="0" xfId="0" applyFont="1" applyAlignment="1">
      <alignment vertical="center" wrapText="1"/>
    </xf>
    <xf numFmtId="0" fontId="0" fillId="64" borderId="2" xfId="0" applyFill="1" applyBorder="1" applyAlignment="1" applyProtection="1">
      <alignment vertical="center" wrapText="1"/>
      <protection locked="0"/>
    </xf>
    <xf numFmtId="0" fontId="0" fillId="0" borderId="0" xfId="0" applyAlignment="1" applyProtection="1">
      <alignment vertical="center" wrapText="1"/>
      <protection locked="0"/>
    </xf>
    <xf numFmtId="0" fontId="19" fillId="4" borderId="43" xfId="154" applyFont="1" applyFill="1" applyBorder="1" applyAlignment="1" applyProtection="1">
      <alignment horizontal="center" vertical="center" wrapText="1"/>
      <protection locked="0"/>
    </xf>
    <xf numFmtId="0" fontId="19" fillId="4" borderId="44" xfId="154" applyFont="1" applyFill="1" applyBorder="1" applyAlignment="1" applyProtection="1">
      <alignment horizontal="center" vertical="center" wrapText="1"/>
      <protection locked="0"/>
    </xf>
    <xf numFmtId="0" fontId="19" fillId="4" borderId="45" xfId="154" applyFont="1" applyFill="1" applyBorder="1" applyAlignment="1" applyProtection="1">
      <alignment horizontal="center" vertical="center" wrapText="1"/>
      <protection locked="0"/>
    </xf>
    <xf numFmtId="0" fontId="19" fillId="4" borderId="46" xfId="154" applyFont="1" applyFill="1" applyBorder="1" applyAlignment="1" applyProtection="1">
      <alignment horizontal="center" vertical="center" wrapText="1"/>
      <protection locked="0"/>
    </xf>
    <xf numFmtId="0" fontId="19" fillId="4" borderId="47" xfId="154" applyFont="1" applyFill="1" applyBorder="1" applyAlignment="1" applyProtection="1">
      <alignment horizontal="center" vertical="center" wrapText="1"/>
      <protection locked="0"/>
    </xf>
    <xf numFmtId="0" fontId="19" fillId="4" borderId="48" xfId="154" applyFont="1" applyFill="1" applyBorder="1" applyAlignment="1" applyProtection="1">
      <alignment horizontal="center" vertical="center" wrapText="1"/>
      <protection locked="0"/>
    </xf>
    <xf numFmtId="0" fontId="19" fillId="4" borderId="49" xfId="154" applyFont="1" applyFill="1" applyBorder="1" applyAlignment="1" applyProtection="1">
      <alignment horizontal="center" vertical="center" wrapText="1"/>
      <protection locked="0"/>
    </xf>
    <xf numFmtId="0" fontId="19" fillId="4" borderId="50" xfId="154" applyFont="1" applyFill="1" applyBorder="1" applyAlignment="1" applyProtection="1">
      <alignment horizontal="center" vertical="center" wrapText="1"/>
      <protection locked="0"/>
    </xf>
    <xf numFmtId="0" fontId="19" fillId="4" borderId="51" xfId="154" applyFont="1" applyFill="1" applyBorder="1" applyAlignment="1" applyProtection="1">
      <alignment horizontal="center" vertical="center" wrapText="1"/>
      <protection locked="0"/>
    </xf>
    <xf numFmtId="0" fontId="21" fillId="63" borderId="2" xfId="0" applyFont="1" applyFill="1" applyBorder="1" applyAlignment="1">
      <alignment horizontal="center" vertical="center" wrapText="1"/>
    </xf>
    <xf numFmtId="174" fontId="19" fillId="4" borderId="36" xfId="154" applyNumberFormat="1" applyFont="1" applyFill="1" applyBorder="1" applyAlignment="1" applyProtection="1">
      <alignment horizontal="center" vertical="center" wrapText="1"/>
      <protection locked="0"/>
    </xf>
    <xf numFmtId="0" fontId="0" fillId="0" borderId="37" xfId="0" applyBorder="1" applyAlignment="1">
      <alignment vertical="center"/>
    </xf>
    <xf numFmtId="174" fontId="19" fillId="64" borderId="2" xfId="154" applyNumberFormat="1" applyFont="1" applyFill="1" applyBorder="1" applyAlignment="1">
      <alignment horizontal="center" vertical="center" wrapText="1"/>
    </xf>
    <xf numFmtId="3" fontId="93" fillId="62" borderId="2" xfId="0" applyNumberFormat="1" applyFont="1" applyFill="1" applyBorder="1" applyAlignment="1">
      <alignment horizontal="center" vertical="center" wrapText="1"/>
    </xf>
    <xf numFmtId="0" fontId="51" fillId="0" borderId="0" xfId="0" applyFont="1" applyAlignment="1">
      <alignment vertical="center"/>
    </xf>
    <xf numFmtId="0" fontId="121" fillId="0" borderId="0" xfId="0" applyFont="1" applyAlignment="1">
      <alignment vertical="center" wrapText="1"/>
    </xf>
    <xf numFmtId="0" fontId="122" fillId="0" borderId="0" xfId="0" applyFont="1" applyAlignment="1">
      <alignment horizontal="center" vertical="center"/>
    </xf>
    <xf numFmtId="0" fontId="93" fillId="0" borderId="0" xfId="0" applyFont="1" applyAlignment="1">
      <alignment horizontal="left" vertical="center" wrapText="1"/>
    </xf>
    <xf numFmtId="3" fontId="93" fillId="0" borderId="0" xfId="0" applyNumberFormat="1" applyFont="1" applyAlignment="1">
      <alignment horizontal="center" vertical="center"/>
    </xf>
    <xf numFmtId="0" fontId="21" fillId="63" borderId="16" xfId="0" applyFont="1" applyFill="1" applyBorder="1" applyAlignment="1">
      <alignment horizontal="center" vertical="center" wrapText="1"/>
    </xf>
    <xf numFmtId="0" fontId="93" fillId="66" borderId="0" xfId="0" applyFont="1" applyFill="1" applyAlignment="1">
      <alignment vertical="center"/>
    </xf>
    <xf numFmtId="168" fontId="93" fillId="66" borderId="0" xfId="132" applyNumberFormat="1" applyFont="1" applyFill="1" applyAlignment="1" applyProtection="1">
      <alignment horizontal="center" vertical="center"/>
    </xf>
    <xf numFmtId="0" fontId="0" fillId="64" borderId="2" xfId="0" applyFill="1" applyBorder="1" applyAlignment="1">
      <alignment horizontal="right" vertical="center" wrapText="1"/>
    </xf>
    <xf numFmtId="0" fontId="0" fillId="0" borderId="2" xfId="0" applyBorder="1" applyAlignment="1">
      <alignment vertical="center"/>
    </xf>
    <xf numFmtId="0" fontId="79" fillId="70" borderId="2" xfId="0" applyFont="1" applyFill="1" applyBorder="1" applyAlignment="1">
      <alignment horizontal="right" vertical="center" wrapText="1"/>
    </xf>
    <xf numFmtId="0" fontId="123" fillId="0" borderId="0" xfId="0" applyFont="1" applyAlignment="1">
      <alignment vertical="center" wrapText="1"/>
    </xf>
    <xf numFmtId="0" fontId="0" fillId="0" borderId="0" xfId="0" applyAlignment="1">
      <alignment horizontal="right" vertical="center" wrapText="1"/>
    </xf>
    <xf numFmtId="166" fontId="0" fillId="64" borderId="2" xfId="0" applyNumberFormat="1" applyFill="1" applyBorder="1" applyAlignment="1">
      <alignment horizontal="center" vertical="center"/>
    </xf>
    <xf numFmtId="14" fontId="108" fillId="64" borderId="17" xfId="154" applyNumberFormat="1" applyFont="1" applyFill="1" applyBorder="1" applyAlignment="1">
      <alignment horizontal="center" vertical="center" wrapText="1"/>
    </xf>
    <xf numFmtId="3" fontId="98" fillId="63" borderId="2" xfId="0" applyNumberFormat="1" applyFont="1" applyFill="1" applyBorder="1" applyAlignment="1">
      <alignment horizontal="center" vertical="center" wrapText="1"/>
    </xf>
    <xf numFmtId="166" fontId="21" fillId="64" borderId="2" xfId="0" applyNumberFormat="1" applyFont="1" applyFill="1" applyBorder="1" applyAlignment="1">
      <alignment horizontal="center" vertical="center"/>
    </xf>
    <xf numFmtId="0" fontId="0" fillId="0" borderId="2" xfId="0" applyBorder="1" applyAlignment="1">
      <alignment vertical="center" wrapText="1"/>
    </xf>
    <xf numFmtId="0" fontId="0" fillId="60" borderId="2" xfId="0" applyFill="1" applyBorder="1" applyAlignment="1">
      <alignment vertical="center"/>
    </xf>
    <xf numFmtId="0" fontId="0" fillId="60" borderId="2" xfId="0" applyFill="1" applyBorder="1" applyAlignment="1">
      <alignment horizontal="center" vertical="center"/>
    </xf>
    <xf numFmtId="0" fontId="0" fillId="69" borderId="2" xfId="0" applyFill="1" applyBorder="1" applyAlignment="1">
      <alignment vertical="center"/>
    </xf>
    <xf numFmtId="173" fontId="91" fillId="64" borderId="2" xfId="244" applyNumberFormat="1" applyFont="1" applyFill="1" applyBorder="1" applyAlignment="1" applyProtection="1">
      <alignment horizontal="center" vertical="center" wrapText="1"/>
    </xf>
    <xf numFmtId="1" fontId="0" fillId="64" borderId="2" xfId="0" applyNumberFormat="1" applyFill="1" applyBorder="1" applyAlignment="1">
      <alignment horizontal="center" vertical="center" wrapText="1"/>
    </xf>
    <xf numFmtId="176" fontId="63" fillId="66" borderId="73" xfId="2237" applyFont="1" applyFill="1" applyBorder="1"/>
    <xf numFmtId="0" fontId="4" fillId="66" borderId="73" xfId="2235" applyFill="1" applyBorder="1"/>
    <xf numFmtId="0" fontId="95" fillId="4" borderId="0" xfId="2236" applyNumberFormat="1" applyFont="1" applyFill="1" applyAlignment="1" applyProtection="1">
      <alignment vertical="top" wrapText="1"/>
      <protection hidden="1"/>
    </xf>
    <xf numFmtId="0" fontId="125" fillId="63" borderId="2" xfId="0" applyFont="1" applyFill="1" applyBorder="1" applyAlignment="1">
      <alignment horizontal="center" vertical="center" wrapText="1"/>
    </xf>
    <xf numFmtId="0" fontId="125" fillId="63" borderId="14" xfId="0" applyFont="1" applyFill="1" applyBorder="1" applyAlignment="1">
      <alignment horizontal="left" vertical="center" wrapText="1"/>
    </xf>
    <xf numFmtId="0" fontId="125" fillId="63" borderId="4" xfId="0" applyFont="1" applyFill="1" applyBorder="1" applyAlignment="1">
      <alignment horizontal="center" vertical="center" wrapText="1"/>
    </xf>
    <xf numFmtId="0" fontId="125" fillId="63" borderId="4" xfId="0" applyFont="1" applyFill="1" applyBorder="1" applyAlignment="1">
      <alignment horizontal="left" vertical="center" wrapText="1"/>
    </xf>
    <xf numFmtId="0" fontId="125" fillId="63" borderId="2" xfId="0" applyFont="1" applyFill="1" applyBorder="1" applyAlignment="1">
      <alignment horizontal="left" vertical="center" wrapText="1"/>
    </xf>
    <xf numFmtId="0" fontId="125" fillId="63" borderId="15" xfId="0" applyFont="1" applyFill="1" applyBorder="1" applyAlignment="1">
      <alignment horizontal="left" vertical="center" wrapText="1"/>
    </xf>
    <xf numFmtId="0" fontId="125" fillId="63" borderId="2" xfId="245" applyFont="1" applyFill="1" applyBorder="1" applyAlignment="1">
      <alignment vertical="center" wrapText="1"/>
    </xf>
    <xf numFmtId="0" fontId="125" fillId="63" borderId="2" xfId="245" applyFont="1" applyFill="1" applyBorder="1" applyAlignment="1">
      <alignment horizontal="center" vertical="center" wrapText="1"/>
    </xf>
    <xf numFmtId="0" fontId="125" fillId="63" borderId="2" xfId="245" applyFont="1" applyFill="1" applyBorder="1" applyAlignment="1">
      <alignment horizontal="center" vertical="center"/>
    </xf>
    <xf numFmtId="0" fontId="127" fillId="0" borderId="0" xfId="4332" applyFont="1" applyAlignment="1">
      <alignment horizontal="left" vertical="center"/>
    </xf>
    <xf numFmtId="0" fontId="127" fillId="0" borderId="0" xfId="4332" applyFont="1" applyAlignment="1">
      <alignment horizontal="center" vertical="center"/>
    </xf>
    <xf numFmtId="0" fontId="127" fillId="0" borderId="0" xfId="4332" applyFont="1" applyAlignment="1">
      <alignment vertical="center"/>
    </xf>
    <xf numFmtId="0" fontId="127" fillId="0" borderId="2" xfId="245" applyFont="1" applyBorder="1" applyAlignment="1">
      <alignment horizontal="center" vertical="center"/>
    </xf>
    <xf numFmtId="0" fontId="127" fillId="0" borderId="2" xfId="245" applyFont="1" applyBorder="1" applyAlignment="1">
      <alignment horizontal="left" vertical="center"/>
    </xf>
    <xf numFmtId="0" fontId="127" fillId="0" borderId="0" xfId="245" applyFont="1" applyAlignment="1">
      <alignment horizontal="center" vertical="center"/>
    </xf>
    <xf numFmtId="0" fontId="127" fillId="0" borderId="0" xfId="245" applyFont="1" applyAlignment="1">
      <alignment horizontal="left" vertical="center"/>
    </xf>
    <xf numFmtId="0" fontId="127" fillId="0" borderId="0" xfId="245" applyFont="1" applyAlignment="1">
      <alignment vertical="center"/>
    </xf>
    <xf numFmtId="2" fontId="127" fillId="0" borderId="2" xfId="245" applyNumberFormat="1" applyFont="1" applyBorder="1" applyAlignment="1">
      <alignment horizontal="center" vertical="center"/>
    </xf>
    <xf numFmtId="0" fontId="17" fillId="4" borderId="0" xfId="2235" applyFont="1" applyFill="1" applyAlignment="1">
      <alignment horizontal="left" vertical="center"/>
    </xf>
    <xf numFmtId="0" fontId="98" fillId="63" borderId="27" xfId="0" applyFont="1" applyFill="1" applyBorder="1" applyAlignment="1">
      <alignment vertical="center" wrapText="1"/>
    </xf>
    <xf numFmtId="0" fontId="98" fillId="63" borderId="3" xfId="0" applyFont="1" applyFill="1" applyBorder="1" applyAlignment="1">
      <alignment vertical="center" wrapText="1"/>
    </xf>
    <xf numFmtId="0" fontId="84" fillId="59" borderId="34" xfId="138" applyNumberFormat="1" applyFont="1" applyFill="1" applyBorder="1" applyAlignment="1">
      <alignment horizontal="center" vertical="center"/>
    </xf>
    <xf numFmtId="0" fontId="84" fillId="0" borderId="74" xfId="138" applyNumberFormat="1" applyFont="1" applyBorder="1" applyAlignment="1">
      <alignment horizontal="left" vertical="center"/>
    </xf>
    <xf numFmtId="0" fontId="84" fillId="58" borderId="34" xfId="138" applyNumberFormat="1" applyFont="1" applyFill="1" applyBorder="1" applyAlignment="1">
      <alignment horizontal="center" vertical="center"/>
    </xf>
    <xf numFmtId="0" fontId="84" fillId="60" borderId="26" xfId="138" applyNumberFormat="1" applyFont="1" applyFill="1" applyBorder="1" applyAlignment="1">
      <alignment horizontal="center" vertical="center"/>
    </xf>
    <xf numFmtId="0" fontId="84" fillId="0" borderId="75" xfId="138" applyNumberFormat="1" applyFont="1" applyBorder="1" applyAlignment="1">
      <alignment horizontal="left" vertical="center"/>
    </xf>
    <xf numFmtId="0" fontId="92" fillId="62" borderId="0" xfId="0" applyFont="1" applyFill="1" applyAlignment="1">
      <alignment vertical="center"/>
    </xf>
    <xf numFmtId="0" fontId="125" fillId="63" borderId="14" xfId="245" applyFont="1" applyFill="1" applyBorder="1" applyAlignment="1">
      <alignment horizontal="left" vertical="center"/>
    </xf>
    <xf numFmtId="0" fontId="125" fillId="63" borderId="4" xfId="245" applyFont="1" applyFill="1" applyBorder="1" applyAlignment="1">
      <alignment horizontal="center" vertical="center"/>
    </xf>
    <xf numFmtId="0" fontId="125" fillId="63" borderId="15" xfId="245" applyFont="1" applyFill="1" applyBorder="1" applyAlignment="1">
      <alignment horizontal="center" vertical="center"/>
    </xf>
    <xf numFmtId="0" fontId="98" fillId="63" borderId="57" xfId="0" applyFont="1" applyFill="1" applyBorder="1" applyAlignment="1">
      <alignment horizontal="center" vertical="center" wrapText="1"/>
    </xf>
    <xf numFmtId="0" fontId="98" fillId="63" borderId="32" xfId="0" applyFont="1" applyFill="1" applyBorder="1" applyAlignment="1">
      <alignment horizontal="center" vertical="center" wrapText="1"/>
    </xf>
    <xf numFmtId="0" fontId="21" fillId="0" borderId="34" xfId="0" applyFont="1" applyBorder="1" applyAlignment="1">
      <alignment horizontal="center" vertical="center" wrapText="1"/>
    </xf>
    <xf numFmtId="0" fontId="98" fillId="63" borderId="14" xfId="0" applyFont="1" applyFill="1" applyBorder="1" applyAlignment="1">
      <alignment horizontal="center" vertical="center" wrapText="1"/>
    </xf>
    <xf numFmtId="0" fontId="98" fillId="63" borderId="17" xfId="0" applyFont="1" applyFill="1" applyBorder="1" applyAlignment="1">
      <alignment horizontal="center" vertical="center" wrapText="1"/>
    </xf>
    <xf numFmtId="0" fontId="98" fillId="63" borderId="27" xfId="0" applyFont="1" applyFill="1" applyBorder="1" applyAlignment="1">
      <alignment horizontal="center" vertical="center" wrapText="1"/>
    </xf>
    <xf numFmtId="0" fontId="21" fillId="63" borderId="14" xfId="0" applyFont="1" applyFill="1" applyBorder="1" applyAlignment="1">
      <alignment horizontal="left" vertical="center" wrapText="1"/>
    </xf>
    <xf numFmtId="0" fontId="93" fillId="62" borderId="14" xfId="0" applyFont="1" applyFill="1" applyBorder="1" applyAlignment="1">
      <alignment horizontal="left" vertical="center" wrapText="1"/>
    </xf>
    <xf numFmtId="0" fontId="93" fillId="62" borderId="15" xfId="0" applyFont="1" applyFill="1" applyBorder="1" applyAlignment="1">
      <alignment horizontal="left" vertical="center" wrapText="1"/>
    </xf>
    <xf numFmtId="0" fontId="21" fillId="63" borderId="15" xfId="0" applyFont="1" applyFill="1" applyBorder="1" applyAlignment="1">
      <alignment horizontal="left" vertical="center" wrapText="1"/>
    </xf>
    <xf numFmtId="0" fontId="128" fillId="4" borderId="0" xfId="2235" applyFont="1" applyFill="1"/>
    <xf numFmtId="0" fontId="128" fillId="4" borderId="0" xfId="4330" applyFont="1" applyFill="1"/>
    <xf numFmtId="0" fontId="51" fillId="4" borderId="0" xfId="2235" applyFont="1" applyFill="1" applyAlignment="1">
      <alignment horizontal="left" vertical="center"/>
    </xf>
    <xf numFmtId="0" fontId="55" fillId="0" borderId="2" xfId="0" applyFont="1" applyBorder="1" applyAlignment="1">
      <alignment horizontal="left" vertical="center"/>
    </xf>
    <xf numFmtId="14" fontId="51" fillId="0" borderId="2" xfId="0" applyNumberFormat="1" applyFont="1" applyBorder="1" applyAlignment="1">
      <alignment horizontal="left" vertical="center" wrapText="1"/>
    </xf>
    <xf numFmtId="0" fontId="51" fillId="0" borderId="2" xfId="0" applyFont="1" applyBorder="1" applyAlignment="1">
      <alignment horizontal="left" vertical="center"/>
    </xf>
    <xf numFmtId="0" fontId="51" fillId="0" borderId="2" xfId="0" applyFont="1" applyBorder="1" applyAlignment="1">
      <alignment horizontal="left" vertical="center" wrapText="1"/>
    </xf>
    <xf numFmtId="0" fontId="51" fillId="4" borderId="2" xfId="2235" applyFont="1" applyFill="1" applyBorder="1" applyAlignment="1">
      <alignment horizontal="left" vertical="center"/>
    </xf>
    <xf numFmtId="0" fontId="51" fillId="4" borderId="2" xfId="2235" quotePrefix="1" applyFont="1" applyFill="1" applyBorder="1" applyAlignment="1">
      <alignment horizontal="left" vertical="center" wrapText="1"/>
    </xf>
    <xf numFmtId="0" fontId="51" fillId="4" borderId="2" xfId="2235" applyFont="1" applyFill="1" applyBorder="1" applyAlignment="1">
      <alignment horizontal="left" vertical="center" wrapText="1"/>
    </xf>
    <xf numFmtId="0" fontId="51" fillId="0" borderId="2" xfId="0" quotePrefix="1" applyFont="1" applyBorder="1" applyAlignment="1">
      <alignment horizontal="left" vertical="center" wrapText="1"/>
    </xf>
    <xf numFmtId="14" fontId="51" fillId="4" borderId="2" xfId="2235" applyNumberFormat="1" applyFont="1" applyFill="1" applyBorder="1" applyAlignment="1">
      <alignment horizontal="left" vertical="center" wrapText="1"/>
    </xf>
    <xf numFmtId="0" fontId="51" fillId="0" borderId="0" xfId="0" applyFont="1" applyAlignment="1">
      <alignment horizontal="left" vertical="center" wrapText="1"/>
    </xf>
    <xf numFmtId="0" fontId="51" fillId="4" borderId="0" xfId="2235" applyFont="1" applyFill="1" applyAlignment="1">
      <alignment horizontal="left" vertical="center" wrapText="1"/>
    </xf>
    <xf numFmtId="0" fontId="51" fillId="0" borderId="16" xfId="0" applyFont="1" applyBorder="1" applyAlignment="1">
      <alignment horizontal="left" vertical="center" wrapText="1"/>
    </xf>
    <xf numFmtId="0" fontId="51" fillId="0" borderId="17" xfId="0" applyFont="1" applyBorder="1" applyAlignment="1">
      <alignment horizontal="left" vertical="center" wrapText="1"/>
    </xf>
    <xf numFmtId="0" fontId="51" fillId="0" borderId="33" xfId="0" applyFont="1" applyBorder="1" applyAlignment="1">
      <alignment horizontal="left" vertical="center" wrapText="1"/>
    </xf>
    <xf numFmtId="14" fontId="51" fillId="4" borderId="2" xfId="2235" applyNumberFormat="1" applyFont="1" applyFill="1" applyBorder="1" applyAlignment="1">
      <alignment horizontal="left" vertical="center"/>
    </xf>
    <xf numFmtId="0" fontId="21" fillId="63" borderId="14" xfId="0" applyFont="1" applyFill="1" applyBorder="1" applyAlignment="1">
      <alignment vertical="center"/>
    </xf>
    <xf numFmtId="0" fontId="115" fillId="0" borderId="0" xfId="0" applyFont="1" applyAlignment="1">
      <alignment vertical="center"/>
    </xf>
    <xf numFmtId="0" fontId="92" fillId="61" borderId="0" xfId="0" applyFont="1" applyFill="1" applyAlignment="1">
      <alignment vertical="center"/>
    </xf>
    <xf numFmtId="0" fontId="15" fillId="0" borderId="0" xfId="87" applyAlignment="1">
      <alignment vertical="center"/>
    </xf>
    <xf numFmtId="174" fontId="0" fillId="0" borderId="0" xfId="0" applyNumberFormat="1" applyAlignment="1">
      <alignment vertical="center"/>
    </xf>
    <xf numFmtId="3" fontId="0" fillId="0" borderId="0" xfId="0" applyNumberFormat="1" applyAlignment="1">
      <alignment vertical="center"/>
    </xf>
    <xf numFmtId="0" fontId="124" fillId="61" borderId="73" xfId="0" applyFont="1" applyFill="1" applyBorder="1" applyAlignment="1">
      <alignment horizontal="left" vertical="center" wrapText="1"/>
    </xf>
    <xf numFmtId="0" fontId="21" fillId="63" borderId="4" xfId="0" applyFont="1" applyFill="1" applyBorder="1" applyAlignment="1">
      <alignment vertical="center"/>
    </xf>
    <xf numFmtId="0" fontId="0" fillId="0" borderId="65" xfId="0" applyBorder="1" applyAlignment="1">
      <alignment vertical="center"/>
    </xf>
    <xf numFmtId="0" fontId="0" fillId="0" borderId="27" xfId="0" applyBorder="1" applyAlignment="1">
      <alignment vertical="center"/>
    </xf>
    <xf numFmtId="0" fontId="0" fillId="0" borderId="31" xfId="0" applyBorder="1" applyAlignment="1">
      <alignment vertical="center"/>
    </xf>
    <xf numFmtId="3" fontId="0" fillId="0" borderId="31" xfId="0" applyNumberFormat="1" applyBorder="1" applyAlignment="1">
      <alignment vertical="center"/>
    </xf>
    <xf numFmtId="0" fontId="0" fillId="0" borderId="3" xfId="0" applyBorder="1" applyAlignment="1">
      <alignment vertical="center"/>
    </xf>
    <xf numFmtId="0" fontId="0" fillId="0" borderId="34" xfId="0" applyBorder="1" applyAlignment="1">
      <alignment vertical="center"/>
    </xf>
    <xf numFmtId="173" fontId="0" fillId="0" borderId="0" xfId="0" applyNumberFormat="1" applyAlignment="1">
      <alignment vertical="center"/>
    </xf>
    <xf numFmtId="0" fontId="0" fillId="0" borderId="74" xfId="0" applyBorder="1" applyAlignment="1">
      <alignment vertical="center"/>
    </xf>
    <xf numFmtId="0" fontId="0" fillId="0" borderId="26" xfId="0" applyBorder="1" applyAlignment="1">
      <alignment vertical="center"/>
    </xf>
    <xf numFmtId="0" fontId="0" fillId="0" borderId="73" xfId="0" applyBorder="1" applyAlignment="1">
      <alignment vertical="center"/>
    </xf>
    <xf numFmtId="0" fontId="0" fillId="0" borderId="75" xfId="0" applyBorder="1" applyAlignment="1">
      <alignment vertical="center"/>
    </xf>
    <xf numFmtId="0" fontId="0" fillId="68" borderId="2" xfId="0" applyFill="1" applyBorder="1" applyAlignment="1">
      <alignment vertical="center"/>
    </xf>
    <xf numFmtId="0" fontId="0" fillId="68" borderId="2" xfId="0" quotePrefix="1" applyFill="1" applyBorder="1" applyAlignment="1">
      <alignment vertical="center"/>
    </xf>
    <xf numFmtId="0" fontId="0" fillId="68" borderId="2" xfId="244" applyNumberFormat="1" applyFont="1" applyFill="1" applyBorder="1" applyAlignment="1" applyProtection="1">
      <alignment vertical="center"/>
    </xf>
    <xf numFmtId="0" fontId="21" fillId="64" borderId="2" xfId="0" applyFont="1" applyFill="1" applyBorder="1" applyAlignment="1">
      <alignment horizontal="center" vertical="center" wrapText="1"/>
    </xf>
    <xf numFmtId="0" fontId="123" fillId="64" borderId="15" xfId="0" applyFont="1" applyFill="1" applyBorder="1" applyAlignment="1">
      <alignment vertical="center" wrapText="1"/>
    </xf>
    <xf numFmtId="0" fontId="123" fillId="0" borderId="76" xfId="0" applyFont="1" applyBorder="1" applyAlignment="1">
      <alignment vertical="center" wrapText="1"/>
    </xf>
    <xf numFmtId="0" fontId="123" fillId="0" borderId="78" xfId="0" applyFont="1" applyBorder="1" applyAlignment="1">
      <alignment vertical="center" wrapText="1"/>
    </xf>
    <xf numFmtId="0" fontId="51" fillId="0" borderId="0" xfId="87" applyFont="1" applyAlignment="1">
      <alignment vertical="center"/>
    </xf>
    <xf numFmtId="3" fontId="131" fillId="4" borderId="0" xfId="154" applyNumberFormat="1" applyFont="1" applyFill="1" applyAlignment="1">
      <alignment horizontal="center" vertical="center" wrapText="1"/>
    </xf>
    <xf numFmtId="3" fontId="131" fillId="4" borderId="0" xfId="154" applyNumberFormat="1" applyFont="1" applyFill="1" applyAlignment="1">
      <alignment horizontal="left" vertical="center" wrapText="1"/>
    </xf>
    <xf numFmtId="0" fontId="132" fillId="0" borderId="0" xfId="11" applyFont="1" applyAlignment="1">
      <alignment vertical="center"/>
    </xf>
    <xf numFmtId="0" fontId="0" fillId="0" borderId="77" xfId="0" applyBorder="1" applyAlignment="1">
      <alignment horizontal="right" vertical="center"/>
    </xf>
    <xf numFmtId="0" fontId="0" fillId="0" borderId="79" xfId="0" applyBorder="1" applyAlignment="1">
      <alignment horizontal="right" vertical="center"/>
    </xf>
    <xf numFmtId="0" fontId="0" fillId="0" borderId="80" xfId="0" applyBorder="1" applyAlignment="1">
      <alignment vertical="center"/>
    </xf>
    <xf numFmtId="0" fontId="0" fillId="0" borderId="81" xfId="0" applyBorder="1" applyAlignment="1">
      <alignment horizontal="right" vertical="center"/>
    </xf>
    <xf numFmtId="0" fontId="49" fillId="64" borderId="14" xfId="0" applyFont="1" applyFill="1" applyBorder="1" applyAlignment="1">
      <alignment vertical="center" wrapText="1"/>
    </xf>
    <xf numFmtId="0" fontId="0" fillId="64" borderId="4" xfId="0" applyFill="1" applyBorder="1" applyAlignment="1">
      <alignment vertical="center"/>
    </xf>
    <xf numFmtId="0" fontId="49" fillId="0" borderId="0" xfId="0" applyFont="1" applyAlignment="1">
      <alignment vertical="center" wrapText="1"/>
    </xf>
    <xf numFmtId="0" fontId="133" fillId="0" borderId="0" xfId="0" applyFont="1" applyAlignment="1">
      <alignment horizontal="center" vertical="center" wrapText="1"/>
    </xf>
    <xf numFmtId="0" fontId="134" fillId="0" borderId="0" xfId="0" applyFont="1" applyAlignment="1">
      <alignment horizontal="center" vertical="center" wrapText="1"/>
    </xf>
    <xf numFmtId="0" fontId="0" fillId="0" borderId="77" xfId="0" applyBorder="1" applyAlignment="1">
      <alignment vertical="center"/>
    </xf>
    <xf numFmtId="0" fontId="0" fillId="0" borderId="78" xfId="0" applyBorder="1" applyAlignment="1">
      <alignment vertical="center"/>
    </xf>
    <xf numFmtId="0" fontId="0" fillId="0" borderId="79" xfId="0" applyBorder="1" applyAlignment="1">
      <alignment vertical="center"/>
    </xf>
    <xf numFmtId="0" fontId="0" fillId="0" borderId="81" xfId="0" applyBorder="1" applyAlignment="1">
      <alignment vertical="center"/>
    </xf>
    <xf numFmtId="0" fontId="49" fillId="0" borderId="2" xfId="0" applyFont="1" applyBorder="1" applyAlignment="1">
      <alignment vertical="center" wrapText="1"/>
    </xf>
    <xf numFmtId="14" fontId="0" fillId="64" borderId="2" xfId="0" applyNumberFormat="1" applyFill="1" applyBorder="1" applyAlignment="1">
      <alignment horizontal="center" vertical="center"/>
    </xf>
    <xf numFmtId="1" fontId="0" fillId="64" borderId="2" xfId="0" applyNumberFormat="1" applyFill="1" applyBorder="1" applyAlignment="1">
      <alignment vertical="center" wrapText="1"/>
    </xf>
    <xf numFmtId="14" fontId="19" fillId="4" borderId="83" xfId="154" applyNumberFormat="1" applyFont="1" applyFill="1" applyBorder="1" applyAlignment="1" applyProtection="1">
      <alignment horizontal="center" vertical="center" wrapText="1"/>
      <protection locked="0"/>
    </xf>
    <xf numFmtId="3" fontId="19" fillId="4" borderId="59" xfId="154" applyNumberFormat="1" applyFont="1" applyFill="1" applyBorder="1" applyAlignment="1" applyProtection="1">
      <alignment horizontal="left" vertical="center" wrapText="1"/>
      <protection locked="0"/>
    </xf>
    <xf numFmtId="3" fontId="19" fillId="4" borderId="65" xfId="154" applyNumberFormat="1" applyFont="1" applyFill="1" applyBorder="1" applyAlignment="1" applyProtection="1">
      <alignment horizontal="left" vertical="center" wrapText="1"/>
      <protection locked="0"/>
    </xf>
    <xf numFmtId="3" fontId="19" fillId="4" borderId="62" xfId="154" applyNumberFormat="1" applyFont="1" applyFill="1" applyBorder="1" applyAlignment="1" applyProtection="1">
      <alignment horizontal="left" vertical="center" wrapText="1"/>
      <protection locked="0"/>
    </xf>
    <xf numFmtId="3" fontId="19" fillId="4" borderId="84" xfId="154" applyNumberFormat="1" applyFont="1" applyFill="1" applyBorder="1" applyAlignment="1" applyProtection="1">
      <alignment horizontal="center" vertical="center" wrapText="1"/>
      <protection locked="0"/>
    </xf>
    <xf numFmtId="3" fontId="19" fillId="4" borderId="39" xfId="154" applyNumberFormat="1" applyFont="1" applyFill="1" applyBorder="1" applyAlignment="1" applyProtection="1">
      <alignment horizontal="center" vertical="center" wrapText="1"/>
      <protection locked="0"/>
    </xf>
    <xf numFmtId="4" fontId="19" fillId="4" borderId="2" xfId="154" applyNumberFormat="1" applyFont="1" applyFill="1" applyBorder="1" applyAlignment="1" applyProtection="1">
      <alignment horizontal="center" vertical="center" wrapText="1"/>
      <protection locked="0"/>
    </xf>
    <xf numFmtId="174" fontId="19" fillId="4" borderId="2" xfId="154" applyNumberFormat="1" applyFont="1" applyFill="1" applyBorder="1" applyAlignment="1" applyProtection="1">
      <alignment horizontal="center" vertical="center" wrapText="1"/>
      <protection locked="0"/>
    </xf>
    <xf numFmtId="14" fontId="19" fillId="4" borderId="85" xfId="154" applyNumberFormat="1" applyFont="1" applyFill="1" applyBorder="1" applyAlignment="1" applyProtection="1">
      <alignment horizontal="center" vertical="center" wrapText="1"/>
      <protection locked="0"/>
    </xf>
    <xf numFmtId="3" fontId="19" fillId="4" borderId="80" xfId="154" applyNumberFormat="1" applyFont="1" applyFill="1" applyBorder="1" applyAlignment="1" applyProtection="1">
      <alignment horizontal="center" vertical="center" wrapText="1"/>
      <protection locked="0"/>
    </xf>
    <xf numFmtId="3" fontId="19" fillId="4" borderId="68" xfId="154" applyNumberFormat="1" applyFont="1" applyFill="1" applyBorder="1" applyAlignment="1" applyProtection="1">
      <alignment horizontal="center" vertical="center" wrapText="1"/>
      <protection locked="0"/>
    </xf>
    <xf numFmtId="3" fontId="19" fillId="0" borderId="65" xfId="154" applyNumberFormat="1" applyFont="1" applyBorder="1" applyAlignment="1" applyProtection="1">
      <alignment horizontal="left" vertical="center" wrapText="1"/>
      <protection locked="0"/>
    </xf>
    <xf numFmtId="3" fontId="0" fillId="64" borderId="2" xfId="0" applyNumberFormat="1" applyFill="1" applyBorder="1" applyAlignment="1">
      <alignment horizontal="center" vertical="center"/>
    </xf>
    <xf numFmtId="0" fontId="98" fillId="63" borderId="2" xfId="0" applyFont="1" applyFill="1" applyBorder="1" applyAlignment="1" applyProtection="1">
      <alignment horizontal="center" vertical="center" wrapText="1"/>
      <protection locked="0"/>
    </xf>
    <xf numFmtId="3" fontId="91" fillId="0" borderId="65" xfId="154" applyNumberFormat="1" applyFont="1" applyBorder="1" applyAlignment="1" applyProtection="1">
      <alignment horizontal="center" vertical="center" wrapText="1"/>
      <protection locked="0"/>
    </xf>
    <xf numFmtId="3" fontId="91" fillId="0" borderId="58" xfId="154" applyNumberFormat="1" applyFont="1" applyBorder="1" applyAlignment="1" applyProtection="1">
      <alignment horizontal="center" vertical="center" wrapText="1"/>
      <protection locked="0"/>
    </xf>
    <xf numFmtId="3" fontId="91" fillId="0" borderId="59" xfId="154" applyNumberFormat="1" applyFont="1" applyBorder="1" applyAlignment="1" applyProtection="1">
      <alignment horizontal="center" vertical="center" wrapText="1"/>
      <protection locked="0"/>
    </xf>
    <xf numFmtId="3" fontId="91" fillId="0" borderId="60" xfId="154" applyNumberFormat="1" applyFont="1" applyBorder="1" applyAlignment="1" applyProtection="1">
      <alignment horizontal="center" vertical="center" wrapText="1"/>
      <protection locked="0"/>
    </xf>
    <xf numFmtId="3" fontId="91" fillId="0" borderId="64" xfId="154" applyNumberFormat="1" applyFont="1" applyBorder="1" applyAlignment="1" applyProtection="1">
      <alignment horizontal="center" vertical="center" wrapText="1"/>
      <protection locked="0"/>
    </xf>
    <xf numFmtId="3" fontId="91" fillId="0" borderId="66" xfId="154" applyNumberFormat="1" applyFont="1" applyBorder="1" applyAlignment="1" applyProtection="1">
      <alignment horizontal="center" vertical="center" wrapText="1"/>
      <protection locked="0"/>
    </xf>
    <xf numFmtId="3" fontId="91" fillId="0" borderId="61" xfId="154" applyNumberFormat="1" applyFont="1" applyBorder="1" applyAlignment="1" applyProtection="1">
      <alignment horizontal="center" vertical="center" wrapText="1"/>
      <protection locked="0"/>
    </xf>
    <xf numFmtId="3" fontId="91" fillId="0" borderId="62" xfId="154" applyNumberFormat="1" applyFont="1" applyBorder="1" applyAlignment="1" applyProtection="1">
      <alignment horizontal="center" vertical="center" wrapText="1"/>
      <protection locked="0"/>
    </xf>
    <xf numFmtId="3" fontId="91" fillId="0" borderId="63" xfId="154" applyNumberFormat="1" applyFont="1" applyBorder="1" applyAlignment="1" applyProtection="1">
      <alignment horizontal="center" vertical="center" wrapText="1"/>
      <protection locked="0"/>
    </xf>
    <xf numFmtId="3" fontId="94" fillId="0" borderId="86" xfId="154" applyNumberFormat="1" applyFont="1" applyBorder="1" applyAlignment="1" applyProtection="1">
      <alignment horizontal="center" vertical="center" wrapText="1"/>
      <protection locked="0"/>
    </xf>
    <xf numFmtId="3" fontId="94" fillId="0" borderId="87" xfId="154" applyNumberFormat="1" applyFont="1" applyBorder="1" applyAlignment="1" applyProtection="1">
      <alignment horizontal="center" vertical="center" wrapText="1"/>
      <protection locked="0"/>
    </xf>
    <xf numFmtId="3" fontId="94" fillId="0" borderId="88" xfId="154" applyNumberFormat="1" applyFont="1" applyBorder="1" applyAlignment="1" applyProtection="1">
      <alignment horizontal="center" vertical="center" wrapText="1"/>
      <protection locked="0"/>
    </xf>
    <xf numFmtId="3" fontId="91" fillId="4" borderId="58" xfId="154" applyNumberFormat="1" applyFont="1" applyFill="1" applyBorder="1" applyAlignment="1" applyProtection="1">
      <alignment horizontal="left" vertical="center" wrapText="1"/>
      <protection locked="0"/>
    </xf>
    <xf numFmtId="9" fontId="91" fillId="0" borderId="59" xfId="244" applyFont="1" applyFill="1" applyBorder="1" applyAlignment="1" applyProtection="1">
      <alignment horizontal="center" vertical="center" wrapText="1"/>
      <protection locked="0"/>
    </xf>
    <xf numFmtId="9" fontId="91" fillId="0" borderId="60" xfId="244" applyFont="1" applyFill="1" applyBorder="1" applyAlignment="1" applyProtection="1">
      <alignment horizontal="center" vertical="center" wrapText="1"/>
      <protection locked="0"/>
    </xf>
    <xf numFmtId="3" fontId="91" fillId="4" borderId="64" xfId="154" applyNumberFormat="1" applyFont="1" applyFill="1" applyBorder="1" applyAlignment="1" applyProtection="1">
      <alignment horizontal="left" vertical="center" wrapText="1"/>
      <protection locked="0"/>
    </xf>
    <xf numFmtId="9" fontId="91" fillId="0" borderId="65" xfId="244" applyFont="1" applyFill="1" applyBorder="1" applyAlignment="1" applyProtection="1">
      <alignment horizontal="center" vertical="center" wrapText="1"/>
      <protection locked="0"/>
    </xf>
    <xf numFmtId="9" fontId="91" fillId="0" borderId="66" xfId="244" applyFont="1" applyFill="1" applyBorder="1" applyAlignment="1" applyProtection="1">
      <alignment horizontal="center" vertical="center" wrapText="1"/>
      <protection locked="0"/>
    </xf>
    <xf numFmtId="3" fontId="91" fillId="4" borderId="61" xfId="154" applyNumberFormat="1" applyFont="1" applyFill="1" applyBorder="1" applyAlignment="1" applyProtection="1">
      <alignment horizontal="left" vertical="center" wrapText="1"/>
      <protection locked="0"/>
    </xf>
    <xf numFmtId="9" fontId="91" fillId="0" borderId="62" xfId="244" applyFont="1" applyFill="1" applyBorder="1" applyAlignment="1" applyProtection="1">
      <alignment horizontal="center" vertical="center" wrapText="1"/>
      <protection locked="0"/>
    </xf>
    <xf numFmtId="9" fontId="91" fillId="0" borderId="63" xfId="244" applyFont="1" applyFill="1" applyBorder="1" applyAlignment="1" applyProtection="1">
      <alignment horizontal="center" vertical="center" wrapText="1"/>
      <protection locked="0"/>
    </xf>
    <xf numFmtId="0" fontId="91" fillId="0" borderId="58" xfId="244" applyNumberFormat="1" applyFont="1" applyFill="1" applyBorder="1" applyAlignment="1" applyProtection="1">
      <alignment horizontal="center" vertical="center" wrapText="1"/>
      <protection locked="0"/>
    </xf>
    <xf numFmtId="2" fontId="91" fillId="0" borderId="59" xfId="244" applyNumberFormat="1" applyFont="1" applyFill="1" applyBorder="1" applyAlignment="1" applyProtection="1">
      <alignment horizontal="center" vertical="center" wrapText="1"/>
      <protection locked="0"/>
    </xf>
    <xf numFmtId="2" fontId="91" fillId="0" borderId="60" xfId="244" applyNumberFormat="1" applyFont="1" applyFill="1" applyBorder="1" applyAlignment="1" applyProtection="1">
      <alignment horizontal="center" vertical="center" wrapText="1"/>
      <protection locked="0"/>
    </xf>
    <xf numFmtId="0" fontId="91" fillId="0" borderId="64" xfId="244" applyNumberFormat="1" applyFont="1" applyFill="1" applyBorder="1" applyAlignment="1" applyProtection="1">
      <alignment horizontal="center" vertical="center" wrapText="1"/>
      <protection locked="0"/>
    </xf>
    <xf numFmtId="2" fontId="91" fillId="0" borderId="65" xfId="244" applyNumberFormat="1" applyFont="1" applyFill="1" applyBorder="1" applyAlignment="1" applyProtection="1">
      <alignment horizontal="center" vertical="center" wrapText="1"/>
      <protection locked="0"/>
    </xf>
    <xf numFmtId="2" fontId="91" fillId="0" borderId="66" xfId="244" applyNumberFormat="1" applyFont="1" applyFill="1" applyBorder="1" applyAlignment="1" applyProtection="1">
      <alignment horizontal="center" vertical="center" wrapText="1"/>
      <protection locked="0"/>
    </xf>
    <xf numFmtId="0" fontId="91" fillId="0" borderId="61" xfId="244" applyNumberFormat="1" applyFont="1" applyFill="1" applyBorder="1" applyAlignment="1" applyProtection="1">
      <alignment horizontal="center" vertical="center" wrapText="1"/>
      <protection locked="0"/>
    </xf>
    <xf numFmtId="2" fontId="91" fillId="0" borderId="62" xfId="244" applyNumberFormat="1" applyFont="1" applyFill="1" applyBorder="1" applyAlignment="1" applyProtection="1">
      <alignment horizontal="center" vertical="center" wrapText="1"/>
      <protection locked="0"/>
    </xf>
    <xf numFmtId="2" fontId="91" fillId="0" borderId="63" xfId="244" applyNumberFormat="1" applyFont="1" applyFill="1" applyBorder="1" applyAlignment="1" applyProtection="1">
      <alignment horizontal="center" vertical="center" wrapText="1"/>
      <protection locked="0"/>
    </xf>
    <xf numFmtId="0" fontId="51" fillId="4" borderId="58" xfId="0" applyFont="1" applyFill="1" applyBorder="1" applyAlignment="1" applyProtection="1">
      <alignment horizontal="center" vertical="center"/>
      <protection locked="0"/>
    </xf>
    <xf numFmtId="0" fontId="51" fillId="4" borderId="59" xfId="0" applyFont="1" applyFill="1" applyBorder="1" applyAlignment="1" applyProtection="1">
      <alignment horizontal="center" vertical="center"/>
      <protection locked="0"/>
    </xf>
    <xf numFmtId="0" fontId="51" fillId="4" borderId="60" xfId="0" applyFont="1" applyFill="1" applyBorder="1" applyAlignment="1" applyProtection="1">
      <alignment horizontal="center" vertical="center"/>
      <protection locked="0"/>
    </xf>
    <xf numFmtId="0" fontId="51" fillId="4" borderId="64" xfId="0" applyFont="1" applyFill="1" applyBorder="1" applyAlignment="1" applyProtection="1">
      <alignment horizontal="center" vertical="center"/>
      <protection locked="0"/>
    </xf>
    <xf numFmtId="0" fontId="51" fillId="4" borderId="65" xfId="0" applyFont="1" applyFill="1" applyBorder="1" applyAlignment="1" applyProtection="1">
      <alignment horizontal="center" vertical="center"/>
      <protection locked="0"/>
    </xf>
    <xf numFmtId="0" fontId="51" fillId="4" borderId="66" xfId="0" applyFont="1" applyFill="1" applyBorder="1" applyAlignment="1" applyProtection="1">
      <alignment horizontal="center" vertical="center"/>
      <protection locked="0"/>
    </xf>
    <xf numFmtId="0" fontId="51" fillId="4" borderId="61" xfId="0" applyFont="1" applyFill="1" applyBorder="1" applyAlignment="1" applyProtection="1">
      <alignment horizontal="center" vertical="center"/>
      <protection locked="0"/>
    </xf>
    <xf numFmtId="0" fontId="51" fillId="4" borderId="62" xfId="0" applyFont="1" applyFill="1" applyBorder="1" applyAlignment="1" applyProtection="1">
      <alignment horizontal="center" vertical="center"/>
      <protection locked="0"/>
    </xf>
    <xf numFmtId="0" fontId="51" fillId="4" borderId="63" xfId="0" applyFont="1" applyFill="1" applyBorder="1" applyAlignment="1" applyProtection="1">
      <alignment horizontal="center" vertical="center"/>
      <protection locked="0"/>
    </xf>
    <xf numFmtId="0" fontId="17" fillId="0" borderId="89" xfId="0" applyFont="1" applyBorder="1" applyAlignment="1" applyProtection="1">
      <alignment horizontal="left" vertical="center" wrapText="1"/>
      <protection locked="0"/>
    </xf>
    <xf numFmtId="0" fontId="17" fillId="0" borderId="90" xfId="0" applyFont="1" applyBorder="1" applyAlignment="1" applyProtection="1">
      <alignment horizontal="left" vertical="center"/>
      <protection locked="0"/>
    </xf>
    <xf numFmtId="0" fontId="17" fillId="0" borderId="82" xfId="0" applyFont="1" applyBorder="1" applyAlignment="1" applyProtection="1">
      <alignment horizontal="left" vertical="center"/>
      <protection locked="0"/>
    </xf>
    <xf numFmtId="0" fontId="17" fillId="0" borderId="91" xfId="0" applyFont="1" applyBorder="1" applyAlignment="1" applyProtection="1">
      <alignment horizontal="left" vertical="center"/>
      <protection locked="0"/>
    </xf>
    <xf numFmtId="3" fontId="19" fillId="0" borderId="65" xfId="154" applyNumberFormat="1" applyFont="1" applyBorder="1" applyAlignment="1" applyProtection="1">
      <alignment horizontal="center" vertical="center" wrapText="1"/>
      <protection locked="0"/>
    </xf>
    <xf numFmtId="0" fontId="98" fillId="63" borderId="3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3" fontId="19" fillId="0" borderId="59" xfId="154" applyNumberFormat="1" applyFont="1" applyBorder="1" applyAlignment="1" applyProtection="1">
      <alignment horizontal="left" vertical="center" wrapText="1"/>
      <protection locked="0"/>
    </xf>
    <xf numFmtId="3" fontId="19" fillId="0" borderId="59" xfId="154" applyNumberFormat="1" applyFont="1" applyBorder="1" applyAlignment="1" applyProtection="1">
      <alignment horizontal="center" vertical="center" wrapText="1"/>
      <protection locked="0"/>
    </xf>
    <xf numFmtId="3" fontId="19" fillId="0" borderId="60" xfId="154" applyNumberFormat="1" applyFont="1" applyBorder="1" applyAlignment="1" applyProtection="1">
      <alignment horizontal="center" vertical="center" wrapText="1"/>
      <protection locked="0"/>
    </xf>
    <xf numFmtId="0" fontId="0" fillId="0" borderId="64" xfId="0" applyBorder="1" applyAlignment="1" applyProtection="1">
      <alignment horizontal="left" vertical="center" wrapText="1"/>
      <protection locked="0"/>
    </xf>
    <xf numFmtId="3" fontId="19" fillId="0" borderId="66" xfId="154" applyNumberFormat="1" applyFont="1" applyBorder="1" applyAlignment="1" applyProtection="1">
      <alignment horizontal="center" vertical="center" wrapText="1"/>
      <protection locked="0"/>
    </xf>
    <xf numFmtId="0" fontId="0" fillId="0" borderId="61" xfId="0" applyBorder="1" applyAlignment="1" applyProtection="1">
      <alignment horizontal="left" vertical="center" wrapText="1"/>
      <protection locked="0"/>
    </xf>
    <xf numFmtId="3" fontId="19" fillId="0" borderId="62" xfId="154" applyNumberFormat="1" applyFont="1" applyBorder="1" applyAlignment="1" applyProtection="1">
      <alignment horizontal="left" vertical="center" wrapText="1"/>
      <protection locked="0"/>
    </xf>
    <xf numFmtId="3" fontId="19" fillId="0" borderId="62" xfId="154" applyNumberFormat="1" applyFont="1" applyBorder="1" applyAlignment="1" applyProtection="1">
      <alignment horizontal="center" vertical="center" wrapText="1"/>
      <protection locked="0"/>
    </xf>
    <xf numFmtId="3" fontId="19" fillId="0" borderId="63" xfId="154" applyNumberFormat="1" applyFont="1" applyBorder="1" applyAlignment="1" applyProtection="1">
      <alignment horizontal="center" vertical="center" wrapText="1"/>
      <protection locked="0"/>
    </xf>
    <xf numFmtId="3" fontId="19" fillId="0" borderId="58" xfId="154" applyNumberFormat="1" applyFont="1" applyBorder="1" applyAlignment="1" applyProtection="1">
      <alignment horizontal="left" vertical="center" wrapText="1"/>
      <protection locked="0"/>
    </xf>
    <xf numFmtId="3" fontId="19" fillId="0" borderId="64" xfId="154" applyNumberFormat="1" applyFont="1" applyBorder="1" applyAlignment="1" applyProtection="1">
      <alignment horizontal="left" vertical="center" wrapText="1"/>
      <protection locked="0"/>
    </xf>
    <xf numFmtId="3" fontId="19" fillId="0" borderId="61" xfId="154" applyNumberFormat="1" applyFont="1" applyBorder="1" applyAlignment="1" applyProtection="1">
      <alignment horizontal="left" vertical="center" wrapText="1"/>
      <protection locked="0"/>
    </xf>
    <xf numFmtId="3" fontId="19" fillId="0" borderId="70" xfId="154" applyNumberFormat="1" applyFont="1" applyBorder="1" applyAlignment="1" applyProtection="1">
      <alignment horizontal="left" vertical="center" wrapText="1"/>
      <protection locked="0"/>
    </xf>
    <xf numFmtId="3" fontId="120" fillId="0" borderId="70" xfId="154" applyNumberFormat="1" applyFont="1" applyBorder="1" applyAlignment="1" applyProtection="1">
      <alignment horizontal="left" vertical="center" wrapText="1"/>
      <protection hidden="1"/>
    </xf>
    <xf numFmtId="3" fontId="15" fillId="0" borderId="59" xfId="154" applyNumberFormat="1" applyBorder="1" applyAlignment="1" applyProtection="1">
      <alignment horizontal="center" vertical="center" wrapText="1"/>
      <protection locked="0"/>
    </xf>
    <xf numFmtId="3" fontId="15" fillId="0" borderId="65" xfId="154" applyNumberFormat="1" applyBorder="1" applyAlignment="1" applyProtection="1">
      <alignment horizontal="center" vertical="center" wrapText="1"/>
      <protection locked="0"/>
    </xf>
    <xf numFmtId="3" fontId="15" fillId="0" borderId="62" xfId="154" applyNumberFormat="1" applyBorder="1" applyAlignment="1" applyProtection="1">
      <alignment horizontal="center" vertical="center" wrapText="1"/>
      <protection locked="0"/>
    </xf>
    <xf numFmtId="0" fontId="125" fillId="63" borderId="15" xfId="0" applyFont="1" applyFill="1" applyBorder="1" applyAlignment="1">
      <alignment horizontal="center" vertical="center" wrapText="1"/>
    </xf>
    <xf numFmtId="0" fontId="125" fillId="63" borderId="16" xfId="0" applyFont="1" applyFill="1" applyBorder="1" applyAlignment="1">
      <alignment horizontal="left" vertical="center" wrapText="1"/>
    </xf>
    <xf numFmtId="0" fontId="125" fillId="63" borderId="16" xfId="0" applyFont="1" applyFill="1" applyBorder="1" applyAlignment="1">
      <alignment horizontal="center" vertical="center" wrapText="1"/>
    </xf>
    <xf numFmtId="0" fontId="125" fillId="63" borderId="14" xfId="0" applyFont="1" applyFill="1" applyBorder="1" applyAlignment="1">
      <alignment horizontal="left" vertical="center"/>
    </xf>
    <xf numFmtId="166" fontId="127" fillId="0" borderId="0" xfId="245" applyNumberFormat="1" applyFont="1" applyAlignment="1">
      <alignment horizontal="center" vertical="center"/>
    </xf>
    <xf numFmtId="0" fontId="127" fillId="0" borderId="92" xfId="4332" applyFont="1" applyBorder="1" applyAlignment="1">
      <alignment horizontal="left" vertical="center"/>
    </xf>
    <xf numFmtId="0" fontId="127" fillId="0" borderId="92" xfId="4332" applyFont="1" applyBorder="1" applyAlignment="1">
      <alignment horizontal="center" vertical="center"/>
    </xf>
    <xf numFmtId="0" fontId="127" fillId="0" borderId="92" xfId="245" applyFont="1" applyBorder="1" applyAlignment="1">
      <alignment horizontal="center" vertical="center"/>
    </xf>
    <xf numFmtId="166" fontId="127" fillId="0" borderId="92" xfId="245" applyNumberFormat="1" applyFont="1" applyBorder="1" applyAlignment="1">
      <alignment horizontal="center" vertical="center"/>
    </xf>
    <xf numFmtId="0" fontId="127" fillId="0" borderId="92" xfId="245" applyFont="1" applyBorder="1" applyAlignment="1">
      <alignment horizontal="left" vertical="center"/>
    </xf>
    <xf numFmtId="0" fontId="127" fillId="0" borderId="56" xfId="4332" applyFont="1" applyBorder="1" applyAlignment="1">
      <alignment horizontal="left" vertical="center"/>
    </xf>
    <xf numFmtId="0" fontId="127" fillId="0" borderId="56" xfId="4332" applyFont="1" applyBorder="1" applyAlignment="1">
      <alignment horizontal="center" vertical="center"/>
    </xf>
    <xf numFmtId="0" fontId="127" fillId="0" borderId="56" xfId="245" applyFont="1" applyBorder="1" applyAlignment="1">
      <alignment horizontal="center" vertical="center"/>
    </xf>
    <xf numFmtId="166" fontId="127" fillId="0" borderId="56" xfId="245" applyNumberFormat="1" applyFont="1" applyBorder="1" applyAlignment="1">
      <alignment horizontal="center" vertical="center"/>
    </xf>
    <xf numFmtId="0" fontId="127" fillId="0" borderId="56" xfId="245" applyFont="1" applyBorder="1" applyAlignment="1">
      <alignment horizontal="left" vertical="center"/>
    </xf>
    <xf numFmtId="0" fontId="127" fillId="0" borderId="56" xfId="245" applyFont="1" applyBorder="1" applyAlignment="1">
      <alignment horizontal="left" vertical="center" wrapText="1"/>
    </xf>
    <xf numFmtId="0" fontId="127" fillId="0" borderId="93" xfId="4332" applyFont="1" applyBorder="1" applyAlignment="1">
      <alignment horizontal="left" vertical="center"/>
    </xf>
    <xf numFmtId="0" fontId="127" fillId="0" borderId="93" xfId="4332" applyFont="1" applyBorder="1" applyAlignment="1">
      <alignment horizontal="center" vertical="center"/>
    </xf>
    <xf numFmtId="0" fontId="127" fillId="0" borderId="93" xfId="245" applyFont="1" applyBorder="1" applyAlignment="1">
      <alignment horizontal="center" vertical="center"/>
    </xf>
    <xf numFmtId="166" fontId="127" fillId="0" borderId="93" xfId="245" applyNumberFormat="1" applyFont="1" applyBorder="1" applyAlignment="1">
      <alignment horizontal="center" vertical="center"/>
    </xf>
    <xf numFmtId="0" fontId="127" fillId="0" borderId="93" xfId="245" applyFont="1" applyBorder="1" applyAlignment="1">
      <alignment horizontal="left" vertical="center"/>
    </xf>
    <xf numFmtId="0" fontId="127" fillId="0" borderId="93" xfId="245" applyFont="1" applyBorder="1" applyAlignment="1">
      <alignment horizontal="left" vertical="center" wrapText="1"/>
    </xf>
    <xf numFmtId="0" fontId="127" fillId="0" borderId="92" xfId="245" applyFont="1" applyBorder="1" applyAlignment="1">
      <alignment horizontal="left" vertical="center" wrapText="1"/>
    </xf>
    <xf numFmtId="0" fontId="127" fillId="0" borderId="94" xfId="4332" applyFont="1" applyBorder="1" applyAlignment="1">
      <alignment horizontal="left" vertical="center"/>
    </xf>
    <xf numFmtId="0" fontId="127" fillId="0" borderId="94" xfId="4332" applyFont="1" applyBorder="1" applyAlignment="1">
      <alignment horizontal="center" vertical="center"/>
    </xf>
    <xf numFmtId="0" fontId="127" fillId="0" borderId="94" xfId="245" applyFont="1" applyBorder="1" applyAlignment="1">
      <alignment horizontal="center" vertical="center"/>
    </xf>
    <xf numFmtId="166" fontId="127" fillId="0" borderId="94" xfId="245" applyNumberFormat="1" applyFont="1" applyBorder="1" applyAlignment="1">
      <alignment horizontal="center" vertical="center"/>
    </xf>
    <xf numFmtId="0" fontId="127" fillId="0" borderId="94" xfId="245" applyFont="1" applyBorder="1" applyAlignment="1">
      <alignment horizontal="left" vertical="center"/>
    </xf>
    <xf numFmtId="0" fontId="127" fillId="0" borderId="94" xfId="245" applyFont="1" applyBorder="1" applyAlignment="1">
      <alignment horizontal="left" vertical="center" wrapText="1"/>
    </xf>
    <xf numFmtId="0" fontId="127" fillId="0" borderId="95" xfId="4332" applyFont="1" applyBorder="1" applyAlignment="1">
      <alignment horizontal="left" vertical="center"/>
    </xf>
    <xf numFmtId="0" fontId="127" fillId="0" borderId="95" xfId="4332" applyFont="1" applyBorder="1" applyAlignment="1">
      <alignment horizontal="center" vertical="center"/>
    </xf>
    <xf numFmtId="0" fontId="127" fillId="0" borderId="95" xfId="245" applyFont="1" applyBorder="1" applyAlignment="1">
      <alignment horizontal="center" vertical="center"/>
    </xf>
    <xf numFmtId="166" fontId="127" fillId="0" borderId="95" xfId="245" applyNumberFormat="1" applyFont="1" applyBorder="1" applyAlignment="1">
      <alignment horizontal="center" vertical="center"/>
    </xf>
    <xf numFmtId="0" fontId="127" fillId="0" borderId="95" xfId="245" applyFont="1" applyBorder="1" applyAlignment="1">
      <alignment horizontal="left" vertical="center"/>
    </xf>
    <xf numFmtId="0" fontId="127" fillId="0" borderId="95" xfId="245" applyFont="1" applyBorder="1" applyAlignment="1">
      <alignment horizontal="left" vertical="center" wrapText="1"/>
    </xf>
    <xf numFmtId="2" fontId="127" fillId="0" borderId="56" xfId="245" applyNumberFormat="1" applyFont="1" applyBorder="1" applyAlignment="1">
      <alignment horizontal="center" vertical="center"/>
    </xf>
    <xf numFmtId="2" fontId="127" fillId="0" borderId="92" xfId="245" applyNumberFormat="1" applyFont="1" applyBorder="1" applyAlignment="1">
      <alignment horizontal="center" vertical="center"/>
    </xf>
    <xf numFmtId="1" fontId="127" fillId="0" borderId="92" xfId="245" applyNumberFormat="1" applyFont="1" applyBorder="1" applyAlignment="1">
      <alignment horizontal="center" vertical="center"/>
    </xf>
    <xf numFmtId="1" fontId="127" fillId="0" borderId="56" xfId="245" applyNumberFormat="1" applyFont="1" applyBorder="1" applyAlignment="1">
      <alignment horizontal="center" vertical="center"/>
    </xf>
    <xf numFmtId="0" fontId="127" fillId="0" borderId="56" xfId="0" applyFont="1" applyBorder="1" applyAlignment="1">
      <alignment horizontal="center" vertical="center" wrapText="1"/>
    </xf>
    <xf numFmtId="1" fontId="127" fillId="0" borderId="56" xfId="0" applyNumberFormat="1" applyFont="1" applyBorder="1" applyAlignment="1">
      <alignment horizontal="center" vertical="center" wrapText="1"/>
    </xf>
    <xf numFmtId="2" fontId="127" fillId="0" borderId="93" xfId="245" applyNumberFormat="1" applyFont="1" applyBorder="1" applyAlignment="1">
      <alignment horizontal="center" vertical="center"/>
    </xf>
    <xf numFmtId="1" fontId="127" fillId="0" borderId="93" xfId="245" applyNumberFormat="1" applyFont="1" applyBorder="1" applyAlignment="1">
      <alignment horizontal="center" vertical="center"/>
    </xf>
    <xf numFmtId="0" fontId="127" fillId="0" borderId="93" xfId="0" applyFont="1" applyBorder="1" applyAlignment="1">
      <alignment horizontal="center" vertical="center" wrapText="1"/>
    </xf>
    <xf numFmtId="1" fontId="127" fillId="0" borderId="93" xfId="0" applyNumberFormat="1" applyFont="1" applyBorder="1" applyAlignment="1">
      <alignment horizontal="center" vertical="center" wrapText="1"/>
    </xf>
    <xf numFmtId="2" fontId="127" fillId="0" borderId="95" xfId="245" applyNumberFormat="1" applyFont="1" applyBorder="1" applyAlignment="1">
      <alignment horizontal="center" vertical="center"/>
    </xf>
    <xf numFmtId="1" fontId="127" fillId="0" borderId="95" xfId="245" applyNumberFormat="1" applyFont="1" applyBorder="1" applyAlignment="1">
      <alignment horizontal="center" vertical="center"/>
    </xf>
    <xf numFmtId="0" fontId="127" fillId="0" borderId="95" xfId="0" applyFont="1" applyBorder="1" applyAlignment="1">
      <alignment horizontal="center" vertical="center" wrapText="1"/>
    </xf>
    <xf numFmtId="1" fontId="127" fillId="0" borderId="95" xfId="0" applyNumberFormat="1" applyFont="1" applyBorder="1" applyAlignment="1">
      <alignment horizontal="center" vertical="center" wrapText="1"/>
    </xf>
    <xf numFmtId="1" fontId="127" fillId="0" borderId="2" xfId="245" applyNumberFormat="1" applyFont="1" applyBorder="1" applyAlignment="1">
      <alignment horizontal="center" vertical="center"/>
    </xf>
    <xf numFmtId="0" fontId="52" fillId="0" borderId="2" xfId="0" applyFont="1" applyBorder="1" applyAlignment="1">
      <alignment horizontal="center" vertical="center"/>
    </xf>
    <xf numFmtId="2" fontId="127" fillId="0" borderId="0" xfId="245" applyNumberFormat="1" applyFont="1" applyAlignment="1">
      <alignment horizontal="center" vertical="center"/>
    </xf>
    <xf numFmtId="1" fontId="127" fillId="0" borderId="0" xfId="245" applyNumberFormat="1" applyFont="1" applyAlignment="1">
      <alignment horizontal="center" vertical="center"/>
    </xf>
    <xf numFmtId="0" fontId="127" fillId="0" borderId="0" xfId="0" applyFont="1" applyAlignment="1">
      <alignment horizontal="center" vertical="center" wrapText="1"/>
    </xf>
    <xf numFmtId="1" fontId="127" fillId="0" borderId="0" xfId="0" applyNumberFormat="1" applyFont="1" applyAlignment="1">
      <alignment horizontal="center" vertical="center" wrapText="1"/>
    </xf>
    <xf numFmtId="1" fontId="52" fillId="0" borderId="92" xfId="0" applyNumberFormat="1" applyFont="1" applyBorder="1" applyAlignment="1">
      <alignment horizontal="center" vertical="center"/>
    </xf>
    <xf numFmtId="1" fontId="52" fillId="0" borderId="56" xfId="0" applyNumberFormat="1" applyFont="1" applyBorder="1" applyAlignment="1">
      <alignment horizontal="center" vertical="center"/>
    </xf>
    <xf numFmtId="1" fontId="52" fillId="0" borderId="93" xfId="0" applyNumberFormat="1" applyFont="1" applyBorder="1" applyAlignment="1">
      <alignment horizontal="center" vertical="center"/>
    </xf>
    <xf numFmtId="11" fontId="91" fillId="0" borderId="58" xfId="244" applyNumberFormat="1" applyFont="1" applyFill="1" applyBorder="1" applyAlignment="1" applyProtection="1">
      <alignment horizontal="center" vertical="center" wrapText="1"/>
      <protection locked="0"/>
    </xf>
    <xf numFmtId="11" fontId="91" fillId="0" borderId="64" xfId="244" applyNumberFormat="1" applyFont="1" applyFill="1" applyBorder="1" applyAlignment="1" applyProtection="1">
      <alignment horizontal="center" vertical="center" wrapText="1"/>
      <protection locked="0"/>
    </xf>
    <xf numFmtId="11" fontId="91" fillId="0" borderId="61" xfId="244" applyNumberFormat="1" applyFont="1" applyFill="1" applyBorder="1" applyAlignment="1" applyProtection="1">
      <alignment horizontal="center" vertical="center" wrapText="1"/>
      <protection locked="0"/>
    </xf>
    <xf numFmtId="0" fontId="1" fillId="0" borderId="2" xfId="245" applyFont="1" applyBorder="1"/>
    <xf numFmtId="0" fontId="1" fillId="0" borderId="2" xfId="245" applyFont="1" applyBorder="1" applyAlignment="1">
      <alignment horizontal="center"/>
    </xf>
    <xf numFmtId="171" fontId="1" fillId="0" borderId="2" xfId="245" applyNumberFormat="1" applyFont="1" applyBorder="1"/>
    <xf numFmtId="0" fontId="1" fillId="0" borderId="2" xfId="245" applyFont="1" applyBorder="1" applyAlignment="1">
      <alignment horizontal="left"/>
    </xf>
    <xf numFmtId="167" fontId="1" fillId="0" borderId="0" xfId="138" applyFont="1" applyAlignment="1">
      <alignment vertical="center"/>
    </xf>
    <xf numFmtId="14" fontId="51" fillId="4" borderId="0" xfId="2235" applyNumberFormat="1" applyFont="1" applyFill="1" applyAlignment="1">
      <alignment horizontal="left" vertical="center"/>
    </xf>
    <xf numFmtId="166" fontId="135" fillId="0" borderId="92" xfId="245" applyNumberFormat="1" applyFont="1" applyBorder="1" applyAlignment="1">
      <alignment horizontal="center" vertical="center"/>
    </xf>
    <xf numFmtId="166" fontId="135" fillId="0" borderId="56" xfId="245" applyNumberFormat="1" applyFont="1" applyBorder="1" applyAlignment="1">
      <alignment horizontal="center" vertical="center"/>
    </xf>
    <xf numFmtId="166" fontId="135" fillId="0" borderId="93" xfId="245" applyNumberFormat="1" applyFont="1" applyBorder="1" applyAlignment="1">
      <alignment horizontal="center" vertical="center"/>
    </xf>
    <xf numFmtId="178" fontId="127" fillId="0" borderId="2" xfId="245" applyNumberFormat="1" applyFont="1" applyBorder="1" applyAlignment="1">
      <alignment horizontal="center" vertical="center"/>
    </xf>
    <xf numFmtId="0" fontId="127" fillId="0" borderId="16" xfId="245" applyFont="1" applyBorder="1" applyAlignment="1">
      <alignment horizontal="center" vertical="center"/>
    </xf>
    <xf numFmtId="178" fontId="127" fillId="0" borderId="16" xfId="245" applyNumberFormat="1" applyFont="1" applyBorder="1" applyAlignment="1">
      <alignment horizontal="center" vertical="center"/>
    </xf>
    <xf numFmtId="0" fontId="127" fillId="0" borderId="16" xfId="245" applyFont="1" applyBorder="1" applyAlignment="1">
      <alignment horizontal="left" vertical="center"/>
    </xf>
    <xf numFmtId="177" fontId="19" fillId="64" borderId="2" xfId="154" applyNumberFormat="1" applyFont="1" applyFill="1" applyBorder="1" applyAlignment="1">
      <alignment horizontal="center" vertical="center" wrapText="1"/>
    </xf>
    <xf numFmtId="0" fontId="127" fillId="0" borderId="33" xfId="245" applyFont="1" applyBorder="1" applyAlignment="1">
      <alignment horizontal="center" vertical="center"/>
    </xf>
    <xf numFmtId="2" fontId="127" fillId="0" borderId="33" xfId="245" applyNumberFormat="1" applyFont="1" applyBorder="1" applyAlignment="1">
      <alignment horizontal="center" vertical="center"/>
    </xf>
    <xf numFmtId="1" fontId="127" fillId="0" borderId="33" xfId="245" applyNumberFormat="1" applyFont="1" applyBorder="1" applyAlignment="1">
      <alignment horizontal="center" vertical="center"/>
    </xf>
    <xf numFmtId="178" fontId="127" fillId="0" borderId="33" xfId="245" applyNumberFormat="1" applyFont="1" applyBorder="1" applyAlignment="1">
      <alignment horizontal="center" vertical="center"/>
    </xf>
    <xf numFmtId="178" fontId="127" fillId="0" borderId="93" xfId="245" applyNumberFormat="1" applyFont="1" applyBorder="1" applyAlignment="1">
      <alignment horizontal="center" vertical="center"/>
    </xf>
    <xf numFmtId="0" fontId="92" fillId="61" borderId="0" xfId="0" applyFont="1" applyFill="1" applyAlignment="1">
      <alignment horizontal="left"/>
    </xf>
    <xf numFmtId="0" fontId="0" fillId="0" borderId="0" xfId="2235" applyFont="1" applyAlignment="1">
      <alignment horizontal="left" vertical="top" wrapText="1"/>
    </xf>
    <xf numFmtId="0" fontId="17" fillId="0" borderId="0" xfId="2235" applyFont="1" applyAlignment="1">
      <alignment horizontal="left" vertical="top"/>
    </xf>
    <xf numFmtId="0" fontId="92" fillId="61" borderId="0" xfId="2235" applyFont="1" applyFill="1" applyAlignment="1">
      <alignment horizontal="left" vertical="center"/>
    </xf>
    <xf numFmtId="0" fontId="17" fillId="0" borderId="70" xfId="2235" applyFont="1" applyBorder="1" applyAlignment="1">
      <alignment horizontal="left" vertical="center" wrapText="1"/>
    </xf>
    <xf numFmtId="0" fontId="17" fillId="0" borderId="0" xfId="2235" applyFont="1" applyAlignment="1">
      <alignment horizontal="left" vertical="center" wrapText="1"/>
    </xf>
    <xf numFmtId="0" fontId="17" fillId="0" borderId="34" xfId="2235" applyFont="1" applyBorder="1" applyAlignment="1">
      <alignment horizontal="left" vertical="center" wrapText="1"/>
    </xf>
    <xf numFmtId="3" fontId="19" fillId="4" borderId="2" xfId="154" quotePrefix="1" applyNumberFormat="1" applyFont="1" applyFill="1" applyBorder="1" applyAlignment="1">
      <alignment horizontal="left" vertical="center" wrapText="1"/>
    </xf>
    <xf numFmtId="0" fontId="95" fillId="63" borderId="74" xfId="154" applyFont="1" applyFill="1" applyBorder="1" applyAlignment="1">
      <alignment horizontal="center" vertical="center" wrapText="1"/>
    </xf>
    <xf numFmtId="0" fontId="95" fillId="63" borderId="75" xfId="154" applyFont="1" applyFill="1" applyBorder="1" applyAlignment="1">
      <alignment horizontal="center" vertical="center" wrapText="1"/>
    </xf>
    <xf numFmtId="0" fontId="51" fillId="0" borderId="16" xfId="0" applyFont="1" applyBorder="1" applyAlignment="1">
      <alignment horizontal="left" vertical="center" wrapText="1"/>
    </xf>
    <xf numFmtId="0" fontId="51" fillId="0" borderId="33" xfId="0" applyFont="1" applyBorder="1" applyAlignment="1">
      <alignment horizontal="left" vertical="center" wrapText="1"/>
    </xf>
    <xf numFmtId="0" fontId="51" fillId="0" borderId="17" xfId="0" applyFont="1" applyBorder="1" applyAlignment="1">
      <alignment horizontal="left" vertical="center" wrapText="1"/>
    </xf>
    <xf numFmtId="14" fontId="51" fillId="0" borderId="16" xfId="0" applyNumberFormat="1" applyFont="1" applyBorder="1" applyAlignment="1">
      <alignment horizontal="left" vertical="center" wrapText="1"/>
    </xf>
    <xf numFmtId="14" fontId="51" fillId="0" borderId="33" xfId="0" applyNumberFormat="1" applyFont="1" applyBorder="1" applyAlignment="1">
      <alignment horizontal="left" vertical="center" wrapText="1"/>
    </xf>
    <xf numFmtId="14" fontId="51" fillId="0" borderId="17" xfId="0" applyNumberFormat="1" applyFont="1" applyBorder="1" applyAlignment="1">
      <alignment horizontal="left" vertical="center" wrapText="1"/>
    </xf>
    <xf numFmtId="0" fontId="51" fillId="4" borderId="16" xfId="2235" applyFont="1" applyFill="1" applyBorder="1" applyAlignment="1">
      <alignment horizontal="left" vertical="center" wrapText="1"/>
    </xf>
    <xf numFmtId="0" fontId="51" fillId="4" borderId="33" xfId="2235" applyFont="1" applyFill="1" applyBorder="1" applyAlignment="1">
      <alignment horizontal="left" vertical="center" wrapText="1"/>
    </xf>
    <xf numFmtId="0" fontId="51" fillId="4" borderId="17" xfId="2235" applyFont="1" applyFill="1" applyBorder="1" applyAlignment="1">
      <alignment horizontal="left" vertical="center" wrapText="1"/>
    </xf>
    <xf numFmtId="0" fontId="51" fillId="0" borderId="16" xfId="0" applyFont="1" applyBorder="1" applyAlignment="1">
      <alignment vertical="center" wrapText="1"/>
    </xf>
    <xf numFmtId="0" fontId="51" fillId="0" borderId="33" xfId="0" applyFont="1" applyBorder="1" applyAlignment="1">
      <alignment vertical="center" wrapText="1"/>
    </xf>
    <xf numFmtId="0" fontId="51" fillId="0" borderId="17" xfId="0" applyFont="1" applyBorder="1" applyAlignment="1">
      <alignment vertical="center" wrapText="1"/>
    </xf>
    <xf numFmtId="0" fontId="95" fillId="4" borderId="0" xfId="2236" applyNumberFormat="1" applyFont="1" applyFill="1" applyAlignment="1" applyProtection="1">
      <alignment vertical="center" wrapText="1"/>
      <protection hidden="1"/>
    </xf>
    <xf numFmtId="3" fontId="19" fillId="4" borderId="2" xfId="154" applyNumberFormat="1" applyFont="1" applyFill="1" applyBorder="1" applyAlignment="1">
      <alignment vertical="center" wrapText="1"/>
    </xf>
    <xf numFmtId="3" fontId="19" fillId="4" borderId="2" xfId="154" quotePrefix="1" applyNumberFormat="1" applyFont="1" applyFill="1" applyBorder="1" applyAlignment="1">
      <alignment vertical="center" wrapText="1"/>
    </xf>
    <xf numFmtId="0" fontId="129" fillId="4" borderId="73" xfId="4330" applyFont="1" applyFill="1" applyBorder="1" applyAlignment="1">
      <alignment horizontal="left"/>
    </xf>
    <xf numFmtId="0" fontId="95" fillId="63" borderId="2" xfId="154" applyFont="1" applyFill="1" applyBorder="1" applyAlignment="1">
      <alignment vertical="center" wrapText="1"/>
    </xf>
    <xf numFmtId="3" fontId="19" fillId="4" borderId="14" xfId="154" quotePrefix="1" applyNumberFormat="1" applyFont="1" applyFill="1" applyBorder="1" applyAlignment="1">
      <alignment horizontal="left" vertical="center" wrapText="1"/>
    </xf>
    <xf numFmtId="3" fontId="19" fillId="4" borderId="4" xfId="154" quotePrefix="1" applyNumberFormat="1" applyFont="1" applyFill="1" applyBorder="1" applyAlignment="1">
      <alignment horizontal="left" vertical="center" wrapText="1"/>
    </xf>
    <xf numFmtId="3" fontId="19" fillId="4" borderId="15" xfId="154" quotePrefix="1" applyNumberFormat="1" applyFont="1" applyFill="1" applyBorder="1" applyAlignment="1">
      <alignment horizontal="left" vertical="center" wrapText="1"/>
    </xf>
    <xf numFmtId="0" fontId="98" fillId="63" borderId="57" xfId="0" applyFont="1" applyFill="1" applyBorder="1" applyAlignment="1">
      <alignment horizontal="center" vertical="center" wrapText="1"/>
    </xf>
    <xf numFmtId="0" fontId="98" fillId="63" borderId="32" xfId="0" applyFont="1" applyFill="1" applyBorder="1" applyAlignment="1">
      <alignment horizontal="center" vertical="center" wrapText="1"/>
    </xf>
    <xf numFmtId="0" fontId="83" fillId="4" borderId="46" xfId="154" applyFont="1" applyFill="1" applyBorder="1" applyAlignment="1" applyProtection="1">
      <alignment horizontal="left" vertical="center" wrapText="1"/>
      <protection locked="0"/>
    </xf>
    <xf numFmtId="0" fontId="83" fillId="4" borderId="47" xfId="154" applyFont="1" applyFill="1" applyBorder="1" applyAlignment="1" applyProtection="1">
      <alignment horizontal="left" vertical="center" wrapText="1"/>
      <protection locked="0"/>
    </xf>
    <xf numFmtId="0" fontId="83" fillId="4" borderId="48" xfId="154" applyFont="1" applyFill="1" applyBorder="1" applyAlignment="1" applyProtection="1">
      <alignment horizontal="left" vertical="center" wrapText="1"/>
      <protection locked="0"/>
    </xf>
    <xf numFmtId="0" fontId="83" fillId="4" borderId="49" xfId="154" applyFont="1" applyFill="1" applyBorder="1" applyAlignment="1" applyProtection="1">
      <alignment horizontal="left" vertical="center" wrapText="1"/>
      <protection locked="0"/>
    </xf>
    <xf numFmtId="0" fontId="83" fillId="4" borderId="50" xfId="154" applyFont="1" applyFill="1" applyBorder="1" applyAlignment="1" applyProtection="1">
      <alignment horizontal="left" vertical="center" wrapText="1"/>
      <protection locked="0"/>
    </xf>
    <xf numFmtId="0" fontId="83" fillId="4" borderId="51" xfId="154" applyFont="1" applyFill="1" applyBorder="1" applyAlignment="1" applyProtection="1">
      <alignment horizontal="left" vertical="center" wrapText="1"/>
      <protection locked="0"/>
    </xf>
    <xf numFmtId="0" fontId="19" fillId="4" borderId="52" xfId="154" applyFont="1" applyFill="1" applyBorder="1" applyAlignment="1" applyProtection="1">
      <alignment horizontal="left" vertical="center" wrapText="1"/>
      <protection locked="0"/>
    </xf>
    <xf numFmtId="0" fontId="19" fillId="4" borderId="53" xfId="154" applyFont="1" applyFill="1" applyBorder="1" applyAlignment="1" applyProtection="1">
      <alignment horizontal="left" vertical="center" wrapText="1"/>
      <protection locked="0"/>
    </xf>
    <xf numFmtId="0" fontId="19" fillId="4" borderId="54" xfId="154" applyFont="1" applyFill="1" applyBorder="1" applyAlignment="1" applyProtection="1">
      <alignment horizontal="left" vertical="center" wrapText="1"/>
      <protection locked="0"/>
    </xf>
    <xf numFmtId="3" fontId="19" fillId="64" borderId="2" xfId="154" applyNumberFormat="1" applyFont="1" applyFill="1" applyBorder="1" applyAlignment="1" applyProtection="1">
      <alignment horizontal="left" vertical="center" wrapText="1"/>
      <protection locked="0"/>
    </xf>
    <xf numFmtId="0" fontId="0" fillId="0" borderId="0" xfId="0" applyAlignment="1">
      <alignment horizontal="left" vertical="center" wrapText="1"/>
    </xf>
    <xf numFmtId="0" fontId="21" fillId="0" borderId="34" xfId="0" applyFont="1" applyBorder="1" applyAlignment="1">
      <alignment horizontal="center" vertical="center" wrapText="1"/>
    </xf>
    <xf numFmtId="0" fontId="98" fillId="65" borderId="57" xfId="0" applyFont="1" applyFill="1" applyBorder="1" applyAlignment="1">
      <alignment horizontal="center" vertical="center" wrapText="1"/>
    </xf>
    <xf numFmtId="0" fontId="98" fillId="65" borderId="32" xfId="0" applyFont="1" applyFill="1" applyBorder="1" applyAlignment="1">
      <alignment horizontal="center" vertical="center" wrapText="1"/>
    </xf>
    <xf numFmtId="0" fontId="19" fillId="4" borderId="38" xfId="154" applyFont="1" applyFill="1" applyBorder="1" applyAlignment="1" applyProtection="1">
      <alignment horizontal="left" vertical="center" wrapText="1"/>
      <protection locked="0"/>
    </xf>
    <xf numFmtId="0" fontId="19" fillId="4" borderId="39" xfId="154" applyFont="1" applyFill="1" applyBorder="1" applyAlignment="1" applyProtection="1">
      <alignment horizontal="left" vertical="center" wrapText="1"/>
      <protection locked="0"/>
    </xf>
    <xf numFmtId="0" fontId="19" fillId="4" borderId="40" xfId="154" applyFont="1" applyFill="1" applyBorder="1" applyAlignment="1" applyProtection="1">
      <alignment horizontal="left" vertical="center" wrapText="1"/>
      <protection locked="0"/>
    </xf>
    <xf numFmtId="0" fontId="19" fillId="4" borderId="42" xfId="154" applyFont="1" applyFill="1" applyBorder="1" applyAlignment="1" applyProtection="1">
      <alignment horizontal="left" vertical="center" wrapText="1"/>
      <protection locked="0"/>
    </xf>
    <xf numFmtId="0" fontId="19" fillId="4" borderId="28" xfId="154" applyFont="1" applyFill="1" applyBorder="1" applyAlignment="1" applyProtection="1">
      <alignment horizontal="left" vertical="center" wrapText="1"/>
      <protection locked="0"/>
    </xf>
    <xf numFmtId="0" fontId="19" fillId="4" borderId="29" xfId="154" applyFont="1" applyFill="1" applyBorder="1" applyAlignment="1" applyProtection="1">
      <alignment horizontal="left" vertical="center" wrapText="1"/>
      <protection locked="0"/>
    </xf>
    <xf numFmtId="3" fontId="19" fillId="4" borderId="55" xfId="154" applyNumberFormat="1" applyFont="1" applyFill="1" applyBorder="1" applyAlignment="1" applyProtection="1">
      <alignment horizontal="center" vertical="center" wrapText="1"/>
      <protection locked="0"/>
    </xf>
    <xf numFmtId="3" fontId="19" fillId="4" borderId="82" xfId="154" applyNumberFormat="1" applyFont="1" applyFill="1" applyBorder="1" applyAlignment="1" applyProtection="1">
      <alignment horizontal="center" vertical="center" wrapText="1"/>
      <protection locked="0"/>
    </xf>
    <xf numFmtId="0" fontId="19" fillId="4" borderId="55" xfId="154" applyFont="1" applyFill="1" applyBorder="1" applyAlignment="1" applyProtection="1">
      <alignment horizontal="center" vertical="center" wrapText="1"/>
      <protection locked="0"/>
    </xf>
    <xf numFmtId="0" fontId="19" fillId="4" borderId="82" xfId="154" applyFont="1" applyFill="1" applyBorder="1" applyAlignment="1" applyProtection="1">
      <alignment horizontal="center" vertical="center" wrapText="1"/>
      <protection locked="0"/>
    </xf>
    <xf numFmtId="0" fontId="19" fillId="4" borderId="55" xfId="153" applyFont="1" applyFill="1" applyBorder="1" applyAlignment="1" applyProtection="1">
      <alignment horizontal="center" vertical="center" wrapText="1"/>
      <protection locked="0"/>
    </xf>
    <xf numFmtId="0" fontId="19" fillId="4" borderId="82" xfId="153" applyFont="1" applyFill="1" applyBorder="1" applyAlignment="1" applyProtection="1">
      <alignment horizontal="center" vertical="center" wrapText="1"/>
      <protection locked="0"/>
    </xf>
    <xf numFmtId="3" fontId="19" fillId="0" borderId="55" xfId="154" applyNumberFormat="1" applyFont="1" applyBorder="1" applyAlignment="1" applyProtection="1">
      <alignment horizontal="center" vertical="center" wrapText="1"/>
      <protection locked="0"/>
    </xf>
    <xf numFmtId="3" fontId="19" fillId="0" borderId="82" xfId="154" applyNumberFormat="1" applyFont="1" applyBorder="1" applyAlignment="1" applyProtection="1">
      <alignment horizontal="center" vertical="center" wrapText="1"/>
      <protection locked="0"/>
    </xf>
    <xf numFmtId="0" fontId="93" fillId="62" borderId="16" xfId="154" applyFont="1" applyFill="1" applyBorder="1" applyAlignment="1">
      <alignment horizontal="center" vertical="center" wrapText="1"/>
    </xf>
    <xf numFmtId="0" fontId="93" fillId="62" borderId="17" xfId="154" applyFont="1" applyFill="1" applyBorder="1" applyAlignment="1">
      <alignment horizontal="center" vertical="center" wrapText="1"/>
    </xf>
    <xf numFmtId="0" fontId="94" fillId="0" borderId="38" xfId="154" applyFont="1" applyBorder="1" applyAlignment="1" applyProtection="1">
      <alignment horizontal="left" vertical="center" wrapText="1"/>
      <protection locked="0"/>
    </xf>
    <xf numFmtId="0" fontId="94" fillId="0" borderId="39" xfId="154" applyFont="1" applyBorder="1" applyAlignment="1" applyProtection="1">
      <alignment horizontal="left" vertical="center" wrapText="1"/>
      <protection locked="0"/>
    </xf>
    <xf numFmtId="0" fontId="94" fillId="0" borderId="40" xfId="154" applyFont="1" applyBorder="1" applyAlignment="1" applyProtection="1">
      <alignment horizontal="left" vertical="center" wrapText="1"/>
      <protection locked="0"/>
    </xf>
    <xf numFmtId="0" fontId="94" fillId="0" borderId="42" xfId="154" applyFont="1" applyBorder="1" applyAlignment="1" applyProtection="1">
      <alignment horizontal="left" vertical="center" wrapText="1"/>
      <protection locked="0"/>
    </xf>
    <xf numFmtId="0" fontId="94" fillId="0" borderId="28" xfId="154" applyFont="1" applyBorder="1" applyAlignment="1" applyProtection="1">
      <alignment horizontal="left" vertical="center" wrapText="1"/>
      <protection locked="0"/>
    </xf>
    <xf numFmtId="0" fontId="94" fillId="0" borderId="29" xfId="154" applyFont="1" applyBorder="1" applyAlignment="1" applyProtection="1">
      <alignment horizontal="left" vertical="center" wrapText="1"/>
      <protection locked="0"/>
    </xf>
    <xf numFmtId="0" fontId="19" fillId="4" borderId="43" xfId="154" applyFont="1" applyFill="1" applyBorder="1" applyAlignment="1" applyProtection="1">
      <alignment horizontal="left" vertical="center" wrapText="1"/>
      <protection locked="0"/>
    </xf>
    <xf numFmtId="0" fontId="19" fillId="4" borderId="44" xfId="154" applyFont="1" applyFill="1" applyBorder="1" applyAlignment="1" applyProtection="1">
      <alignment horizontal="left" vertical="center" wrapText="1"/>
      <protection locked="0"/>
    </xf>
    <xf numFmtId="0" fontId="19" fillId="4" borderId="45" xfId="154" applyFont="1" applyFill="1" applyBorder="1" applyAlignment="1" applyProtection="1">
      <alignment horizontal="left" vertical="center" wrapText="1"/>
      <protection locked="0"/>
    </xf>
    <xf numFmtId="0" fontId="19" fillId="4" borderId="46" xfId="154" applyFont="1" applyFill="1" applyBorder="1" applyAlignment="1" applyProtection="1">
      <alignment horizontal="left" vertical="center" wrapText="1"/>
      <protection locked="0"/>
    </xf>
    <xf numFmtId="0" fontId="19" fillId="4" borderId="47" xfId="154" applyFont="1" applyFill="1" applyBorder="1" applyAlignment="1" applyProtection="1">
      <alignment horizontal="left" vertical="center" wrapText="1"/>
      <protection locked="0"/>
    </xf>
    <xf numFmtId="0" fontId="19" fillId="4" borderId="48" xfId="154" applyFont="1" applyFill="1" applyBorder="1" applyAlignment="1" applyProtection="1">
      <alignment horizontal="left" vertical="center" wrapText="1"/>
      <protection locked="0"/>
    </xf>
    <xf numFmtId="0" fontId="19" fillId="4" borderId="49" xfId="154" applyFont="1" applyFill="1" applyBorder="1" applyAlignment="1" applyProtection="1">
      <alignment horizontal="left" vertical="center" wrapText="1"/>
      <protection locked="0"/>
    </xf>
    <xf numFmtId="0" fontId="19" fillId="4" borderId="50" xfId="154" applyFont="1" applyFill="1" applyBorder="1" applyAlignment="1" applyProtection="1">
      <alignment horizontal="left" vertical="center" wrapText="1"/>
      <protection locked="0"/>
    </xf>
    <xf numFmtId="0" fontId="19" fillId="4" borderId="51" xfId="154" applyFont="1" applyFill="1" applyBorder="1" applyAlignment="1" applyProtection="1">
      <alignment horizontal="left" vertical="center" wrapText="1"/>
      <protection locked="0"/>
    </xf>
    <xf numFmtId="0" fontId="98" fillId="65" borderId="2" xfId="154" applyFont="1" applyFill="1" applyBorder="1" applyAlignment="1">
      <alignment horizontal="center" vertical="center" wrapText="1"/>
    </xf>
    <xf numFmtId="0" fontId="98" fillId="65" borderId="16" xfId="154" applyFont="1" applyFill="1" applyBorder="1" applyAlignment="1">
      <alignment horizontal="center" vertical="center" wrapText="1"/>
    </xf>
    <xf numFmtId="0" fontId="98" fillId="65" borderId="17" xfId="154" applyFont="1" applyFill="1" applyBorder="1" applyAlignment="1">
      <alignment horizontal="center" vertical="center" wrapText="1"/>
    </xf>
    <xf numFmtId="3" fontId="94" fillId="4" borderId="96" xfId="154" applyNumberFormat="1" applyFont="1" applyFill="1" applyBorder="1" applyAlignment="1" applyProtection="1">
      <alignment horizontal="center" vertical="center" wrapText="1"/>
      <protection locked="0"/>
    </xf>
    <xf numFmtId="3" fontId="94" fillId="4" borderId="97" xfId="154" applyNumberFormat="1" applyFont="1" applyFill="1" applyBorder="1" applyAlignment="1" applyProtection="1">
      <alignment horizontal="center" vertical="center" wrapText="1"/>
      <protection locked="0"/>
    </xf>
    <xf numFmtId="3" fontId="19" fillId="4" borderId="98" xfId="154" applyNumberFormat="1" applyFont="1" applyFill="1" applyBorder="1" applyAlignment="1" applyProtection="1">
      <alignment horizontal="center" vertical="center" wrapText="1"/>
      <protection locked="0"/>
    </xf>
    <xf numFmtId="3" fontId="19" fillId="0" borderId="98" xfId="154" applyNumberFormat="1" applyFont="1" applyBorder="1" applyAlignment="1" applyProtection="1">
      <alignment horizontal="center" vertical="center" wrapText="1"/>
      <protection locked="0"/>
    </xf>
    <xf numFmtId="0" fontId="19" fillId="4" borderId="98" xfId="154" applyFont="1" applyFill="1" applyBorder="1" applyAlignment="1" applyProtection="1">
      <alignment horizontal="center" vertical="center" wrapText="1"/>
      <protection locked="0"/>
    </xf>
    <xf numFmtId="0" fontId="1" fillId="0" borderId="78" xfId="153" applyFont="1" applyBorder="1" applyAlignment="1" applyProtection="1">
      <alignment horizontal="center" vertical="center" wrapText="1"/>
      <protection locked="0"/>
    </xf>
    <xf numFmtId="0" fontId="1" fillId="0" borderId="65" xfId="153" applyFont="1" applyBorder="1" applyAlignment="1" applyProtection="1">
      <alignment horizontal="center" vertical="center" wrapText="1"/>
      <protection locked="0"/>
    </xf>
    <xf numFmtId="0" fontId="19" fillId="4" borderId="78" xfId="153" applyFont="1" applyFill="1" applyBorder="1" applyAlignment="1" applyProtection="1">
      <alignment horizontal="center" vertical="center" wrapText="1"/>
      <protection locked="0"/>
    </xf>
    <xf numFmtId="0" fontId="19" fillId="4" borderId="65" xfId="153" applyFont="1" applyFill="1" applyBorder="1" applyAlignment="1" applyProtection="1">
      <alignment horizontal="center" vertical="center" wrapText="1"/>
      <protection locked="0"/>
    </xf>
    <xf numFmtId="3" fontId="19" fillId="64" borderId="15" xfId="154" applyNumberFormat="1" applyFont="1" applyFill="1" applyBorder="1" applyAlignment="1">
      <alignment horizontal="left" vertical="center" wrapText="1"/>
    </xf>
    <xf numFmtId="3" fontId="19" fillId="64" borderId="2" xfId="154" applyNumberFormat="1" applyFont="1" applyFill="1" applyBorder="1" applyAlignment="1">
      <alignment horizontal="left" vertical="center" wrapText="1"/>
    </xf>
    <xf numFmtId="3" fontId="19" fillId="64" borderId="15" xfId="154" quotePrefix="1" applyNumberFormat="1" applyFont="1" applyFill="1" applyBorder="1" applyAlignment="1">
      <alignment horizontal="left" vertical="center" wrapText="1"/>
    </xf>
    <xf numFmtId="3" fontId="19" fillId="64" borderId="2" xfId="154" quotePrefix="1" applyNumberFormat="1" applyFont="1" applyFill="1" applyBorder="1" applyAlignment="1">
      <alignment horizontal="left" vertical="center" wrapText="1"/>
    </xf>
    <xf numFmtId="0" fontId="98" fillId="63" borderId="14" xfId="0" applyFont="1" applyFill="1" applyBorder="1" applyAlignment="1">
      <alignment horizontal="center" vertical="center" wrapText="1"/>
    </xf>
    <xf numFmtId="0" fontId="98" fillId="63" borderId="4" xfId="0" applyFont="1" applyFill="1" applyBorder="1" applyAlignment="1">
      <alignment horizontal="center" vertical="center" wrapText="1"/>
    </xf>
    <xf numFmtId="0" fontId="98" fillId="63" borderId="15" xfId="0" applyFont="1" applyFill="1" applyBorder="1" applyAlignment="1">
      <alignment horizontal="center" vertical="center" wrapText="1"/>
    </xf>
    <xf numFmtId="0" fontId="98" fillId="63" borderId="16" xfId="0" applyFont="1" applyFill="1" applyBorder="1" applyAlignment="1">
      <alignment horizontal="center" vertical="center" wrapText="1"/>
    </xf>
    <xf numFmtId="0" fontId="98" fillId="63" borderId="17" xfId="0" applyFont="1" applyFill="1" applyBorder="1" applyAlignment="1">
      <alignment horizontal="center" vertical="center" wrapText="1"/>
    </xf>
    <xf numFmtId="0" fontId="98" fillId="63" borderId="27" xfId="0" applyFont="1" applyFill="1" applyBorder="1" applyAlignment="1">
      <alignment horizontal="center" vertical="center" wrapText="1"/>
    </xf>
    <xf numFmtId="0" fontId="98" fillId="63" borderId="26" xfId="0" applyFont="1" applyFill="1" applyBorder="1" applyAlignment="1">
      <alignment horizontal="center" vertical="center" wrapText="1"/>
    </xf>
    <xf numFmtId="0" fontId="94" fillId="4" borderId="38" xfId="154" applyFont="1" applyFill="1" applyBorder="1" applyAlignment="1" applyProtection="1">
      <alignment horizontal="left" vertical="center" wrapText="1"/>
      <protection locked="0"/>
    </xf>
    <xf numFmtId="3" fontId="83" fillId="64" borderId="15" xfId="154" applyNumberFormat="1" applyFont="1" applyFill="1" applyBorder="1" applyAlignment="1">
      <alignment horizontal="center" vertical="center" wrapText="1"/>
    </xf>
    <xf numFmtId="3" fontId="83" fillId="64" borderId="2" xfId="154" applyNumberFormat="1" applyFont="1" applyFill="1" applyBorder="1" applyAlignment="1">
      <alignment horizontal="center" vertical="center" wrapText="1"/>
    </xf>
    <xf numFmtId="3" fontId="83" fillId="64" borderId="15" xfId="154" quotePrefix="1" applyNumberFormat="1" applyFont="1" applyFill="1" applyBorder="1" applyAlignment="1">
      <alignment horizontal="center" vertical="center" wrapText="1"/>
    </xf>
    <xf numFmtId="3" fontId="83" fillId="64" borderId="2" xfId="154" quotePrefix="1" applyNumberFormat="1" applyFont="1" applyFill="1" applyBorder="1" applyAlignment="1">
      <alignment horizontal="center" vertical="center" wrapText="1"/>
    </xf>
    <xf numFmtId="0" fontId="19" fillId="4" borderId="41" xfId="154" applyFont="1" applyFill="1" applyBorder="1" applyAlignment="1" applyProtection="1">
      <alignment horizontal="left" vertical="center" wrapText="1"/>
      <protection locked="0"/>
    </xf>
    <xf numFmtId="0" fontId="19" fillId="4" borderId="2" xfId="154" applyFont="1" applyFill="1" applyBorder="1" applyAlignment="1" applyProtection="1">
      <alignment horizontal="left" vertical="center" wrapText="1"/>
      <protection locked="0"/>
    </xf>
    <xf numFmtId="0" fontId="19" fillId="4" borderId="30" xfId="154" applyFont="1" applyFill="1" applyBorder="1" applyAlignment="1" applyProtection="1">
      <alignment horizontal="left" vertical="center" wrapText="1"/>
      <protection locked="0"/>
    </xf>
    <xf numFmtId="3" fontId="108" fillId="64" borderId="2" xfId="154" applyNumberFormat="1" applyFont="1" applyFill="1" applyBorder="1" applyAlignment="1">
      <alignment horizontal="left" vertical="center" wrapText="1"/>
    </xf>
    <xf numFmtId="3" fontId="108" fillId="64" borderId="2" xfId="154" quotePrefix="1" applyNumberFormat="1" applyFont="1" applyFill="1" applyBorder="1" applyAlignment="1">
      <alignment horizontal="left" vertical="center" wrapText="1"/>
    </xf>
    <xf numFmtId="3" fontId="94" fillId="4" borderId="55" xfId="154" applyNumberFormat="1" applyFont="1" applyFill="1" applyBorder="1" applyAlignment="1" applyProtection="1">
      <alignment horizontal="center" vertical="center" wrapText="1"/>
      <protection locked="0"/>
    </xf>
    <xf numFmtId="3" fontId="94" fillId="4" borderId="82" xfId="154" applyNumberFormat="1" applyFont="1" applyFill="1" applyBorder="1" applyAlignment="1" applyProtection="1">
      <alignment horizontal="center" vertical="center" wrapText="1"/>
      <protection locked="0"/>
    </xf>
    <xf numFmtId="0" fontId="0" fillId="4" borderId="34" xfId="0" applyFill="1" applyBorder="1" applyAlignment="1">
      <alignment horizontal="center" vertical="center" wrapText="1"/>
    </xf>
    <xf numFmtId="0" fontId="0" fillId="4" borderId="0" xfId="0" applyFill="1" applyAlignment="1">
      <alignment horizontal="center" vertical="center" wrapText="1"/>
    </xf>
    <xf numFmtId="0" fontId="98" fillId="63" borderId="14" xfId="154" applyFont="1" applyFill="1" applyBorder="1" applyAlignment="1">
      <alignment horizontal="center" vertical="center" wrapText="1"/>
    </xf>
    <xf numFmtId="0" fontId="100" fillId="63" borderId="2" xfId="154" applyFont="1" applyFill="1" applyBorder="1" applyAlignment="1">
      <alignment horizontal="center" vertical="center" wrapText="1"/>
    </xf>
    <xf numFmtId="0" fontId="98" fillId="63" borderId="2" xfId="154" applyFont="1" applyFill="1" applyBorder="1" applyAlignment="1">
      <alignment horizontal="center" vertical="center" wrapText="1"/>
    </xf>
    <xf numFmtId="0" fontId="98" fillId="63" borderId="33" xfId="0" applyFont="1" applyFill="1" applyBorder="1" applyAlignment="1">
      <alignment horizontal="center" vertical="center" wrapText="1"/>
    </xf>
    <xf numFmtId="3" fontId="98" fillId="63" borderId="14" xfId="0" applyNumberFormat="1" applyFont="1" applyFill="1" applyBorder="1" applyAlignment="1">
      <alignment horizontal="center" vertical="center" wrapText="1"/>
    </xf>
    <xf numFmtId="0" fontId="98" fillId="63" borderId="4" xfId="154" applyFont="1" applyFill="1" applyBorder="1" applyAlignment="1">
      <alignment horizontal="center" vertical="center" wrapText="1"/>
    </xf>
    <xf numFmtId="0" fontId="98" fillId="63" borderId="14" xfId="154" applyFont="1" applyFill="1" applyBorder="1" applyAlignment="1">
      <alignment horizontal="left" vertical="center" wrapText="1"/>
    </xf>
    <xf numFmtId="0" fontId="100" fillId="63" borderId="2" xfId="154" applyFont="1" applyFill="1" applyBorder="1" applyAlignment="1">
      <alignment horizontal="left" vertical="center" wrapText="1"/>
    </xf>
    <xf numFmtId="0" fontId="98" fillId="63" borderId="2" xfId="0" applyFont="1" applyFill="1" applyBorder="1" applyAlignment="1">
      <alignment horizontal="center" vertical="center" wrapText="1"/>
    </xf>
    <xf numFmtId="0" fontId="21" fillId="63" borderId="2" xfId="0" applyFont="1" applyFill="1" applyBorder="1" applyAlignment="1">
      <alignment horizontal="left" vertical="center" wrapText="1"/>
    </xf>
    <xf numFmtId="0" fontId="21" fillId="63" borderId="14" xfId="0" applyFont="1" applyFill="1" applyBorder="1" applyAlignment="1">
      <alignment horizontal="left" vertical="center" wrapText="1"/>
    </xf>
    <xf numFmtId="0" fontId="21" fillId="63" borderId="71" xfId="0" applyFont="1" applyFill="1" applyBorder="1" applyAlignment="1">
      <alignment horizontal="left" vertical="center" wrapText="1"/>
    </xf>
    <xf numFmtId="0" fontId="92" fillId="61" borderId="0" xfId="0" applyFont="1" applyFill="1" applyAlignment="1">
      <alignment horizontal="left" vertical="center"/>
    </xf>
    <xf numFmtId="0" fontId="0" fillId="64" borderId="14" xfId="0" applyFill="1" applyBorder="1" applyAlignment="1" applyProtection="1">
      <alignment horizontal="left" vertical="center" wrapText="1"/>
      <protection locked="0"/>
    </xf>
    <xf numFmtId="0" fontId="0" fillId="64" borderId="15" xfId="0" applyFill="1" applyBorder="1" applyAlignment="1" applyProtection="1">
      <alignment horizontal="left" vertical="center" wrapText="1"/>
      <protection locked="0"/>
    </xf>
    <xf numFmtId="0" fontId="93" fillId="62" borderId="2" xfId="0" applyFont="1" applyFill="1" applyBorder="1" applyAlignment="1">
      <alignment horizontal="right" vertical="center"/>
    </xf>
    <xf numFmtId="0" fontId="93" fillId="62" borderId="14" xfId="0" applyFont="1" applyFill="1" applyBorder="1" applyAlignment="1">
      <alignment horizontal="left" vertical="center" wrapText="1"/>
    </xf>
    <xf numFmtId="0" fontId="93" fillId="62" borderId="15" xfId="0" applyFont="1" applyFill="1" applyBorder="1" applyAlignment="1">
      <alignment horizontal="left" vertical="center" wrapText="1"/>
    </xf>
    <xf numFmtId="0" fontId="21" fillId="63" borderId="15" xfId="0" applyFont="1" applyFill="1" applyBorder="1" applyAlignment="1">
      <alignment horizontal="left" vertical="center" wrapText="1"/>
    </xf>
    <xf numFmtId="0" fontId="0" fillId="68" borderId="14" xfId="0" applyFill="1" applyBorder="1" applyAlignment="1">
      <alignment horizontal="center" vertical="center"/>
    </xf>
    <xf numFmtId="0" fontId="0" fillId="68" borderId="15" xfId="0" applyFill="1" applyBorder="1" applyAlignment="1">
      <alignment horizontal="center" vertical="center"/>
    </xf>
    <xf numFmtId="0" fontId="121" fillId="0" borderId="0" xfId="0" applyFont="1" applyAlignment="1">
      <alignment horizontal="left" vertical="center" wrapText="1"/>
    </xf>
    <xf numFmtId="0" fontId="93" fillId="62" borderId="2" xfId="0" applyFont="1" applyFill="1" applyBorder="1" applyAlignment="1">
      <alignment horizontal="right" vertical="center" wrapText="1"/>
    </xf>
    <xf numFmtId="3" fontId="0" fillId="68" borderId="2" xfId="0" applyNumberFormat="1" applyFill="1" applyBorder="1" applyAlignment="1">
      <alignment horizontal="center" vertical="center"/>
    </xf>
    <xf numFmtId="0" fontId="0" fillId="68" borderId="2" xfId="0" applyFill="1" applyBorder="1" applyAlignment="1">
      <alignment horizontal="center" vertical="center"/>
    </xf>
    <xf numFmtId="0" fontId="0" fillId="64" borderId="15" xfId="0" applyFill="1" applyBorder="1" applyAlignment="1">
      <alignment horizontal="left" vertical="center" wrapText="1"/>
    </xf>
    <xf numFmtId="0" fontId="0" fillId="64" borderId="2" xfId="0" applyFill="1" applyBorder="1" applyAlignment="1">
      <alignment horizontal="left" vertical="center" wrapText="1"/>
    </xf>
    <xf numFmtId="0" fontId="0" fillId="0" borderId="31" xfId="0" applyBorder="1" applyAlignment="1">
      <alignment horizontal="center" vertical="center" wrapText="1"/>
    </xf>
    <xf numFmtId="0" fontId="21" fillId="63" borderId="2" xfId="0" applyFont="1" applyFill="1" applyBorder="1" applyAlignment="1">
      <alignment horizontal="left" vertical="center"/>
    </xf>
    <xf numFmtId="0" fontId="125" fillId="63" borderId="16" xfId="0" applyFont="1" applyFill="1" applyBorder="1" applyAlignment="1">
      <alignment horizontal="left" vertical="center" wrapText="1"/>
    </xf>
    <xf numFmtId="0" fontId="125" fillId="63" borderId="17" xfId="0" applyFont="1" applyFill="1" applyBorder="1" applyAlignment="1">
      <alignment horizontal="left" vertical="center" wrapText="1"/>
    </xf>
    <xf numFmtId="0" fontId="125" fillId="63" borderId="16" xfId="0" applyFont="1" applyFill="1" applyBorder="1" applyAlignment="1">
      <alignment horizontal="center" vertical="center" wrapText="1"/>
    </xf>
    <xf numFmtId="0" fontId="125" fillId="63" borderId="17" xfId="0" applyFont="1" applyFill="1" applyBorder="1" applyAlignment="1">
      <alignment horizontal="center" vertical="center" wrapText="1"/>
    </xf>
    <xf numFmtId="0" fontId="125" fillId="63" borderId="14" xfId="0" applyFont="1" applyFill="1" applyBorder="1" applyAlignment="1">
      <alignment horizontal="center" vertical="center" wrapText="1"/>
    </xf>
    <xf numFmtId="0" fontId="125" fillId="63" borderId="4" xfId="0" applyFont="1" applyFill="1" applyBorder="1" applyAlignment="1">
      <alignment horizontal="center" vertical="center" wrapText="1"/>
    </xf>
    <xf numFmtId="0" fontId="125" fillId="63" borderId="15" xfId="0" applyFont="1" applyFill="1" applyBorder="1" applyAlignment="1">
      <alignment horizontal="center" vertical="center" wrapText="1"/>
    </xf>
    <xf numFmtId="0" fontId="125" fillId="63" borderId="16" xfId="245" applyFont="1" applyFill="1" applyBorder="1" applyAlignment="1">
      <alignment horizontal="center" vertical="center" wrapText="1"/>
    </xf>
    <xf numFmtId="0" fontId="125" fillId="63" borderId="17" xfId="245" applyFont="1" applyFill="1" applyBorder="1" applyAlignment="1">
      <alignment horizontal="center" vertical="center" wrapText="1"/>
    </xf>
    <xf numFmtId="0" fontId="125" fillId="63" borderId="16" xfId="245" applyFont="1" applyFill="1" applyBorder="1" applyAlignment="1">
      <alignment horizontal="left" vertical="center"/>
    </xf>
    <xf numFmtId="0" fontId="125" fillId="63" borderId="17" xfId="245" applyFont="1" applyFill="1" applyBorder="1" applyAlignment="1">
      <alignment horizontal="left" vertical="center"/>
    </xf>
    <xf numFmtId="0" fontId="127" fillId="0" borderId="92" xfId="245" applyFont="1" applyBorder="1" applyAlignment="1">
      <alignment horizontal="center" vertical="center" wrapText="1"/>
    </xf>
    <xf numFmtId="0" fontId="127" fillId="0" borderId="56" xfId="245" applyFont="1" applyBorder="1" applyAlignment="1">
      <alignment horizontal="center" vertical="center" wrapText="1"/>
    </xf>
    <xf numFmtId="0" fontId="127" fillId="0" borderId="93" xfId="245" applyFont="1" applyBorder="1" applyAlignment="1">
      <alignment horizontal="center" vertical="center" wrapText="1"/>
    </xf>
    <xf numFmtId="0" fontId="96" fillId="0" borderId="0" xfId="0" applyFont="1" applyAlignment="1">
      <alignment horizontal="center" wrapText="1"/>
    </xf>
  </cellXfs>
  <cellStyles count="4334">
    <cellStyle name="=C:\WINNT\SYSTEM32\COMMAND.COM" xfId="18" xr:uid="{00000000-0005-0000-0000-000000000000}"/>
    <cellStyle name="20% - Accent1" xfId="219" builtinId="30" customBuiltin="1"/>
    <cellStyle name="20% - Accent1 10" xfId="2332" xr:uid="{00000000-0005-0000-0000-000002000000}"/>
    <cellStyle name="20% - Accent1 2" xfId="19" xr:uid="{00000000-0005-0000-0000-000003000000}"/>
    <cellStyle name="20% - Accent1 3" xfId="250" xr:uid="{00000000-0005-0000-0000-000004000000}"/>
    <cellStyle name="20% - Accent1 3 2" xfId="374" xr:uid="{00000000-0005-0000-0000-000005000000}"/>
    <cellStyle name="20% - Accent1 3 2 2" xfId="1159" xr:uid="{00000000-0005-0000-0000-000006000000}"/>
    <cellStyle name="20% - Accent1 3 2 2 2" xfId="2205" xr:uid="{00000000-0005-0000-0000-000007000000}"/>
    <cellStyle name="20% - Accent1 3 2 2 2 2" xfId="4300" xr:uid="{00000000-0005-0000-0000-000008000000}"/>
    <cellStyle name="20% - Accent1 3 2 2 3" xfId="3254" xr:uid="{00000000-0005-0000-0000-000009000000}"/>
    <cellStyle name="20% - Accent1 3 2 3" xfId="893" xr:uid="{00000000-0005-0000-0000-00000A000000}"/>
    <cellStyle name="20% - Accent1 3 2 3 2" xfId="1939" xr:uid="{00000000-0005-0000-0000-00000B000000}"/>
    <cellStyle name="20% - Accent1 3 2 3 2 2" xfId="4034" xr:uid="{00000000-0005-0000-0000-00000C000000}"/>
    <cellStyle name="20% - Accent1 3 2 3 3" xfId="2988" xr:uid="{00000000-0005-0000-0000-00000D000000}"/>
    <cellStyle name="20% - Accent1 3 2 4" xfId="622" xr:uid="{00000000-0005-0000-0000-00000E000000}"/>
    <cellStyle name="20% - Accent1 3 2 4 2" xfId="1673" xr:uid="{00000000-0005-0000-0000-00000F000000}"/>
    <cellStyle name="20% - Accent1 3 2 4 2 2" xfId="3768" xr:uid="{00000000-0005-0000-0000-000010000000}"/>
    <cellStyle name="20% - Accent1 3 2 4 3" xfId="2722" xr:uid="{00000000-0005-0000-0000-000011000000}"/>
    <cellStyle name="20% - Accent1 3 2 5" xfId="1425" xr:uid="{00000000-0005-0000-0000-000012000000}"/>
    <cellStyle name="20% - Accent1 3 2 5 2" xfId="3520" xr:uid="{00000000-0005-0000-0000-000013000000}"/>
    <cellStyle name="20% - Accent1 3 2 6" xfId="2474" xr:uid="{00000000-0005-0000-0000-000014000000}"/>
    <cellStyle name="20% - Accent1 3 3" xfId="1035" xr:uid="{00000000-0005-0000-0000-000015000000}"/>
    <cellStyle name="20% - Accent1 3 3 2" xfId="2081" xr:uid="{00000000-0005-0000-0000-000016000000}"/>
    <cellStyle name="20% - Accent1 3 3 2 2" xfId="4176" xr:uid="{00000000-0005-0000-0000-000017000000}"/>
    <cellStyle name="20% - Accent1 3 3 3" xfId="3130" xr:uid="{00000000-0005-0000-0000-000018000000}"/>
    <cellStyle name="20% - Accent1 3 4" xfId="769" xr:uid="{00000000-0005-0000-0000-000019000000}"/>
    <cellStyle name="20% - Accent1 3 4 2" xfId="1815" xr:uid="{00000000-0005-0000-0000-00001A000000}"/>
    <cellStyle name="20% - Accent1 3 4 2 2" xfId="3910" xr:uid="{00000000-0005-0000-0000-00001B000000}"/>
    <cellStyle name="20% - Accent1 3 4 3" xfId="2864" xr:uid="{00000000-0005-0000-0000-00001C000000}"/>
    <cellStyle name="20% - Accent1 3 5" xfId="498" xr:uid="{00000000-0005-0000-0000-00001D000000}"/>
    <cellStyle name="20% - Accent1 3 5 2" xfId="1549" xr:uid="{00000000-0005-0000-0000-00001E000000}"/>
    <cellStyle name="20% - Accent1 3 5 2 2" xfId="3644" xr:uid="{00000000-0005-0000-0000-00001F000000}"/>
    <cellStyle name="20% - Accent1 3 5 3" xfId="2598" xr:uid="{00000000-0005-0000-0000-000020000000}"/>
    <cellStyle name="20% - Accent1 3 6" xfId="1301" xr:uid="{00000000-0005-0000-0000-000021000000}"/>
    <cellStyle name="20% - Accent1 3 6 2" xfId="3396" xr:uid="{00000000-0005-0000-0000-000022000000}"/>
    <cellStyle name="20% - Accent1 3 7" xfId="2350" xr:uid="{00000000-0005-0000-0000-000023000000}"/>
    <cellStyle name="20% - Accent1 4" xfId="356" xr:uid="{00000000-0005-0000-0000-000024000000}"/>
    <cellStyle name="20% - Accent1 4 2" xfId="1141" xr:uid="{00000000-0005-0000-0000-000025000000}"/>
    <cellStyle name="20% - Accent1 4 2 2" xfId="2187" xr:uid="{00000000-0005-0000-0000-000026000000}"/>
    <cellStyle name="20% - Accent1 4 2 2 2" xfId="4282" xr:uid="{00000000-0005-0000-0000-000027000000}"/>
    <cellStyle name="20% - Accent1 4 2 3" xfId="3236" xr:uid="{00000000-0005-0000-0000-000028000000}"/>
    <cellStyle name="20% - Accent1 4 3" xfId="875" xr:uid="{00000000-0005-0000-0000-000029000000}"/>
    <cellStyle name="20% - Accent1 4 3 2" xfId="1921" xr:uid="{00000000-0005-0000-0000-00002A000000}"/>
    <cellStyle name="20% - Accent1 4 3 2 2" xfId="4016" xr:uid="{00000000-0005-0000-0000-00002B000000}"/>
    <cellStyle name="20% - Accent1 4 3 3" xfId="2970" xr:uid="{00000000-0005-0000-0000-00002C000000}"/>
    <cellStyle name="20% - Accent1 4 4" xfId="604" xr:uid="{00000000-0005-0000-0000-00002D000000}"/>
    <cellStyle name="20% - Accent1 4 4 2" xfId="1655" xr:uid="{00000000-0005-0000-0000-00002E000000}"/>
    <cellStyle name="20% - Accent1 4 4 2 2" xfId="3750" xr:uid="{00000000-0005-0000-0000-00002F000000}"/>
    <cellStyle name="20% - Accent1 4 4 3" xfId="2704" xr:uid="{00000000-0005-0000-0000-000030000000}"/>
    <cellStyle name="20% - Accent1 4 5" xfId="1407" xr:uid="{00000000-0005-0000-0000-000031000000}"/>
    <cellStyle name="20% - Accent1 4 5 2" xfId="3502" xr:uid="{00000000-0005-0000-0000-000032000000}"/>
    <cellStyle name="20% - Accent1 4 6" xfId="2456" xr:uid="{00000000-0005-0000-0000-000033000000}"/>
    <cellStyle name="20% - Accent1 5" xfId="636" xr:uid="{00000000-0005-0000-0000-000034000000}"/>
    <cellStyle name="20% - Accent1 5 2" xfId="1173" xr:uid="{00000000-0005-0000-0000-000035000000}"/>
    <cellStyle name="20% - Accent1 5 2 2" xfId="2219" xr:uid="{00000000-0005-0000-0000-000036000000}"/>
    <cellStyle name="20% - Accent1 5 2 2 2" xfId="4314" xr:uid="{00000000-0005-0000-0000-000037000000}"/>
    <cellStyle name="20% - Accent1 5 2 3" xfId="3268" xr:uid="{00000000-0005-0000-0000-000038000000}"/>
    <cellStyle name="20% - Accent1 5 3" xfId="907" xr:uid="{00000000-0005-0000-0000-000039000000}"/>
    <cellStyle name="20% - Accent1 5 3 2" xfId="1953" xr:uid="{00000000-0005-0000-0000-00003A000000}"/>
    <cellStyle name="20% - Accent1 5 3 2 2" xfId="4048" xr:uid="{00000000-0005-0000-0000-00003B000000}"/>
    <cellStyle name="20% - Accent1 5 3 3" xfId="3002" xr:uid="{00000000-0005-0000-0000-00003C000000}"/>
    <cellStyle name="20% - Accent1 5 4" xfId="1687" xr:uid="{00000000-0005-0000-0000-00003D000000}"/>
    <cellStyle name="20% - Accent1 5 4 2" xfId="3782" xr:uid="{00000000-0005-0000-0000-00003E000000}"/>
    <cellStyle name="20% - Accent1 5 5" xfId="2736" xr:uid="{00000000-0005-0000-0000-00003F000000}"/>
    <cellStyle name="20% - Accent1 6" xfId="1017" xr:uid="{00000000-0005-0000-0000-000040000000}"/>
    <cellStyle name="20% - Accent1 6 2" xfId="2063" xr:uid="{00000000-0005-0000-0000-000041000000}"/>
    <cellStyle name="20% - Accent1 6 2 2" xfId="4158" xr:uid="{00000000-0005-0000-0000-000042000000}"/>
    <cellStyle name="20% - Accent1 6 3" xfId="3112" xr:uid="{00000000-0005-0000-0000-000043000000}"/>
    <cellStyle name="20% - Accent1 7" xfId="751" xr:uid="{00000000-0005-0000-0000-000044000000}"/>
    <cellStyle name="20% - Accent1 7 2" xfId="1797" xr:uid="{00000000-0005-0000-0000-000045000000}"/>
    <cellStyle name="20% - Accent1 7 2 2" xfId="3892" xr:uid="{00000000-0005-0000-0000-000046000000}"/>
    <cellStyle name="20% - Accent1 7 3" xfId="2846" xr:uid="{00000000-0005-0000-0000-000047000000}"/>
    <cellStyle name="20% - Accent1 8" xfId="480" xr:uid="{00000000-0005-0000-0000-000048000000}"/>
    <cellStyle name="20% - Accent1 8 2" xfId="1531" xr:uid="{00000000-0005-0000-0000-000049000000}"/>
    <cellStyle name="20% - Accent1 8 2 2" xfId="3626" xr:uid="{00000000-0005-0000-0000-00004A000000}"/>
    <cellStyle name="20% - Accent1 8 3" xfId="2580" xr:uid="{00000000-0005-0000-0000-00004B000000}"/>
    <cellStyle name="20% - Accent1 9" xfId="1283" xr:uid="{00000000-0005-0000-0000-00004C000000}"/>
    <cellStyle name="20% - Accent1 9 2" xfId="3378" xr:uid="{00000000-0005-0000-0000-00004D000000}"/>
    <cellStyle name="20% - Accent2" xfId="223" builtinId="34" customBuiltin="1"/>
    <cellStyle name="20% - Accent2 10" xfId="2334" xr:uid="{00000000-0005-0000-0000-00004F000000}"/>
    <cellStyle name="20% - Accent2 2" xfId="20" xr:uid="{00000000-0005-0000-0000-000050000000}"/>
    <cellStyle name="20% - Accent2 3" xfId="252" xr:uid="{00000000-0005-0000-0000-000051000000}"/>
    <cellStyle name="20% - Accent2 3 2" xfId="376" xr:uid="{00000000-0005-0000-0000-000052000000}"/>
    <cellStyle name="20% - Accent2 3 2 2" xfId="1161" xr:uid="{00000000-0005-0000-0000-000053000000}"/>
    <cellStyle name="20% - Accent2 3 2 2 2" xfId="2207" xr:uid="{00000000-0005-0000-0000-000054000000}"/>
    <cellStyle name="20% - Accent2 3 2 2 2 2" xfId="4302" xr:uid="{00000000-0005-0000-0000-000055000000}"/>
    <cellStyle name="20% - Accent2 3 2 2 3" xfId="3256" xr:uid="{00000000-0005-0000-0000-000056000000}"/>
    <cellStyle name="20% - Accent2 3 2 3" xfId="895" xr:uid="{00000000-0005-0000-0000-000057000000}"/>
    <cellStyle name="20% - Accent2 3 2 3 2" xfId="1941" xr:uid="{00000000-0005-0000-0000-000058000000}"/>
    <cellStyle name="20% - Accent2 3 2 3 2 2" xfId="4036" xr:uid="{00000000-0005-0000-0000-000059000000}"/>
    <cellStyle name="20% - Accent2 3 2 3 3" xfId="2990" xr:uid="{00000000-0005-0000-0000-00005A000000}"/>
    <cellStyle name="20% - Accent2 3 2 4" xfId="624" xr:uid="{00000000-0005-0000-0000-00005B000000}"/>
    <cellStyle name="20% - Accent2 3 2 4 2" xfId="1675" xr:uid="{00000000-0005-0000-0000-00005C000000}"/>
    <cellStyle name="20% - Accent2 3 2 4 2 2" xfId="3770" xr:uid="{00000000-0005-0000-0000-00005D000000}"/>
    <cellStyle name="20% - Accent2 3 2 4 3" xfId="2724" xr:uid="{00000000-0005-0000-0000-00005E000000}"/>
    <cellStyle name="20% - Accent2 3 2 5" xfId="1427" xr:uid="{00000000-0005-0000-0000-00005F000000}"/>
    <cellStyle name="20% - Accent2 3 2 5 2" xfId="3522" xr:uid="{00000000-0005-0000-0000-000060000000}"/>
    <cellStyle name="20% - Accent2 3 2 6" xfId="2476" xr:uid="{00000000-0005-0000-0000-000061000000}"/>
    <cellStyle name="20% - Accent2 3 3" xfId="1037" xr:uid="{00000000-0005-0000-0000-000062000000}"/>
    <cellStyle name="20% - Accent2 3 3 2" xfId="2083" xr:uid="{00000000-0005-0000-0000-000063000000}"/>
    <cellStyle name="20% - Accent2 3 3 2 2" xfId="4178" xr:uid="{00000000-0005-0000-0000-000064000000}"/>
    <cellStyle name="20% - Accent2 3 3 3" xfId="3132" xr:uid="{00000000-0005-0000-0000-000065000000}"/>
    <cellStyle name="20% - Accent2 3 4" xfId="771" xr:uid="{00000000-0005-0000-0000-000066000000}"/>
    <cellStyle name="20% - Accent2 3 4 2" xfId="1817" xr:uid="{00000000-0005-0000-0000-000067000000}"/>
    <cellStyle name="20% - Accent2 3 4 2 2" xfId="3912" xr:uid="{00000000-0005-0000-0000-000068000000}"/>
    <cellStyle name="20% - Accent2 3 4 3" xfId="2866" xr:uid="{00000000-0005-0000-0000-000069000000}"/>
    <cellStyle name="20% - Accent2 3 5" xfId="500" xr:uid="{00000000-0005-0000-0000-00006A000000}"/>
    <cellStyle name="20% - Accent2 3 5 2" xfId="1551" xr:uid="{00000000-0005-0000-0000-00006B000000}"/>
    <cellStyle name="20% - Accent2 3 5 2 2" xfId="3646" xr:uid="{00000000-0005-0000-0000-00006C000000}"/>
    <cellStyle name="20% - Accent2 3 5 3" xfId="2600" xr:uid="{00000000-0005-0000-0000-00006D000000}"/>
    <cellStyle name="20% - Accent2 3 6" xfId="1303" xr:uid="{00000000-0005-0000-0000-00006E000000}"/>
    <cellStyle name="20% - Accent2 3 6 2" xfId="3398" xr:uid="{00000000-0005-0000-0000-00006F000000}"/>
    <cellStyle name="20% - Accent2 3 7" xfId="2352" xr:uid="{00000000-0005-0000-0000-000070000000}"/>
    <cellStyle name="20% - Accent2 4" xfId="358" xr:uid="{00000000-0005-0000-0000-000071000000}"/>
    <cellStyle name="20% - Accent2 4 2" xfId="1143" xr:uid="{00000000-0005-0000-0000-000072000000}"/>
    <cellStyle name="20% - Accent2 4 2 2" xfId="2189" xr:uid="{00000000-0005-0000-0000-000073000000}"/>
    <cellStyle name="20% - Accent2 4 2 2 2" xfId="4284" xr:uid="{00000000-0005-0000-0000-000074000000}"/>
    <cellStyle name="20% - Accent2 4 2 3" xfId="3238" xr:uid="{00000000-0005-0000-0000-000075000000}"/>
    <cellStyle name="20% - Accent2 4 3" xfId="877" xr:uid="{00000000-0005-0000-0000-000076000000}"/>
    <cellStyle name="20% - Accent2 4 3 2" xfId="1923" xr:uid="{00000000-0005-0000-0000-000077000000}"/>
    <cellStyle name="20% - Accent2 4 3 2 2" xfId="4018" xr:uid="{00000000-0005-0000-0000-000078000000}"/>
    <cellStyle name="20% - Accent2 4 3 3" xfId="2972" xr:uid="{00000000-0005-0000-0000-000079000000}"/>
    <cellStyle name="20% - Accent2 4 4" xfId="606" xr:uid="{00000000-0005-0000-0000-00007A000000}"/>
    <cellStyle name="20% - Accent2 4 4 2" xfId="1657" xr:uid="{00000000-0005-0000-0000-00007B000000}"/>
    <cellStyle name="20% - Accent2 4 4 2 2" xfId="3752" xr:uid="{00000000-0005-0000-0000-00007C000000}"/>
    <cellStyle name="20% - Accent2 4 4 3" xfId="2706" xr:uid="{00000000-0005-0000-0000-00007D000000}"/>
    <cellStyle name="20% - Accent2 4 5" xfId="1409" xr:uid="{00000000-0005-0000-0000-00007E000000}"/>
    <cellStyle name="20% - Accent2 4 5 2" xfId="3504" xr:uid="{00000000-0005-0000-0000-00007F000000}"/>
    <cellStyle name="20% - Accent2 4 6" xfId="2458" xr:uid="{00000000-0005-0000-0000-000080000000}"/>
    <cellStyle name="20% - Accent2 5" xfId="638" xr:uid="{00000000-0005-0000-0000-000081000000}"/>
    <cellStyle name="20% - Accent2 5 2" xfId="1175" xr:uid="{00000000-0005-0000-0000-000082000000}"/>
    <cellStyle name="20% - Accent2 5 2 2" xfId="2221" xr:uid="{00000000-0005-0000-0000-000083000000}"/>
    <cellStyle name="20% - Accent2 5 2 2 2" xfId="4316" xr:uid="{00000000-0005-0000-0000-000084000000}"/>
    <cellStyle name="20% - Accent2 5 2 3" xfId="3270" xr:uid="{00000000-0005-0000-0000-000085000000}"/>
    <cellStyle name="20% - Accent2 5 3" xfId="909" xr:uid="{00000000-0005-0000-0000-000086000000}"/>
    <cellStyle name="20% - Accent2 5 3 2" xfId="1955" xr:uid="{00000000-0005-0000-0000-000087000000}"/>
    <cellStyle name="20% - Accent2 5 3 2 2" xfId="4050" xr:uid="{00000000-0005-0000-0000-000088000000}"/>
    <cellStyle name="20% - Accent2 5 3 3" xfId="3004" xr:uid="{00000000-0005-0000-0000-000089000000}"/>
    <cellStyle name="20% - Accent2 5 4" xfId="1689" xr:uid="{00000000-0005-0000-0000-00008A000000}"/>
    <cellStyle name="20% - Accent2 5 4 2" xfId="3784" xr:uid="{00000000-0005-0000-0000-00008B000000}"/>
    <cellStyle name="20% - Accent2 5 5" xfId="2738" xr:uid="{00000000-0005-0000-0000-00008C000000}"/>
    <cellStyle name="20% - Accent2 6" xfId="1019" xr:uid="{00000000-0005-0000-0000-00008D000000}"/>
    <cellStyle name="20% - Accent2 6 2" xfId="2065" xr:uid="{00000000-0005-0000-0000-00008E000000}"/>
    <cellStyle name="20% - Accent2 6 2 2" xfId="4160" xr:uid="{00000000-0005-0000-0000-00008F000000}"/>
    <cellStyle name="20% - Accent2 6 3" xfId="3114" xr:uid="{00000000-0005-0000-0000-000090000000}"/>
    <cellStyle name="20% - Accent2 7" xfId="753" xr:uid="{00000000-0005-0000-0000-000091000000}"/>
    <cellStyle name="20% - Accent2 7 2" xfId="1799" xr:uid="{00000000-0005-0000-0000-000092000000}"/>
    <cellStyle name="20% - Accent2 7 2 2" xfId="3894" xr:uid="{00000000-0005-0000-0000-000093000000}"/>
    <cellStyle name="20% - Accent2 7 3" xfId="2848" xr:uid="{00000000-0005-0000-0000-000094000000}"/>
    <cellStyle name="20% - Accent2 8" xfId="482" xr:uid="{00000000-0005-0000-0000-000095000000}"/>
    <cellStyle name="20% - Accent2 8 2" xfId="1533" xr:uid="{00000000-0005-0000-0000-000096000000}"/>
    <cellStyle name="20% - Accent2 8 2 2" xfId="3628" xr:uid="{00000000-0005-0000-0000-000097000000}"/>
    <cellStyle name="20% - Accent2 8 3" xfId="2582" xr:uid="{00000000-0005-0000-0000-000098000000}"/>
    <cellStyle name="20% - Accent2 9" xfId="1285" xr:uid="{00000000-0005-0000-0000-000099000000}"/>
    <cellStyle name="20% - Accent2 9 2" xfId="3380" xr:uid="{00000000-0005-0000-0000-00009A000000}"/>
    <cellStyle name="20% - Accent3" xfId="227" builtinId="38" customBuiltin="1"/>
    <cellStyle name="20% - Accent3 10" xfId="2336" xr:uid="{00000000-0005-0000-0000-00009C000000}"/>
    <cellStyle name="20% - Accent3 2" xfId="21" xr:uid="{00000000-0005-0000-0000-00009D000000}"/>
    <cellStyle name="20% - Accent3 3" xfId="254" xr:uid="{00000000-0005-0000-0000-00009E000000}"/>
    <cellStyle name="20% - Accent3 3 2" xfId="378" xr:uid="{00000000-0005-0000-0000-00009F000000}"/>
    <cellStyle name="20% - Accent3 3 2 2" xfId="1163" xr:uid="{00000000-0005-0000-0000-0000A0000000}"/>
    <cellStyle name="20% - Accent3 3 2 2 2" xfId="2209" xr:uid="{00000000-0005-0000-0000-0000A1000000}"/>
    <cellStyle name="20% - Accent3 3 2 2 2 2" xfId="4304" xr:uid="{00000000-0005-0000-0000-0000A2000000}"/>
    <cellStyle name="20% - Accent3 3 2 2 3" xfId="3258" xr:uid="{00000000-0005-0000-0000-0000A3000000}"/>
    <cellStyle name="20% - Accent3 3 2 3" xfId="897" xr:uid="{00000000-0005-0000-0000-0000A4000000}"/>
    <cellStyle name="20% - Accent3 3 2 3 2" xfId="1943" xr:uid="{00000000-0005-0000-0000-0000A5000000}"/>
    <cellStyle name="20% - Accent3 3 2 3 2 2" xfId="4038" xr:uid="{00000000-0005-0000-0000-0000A6000000}"/>
    <cellStyle name="20% - Accent3 3 2 3 3" xfId="2992" xr:uid="{00000000-0005-0000-0000-0000A7000000}"/>
    <cellStyle name="20% - Accent3 3 2 4" xfId="626" xr:uid="{00000000-0005-0000-0000-0000A8000000}"/>
    <cellStyle name="20% - Accent3 3 2 4 2" xfId="1677" xr:uid="{00000000-0005-0000-0000-0000A9000000}"/>
    <cellStyle name="20% - Accent3 3 2 4 2 2" xfId="3772" xr:uid="{00000000-0005-0000-0000-0000AA000000}"/>
    <cellStyle name="20% - Accent3 3 2 4 3" xfId="2726" xr:uid="{00000000-0005-0000-0000-0000AB000000}"/>
    <cellStyle name="20% - Accent3 3 2 5" xfId="1429" xr:uid="{00000000-0005-0000-0000-0000AC000000}"/>
    <cellStyle name="20% - Accent3 3 2 5 2" xfId="3524" xr:uid="{00000000-0005-0000-0000-0000AD000000}"/>
    <cellStyle name="20% - Accent3 3 2 6" xfId="2478" xr:uid="{00000000-0005-0000-0000-0000AE000000}"/>
    <cellStyle name="20% - Accent3 3 3" xfId="1039" xr:uid="{00000000-0005-0000-0000-0000AF000000}"/>
    <cellStyle name="20% - Accent3 3 3 2" xfId="2085" xr:uid="{00000000-0005-0000-0000-0000B0000000}"/>
    <cellStyle name="20% - Accent3 3 3 2 2" xfId="4180" xr:uid="{00000000-0005-0000-0000-0000B1000000}"/>
    <cellStyle name="20% - Accent3 3 3 3" xfId="3134" xr:uid="{00000000-0005-0000-0000-0000B2000000}"/>
    <cellStyle name="20% - Accent3 3 4" xfId="773" xr:uid="{00000000-0005-0000-0000-0000B3000000}"/>
    <cellStyle name="20% - Accent3 3 4 2" xfId="1819" xr:uid="{00000000-0005-0000-0000-0000B4000000}"/>
    <cellStyle name="20% - Accent3 3 4 2 2" xfId="3914" xr:uid="{00000000-0005-0000-0000-0000B5000000}"/>
    <cellStyle name="20% - Accent3 3 4 3" xfId="2868" xr:uid="{00000000-0005-0000-0000-0000B6000000}"/>
    <cellStyle name="20% - Accent3 3 5" xfId="502" xr:uid="{00000000-0005-0000-0000-0000B7000000}"/>
    <cellStyle name="20% - Accent3 3 5 2" xfId="1553" xr:uid="{00000000-0005-0000-0000-0000B8000000}"/>
    <cellStyle name="20% - Accent3 3 5 2 2" xfId="3648" xr:uid="{00000000-0005-0000-0000-0000B9000000}"/>
    <cellStyle name="20% - Accent3 3 5 3" xfId="2602" xr:uid="{00000000-0005-0000-0000-0000BA000000}"/>
    <cellStyle name="20% - Accent3 3 6" xfId="1305" xr:uid="{00000000-0005-0000-0000-0000BB000000}"/>
    <cellStyle name="20% - Accent3 3 6 2" xfId="3400" xr:uid="{00000000-0005-0000-0000-0000BC000000}"/>
    <cellStyle name="20% - Accent3 3 7" xfId="2354" xr:uid="{00000000-0005-0000-0000-0000BD000000}"/>
    <cellStyle name="20% - Accent3 4" xfId="360" xr:uid="{00000000-0005-0000-0000-0000BE000000}"/>
    <cellStyle name="20% - Accent3 4 2" xfId="1145" xr:uid="{00000000-0005-0000-0000-0000BF000000}"/>
    <cellStyle name="20% - Accent3 4 2 2" xfId="2191" xr:uid="{00000000-0005-0000-0000-0000C0000000}"/>
    <cellStyle name="20% - Accent3 4 2 2 2" xfId="4286" xr:uid="{00000000-0005-0000-0000-0000C1000000}"/>
    <cellStyle name="20% - Accent3 4 2 3" xfId="3240" xr:uid="{00000000-0005-0000-0000-0000C2000000}"/>
    <cellStyle name="20% - Accent3 4 3" xfId="879" xr:uid="{00000000-0005-0000-0000-0000C3000000}"/>
    <cellStyle name="20% - Accent3 4 3 2" xfId="1925" xr:uid="{00000000-0005-0000-0000-0000C4000000}"/>
    <cellStyle name="20% - Accent3 4 3 2 2" xfId="4020" xr:uid="{00000000-0005-0000-0000-0000C5000000}"/>
    <cellStyle name="20% - Accent3 4 3 3" xfId="2974" xr:uid="{00000000-0005-0000-0000-0000C6000000}"/>
    <cellStyle name="20% - Accent3 4 4" xfId="608" xr:uid="{00000000-0005-0000-0000-0000C7000000}"/>
    <cellStyle name="20% - Accent3 4 4 2" xfId="1659" xr:uid="{00000000-0005-0000-0000-0000C8000000}"/>
    <cellStyle name="20% - Accent3 4 4 2 2" xfId="3754" xr:uid="{00000000-0005-0000-0000-0000C9000000}"/>
    <cellStyle name="20% - Accent3 4 4 3" xfId="2708" xr:uid="{00000000-0005-0000-0000-0000CA000000}"/>
    <cellStyle name="20% - Accent3 4 5" xfId="1411" xr:uid="{00000000-0005-0000-0000-0000CB000000}"/>
    <cellStyle name="20% - Accent3 4 5 2" xfId="3506" xr:uid="{00000000-0005-0000-0000-0000CC000000}"/>
    <cellStyle name="20% - Accent3 4 6" xfId="2460" xr:uid="{00000000-0005-0000-0000-0000CD000000}"/>
    <cellStyle name="20% - Accent3 5" xfId="640" xr:uid="{00000000-0005-0000-0000-0000CE000000}"/>
    <cellStyle name="20% - Accent3 5 2" xfId="1177" xr:uid="{00000000-0005-0000-0000-0000CF000000}"/>
    <cellStyle name="20% - Accent3 5 2 2" xfId="2223" xr:uid="{00000000-0005-0000-0000-0000D0000000}"/>
    <cellStyle name="20% - Accent3 5 2 2 2" xfId="4318" xr:uid="{00000000-0005-0000-0000-0000D1000000}"/>
    <cellStyle name="20% - Accent3 5 2 3" xfId="3272" xr:uid="{00000000-0005-0000-0000-0000D2000000}"/>
    <cellStyle name="20% - Accent3 5 3" xfId="911" xr:uid="{00000000-0005-0000-0000-0000D3000000}"/>
    <cellStyle name="20% - Accent3 5 3 2" xfId="1957" xr:uid="{00000000-0005-0000-0000-0000D4000000}"/>
    <cellStyle name="20% - Accent3 5 3 2 2" xfId="4052" xr:uid="{00000000-0005-0000-0000-0000D5000000}"/>
    <cellStyle name="20% - Accent3 5 3 3" xfId="3006" xr:uid="{00000000-0005-0000-0000-0000D6000000}"/>
    <cellStyle name="20% - Accent3 5 4" xfId="1691" xr:uid="{00000000-0005-0000-0000-0000D7000000}"/>
    <cellStyle name="20% - Accent3 5 4 2" xfId="3786" xr:uid="{00000000-0005-0000-0000-0000D8000000}"/>
    <cellStyle name="20% - Accent3 5 5" xfId="2740" xr:uid="{00000000-0005-0000-0000-0000D9000000}"/>
    <cellStyle name="20% - Accent3 6" xfId="1021" xr:uid="{00000000-0005-0000-0000-0000DA000000}"/>
    <cellStyle name="20% - Accent3 6 2" xfId="2067" xr:uid="{00000000-0005-0000-0000-0000DB000000}"/>
    <cellStyle name="20% - Accent3 6 2 2" xfId="4162" xr:uid="{00000000-0005-0000-0000-0000DC000000}"/>
    <cellStyle name="20% - Accent3 6 3" xfId="3116" xr:uid="{00000000-0005-0000-0000-0000DD000000}"/>
    <cellStyle name="20% - Accent3 7" xfId="755" xr:uid="{00000000-0005-0000-0000-0000DE000000}"/>
    <cellStyle name="20% - Accent3 7 2" xfId="1801" xr:uid="{00000000-0005-0000-0000-0000DF000000}"/>
    <cellStyle name="20% - Accent3 7 2 2" xfId="3896" xr:uid="{00000000-0005-0000-0000-0000E0000000}"/>
    <cellStyle name="20% - Accent3 7 3" xfId="2850" xr:uid="{00000000-0005-0000-0000-0000E1000000}"/>
    <cellStyle name="20% - Accent3 8" xfId="484" xr:uid="{00000000-0005-0000-0000-0000E2000000}"/>
    <cellStyle name="20% - Accent3 8 2" xfId="1535" xr:uid="{00000000-0005-0000-0000-0000E3000000}"/>
    <cellStyle name="20% - Accent3 8 2 2" xfId="3630" xr:uid="{00000000-0005-0000-0000-0000E4000000}"/>
    <cellStyle name="20% - Accent3 8 3" xfId="2584" xr:uid="{00000000-0005-0000-0000-0000E5000000}"/>
    <cellStyle name="20% - Accent3 9" xfId="1287" xr:uid="{00000000-0005-0000-0000-0000E6000000}"/>
    <cellStyle name="20% - Accent3 9 2" xfId="3382" xr:uid="{00000000-0005-0000-0000-0000E7000000}"/>
    <cellStyle name="20% - Accent4" xfId="231" builtinId="42" customBuiltin="1"/>
    <cellStyle name="20% - Accent4 10" xfId="2338" xr:uid="{00000000-0005-0000-0000-0000E9000000}"/>
    <cellStyle name="20% - Accent4 2" xfId="22" xr:uid="{00000000-0005-0000-0000-0000EA000000}"/>
    <cellStyle name="20% - Accent4 3" xfId="256" xr:uid="{00000000-0005-0000-0000-0000EB000000}"/>
    <cellStyle name="20% - Accent4 3 2" xfId="380" xr:uid="{00000000-0005-0000-0000-0000EC000000}"/>
    <cellStyle name="20% - Accent4 3 2 2" xfId="1165" xr:uid="{00000000-0005-0000-0000-0000ED000000}"/>
    <cellStyle name="20% - Accent4 3 2 2 2" xfId="2211" xr:uid="{00000000-0005-0000-0000-0000EE000000}"/>
    <cellStyle name="20% - Accent4 3 2 2 2 2" xfId="4306" xr:uid="{00000000-0005-0000-0000-0000EF000000}"/>
    <cellStyle name="20% - Accent4 3 2 2 3" xfId="3260" xr:uid="{00000000-0005-0000-0000-0000F0000000}"/>
    <cellStyle name="20% - Accent4 3 2 3" xfId="899" xr:uid="{00000000-0005-0000-0000-0000F1000000}"/>
    <cellStyle name="20% - Accent4 3 2 3 2" xfId="1945" xr:uid="{00000000-0005-0000-0000-0000F2000000}"/>
    <cellStyle name="20% - Accent4 3 2 3 2 2" xfId="4040" xr:uid="{00000000-0005-0000-0000-0000F3000000}"/>
    <cellStyle name="20% - Accent4 3 2 3 3" xfId="2994" xr:uid="{00000000-0005-0000-0000-0000F4000000}"/>
    <cellStyle name="20% - Accent4 3 2 4" xfId="628" xr:uid="{00000000-0005-0000-0000-0000F5000000}"/>
    <cellStyle name="20% - Accent4 3 2 4 2" xfId="1679" xr:uid="{00000000-0005-0000-0000-0000F6000000}"/>
    <cellStyle name="20% - Accent4 3 2 4 2 2" xfId="3774" xr:uid="{00000000-0005-0000-0000-0000F7000000}"/>
    <cellStyle name="20% - Accent4 3 2 4 3" xfId="2728" xr:uid="{00000000-0005-0000-0000-0000F8000000}"/>
    <cellStyle name="20% - Accent4 3 2 5" xfId="1431" xr:uid="{00000000-0005-0000-0000-0000F9000000}"/>
    <cellStyle name="20% - Accent4 3 2 5 2" xfId="3526" xr:uid="{00000000-0005-0000-0000-0000FA000000}"/>
    <cellStyle name="20% - Accent4 3 2 6" xfId="2480" xr:uid="{00000000-0005-0000-0000-0000FB000000}"/>
    <cellStyle name="20% - Accent4 3 3" xfId="1041" xr:uid="{00000000-0005-0000-0000-0000FC000000}"/>
    <cellStyle name="20% - Accent4 3 3 2" xfId="2087" xr:uid="{00000000-0005-0000-0000-0000FD000000}"/>
    <cellStyle name="20% - Accent4 3 3 2 2" xfId="4182" xr:uid="{00000000-0005-0000-0000-0000FE000000}"/>
    <cellStyle name="20% - Accent4 3 3 3" xfId="3136" xr:uid="{00000000-0005-0000-0000-0000FF000000}"/>
    <cellStyle name="20% - Accent4 3 4" xfId="775" xr:uid="{00000000-0005-0000-0000-000000010000}"/>
    <cellStyle name="20% - Accent4 3 4 2" xfId="1821" xr:uid="{00000000-0005-0000-0000-000001010000}"/>
    <cellStyle name="20% - Accent4 3 4 2 2" xfId="3916" xr:uid="{00000000-0005-0000-0000-000002010000}"/>
    <cellStyle name="20% - Accent4 3 4 3" xfId="2870" xr:uid="{00000000-0005-0000-0000-000003010000}"/>
    <cellStyle name="20% - Accent4 3 5" xfId="504" xr:uid="{00000000-0005-0000-0000-000004010000}"/>
    <cellStyle name="20% - Accent4 3 5 2" xfId="1555" xr:uid="{00000000-0005-0000-0000-000005010000}"/>
    <cellStyle name="20% - Accent4 3 5 2 2" xfId="3650" xr:uid="{00000000-0005-0000-0000-000006010000}"/>
    <cellStyle name="20% - Accent4 3 5 3" xfId="2604" xr:uid="{00000000-0005-0000-0000-000007010000}"/>
    <cellStyle name="20% - Accent4 3 6" xfId="1307" xr:uid="{00000000-0005-0000-0000-000008010000}"/>
    <cellStyle name="20% - Accent4 3 6 2" xfId="3402" xr:uid="{00000000-0005-0000-0000-000009010000}"/>
    <cellStyle name="20% - Accent4 3 7" xfId="2356" xr:uid="{00000000-0005-0000-0000-00000A010000}"/>
    <cellStyle name="20% - Accent4 4" xfId="362" xr:uid="{00000000-0005-0000-0000-00000B010000}"/>
    <cellStyle name="20% - Accent4 4 2" xfId="1147" xr:uid="{00000000-0005-0000-0000-00000C010000}"/>
    <cellStyle name="20% - Accent4 4 2 2" xfId="2193" xr:uid="{00000000-0005-0000-0000-00000D010000}"/>
    <cellStyle name="20% - Accent4 4 2 2 2" xfId="4288" xr:uid="{00000000-0005-0000-0000-00000E010000}"/>
    <cellStyle name="20% - Accent4 4 2 3" xfId="3242" xr:uid="{00000000-0005-0000-0000-00000F010000}"/>
    <cellStyle name="20% - Accent4 4 3" xfId="881" xr:uid="{00000000-0005-0000-0000-000010010000}"/>
    <cellStyle name="20% - Accent4 4 3 2" xfId="1927" xr:uid="{00000000-0005-0000-0000-000011010000}"/>
    <cellStyle name="20% - Accent4 4 3 2 2" xfId="4022" xr:uid="{00000000-0005-0000-0000-000012010000}"/>
    <cellStyle name="20% - Accent4 4 3 3" xfId="2976" xr:uid="{00000000-0005-0000-0000-000013010000}"/>
    <cellStyle name="20% - Accent4 4 4" xfId="610" xr:uid="{00000000-0005-0000-0000-000014010000}"/>
    <cellStyle name="20% - Accent4 4 4 2" xfId="1661" xr:uid="{00000000-0005-0000-0000-000015010000}"/>
    <cellStyle name="20% - Accent4 4 4 2 2" xfId="3756" xr:uid="{00000000-0005-0000-0000-000016010000}"/>
    <cellStyle name="20% - Accent4 4 4 3" xfId="2710" xr:uid="{00000000-0005-0000-0000-000017010000}"/>
    <cellStyle name="20% - Accent4 4 5" xfId="1413" xr:uid="{00000000-0005-0000-0000-000018010000}"/>
    <cellStyle name="20% - Accent4 4 5 2" xfId="3508" xr:uid="{00000000-0005-0000-0000-000019010000}"/>
    <cellStyle name="20% - Accent4 4 6" xfId="2462" xr:uid="{00000000-0005-0000-0000-00001A010000}"/>
    <cellStyle name="20% - Accent4 5" xfId="642" xr:uid="{00000000-0005-0000-0000-00001B010000}"/>
    <cellStyle name="20% - Accent4 5 2" xfId="1179" xr:uid="{00000000-0005-0000-0000-00001C010000}"/>
    <cellStyle name="20% - Accent4 5 2 2" xfId="2225" xr:uid="{00000000-0005-0000-0000-00001D010000}"/>
    <cellStyle name="20% - Accent4 5 2 2 2" xfId="4320" xr:uid="{00000000-0005-0000-0000-00001E010000}"/>
    <cellStyle name="20% - Accent4 5 2 3" xfId="3274" xr:uid="{00000000-0005-0000-0000-00001F010000}"/>
    <cellStyle name="20% - Accent4 5 3" xfId="913" xr:uid="{00000000-0005-0000-0000-000020010000}"/>
    <cellStyle name="20% - Accent4 5 3 2" xfId="1959" xr:uid="{00000000-0005-0000-0000-000021010000}"/>
    <cellStyle name="20% - Accent4 5 3 2 2" xfId="4054" xr:uid="{00000000-0005-0000-0000-000022010000}"/>
    <cellStyle name="20% - Accent4 5 3 3" xfId="3008" xr:uid="{00000000-0005-0000-0000-000023010000}"/>
    <cellStyle name="20% - Accent4 5 4" xfId="1693" xr:uid="{00000000-0005-0000-0000-000024010000}"/>
    <cellStyle name="20% - Accent4 5 4 2" xfId="3788" xr:uid="{00000000-0005-0000-0000-000025010000}"/>
    <cellStyle name="20% - Accent4 5 5" xfId="2742" xr:uid="{00000000-0005-0000-0000-000026010000}"/>
    <cellStyle name="20% - Accent4 6" xfId="1023" xr:uid="{00000000-0005-0000-0000-000027010000}"/>
    <cellStyle name="20% - Accent4 6 2" xfId="2069" xr:uid="{00000000-0005-0000-0000-000028010000}"/>
    <cellStyle name="20% - Accent4 6 2 2" xfId="4164" xr:uid="{00000000-0005-0000-0000-000029010000}"/>
    <cellStyle name="20% - Accent4 6 3" xfId="3118" xr:uid="{00000000-0005-0000-0000-00002A010000}"/>
    <cellStyle name="20% - Accent4 7" xfId="757" xr:uid="{00000000-0005-0000-0000-00002B010000}"/>
    <cellStyle name="20% - Accent4 7 2" xfId="1803" xr:uid="{00000000-0005-0000-0000-00002C010000}"/>
    <cellStyle name="20% - Accent4 7 2 2" xfId="3898" xr:uid="{00000000-0005-0000-0000-00002D010000}"/>
    <cellStyle name="20% - Accent4 7 3" xfId="2852" xr:uid="{00000000-0005-0000-0000-00002E010000}"/>
    <cellStyle name="20% - Accent4 8" xfId="486" xr:uid="{00000000-0005-0000-0000-00002F010000}"/>
    <cellStyle name="20% - Accent4 8 2" xfId="1537" xr:uid="{00000000-0005-0000-0000-000030010000}"/>
    <cellStyle name="20% - Accent4 8 2 2" xfId="3632" xr:uid="{00000000-0005-0000-0000-000031010000}"/>
    <cellStyle name="20% - Accent4 8 3" xfId="2586" xr:uid="{00000000-0005-0000-0000-000032010000}"/>
    <cellStyle name="20% - Accent4 9" xfId="1289" xr:uid="{00000000-0005-0000-0000-000033010000}"/>
    <cellStyle name="20% - Accent4 9 2" xfId="3384" xr:uid="{00000000-0005-0000-0000-000034010000}"/>
    <cellStyle name="20% - Accent5" xfId="235" builtinId="46" customBuiltin="1"/>
    <cellStyle name="20% - Accent5 10" xfId="2340" xr:uid="{00000000-0005-0000-0000-000036010000}"/>
    <cellStyle name="20% - Accent5 2" xfId="23" xr:uid="{00000000-0005-0000-0000-000037010000}"/>
    <cellStyle name="20% - Accent5 3" xfId="258" xr:uid="{00000000-0005-0000-0000-000038010000}"/>
    <cellStyle name="20% - Accent5 3 2" xfId="382" xr:uid="{00000000-0005-0000-0000-000039010000}"/>
    <cellStyle name="20% - Accent5 3 2 2" xfId="1167" xr:uid="{00000000-0005-0000-0000-00003A010000}"/>
    <cellStyle name="20% - Accent5 3 2 2 2" xfId="2213" xr:uid="{00000000-0005-0000-0000-00003B010000}"/>
    <cellStyle name="20% - Accent5 3 2 2 2 2" xfId="4308" xr:uid="{00000000-0005-0000-0000-00003C010000}"/>
    <cellStyle name="20% - Accent5 3 2 2 3" xfId="3262" xr:uid="{00000000-0005-0000-0000-00003D010000}"/>
    <cellStyle name="20% - Accent5 3 2 3" xfId="901" xr:uid="{00000000-0005-0000-0000-00003E010000}"/>
    <cellStyle name="20% - Accent5 3 2 3 2" xfId="1947" xr:uid="{00000000-0005-0000-0000-00003F010000}"/>
    <cellStyle name="20% - Accent5 3 2 3 2 2" xfId="4042" xr:uid="{00000000-0005-0000-0000-000040010000}"/>
    <cellStyle name="20% - Accent5 3 2 3 3" xfId="2996" xr:uid="{00000000-0005-0000-0000-000041010000}"/>
    <cellStyle name="20% - Accent5 3 2 4" xfId="630" xr:uid="{00000000-0005-0000-0000-000042010000}"/>
    <cellStyle name="20% - Accent5 3 2 4 2" xfId="1681" xr:uid="{00000000-0005-0000-0000-000043010000}"/>
    <cellStyle name="20% - Accent5 3 2 4 2 2" xfId="3776" xr:uid="{00000000-0005-0000-0000-000044010000}"/>
    <cellStyle name="20% - Accent5 3 2 4 3" xfId="2730" xr:uid="{00000000-0005-0000-0000-000045010000}"/>
    <cellStyle name="20% - Accent5 3 2 5" xfId="1433" xr:uid="{00000000-0005-0000-0000-000046010000}"/>
    <cellStyle name="20% - Accent5 3 2 5 2" xfId="3528" xr:uid="{00000000-0005-0000-0000-000047010000}"/>
    <cellStyle name="20% - Accent5 3 2 6" xfId="2482" xr:uid="{00000000-0005-0000-0000-000048010000}"/>
    <cellStyle name="20% - Accent5 3 3" xfId="1043" xr:uid="{00000000-0005-0000-0000-000049010000}"/>
    <cellStyle name="20% - Accent5 3 3 2" xfId="2089" xr:uid="{00000000-0005-0000-0000-00004A010000}"/>
    <cellStyle name="20% - Accent5 3 3 2 2" xfId="4184" xr:uid="{00000000-0005-0000-0000-00004B010000}"/>
    <cellStyle name="20% - Accent5 3 3 3" xfId="3138" xr:uid="{00000000-0005-0000-0000-00004C010000}"/>
    <cellStyle name="20% - Accent5 3 4" xfId="777" xr:uid="{00000000-0005-0000-0000-00004D010000}"/>
    <cellStyle name="20% - Accent5 3 4 2" xfId="1823" xr:uid="{00000000-0005-0000-0000-00004E010000}"/>
    <cellStyle name="20% - Accent5 3 4 2 2" xfId="3918" xr:uid="{00000000-0005-0000-0000-00004F010000}"/>
    <cellStyle name="20% - Accent5 3 4 3" xfId="2872" xr:uid="{00000000-0005-0000-0000-000050010000}"/>
    <cellStyle name="20% - Accent5 3 5" xfId="506" xr:uid="{00000000-0005-0000-0000-000051010000}"/>
    <cellStyle name="20% - Accent5 3 5 2" xfId="1557" xr:uid="{00000000-0005-0000-0000-000052010000}"/>
    <cellStyle name="20% - Accent5 3 5 2 2" xfId="3652" xr:uid="{00000000-0005-0000-0000-000053010000}"/>
    <cellStyle name="20% - Accent5 3 5 3" xfId="2606" xr:uid="{00000000-0005-0000-0000-000054010000}"/>
    <cellStyle name="20% - Accent5 3 6" xfId="1309" xr:uid="{00000000-0005-0000-0000-000055010000}"/>
    <cellStyle name="20% - Accent5 3 6 2" xfId="3404" xr:uid="{00000000-0005-0000-0000-000056010000}"/>
    <cellStyle name="20% - Accent5 3 7" xfId="2358" xr:uid="{00000000-0005-0000-0000-000057010000}"/>
    <cellStyle name="20% - Accent5 4" xfId="364" xr:uid="{00000000-0005-0000-0000-000058010000}"/>
    <cellStyle name="20% - Accent5 4 2" xfId="1149" xr:uid="{00000000-0005-0000-0000-000059010000}"/>
    <cellStyle name="20% - Accent5 4 2 2" xfId="2195" xr:uid="{00000000-0005-0000-0000-00005A010000}"/>
    <cellStyle name="20% - Accent5 4 2 2 2" xfId="4290" xr:uid="{00000000-0005-0000-0000-00005B010000}"/>
    <cellStyle name="20% - Accent5 4 2 3" xfId="3244" xr:uid="{00000000-0005-0000-0000-00005C010000}"/>
    <cellStyle name="20% - Accent5 4 3" xfId="883" xr:uid="{00000000-0005-0000-0000-00005D010000}"/>
    <cellStyle name="20% - Accent5 4 3 2" xfId="1929" xr:uid="{00000000-0005-0000-0000-00005E010000}"/>
    <cellStyle name="20% - Accent5 4 3 2 2" xfId="4024" xr:uid="{00000000-0005-0000-0000-00005F010000}"/>
    <cellStyle name="20% - Accent5 4 3 3" xfId="2978" xr:uid="{00000000-0005-0000-0000-000060010000}"/>
    <cellStyle name="20% - Accent5 4 4" xfId="612" xr:uid="{00000000-0005-0000-0000-000061010000}"/>
    <cellStyle name="20% - Accent5 4 4 2" xfId="1663" xr:uid="{00000000-0005-0000-0000-000062010000}"/>
    <cellStyle name="20% - Accent5 4 4 2 2" xfId="3758" xr:uid="{00000000-0005-0000-0000-000063010000}"/>
    <cellStyle name="20% - Accent5 4 4 3" xfId="2712" xr:uid="{00000000-0005-0000-0000-000064010000}"/>
    <cellStyle name="20% - Accent5 4 5" xfId="1415" xr:uid="{00000000-0005-0000-0000-000065010000}"/>
    <cellStyle name="20% - Accent5 4 5 2" xfId="3510" xr:uid="{00000000-0005-0000-0000-000066010000}"/>
    <cellStyle name="20% - Accent5 4 6" xfId="2464" xr:uid="{00000000-0005-0000-0000-000067010000}"/>
    <cellStyle name="20% - Accent5 5" xfId="644" xr:uid="{00000000-0005-0000-0000-000068010000}"/>
    <cellStyle name="20% - Accent5 5 2" xfId="1181" xr:uid="{00000000-0005-0000-0000-000069010000}"/>
    <cellStyle name="20% - Accent5 5 2 2" xfId="2227" xr:uid="{00000000-0005-0000-0000-00006A010000}"/>
    <cellStyle name="20% - Accent5 5 2 2 2" xfId="4322" xr:uid="{00000000-0005-0000-0000-00006B010000}"/>
    <cellStyle name="20% - Accent5 5 2 3" xfId="3276" xr:uid="{00000000-0005-0000-0000-00006C010000}"/>
    <cellStyle name="20% - Accent5 5 3" xfId="915" xr:uid="{00000000-0005-0000-0000-00006D010000}"/>
    <cellStyle name="20% - Accent5 5 3 2" xfId="1961" xr:uid="{00000000-0005-0000-0000-00006E010000}"/>
    <cellStyle name="20% - Accent5 5 3 2 2" xfId="4056" xr:uid="{00000000-0005-0000-0000-00006F010000}"/>
    <cellStyle name="20% - Accent5 5 3 3" xfId="3010" xr:uid="{00000000-0005-0000-0000-000070010000}"/>
    <cellStyle name="20% - Accent5 5 4" xfId="1695" xr:uid="{00000000-0005-0000-0000-000071010000}"/>
    <cellStyle name="20% - Accent5 5 4 2" xfId="3790" xr:uid="{00000000-0005-0000-0000-000072010000}"/>
    <cellStyle name="20% - Accent5 5 5" xfId="2744" xr:uid="{00000000-0005-0000-0000-000073010000}"/>
    <cellStyle name="20% - Accent5 6" xfId="1025" xr:uid="{00000000-0005-0000-0000-000074010000}"/>
    <cellStyle name="20% - Accent5 6 2" xfId="2071" xr:uid="{00000000-0005-0000-0000-000075010000}"/>
    <cellStyle name="20% - Accent5 6 2 2" xfId="4166" xr:uid="{00000000-0005-0000-0000-000076010000}"/>
    <cellStyle name="20% - Accent5 6 3" xfId="3120" xr:uid="{00000000-0005-0000-0000-000077010000}"/>
    <cellStyle name="20% - Accent5 7" xfId="759" xr:uid="{00000000-0005-0000-0000-000078010000}"/>
    <cellStyle name="20% - Accent5 7 2" xfId="1805" xr:uid="{00000000-0005-0000-0000-000079010000}"/>
    <cellStyle name="20% - Accent5 7 2 2" xfId="3900" xr:uid="{00000000-0005-0000-0000-00007A010000}"/>
    <cellStyle name="20% - Accent5 7 3" xfId="2854" xr:uid="{00000000-0005-0000-0000-00007B010000}"/>
    <cellStyle name="20% - Accent5 8" xfId="488" xr:uid="{00000000-0005-0000-0000-00007C010000}"/>
    <cellStyle name="20% - Accent5 8 2" xfId="1539" xr:uid="{00000000-0005-0000-0000-00007D010000}"/>
    <cellStyle name="20% - Accent5 8 2 2" xfId="3634" xr:uid="{00000000-0005-0000-0000-00007E010000}"/>
    <cellStyle name="20% - Accent5 8 3" xfId="2588" xr:uid="{00000000-0005-0000-0000-00007F010000}"/>
    <cellStyle name="20% - Accent5 9" xfId="1291" xr:uid="{00000000-0005-0000-0000-000080010000}"/>
    <cellStyle name="20% - Accent5 9 2" xfId="3386" xr:uid="{00000000-0005-0000-0000-000081010000}"/>
    <cellStyle name="20% - Accent6" xfId="239" builtinId="50" customBuiltin="1"/>
    <cellStyle name="20% - Accent6 10" xfId="2342" xr:uid="{00000000-0005-0000-0000-000083010000}"/>
    <cellStyle name="20% - Accent6 2" xfId="24" xr:uid="{00000000-0005-0000-0000-000084010000}"/>
    <cellStyle name="20% - Accent6 3" xfId="260" xr:uid="{00000000-0005-0000-0000-000085010000}"/>
    <cellStyle name="20% - Accent6 3 2" xfId="384" xr:uid="{00000000-0005-0000-0000-000086010000}"/>
    <cellStyle name="20% - Accent6 3 2 2" xfId="1169" xr:uid="{00000000-0005-0000-0000-000087010000}"/>
    <cellStyle name="20% - Accent6 3 2 2 2" xfId="2215" xr:uid="{00000000-0005-0000-0000-000088010000}"/>
    <cellStyle name="20% - Accent6 3 2 2 2 2" xfId="4310" xr:uid="{00000000-0005-0000-0000-000089010000}"/>
    <cellStyle name="20% - Accent6 3 2 2 3" xfId="3264" xr:uid="{00000000-0005-0000-0000-00008A010000}"/>
    <cellStyle name="20% - Accent6 3 2 3" xfId="903" xr:uid="{00000000-0005-0000-0000-00008B010000}"/>
    <cellStyle name="20% - Accent6 3 2 3 2" xfId="1949" xr:uid="{00000000-0005-0000-0000-00008C010000}"/>
    <cellStyle name="20% - Accent6 3 2 3 2 2" xfId="4044" xr:uid="{00000000-0005-0000-0000-00008D010000}"/>
    <cellStyle name="20% - Accent6 3 2 3 3" xfId="2998" xr:uid="{00000000-0005-0000-0000-00008E010000}"/>
    <cellStyle name="20% - Accent6 3 2 4" xfId="632" xr:uid="{00000000-0005-0000-0000-00008F010000}"/>
    <cellStyle name="20% - Accent6 3 2 4 2" xfId="1683" xr:uid="{00000000-0005-0000-0000-000090010000}"/>
    <cellStyle name="20% - Accent6 3 2 4 2 2" xfId="3778" xr:uid="{00000000-0005-0000-0000-000091010000}"/>
    <cellStyle name="20% - Accent6 3 2 4 3" xfId="2732" xr:uid="{00000000-0005-0000-0000-000092010000}"/>
    <cellStyle name="20% - Accent6 3 2 5" xfId="1435" xr:uid="{00000000-0005-0000-0000-000093010000}"/>
    <cellStyle name="20% - Accent6 3 2 5 2" xfId="3530" xr:uid="{00000000-0005-0000-0000-000094010000}"/>
    <cellStyle name="20% - Accent6 3 2 6" xfId="2484" xr:uid="{00000000-0005-0000-0000-000095010000}"/>
    <cellStyle name="20% - Accent6 3 3" xfId="1045" xr:uid="{00000000-0005-0000-0000-000096010000}"/>
    <cellStyle name="20% - Accent6 3 3 2" xfId="2091" xr:uid="{00000000-0005-0000-0000-000097010000}"/>
    <cellStyle name="20% - Accent6 3 3 2 2" xfId="4186" xr:uid="{00000000-0005-0000-0000-000098010000}"/>
    <cellStyle name="20% - Accent6 3 3 3" xfId="3140" xr:uid="{00000000-0005-0000-0000-000099010000}"/>
    <cellStyle name="20% - Accent6 3 4" xfId="779" xr:uid="{00000000-0005-0000-0000-00009A010000}"/>
    <cellStyle name="20% - Accent6 3 4 2" xfId="1825" xr:uid="{00000000-0005-0000-0000-00009B010000}"/>
    <cellStyle name="20% - Accent6 3 4 2 2" xfId="3920" xr:uid="{00000000-0005-0000-0000-00009C010000}"/>
    <cellStyle name="20% - Accent6 3 4 3" xfId="2874" xr:uid="{00000000-0005-0000-0000-00009D010000}"/>
    <cellStyle name="20% - Accent6 3 5" xfId="508" xr:uid="{00000000-0005-0000-0000-00009E010000}"/>
    <cellStyle name="20% - Accent6 3 5 2" xfId="1559" xr:uid="{00000000-0005-0000-0000-00009F010000}"/>
    <cellStyle name="20% - Accent6 3 5 2 2" xfId="3654" xr:uid="{00000000-0005-0000-0000-0000A0010000}"/>
    <cellStyle name="20% - Accent6 3 5 3" xfId="2608" xr:uid="{00000000-0005-0000-0000-0000A1010000}"/>
    <cellStyle name="20% - Accent6 3 6" xfId="1311" xr:uid="{00000000-0005-0000-0000-0000A2010000}"/>
    <cellStyle name="20% - Accent6 3 6 2" xfId="3406" xr:uid="{00000000-0005-0000-0000-0000A3010000}"/>
    <cellStyle name="20% - Accent6 3 7" xfId="2360" xr:uid="{00000000-0005-0000-0000-0000A4010000}"/>
    <cellStyle name="20% - Accent6 4" xfId="366" xr:uid="{00000000-0005-0000-0000-0000A5010000}"/>
    <cellStyle name="20% - Accent6 4 2" xfId="1151" xr:uid="{00000000-0005-0000-0000-0000A6010000}"/>
    <cellStyle name="20% - Accent6 4 2 2" xfId="2197" xr:uid="{00000000-0005-0000-0000-0000A7010000}"/>
    <cellStyle name="20% - Accent6 4 2 2 2" xfId="4292" xr:uid="{00000000-0005-0000-0000-0000A8010000}"/>
    <cellStyle name="20% - Accent6 4 2 3" xfId="3246" xr:uid="{00000000-0005-0000-0000-0000A9010000}"/>
    <cellStyle name="20% - Accent6 4 3" xfId="885" xr:uid="{00000000-0005-0000-0000-0000AA010000}"/>
    <cellStyle name="20% - Accent6 4 3 2" xfId="1931" xr:uid="{00000000-0005-0000-0000-0000AB010000}"/>
    <cellStyle name="20% - Accent6 4 3 2 2" xfId="4026" xr:uid="{00000000-0005-0000-0000-0000AC010000}"/>
    <cellStyle name="20% - Accent6 4 3 3" xfId="2980" xr:uid="{00000000-0005-0000-0000-0000AD010000}"/>
    <cellStyle name="20% - Accent6 4 4" xfId="614" xr:uid="{00000000-0005-0000-0000-0000AE010000}"/>
    <cellStyle name="20% - Accent6 4 4 2" xfId="1665" xr:uid="{00000000-0005-0000-0000-0000AF010000}"/>
    <cellStyle name="20% - Accent6 4 4 2 2" xfId="3760" xr:uid="{00000000-0005-0000-0000-0000B0010000}"/>
    <cellStyle name="20% - Accent6 4 4 3" xfId="2714" xr:uid="{00000000-0005-0000-0000-0000B1010000}"/>
    <cellStyle name="20% - Accent6 4 5" xfId="1417" xr:uid="{00000000-0005-0000-0000-0000B2010000}"/>
    <cellStyle name="20% - Accent6 4 5 2" xfId="3512" xr:uid="{00000000-0005-0000-0000-0000B3010000}"/>
    <cellStyle name="20% - Accent6 4 6" xfId="2466" xr:uid="{00000000-0005-0000-0000-0000B4010000}"/>
    <cellStyle name="20% - Accent6 5" xfId="646" xr:uid="{00000000-0005-0000-0000-0000B5010000}"/>
    <cellStyle name="20% - Accent6 5 2" xfId="1183" xr:uid="{00000000-0005-0000-0000-0000B6010000}"/>
    <cellStyle name="20% - Accent6 5 2 2" xfId="2229" xr:uid="{00000000-0005-0000-0000-0000B7010000}"/>
    <cellStyle name="20% - Accent6 5 2 2 2" xfId="4324" xr:uid="{00000000-0005-0000-0000-0000B8010000}"/>
    <cellStyle name="20% - Accent6 5 2 3" xfId="3278" xr:uid="{00000000-0005-0000-0000-0000B9010000}"/>
    <cellStyle name="20% - Accent6 5 3" xfId="917" xr:uid="{00000000-0005-0000-0000-0000BA010000}"/>
    <cellStyle name="20% - Accent6 5 3 2" xfId="1963" xr:uid="{00000000-0005-0000-0000-0000BB010000}"/>
    <cellStyle name="20% - Accent6 5 3 2 2" xfId="4058" xr:uid="{00000000-0005-0000-0000-0000BC010000}"/>
    <cellStyle name="20% - Accent6 5 3 3" xfId="3012" xr:uid="{00000000-0005-0000-0000-0000BD010000}"/>
    <cellStyle name="20% - Accent6 5 4" xfId="1697" xr:uid="{00000000-0005-0000-0000-0000BE010000}"/>
    <cellStyle name="20% - Accent6 5 4 2" xfId="3792" xr:uid="{00000000-0005-0000-0000-0000BF010000}"/>
    <cellStyle name="20% - Accent6 5 5" xfId="2746" xr:uid="{00000000-0005-0000-0000-0000C0010000}"/>
    <cellStyle name="20% - Accent6 6" xfId="1027" xr:uid="{00000000-0005-0000-0000-0000C1010000}"/>
    <cellStyle name="20% - Accent6 6 2" xfId="2073" xr:uid="{00000000-0005-0000-0000-0000C2010000}"/>
    <cellStyle name="20% - Accent6 6 2 2" xfId="4168" xr:uid="{00000000-0005-0000-0000-0000C3010000}"/>
    <cellStyle name="20% - Accent6 6 3" xfId="3122" xr:uid="{00000000-0005-0000-0000-0000C4010000}"/>
    <cellStyle name="20% - Accent6 7" xfId="761" xr:uid="{00000000-0005-0000-0000-0000C5010000}"/>
    <cellStyle name="20% - Accent6 7 2" xfId="1807" xr:uid="{00000000-0005-0000-0000-0000C6010000}"/>
    <cellStyle name="20% - Accent6 7 2 2" xfId="3902" xr:uid="{00000000-0005-0000-0000-0000C7010000}"/>
    <cellStyle name="20% - Accent6 7 3" xfId="2856" xr:uid="{00000000-0005-0000-0000-0000C8010000}"/>
    <cellStyle name="20% - Accent6 8" xfId="490" xr:uid="{00000000-0005-0000-0000-0000C9010000}"/>
    <cellStyle name="20% - Accent6 8 2" xfId="1541" xr:uid="{00000000-0005-0000-0000-0000CA010000}"/>
    <cellStyle name="20% - Accent6 8 2 2" xfId="3636" xr:uid="{00000000-0005-0000-0000-0000CB010000}"/>
    <cellStyle name="20% - Accent6 8 3" xfId="2590" xr:uid="{00000000-0005-0000-0000-0000CC010000}"/>
    <cellStyle name="20% - Accent6 9" xfId="1293" xr:uid="{00000000-0005-0000-0000-0000CD010000}"/>
    <cellStyle name="20% - Accent6 9 2" xfId="3388" xr:uid="{00000000-0005-0000-0000-0000CE010000}"/>
    <cellStyle name="40% - Accent1" xfId="220" builtinId="31" customBuiltin="1"/>
    <cellStyle name="40% - Accent1 10" xfId="2333" xr:uid="{00000000-0005-0000-0000-0000D0010000}"/>
    <cellStyle name="40% - Accent1 2" xfId="25" xr:uid="{00000000-0005-0000-0000-0000D1010000}"/>
    <cellStyle name="40% - Accent1 3" xfId="251" xr:uid="{00000000-0005-0000-0000-0000D2010000}"/>
    <cellStyle name="40% - Accent1 3 2" xfId="375" xr:uid="{00000000-0005-0000-0000-0000D3010000}"/>
    <cellStyle name="40% - Accent1 3 2 2" xfId="1160" xr:uid="{00000000-0005-0000-0000-0000D4010000}"/>
    <cellStyle name="40% - Accent1 3 2 2 2" xfId="2206" xr:uid="{00000000-0005-0000-0000-0000D5010000}"/>
    <cellStyle name="40% - Accent1 3 2 2 2 2" xfId="4301" xr:uid="{00000000-0005-0000-0000-0000D6010000}"/>
    <cellStyle name="40% - Accent1 3 2 2 3" xfId="3255" xr:uid="{00000000-0005-0000-0000-0000D7010000}"/>
    <cellStyle name="40% - Accent1 3 2 3" xfId="894" xr:uid="{00000000-0005-0000-0000-0000D8010000}"/>
    <cellStyle name="40% - Accent1 3 2 3 2" xfId="1940" xr:uid="{00000000-0005-0000-0000-0000D9010000}"/>
    <cellStyle name="40% - Accent1 3 2 3 2 2" xfId="4035" xr:uid="{00000000-0005-0000-0000-0000DA010000}"/>
    <cellStyle name="40% - Accent1 3 2 3 3" xfId="2989" xr:uid="{00000000-0005-0000-0000-0000DB010000}"/>
    <cellStyle name="40% - Accent1 3 2 4" xfId="623" xr:uid="{00000000-0005-0000-0000-0000DC010000}"/>
    <cellStyle name="40% - Accent1 3 2 4 2" xfId="1674" xr:uid="{00000000-0005-0000-0000-0000DD010000}"/>
    <cellStyle name="40% - Accent1 3 2 4 2 2" xfId="3769" xr:uid="{00000000-0005-0000-0000-0000DE010000}"/>
    <cellStyle name="40% - Accent1 3 2 4 3" xfId="2723" xr:uid="{00000000-0005-0000-0000-0000DF010000}"/>
    <cellStyle name="40% - Accent1 3 2 5" xfId="1426" xr:uid="{00000000-0005-0000-0000-0000E0010000}"/>
    <cellStyle name="40% - Accent1 3 2 5 2" xfId="3521" xr:uid="{00000000-0005-0000-0000-0000E1010000}"/>
    <cellStyle name="40% - Accent1 3 2 6" xfId="2475" xr:uid="{00000000-0005-0000-0000-0000E2010000}"/>
    <cellStyle name="40% - Accent1 3 3" xfId="1036" xr:uid="{00000000-0005-0000-0000-0000E3010000}"/>
    <cellStyle name="40% - Accent1 3 3 2" xfId="2082" xr:uid="{00000000-0005-0000-0000-0000E4010000}"/>
    <cellStyle name="40% - Accent1 3 3 2 2" xfId="4177" xr:uid="{00000000-0005-0000-0000-0000E5010000}"/>
    <cellStyle name="40% - Accent1 3 3 3" xfId="3131" xr:uid="{00000000-0005-0000-0000-0000E6010000}"/>
    <cellStyle name="40% - Accent1 3 4" xfId="770" xr:uid="{00000000-0005-0000-0000-0000E7010000}"/>
    <cellStyle name="40% - Accent1 3 4 2" xfId="1816" xr:uid="{00000000-0005-0000-0000-0000E8010000}"/>
    <cellStyle name="40% - Accent1 3 4 2 2" xfId="3911" xr:uid="{00000000-0005-0000-0000-0000E9010000}"/>
    <cellStyle name="40% - Accent1 3 4 3" xfId="2865" xr:uid="{00000000-0005-0000-0000-0000EA010000}"/>
    <cellStyle name="40% - Accent1 3 5" xfId="499" xr:uid="{00000000-0005-0000-0000-0000EB010000}"/>
    <cellStyle name="40% - Accent1 3 5 2" xfId="1550" xr:uid="{00000000-0005-0000-0000-0000EC010000}"/>
    <cellStyle name="40% - Accent1 3 5 2 2" xfId="3645" xr:uid="{00000000-0005-0000-0000-0000ED010000}"/>
    <cellStyle name="40% - Accent1 3 5 3" xfId="2599" xr:uid="{00000000-0005-0000-0000-0000EE010000}"/>
    <cellStyle name="40% - Accent1 3 6" xfId="1302" xr:uid="{00000000-0005-0000-0000-0000EF010000}"/>
    <cellStyle name="40% - Accent1 3 6 2" xfId="3397" xr:uid="{00000000-0005-0000-0000-0000F0010000}"/>
    <cellStyle name="40% - Accent1 3 7" xfId="2351" xr:uid="{00000000-0005-0000-0000-0000F1010000}"/>
    <cellStyle name="40% - Accent1 4" xfId="357" xr:uid="{00000000-0005-0000-0000-0000F2010000}"/>
    <cellStyle name="40% - Accent1 4 2" xfId="1142" xr:uid="{00000000-0005-0000-0000-0000F3010000}"/>
    <cellStyle name="40% - Accent1 4 2 2" xfId="2188" xr:uid="{00000000-0005-0000-0000-0000F4010000}"/>
    <cellStyle name="40% - Accent1 4 2 2 2" xfId="4283" xr:uid="{00000000-0005-0000-0000-0000F5010000}"/>
    <cellStyle name="40% - Accent1 4 2 3" xfId="3237" xr:uid="{00000000-0005-0000-0000-0000F6010000}"/>
    <cellStyle name="40% - Accent1 4 3" xfId="876" xr:uid="{00000000-0005-0000-0000-0000F7010000}"/>
    <cellStyle name="40% - Accent1 4 3 2" xfId="1922" xr:uid="{00000000-0005-0000-0000-0000F8010000}"/>
    <cellStyle name="40% - Accent1 4 3 2 2" xfId="4017" xr:uid="{00000000-0005-0000-0000-0000F9010000}"/>
    <cellStyle name="40% - Accent1 4 3 3" xfId="2971" xr:uid="{00000000-0005-0000-0000-0000FA010000}"/>
    <cellStyle name="40% - Accent1 4 4" xfId="605" xr:uid="{00000000-0005-0000-0000-0000FB010000}"/>
    <cellStyle name="40% - Accent1 4 4 2" xfId="1656" xr:uid="{00000000-0005-0000-0000-0000FC010000}"/>
    <cellStyle name="40% - Accent1 4 4 2 2" xfId="3751" xr:uid="{00000000-0005-0000-0000-0000FD010000}"/>
    <cellStyle name="40% - Accent1 4 4 3" xfId="2705" xr:uid="{00000000-0005-0000-0000-0000FE010000}"/>
    <cellStyle name="40% - Accent1 4 5" xfId="1408" xr:uid="{00000000-0005-0000-0000-0000FF010000}"/>
    <cellStyle name="40% - Accent1 4 5 2" xfId="3503" xr:uid="{00000000-0005-0000-0000-000000020000}"/>
    <cellStyle name="40% - Accent1 4 6" xfId="2457" xr:uid="{00000000-0005-0000-0000-000001020000}"/>
    <cellStyle name="40% - Accent1 5" xfId="637" xr:uid="{00000000-0005-0000-0000-000002020000}"/>
    <cellStyle name="40% - Accent1 5 2" xfId="1174" xr:uid="{00000000-0005-0000-0000-000003020000}"/>
    <cellStyle name="40% - Accent1 5 2 2" xfId="2220" xr:uid="{00000000-0005-0000-0000-000004020000}"/>
    <cellStyle name="40% - Accent1 5 2 2 2" xfId="4315" xr:uid="{00000000-0005-0000-0000-000005020000}"/>
    <cellStyle name="40% - Accent1 5 2 3" xfId="3269" xr:uid="{00000000-0005-0000-0000-000006020000}"/>
    <cellStyle name="40% - Accent1 5 3" xfId="908" xr:uid="{00000000-0005-0000-0000-000007020000}"/>
    <cellStyle name="40% - Accent1 5 3 2" xfId="1954" xr:uid="{00000000-0005-0000-0000-000008020000}"/>
    <cellStyle name="40% - Accent1 5 3 2 2" xfId="4049" xr:uid="{00000000-0005-0000-0000-000009020000}"/>
    <cellStyle name="40% - Accent1 5 3 3" xfId="3003" xr:uid="{00000000-0005-0000-0000-00000A020000}"/>
    <cellStyle name="40% - Accent1 5 4" xfId="1688" xr:uid="{00000000-0005-0000-0000-00000B020000}"/>
    <cellStyle name="40% - Accent1 5 4 2" xfId="3783" xr:uid="{00000000-0005-0000-0000-00000C020000}"/>
    <cellStyle name="40% - Accent1 5 5" xfId="2737" xr:uid="{00000000-0005-0000-0000-00000D020000}"/>
    <cellStyle name="40% - Accent1 6" xfId="1018" xr:uid="{00000000-0005-0000-0000-00000E020000}"/>
    <cellStyle name="40% - Accent1 6 2" xfId="2064" xr:uid="{00000000-0005-0000-0000-00000F020000}"/>
    <cellStyle name="40% - Accent1 6 2 2" xfId="4159" xr:uid="{00000000-0005-0000-0000-000010020000}"/>
    <cellStyle name="40% - Accent1 6 3" xfId="3113" xr:uid="{00000000-0005-0000-0000-000011020000}"/>
    <cellStyle name="40% - Accent1 7" xfId="752" xr:uid="{00000000-0005-0000-0000-000012020000}"/>
    <cellStyle name="40% - Accent1 7 2" xfId="1798" xr:uid="{00000000-0005-0000-0000-000013020000}"/>
    <cellStyle name="40% - Accent1 7 2 2" xfId="3893" xr:uid="{00000000-0005-0000-0000-000014020000}"/>
    <cellStyle name="40% - Accent1 7 3" xfId="2847" xr:uid="{00000000-0005-0000-0000-000015020000}"/>
    <cellStyle name="40% - Accent1 8" xfId="481" xr:uid="{00000000-0005-0000-0000-000016020000}"/>
    <cellStyle name="40% - Accent1 8 2" xfId="1532" xr:uid="{00000000-0005-0000-0000-000017020000}"/>
    <cellStyle name="40% - Accent1 8 2 2" xfId="3627" xr:uid="{00000000-0005-0000-0000-000018020000}"/>
    <cellStyle name="40% - Accent1 8 3" xfId="2581" xr:uid="{00000000-0005-0000-0000-000019020000}"/>
    <cellStyle name="40% - Accent1 9" xfId="1284" xr:uid="{00000000-0005-0000-0000-00001A020000}"/>
    <cellStyle name="40% - Accent1 9 2" xfId="3379" xr:uid="{00000000-0005-0000-0000-00001B020000}"/>
    <cellStyle name="40% - Accent2" xfId="224" builtinId="35" customBuiltin="1"/>
    <cellStyle name="40% - Accent2 10" xfId="2335" xr:uid="{00000000-0005-0000-0000-00001D020000}"/>
    <cellStyle name="40% - Accent2 2" xfId="26" xr:uid="{00000000-0005-0000-0000-00001E020000}"/>
    <cellStyle name="40% - Accent2 3" xfId="253" xr:uid="{00000000-0005-0000-0000-00001F020000}"/>
    <cellStyle name="40% - Accent2 3 2" xfId="377" xr:uid="{00000000-0005-0000-0000-000020020000}"/>
    <cellStyle name="40% - Accent2 3 2 2" xfId="1162" xr:uid="{00000000-0005-0000-0000-000021020000}"/>
    <cellStyle name="40% - Accent2 3 2 2 2" xfId="2208" xr:uid="{00000000-0005-0000-0000-000022020000}"/>
    <cellStyle name="40% - Accent2 3 2 2 2 2" xfId="4303" xr:uid="{00000000-0005-0000-0000-000023020000}"/>
    <cellStyle name="40% - Accent2 3 2 2 3" xfId="3257" xr:uid="{00000000-0005-0000-0000-000024020000}"/>
    <cellStyle name="40% - Accent2 3 2 3" xfId="896" xr:uid="{00000000-0005-0000-0000-000025020000}"/>
    <cellStyle name="40% - Accent2 3 2 3 2" xfId="1942" xr:uid="{00000000-0005-0000-0000-000026020000}"/>
    <cellStyle name="40% - Accent2 3 2 3 2 2" xfId="4037" xr:uid="{00000000-0005-0000-0000-000027020000}"/>
    <cellStyle name="40% - Accent2 3 2 3 3" xfId="2991" xr:uid="{00000000-0005-0000-0000-000028020000}"/>
    <cellStyle name="40% - Accent2 3 2 4" xfId="625" xr:uid="{00000000-0005-0000-0000-000029020000}"/>
    <cellStyle name="40% - Accent2 3 2 4 2" xfId="1676" xr:uid="{00000000-0005-0000-0000-00002A020000}"/>
    <cellStyle name="40% - Accent2 3 2 4 2 2" xfId="3771" xr:uid="{00000000-0005-0000-0000-00002B020000}"/>
    <cellStyle name="40% - Accent2 3 2 4 3" xfId="2725" xr:uid="{00000000-0005-0000-0000-00002C020000}"/>
    <cellStyle name="40% - Accent2 3 2 5" xfId="1428" xr:uid="{00000000-0005-0000-0000-00002D020000}"/>
    <cellStyle name="40% - Accent2 3 2 5 2" xfId="3523" xr:uid="{00000000-0005-0000-0000-00002E020000}"/>
    <cellStyle name="40% - Accent2 3 2 6" xfId="2477" xr:uid="{00000000-0005-0000-0000-00002F020000}"/>
    <cellStyle name="40% - Accent2 3 3" xfId="1038" xr:uid="{00000000-0005-0000-0000-000030020000}"/>
    <cellStyle name="40% - Accent2 3 3 2" xfId="2084" xr:uid="{00000000-0005-0000-0000-000031020000}"/>
    <cellStyle name="40% - Accent2 3 3 2 2" xfId="4179" xr:uid="{00000000-0005-0000-0000-000032020000}"/>
    <cellStyle name="40% - Accent2 3 3 3" xfId="3133" xr:uid="{00000000-0005-0000-0000-000033020000}"/>
    <cellStyle name="40% - Accent2 3 4" xfId="772" xr:uid="{00000000-0005-0000-0000-000034020000}"/>
    <cellStyle name="40% - Accent2 3 4 2" xfId="1818" xr:uid="{00000000-0005-0000-0000-000035020000}"/>
    <cellStyle name="40% - Accent2 3 4 2 2" xfId="3913" xr:uid="{00000000-0005-0000-0000-000036020000}"/>
    <cellStyle name="40% - Accent2 3 4 3" xfId="2867" xr:uid="{00000000-0005-0000-0000-000037020000}"/>
    <cellStyle name="40% - Accent2 3 5" xfId="501" xr:uid="{00000000-0005-0000-0000-000038020000}"/>
    <cellStyle name="40% - Accent2 3 5 2" xfId="1552" xr:uid="{00000000-0005-0000-0000-000039020000}"/>
    <cellStyle name="40% - Accent2 3 5 2 2" xfId="3647" xr:uid="{00000000-0005-0000-0000-00003A020000}"/>
    <cellStyle name="40% - Accent2 3 5 3" xfId="2601" xr:uid="{00000000-0005-0000-0000-00003B020000}"/>
    <cellStyle name="40% - Accent2 3 6" xfId="1304" xr:uid="{00000000-0005-0000-0000-00003C020000}"/>
    <cellStyle name="40% - Accent2 3 6 2" xfId="3399" xr:uid="{00000000-0005-0000-0000-00003D020000}"/>
    <cellStyle name="40% - Accent2 3 7" xfId="2353" xr:uid="{00000000-0005-0000-0000-00003E020000}"/>
    <cellStyle name="40% - Accent2 4" xfId="359" xr:uid="{00000000-0005-0000-0000-00003F020000}"/>
    <cellStyle name="40% - Accent2 4 2" xfId="1144" xr:uid="{00000000-0005-0000-0000-000040020000}"/>
    <cellStyle name="40% - Accent2 4 2 2" xfId="2190" xr:uid="{00000000-0005-0000-0000-000041020000}"/>
    <cellStyle name="40% - Accent2 4 2 2 2" xfId="4285" xr:uid="{00000000-0005-0000-0000-000042020000}"/>
    <cellStyle name="40% - Accent2 4 2 3" xfId="3239" xr:uid="{00000000-0005-0000-0000-000043020000}"/>
    <cellStyle name="40% - Accent2 4 3" xfId="878" xr:uid="{00000000-0005-0000-0000-000044020000}"/>
    <cellStyle name="40% - Accent2 4 3 2" xfId="1924" xr:uid="{00000000-0005-0000-0000-000045020000}"/>
    <cellStyle name="40% - Accent2 4 3 2 2" xfId="4019" xr:uid="{00000000-0005-0000-0000-000046020000}"/>
    <cellStyle name="40% - Accent2 4 3 3" xfId="2973" xr:uid="{00000000-0005-0000-0000-000047020000}"/>
    <cellStyle name="40% - Accent2 4 4" xfId="607" xr:uid="{00000000-0005-0000-0000-000048020000}"/>
    <cellStyle name="40% - Accent2 4 4 2" xfId="1658" xr:uid="{00000000-0005-0000-0000-000049020000}"/>
    <cellStyle name="40% - Accent2 4 4 2 2" xfId="3753" xr:uid="{00000000-0005-0000-0000-00004A020000}"/>
    <cellStyle name="40% - Accent2 4 4 3" xfId="2707" xr:uid="{00000000-0005-0000-0000-00004B020000}"/>
    <cellStyle name="40% - Accent2 4 5" xfId="1410" xr:uid="{00000000-0005-0000-0000-00004C020000}"/>
    <cellStyle name="40% - Accent2 4 5 2" xfId="3505" xr:uid="{00000000-0005-0000-0000-00004D020000}"/>
    <cellStyle name="40% - Accent2 4 6" xfId="2459" xr:uid="{00000000-0005-0000-0000-00004E020000}"/>
    <cellStyle name="40% - Accent2 5" xfId="639" xr:uid="{00000000-0005-0000-0000-00004F020000}"/>
    <cellStyle name="40% - Accent2 5 2" xfId="1176" xr:uid="{00000000-0005-0000-0000-000050020000}"/>
    <cellStyle name="40% - Accent2 5 2 2" xfId="2222" xr:uid="{00000000-0005-0000-0000-000051020000}"/>
    <cellStyle name="40% - Accent2 5 2 2 2" xfId="4317" xr:uid="{00000000-0005-0000-0000-000052020000}"/>
    <cellStyle name="40% - Accent2 5 2 3" xfId="3271" xr:uid="{00000000-0005-0000-0000-000053020000}"/>
    <cellStyle name="40% - Accent2 5 3" xfId="910" xr:uid="{00000000-0005-0000-0000-000054020000}"/>
    <cellStyle name="40% - Accent2 5 3 2" xfId="1956" xr:uid="{00000000-0005-0000-0000-000055020000}"/>
    <cellStyle name="40% - Accent2 5 3 2 2" xfId="4051" xr:uid="{00000000-0005-0000-0000-000056020000}"/>
    <cellStyle name="40% - Accent2 5 3 3" xfId="3005" xr:uid="{00000000-0005-0000-0000-000057020000}"/>
    <cellStyle name="40% - Accent2 5 4" xfId="1690" xr:uid="{00000000-0005-0000-0000-000058020000}"/>
    <cellStyle name="40% - Accent2 5 4 2" xfId="3785" xr:uid="{00000000-0005-0000-0000-000059020000}"/>
    <cellStyle name="40% - Accent2 5 5" xfId="2739" xr:uid="{00000000-0005-0000-0000-00005A020000}"/>
    <cellStyle name="40% - Accent2 6" xfId="1020" xr:uid="{00000000-0005-0000-0000-00005B020000}"/>
    <cellStyle name="40% - Accent2 6 2" xfId="2066" xr:uid="{00000000-0005-0000-0000-00005C020000}"/>
    <cellStyle name="40% - Accent2 6 2 2" xfId="4161" xr:uid="{00000000-0005-0000-0000-00005D020000}"/>
    <cellStyle name="40% - Accent2 6 3" xfId="3115" xr:uid="{00000000-0005-0000-0000-00005E020000}"/>
    <cellStyle name="40% - Accent2 7" xfId="754" xr:uid="{00000000-0005-0000-0000-00005F020000}"/>
    <cellStyle name="40% - Accent2 7 2" xfId="1800" xr:uid="{00000000-0005-0000-0000-000060020000}"/>
    <cellStyle name="40% - Accent2 7 2 2" xfId="3895" xr:uid="{00000000-0005-0000-0000-000061020000}"/>
    <cellStyle name="40% - Accent2 7 3" xfId="2849" xr:uid="{00000000-0005-0000-0000-000062020000}"/>
    <cellStyle name="40% - Accent2 8" xfId="483" xr:uid="{00000000-0005-0000-0000-000063020000}"/>
    <cellStyle name="40% - Accent2 8 2" xfId="1534" xr:uid="{00000000-0005-0000-0000-000064020000}"/>
    <cellStyle name="40% - Accent2 8 2 2" xfId="3629" xr:uid="{00000000-0005-0000-0000-000065020000}"/>
    <cellStyle name="40% - Accent2 8 3" xfId="2583" xr:uid="{00000000-0005-0000-0000-000066020000}"/>
    <cellStyle name="40% - Accent2 9" xfId="1286" xr:uid="{00000000-0005-0000-0000-000067020000}"/>
    <cellStyle name="40% - Accent2 9 2" xfId="3381" xr:uid="{00000000-0005-0000-0000-000068020000}"/>
    <cellStyle name="40% - Accent3" xfId="228" builtinId="39" customBuiltin="1"/>
    <cellStyle name="40% - Accent3 10" xfId="2337" xr:uid="{00000000-0005-0000-0000-00006A020000}"/>
    <cellStyle name="40% - Accent3 2" xfId="27" xr:uid="{00000000-0005-0000-0000-00006B020000}"/>
    <cellStyle name="40% - Accent3 3" xfId="255" xr:uid="{00000000-0005-0000-0000-00006C020000}"/>
    <cellStyle name="40% - Accent3 3 2" xfId="379" xr:uid="{00000000-0005-0000-0000-00006D020000}"/>
    <cellStyle name="40% - Accent3 3 2 2" xfId="1164" xr:uid="{00000000-0005-0000-0000-00006E020000}"/>
    <cellStyle name="40% - Accent3 3 2 2 2" xfId="2210" xr:uid="{00000000-0005-0000-0000-00006F020000}"/>
    <cellStyle name="40% - Accent3 3 2 2 2 2" xfId="4305" xr:uid="{00000000-0005-0000-0000-000070020000}"/>
    <cellStyle name="40% - Accent3 3 2 2 3" xfId="3259" xr:uid="{00000000-0005-0000-0000-000071020000}"/>
    <cellStyle name="40% - Accent3 3 2 3" xfId="898" xr:uid="{00000000-0005-0000-0000-000072020000}"/>
    <cellStyle name="40% - Accent3 3 2 3 2" xfId="1944" xr:uid="{00000000-0005-0000-0000-000073020000}"/>
    <cellStyle name="40% - Accent3 3 2 3 2 2" xfId="4039" xr:uid="{00000000-0005-0000-0000-000074020000}"/>
    <cellStyle name="40% - Accent3 3 2 3 3" xfId="2993" xr:uid="{00000000-0005-0000-0000-000075020000}"/>
    <cellStyle name="40% - Accent3 3 2 4" xfId="627" xr:uid="{00000000-0005-0000-0000-000076020000}"/>
    <cellStyle name="40% - Accent3 3 2 4 2" xfId="1678" xr:uid="{00000000-0005-0000-0000-000077020000}"/>
    <cellStyle name="40% - Accent3 3 2 4 2 2" xfId="3773" xr:uid="{00000000-0005-0000-0000-000078020000}"/>
    <cellStyle name="40% - Accent3 3 2 4 3" xfId="2727" xr:uid="{00000000-0005-0000-0000-000079020000}"/>
    <cellStyle name="40% - Accent3 3 2 5" xfId="1430" xr:uid="{00000000-0005-0000-0000-00007A020000}"/>
    <cellStyle name="40% - Accent3 3 2 5 2" xfId="3525" xr:uid="{00000000-0005-0000-0000-00007B020000}"/>
    <cellStyle name="40% - Accent3 3 2 6" xfId="2479" xr:uid="{00000000-0005-0000-0000-00007C020000}"/>
    <cellStyle name="40% - Accent3 3 3" xfId="1040" xr:uid="{00000000-0005-0000-0000-00007D020000}"/>
    <cellStyle name="40% - Accent3 3 3 2" xfId="2086" xr:uid="{00000000-0005-0000-0000-00007E020000}"/>
    <cellStyle name="40% - Accent3 3 3 2 2" xfId="4181" xr:uid="{00000000-0005-0000-0000-00007F020000}"/>
    <cellStyle name="40% - Accent3 3 3 3" xfId="3135" xr:uid="{00000000-0005-0000-0000-000080020000}"/>
    <cellStyle name="40% - Accent3 3 4" xfId="774" xr:uid="{00000000-0005-0000-0000-000081020000}"/>
    <cellStyle name="40% - Accent3 3 4 2" xfId="1820" xr:uid="{00000000-0005-0000-0000-000082020000}"/>
    <cellStyle name="40% - Accent3 3 4 2 2" xfId="3915" xr:uid="{00000000-0005-0000-0000-000083020000}"/>
    <cellStyle name="40% - Accent3 3 4 3" xfId="2869" xr:uid="{00000000-0005-0000-0000-000084020000}"/>
    <cellStyle name="40% - Accent3 3 5" xfId="503" xr:uid="{00000000-0005-0000-0000-000085020000}"/>
    <cellStyle name="40% - Accent3 3 5 2" xfId="1554" xr:uid="{00000000-0005-0000-0000-000086020000}"/>
    <cellStyle name="40% - Accent3 3 5 2 2" xfId="3649" xr:uid="{00000000-0005-0000-0000-000087020000}"/>
    <cellStyle name="40% - Accent3 3 5 3" xfId="2603" xr:uid="{00000000-0005-0000-0000-000088020000}"/>
    <cellStyle name="40% - Accent3 3 6" xfId="1306" xr:uid="{00000000-0005-0000-0000-000089020000}"/>
    <cellStyle name="40% - Accent3 3 6 2" xfId="3401" xr:uid="{00000000-0005-0000-0000-00008A020000}"/>
    <cellStyle name="40% - Accent3 3 7" xfId="2355" xr:uid="{00000000-0005-0000-0000-00008B020000}"/>
    <cellStyle name="40% - Accent3 4" xfId="361" xr:uid="{00000000-0005-0000-0000-00008C020000}"/>
    <cellStyle name="40% - Accent3 4 2" xfId="1146" xr:uid="{00000000-0005-0000-0000-00008D020000}"/>
    <cellStyle name="40% - Accent3 4 2 2" xfId="2192" xr:uid="{00000000-0005-0000-0000-00008E020000}"/>
    <cellStyle name="40% - Accent3 4 2 2 2" xfId="4287" xr:uid="{00000000-0005-0000-0000-00008F020000}"/>
    <cellStyle name="40% - Accent3 4 2 3" xfId="3241" xr:uid="{00000000-0005-0000-0000-000090020000}"/>
    <cellStyle name="40% - Accent3 4 3" xfId="880" xr:uid="{00000000-0005-0000-0000-000091020000}"/>
    <cellStyle name="40% - Accent3 4 3 2" xfId="1926" xr:uid="{00000000-0005-0000-0000-000092020000}"/>
    <cellStyle name="40% - Accent3 4 3 2 2" xfId="4021" xr:uid="{00000000-0005-0000-0000-000093020000}"/>
    <cellStyle name="40% - Accent3 4 3 3" xfId="2975" xr:uid="{00000000-0005-0000-0000-000094020000}"/>
    <cellStyle name="40% - Accent3 4 4" xfId="609" xr:uid="{00000000-0005-0000-0000-000095020000}"/>
    <cellStyle name="40% - Accent3 4 4 2" xfId="1660" xr:uid="{00000000-0005-0000-0000-000096020000}"/>
    <cellStyle name="40% - Accent3 4 4 2 2" xfId="3755" xr:uid="{00000000-0005-0000-0000-000097020000}"/>
    <cellStyle name="40% - Accent3 4 4 3" xfId="2709" xr:uid="{00000000-0005-0000-0000-000098020000}"/>
    <cellStyle name="40% - Accent3 4 5" xfId="1412" xr:uid="{00000000-0005-0000-0000-000099020000}"/>
    <cellStyle name="40% - Accent3 4 5 2" xfId="3507" xr:uid="{00000000-0005-0000-0000-00009A020000}"/>
    <cellStyle name="40% - Accent3 4 6" xfId="2461" xr:uid="{00000000-0005-0000-0000-00009B020000}"/>
    <cellStyle name="40% - Accent3 5" xfId="641" xr:uid="{00000000-0005-0000-0000-00009C020000}"/>
    <cellStyle name="40% - Accent3 5 2" xfId="1178" xr:uid="{00000000-0005-0000-0000-00009D020000}"/>
    <cellStyle name="40% - Accent3 5 2 2" xfId="2224" xr:uid="{00000000-0005-0000-0000-00009E020000}"/>
    <cellStyle name="40% - Accent3 5 2 2 2" xfId="4319" xr:uid="{00000000-0005-0000-0000-00009F020000}"/>
    <cellStyle name="40% - Accent3 5 2 3" xfId="3273" xr:uid="{00000000-0005-0000-0000-0000A0020000}"/>
    <cellStyle name="40% - Accent3 5 3" xfId="912" xr:uid="{00000000-0005-0000-0000-0000A1020000}"/>
    <cellStyle name="40% - Accent3 5 3 2" xfId="1958" xr:uid="{00000000-0005-0000-0000-0000A2020000}"/>
    <cellStyle name="40% - Accent3 5 3 2 2" xfId="4053" xr:uid="{00000000-0005-0000-0000-0000A3020000}"/>
    <cellStyle name="40% - Accent3 5 3 3" xfId="3007" xr:uid="{00000000-0005-0000-0000-0000A4020000}"/>
    <cellStyle name="40% - Accent3 5 4" xfId="1692" xr:uid="{00000000-0005-0000-0000-0000A5020000}"/>
    <cellStyle name="40% - Accent3 5 4 2" xfId="3787" xr:uid="{00000000-0005-0000-0000-0000A6020000}"/>
    <cellStyle name="40% - Accent3 5 5" xfId="2741" xr:uid="{00000000-0005-0000-0000-0000A7020000}"/>
    <cellStyle name="40% - Accent3 6" xfId="1022" xr:uid="{00000000-0005-0000-0000-0000A8020000}"/>
    <cellStyle name="40% - Accent3 6 2" xfId="2068" xr:uid="{00000000-0005-0000-0000-0000A9020000}"/>
    <cellStyle name="40% - Accent3 6 2 2" xfId="4163" xr:uid="{00000000-0005-0000-0000-0000AA020000}"/>
    <cellStyle name="40% - Accent3 6 3" xfId="3117" xr:uid="{00000000-0005-0000-0000-0000AB020000}"/>
    <cellStyle name="40% - Accent3 7" xfId="756" xr:uid="{00000000-0005-0000-0000-0000AC020000}"/>
    <cellStyle name="40% - Accent3 7 2" xfId="1802" xr:uid="{00000000-0005-0000-0000-0000AD020000}"/>
    <cellStyle name="40% - Accent3 7 2 2" xfId="3897" xr:uid="{00000000-0005-0000-0000-0000AE020000}"/>
    <cellStyle name="40% - Accent3 7 3" xfId="2851" xr:uid="{00000000-0005-0000-0000-0000AF020000}"/>
    <cellStyle name="40% - Accent3 8" xfId="485" xr:uid="{00000000-0005-0000-0000-0000B0020000}"/>
    <cellStyle name="40% - Accent3 8 2" xfId="1536" xr:uid="{00000000-0005-0000-0000-0000B1020000}"/>
    <cellStyle name="40% - Accent3 8 2 2" xfId="3631" xr:uid="{00000000-0005-0000-0000-0000B2020000}"/>
    <cellStyle name="40% - Accent3 8 3" xfId="2585" xr:uid="{00000000-0005-0000-0000-0000B3020000}"/>
    <cellStyle name="40% - Accent3 9" xfId="1288" xr:uid="{00000000-0005-0000-0000-0000B4020000}"/>
    <cellStyle name="40% - Accent3 9 2" xfId="3383" xr:uid="{00000000-0005-0000-0000-0000B5020000}"/>
    <cellStyle name="40% - Accent4" xfId="232" builtinId="43" customBuiltin="1"/>
    <cellStyle name="40% - Accent4 10" xfId="2339" xr:uid="{00000000-0005-0000-0000-0000B7020000}"/>
    <cellStyle name="40% - Accent4 2" xfId="28" xr:uid="{00000000-0005-0000-0000-0000B8020000}"/>
    <cellStyle name="40% - Accent4 3" xfId="257" xr:uid="{00000000-0005-0000-0000-0000B9020000}"/>
    <cellStyle name="40% - Accent4 3 2" xfId="381" xr:uid="{00000000-0005-0000-0000-0000BA020000}"/>
    <cellStyle name="40% - Accent4 3 2 2" xfId="1166" xr:uid="{00000000-0005-0000-0000-0000BB020000}"/>
    <cellStyle name="40% - Accent4 3 2 2 2" xfId="2212" xr:uid="{00000000-0005-0000-0000-0000BC020000}"/>
    <cellStyle name="40% - Accent4 3 2 2 2 2" xfId="4307" xr:uid="{00000000-0005-0000-0000-0000BD020000}"/>
    <cellStyle name="40% - Accent4 3 2 2 3" xfId="3261" xr:uid="{00000000-0005-0000-0000-0000BE020000}"/>
    <cellStyle name="40% - Accent4 3 2 3" xfId="900" xr:uid="{00000000-0005-0000-0000-0000BF020000}"/>
    <cellStyle name="40% - Accent4 3 2 3 2" xfId="1946" xr:uid="{00000000-0005-0000-0000-0000C0020000}"/>
    <cellStyle name="40% - Accent4 3 2 3 2 2" xfId="4041" xr:uid="{00000000-0005-0000-0000-0000C1020000}"/>
    <cellStyle name="40% - Accent4 3 2 3 3" xfId="2995" xr:uid="{00000000-0005-0000-0000-0000C2020000}"/>
    <cellStyle name="40% - Accent4 3 2 4" xfId="629" xr:uid="{00000000-0005-0000-0000-0000C3020000}"/>
    <cellStyle name="40% - Accent4 3 2 4 2" xfId="1680" xr:uid="{00000000-0005-0000-0000-0000C4020000}"/>
    <cellStyle name="40% - Accent4 3 2 4 2 2" xfId="3775" xr:uid="{00000000-0005-0000-0000-0000C5020000}"/>
    <cellStyle name="40% - Accent4 3 2 4 3" xfId="2729" xr:uid="{00000000-0005-0000-0000-0000C6020000}"/>
    <cellStyle name="40% - Accent4 3 2 5" xfId="1432" xr:uid="{00000000-0005-0000-0000-0000C7020000}"/>
    <cellStyle name="40% - Accent4 3 2 5 2" xfId="3527" xr:uid="{00000000-0005-0000-0000-0000C8020000}"/>
    <cellStyle name="40% - Accent4 3 2 6" xfId="2481" xr:uid="{00000000-0005-0000-0000-0000C9020000}"/>
    <cellStyle name="40% - Accent4 3 3" xfId="1042" xr:uid="{00000000-0005-0000-0000-0000CA020000}"/>
    <cellStyle name="40% - Accent4 3 3 2" xfId="2088" xr:uid="{00000000-0005-0000-0000-0000CB020000}"/>
    <cellStyle name="40% - Accent4 3 3 2 2" xfId="4183" xr:uid="{00000000-0005-0000-0000-0000CC020000}"/>
    <cellStyle name="40% - Accent4 3 3 3" xfId="3137" xr:uid="{00000000-0005-0000-0000-0000CD020000}"/>
    <cellStyle name="40% - Accent4 3 4" xfId="776" xr:uid="{00000000-0005-0000-0000-0000CE020000}"/>
    <cellStyle name="40% - Accent4 3 4 2" xfId="1822" xr:uid="{00000000-0005-0000-0000-0000CF020000}"/>
    <cellStyle name="40% - Accent4 3 4 2 2" xfId="3917" xr:uid="{00000000-0005-0000-0000-0000D0020000}"/>
    <cellStyle name="40% - Accent4 3 4 3" xfId="2871" xr:uid="{00000000-0005-0000-0000-0000D1020000}"/>
    <cellStyle name="40% - Accent4 3 5" xfId="505" xr:uid="{00000000-0005-0000-0000-0000D2020000}"/>
    <cellStyle name="40% - Accent4 3 5 2" xfId="1556" xr:uid="{00000000-0005-0000-0000-0000D3020000}"/>
    <cellStyle name="40% - Accent4 3 5 2 2" xfId="3651" xr:uid="{00000000-0005-0000-0000-0000D4020000}"/>
    <cellStyle name="40% - Accent4 3 5 3" xfId="2605" xr:uid="{00000000-0005-0000-0000-0000D5020000}"/>
    <cellStyle name="40% - Accent4 3 6" xfId="1308" xr:uid="{00000000-0005-0000-0000-0000D6020000}"/>
    <cellStyle name="40% - Accent4 3 6 2" xfId="3403" xr:uid="{00000000-0005-0000-0000-0000D7020000}"/>
    <cellStyle name="40% - Accent4 3 7" xfId="2357" xr:uid="{00000000-0005-0000-0000-0000D8020000}"/>
    <cellStyle name="40% - Accent4 4" xfId="363" xr:uid="{00000000-0005-0000-0000-0000D9020000}"/>
    <cellStyle name="40% - Accent4 4 2" xfId="1148" xr:uid="{00000000-0005-0000-0000-0000DA020000}"/>
    <cellStyle name="40% - Accent4 4 2 2" xfId="2194" xr:uid="{00000000-0005-0000-0000-0000DB020000}"/>
    <cellStyle name="40% - Accent4 4 2 2 2" xfId="4289" xr:uid="{00000000-0005-0000-0000-0000DC020000}"/>
    <cellStyle name="40% - Accent4 4 2 3" xfId="3243" xr:uid="{00000000-0005-0000-0000-0000DD020000}"/>
    <cellStyle name="40% - Accent4 4 3" xfId="882" xr:uid="{00000000-0005-0000-0000-0000DE020000}"/>
    <cellStyle name="40% - Accent4 4 3 2" xfId="1928" xr:uid="{00000000-0005-0000-0000-0000DF020000}"/>
    <cellStyle name="40% - Accent4 4 3 2 2" xfId="4023" xr:uid="{00000000-0005-0000-0000-0000E0020000}"/>
    <cellStyle name="40% - Accent4 4 3 3" xfId="2977" xr:uid="{00000000-0005-0000-0000-0000E1020000}"/>
    <cellStyle name="40% - Accent4 4 4" xfId="611" xr:uid="{00000000-0005-0000-0000-0000E2020000}"/>
    <cellStyle name="40% - Accent4 4 4 2" xfId="1662" xr:uid="{00000000-0005-0000-0000-0000E3020000}"/>
    <cellStyle name="40% - Accent4 4 4 2 2" xfId="3757" xr:uid="{00000000-0005-0000-0000-0000E4020000}"/>
    <cellStyle name="40% - Accent4 4 4 3" xfId="2711" xr:uid="{00000000-0005-0000-0000-0000E5020000}"/>
    <cellStyle name="40% - Accent4 4 5" xfId="1414" xr:uid="{00000000-0005-0000-0000-0000E6020000}"/>
    <cellStyle name="40% - Accent4 4 5 2" xfId="3509" xr:uid="{00000000-0005-0000-0000-0000E7020000}"/>
    <cellStyle name="40% - Accent4 4 6" xfId="2463" xr:uid="{00000000-0005-0000-0000-0000E8020000}"/>
    <cellStyle name="40% - Accent4 5" xfId="643" xr:uid="{00000000-0005-0000-0000-0000E9020000}"/>
    <cellStyle name="40% - Accent4 5 2" xfId="1180" xr:uid="{00000000-0005-0000-0000-0000EA020000}"/>
    <cellStyle name="40% - Accent4 5 2 2" xfId="2226" xr:uid="{00000000-0005-0000-0000-0000EB020000}"/>
    <cellStyle name="40% - Accent4 5 2 2 2" xfId="4321" xr:uid="{00000000-0005-0000-0000-0000EC020000}"/>
    <cellStyle name="40% - Accent4 5 2 3" xfId="3275" xr:uid="{00000000-0005-0000-0000-0000ED020000}"/>
    <cellStyle name="40% - Accent4 5 3" xfId="914" xr:uid="{00000000-0005-0000-0000-0000EE020000}"/>
    <cellStyle name="40% - Accent4 5 3 2" xfId="1960" xr:uid="{00000000-0005-0000-0000-0000EF020000}"/>
    <cellStyle name="40% - Accent4 5 3 2 2" xfId="4055" xr:uid="{00000000-0005-0000-0000-0000F0020000}"/>
    <cellStyle name="40% - Accent4 5 3 3" xfId="3009" xr:uid="{00000000-0005-0000-0000-0000F1020000}"/>
    <cellStyle name="40% - Accent4 5 4" xfId="1694" xr:uid="{00000000-0005-0000-0000-0000F2020000}"/>
    <cellStyle name="40% - Accent4 5 4 2" xfId="3789" xr:uid="{00000000-0005-0000-0000-0000F3020000}"/>
    <cellStyle name="40% - Accent4 5 5" xfId="2743" xr:uid="{00000000-0005-0000-0000-0000F4020000}"/>
    <cellStyle name="40% - Accent4 6" xfId="1024" xr:uid="{00000000-0005-0000-0000-0000F5020000}"/>
    <cellStyle name="40% - Accent4 6 2" xfId="2070" xr:uid="{00000000-0005-0000-0000-0000F6020000}"/>
    <cellStyle name="40% - Accent4 6 2 2" xfId="4165" xr:uid="{00000000-0005-0000-0000-0000F7020000}"/>
    <cellStyle name="40% - Accent4 6 3" xfId="3119" xr:uid="{00000000-0005-0000-0000-0000F8020000}"/>
    <cellStyle name="40% - Accent4 7" xfId="758" xr:uid="{00000000-0005-0000-0000-0000F9020000}"/>
    <cellStyle name="40% - Accent4 7 2" xfId="1804" xr:uid="{00000000-0005-0000-0000-0000FA020000}"/>
    <cellStyle name="40% - Accent4 7 2 2" xfId="3899" xr:uid="{00000000-0005-0000-0000-0000FB020000}"/>
    <cellStyle name="40% - Accent4 7 3" xfId="2853" xr:uid="{00000000-0005-0000-0000-0000FC020000}"/>
    <cellStyle name="40% - Accent4 8" xfId="487" xr:uid="{00000000-0005-0000-0000-0000FD020000}"/>
    <cellStyle name="40% - Accent4 8 2" xfId="1538" xr:uid="{00000000-0005-0000-0000-0000FE020000}"/>
    <cellStyle name="40% - Accent4 8 2 2" xfId="3633" xr:uid="{00000000-0005-0000-0000-0000FF020000}"/>
    <cellStyle name="40% - Accent4 8 3" xfId="2587" xr:uid="{00000000-0005-0000-0000-000000030000}"/>
    <cellStyle name="40% - Accent4 9" xfId="1290" xr:uid="{00000000-0005-0000-0000-000001030000}"/>
    <cellStyle name="40% - Accent4 9 2" xfId="3385" xr:uid="{00000000-0005-0000-0000-000002030000}"/>
    <cellStyle name="40% - Accent5" xfId="236" builtinId="47" customBuiltin="1"/>
    <cellStyle name="40% - Accent5 10" xfId="2341" xr:uid="{00000000-0005-0000-0000-000004030000}"/>
    <cellStyle name="40% - Accent5 2" xfId="29" xr:uid="{00000000-0005-0000-0000-000005030000}"/>
    <cellStyle name="40% - Accent5 3" xfId="259" xr:uid="{00000000-0005-0000-0000-000006030000}"/>
    <cellStyle name="40% - Accent5 3 2" xfId="383" xr:uid="{00000000-0005-0000-0000-000007030000}"/>
    <cellStyle name="40% - Accent5 3 2 2" xfId="1168" xr:uid="{00000000-0005-0000-0000-000008030000}"/>
    <cellStyle name="40% - Accent5 3 2 2 2" xfId="2214" xr:uid="{00000000-0005-0000-0000-000009030000}"/>
    <cellStyle name="40% - Accent5 3 2 2 2 2" xfId="4309" xr:uid="{00000000-0005-0000-0000-00000A030000}"/>
    <cellStyle name="40% - Accent5 3 2 2 3" xfId="3263" xr:uid="{00000000-0005-0000-0000-00000B030000}"/>
    <cellStyle name="40% - Accent5 3 2 3" xfId="902" xr:uid="{00000000-0005-0000-0000-00000C030000}"/>
    <cellStyle name="40% - Accent5 3 2 3 2" xfId="1948" xr:uid="{00000000-0005-0000-0000-00000D030000}"/>
    <cellStyle name="40% - Accent5 3 2 3 2 2" xfId="4043" xr:uid="{00000000-0005-0000-0000-00000E030000}"/>
    <cellStyle name="40% - Accent5 3 2 3 3" xfId="2997" xr:uid="{00000000-0005-0000-0000-00000F030000}"/>
    <cellStyle name="40% - Accent5 3 2 4" xfId="631" xr:uid="{00000000-0005-0000-0000-000010030000}"/>
    <cellStyle name="40% - Accent5 3 2 4 2" xfId="1682" xr:uid="{00000000-0005-0000-0000-000011030000}"/>
    <cellStyle name="40% - Accent5 3 2 4 2 2" xfId="3777" xr:uid="{00000000-0005-0000-0000-000012030000}"/>
    <cellStyle name="40% - Accent5 3 2 4 3" xfId="2731" xr:uid="{00000000-0005-0000-0000-000013030000}"/>
    <cellStyle name="40% - Accent5 3 2 5" xfId="1434" xr:uid="{00000000-0005-0000-0000-000014030000}"/>
    <cellStyle name="40% - Accent5 3 2 5 2" xfId="3529" xr:uid="{00000000-0005-0000-0000-000015030000}"/>
    <cellStyle name="40% - Accent5 3 2 6" xfId="2483" xr:uid="{00000000-0005-0000-0000-000016030000}"/>
    <cellStyle name="40% - Accent5 3 3" xfId="1044" xr:uid="{00000000-0005-0000-0000-000017030000}"/>
    <cellStyle name="40% - Accent5 3 3 2" xfId="2090" xr:uid="{00000000-0005-0000-0000-000018030000}"/>
    <cellStyle name="40% - Accent5 3 3 2 2" xfId="4185" xr:uid="{00000000-0005-0000-0000-000019030000}"/>
    <cellStyle name="40% - Accent5 3 3 3" xfId="3139" xr:uid="{00000000-0005-0000-0000-00001A030000}"/>
    <cellStyle name="40% - Accent5 3 4" xfId="778" xr:uid="{00000000-0005-0000-0000-00001B030000}"/>
    <cellStyle name="40% - Accent5 3 4 2" xfId="1824" xr:uid="{00000000-0005-0000-0000-00001C030000}"/>
    <cellStyle name="40% - Accent5 3 4 2 2" xfId="3919" xr:uid="{00000000-0005-0000-0000-00001D030000}"/>
    <cellStyle name="40% - Accent5 3 4 3" xfId="2873" xr:uid="{00000000-0005-0000-0000-00001E030000}"/>
    <cellStyle name="40% - Accent5 3 5" xfId="507" xr:uid="{00000000-0005-0000-0000-00001F030000}"/>
    <cellStyle name="40% - Accent5 3 5 2" xfId="1558" xr:uid="{00000000-0005-0000-0000-000020030000}"/>
    <cellStyle name="40% - Accent5 3 5 2 2" xfId="3653" xr:uid="{00000000-0005-0000-0000-000021030000}"/>
    <cellStyle name="40% - Accent5 3 5 3" xfId="2607" xr:uid="{00000000-0005-0000-0000-000022030000}"/>
    <cellStyle name="40% - Accent5 3 6" xfId="1310" xr:uid="{00000000-0005-0000-0000-000023030000}"/>
    <cellStyle name="40% - Accent5 3 6 2" xfId="3405" xr:uid="{00000000-0005-0000-0000-000024030000}"/>
    <cellStyle name="40% - Accent5 3 7" xfId="2359" xr:uid="{00000000-0005-0000-0000-000025030000}"/>
    <cellStyle name="40% - Accent5 4" xfId="365" xr:uid="{00000000-0005-0000-0000-000026030000}"/>
    <cellStyle name="40% - Accent5 4 2" xfId="1150" xr:uid="{00000000-0005-0000-0000-000027030000}"/>
    <cellStyle name="40% - Accent5 4 2 2" xfId="2196" xr:uid="{00000000-0005-0000-0000-000028030000}"/>
    <cellStyle name="40% - Accent5 4 2 2 2" xfId="4291" xr:uid="{00000000-0005-0000-0000-000029030000}"/>
    <cellStyle name="40% - Accent5 4 2 3" xfId="3245" xr:uid="{00000000-0005-0000-0000-00002A030000}"/>
    <cellStyle name="40% - Accent5 4 3" xfId="884" xr:uid="{00000000-0005-0000-0000-00002B030000}"/>
    <cellStyle name="40% - Accent5 4 3 2" xfId="1930" xr:uid="{00000000-0005-0000-0000-00002C030000}"/>
    <cellStyle name="40% - Accent5 4 3 2 2" xfId="4025" xr:uid="{00000000-0005-0000-0000-00002D030000}"/>
    <cellStyle name="40% - Accent5 4 3 3" xfId="2979" xr:uid="{00000000-0005-0000-0000-00002E030000}"/>
    <cellStyle name="40% - Accent5 4 4" xfId="613" xr:uid="{00000000-0005-0000-0000-00002F030000}"/>
    <cellStyle name="40% - Accent5 4 4 2" xfId="1664" xr:uid="{00000000-0005-0000-0000-000030030000}"/>
    <cellStyle name="40% - Accent5 4 4 2 2" xfId="3759" xr:uid="{00000000-0005-0000-0000-000031030000}"/>
    <cellStyle name="40% - Accent5 4 4 3" xfId="2713" xr:uid="{00000000-0005-0000-0000-000032030000}"/>
    <cellStyle name="40% - Accent5 4 5" xfId="1416" xr:uid="{00000000-0005-0000-0000-000033030000}"/>
    <cellStyle name="40% - Accent5 4 5 2" xfId="3511" xr:uid="{00000000-0005-0000-0000-000034030000}"/>
    <cellStyle name="40% - Accent5 4 6" xfId="2465" xr:uid="{00000000-0005-0000-0000-000035030000}"/>
    <cellStyle name="40% - Accent5 5" xfId="645" xr:uid="{00000000-0005-0000-0000-000036030000}"/>
    <cellStyle name="40% - Accent5 5 2" xfId="1182" xr:uid="{00000000-0005-0000-0000-000037030000}"/>
    <cellStyle name="40% - Accent5 5 2 2" xfId="2228" xr:uid="{00000000-0005-0000-0000-000038030000}"/>
    <cellStyle name="40% - Accent5 5 2 2 2" xfId="4323" xr:uid="{00000000-0005-0000-0000-000039030000}"/>
    <cellStyle name="40% - Accent5 5 2 3" xfId="3277" xr:uid="{00000000-0005-0000-0000-00003A030000}"/>
    <cellStyle name="40% - Accent5 5 3" xfId="916" xr:uid="{00000000-0005-0000-0000-00003B030000}"/>
    <cellStyle name="40% - Accent5 5 3 2" xfId="1962" xr:uid="{00000000-0005-0000-0000-00003C030000}"/>
    <cellStyle name="40% - Accent5 5 3 2 2" xfId="4057" xr:uid="{00000000-0005-0000-0000-00003D030000}"/>
    <cellStyle name="40% - Accent5 5 3 3" xfId="3011" xr:uid="{00000000-0005-0000-0000-00003E030000}"/>
    <cellStyle name="40% - Accent5 5 4" xfId="1696" xr:uid="{00000000-0005-0000-0000-00003F030000}"/>
    <cellStyle name="40% - Accent5 5 4 2" xfId="3791" xr:uid="{00000000-0005-0000-0000-000040030000}"/>
    <cellStyle name="40% - Accent5 5 5" xfId="2745" xr:uid="{00000000-0005-0000-0000-000041030000}"/>
    <cellStyle name="40% - Accent5 6" xfId="1026" xr:uid="{00000000-0005-0000-0000-000042030000}"/>
    <cellStyle name="40% - Accent5 6 2" xfId="2072" xr:uid="{00000000-0005-0000-0000-000043030000}"/>
    <cellStyle name="40% - Accent5 6 2 2" xfId="4167" xr:uid="{00000000-0005-0000-0000-000044030000}"/>
    <cellStyle name="40% - Accent5 6 3" xfId="3121" xr:uid="{00000000-0005-0000-0000-000045030000}"/>
    <cellStyle name="40% - Accent5 7" xfId="760" xr:uid="{00000000-0005-0000-0000-000046030000}"/>
    <cellStyle name="40% - Accent5 7 2" xfId="1806" xr:uid="{00000000-0005-0000-0000-000047030000}"/>
    <cellStyle name="40% - Accent5 7 2 2" xfId="3901" xr:uid="{00000000-0005-0000-0000-000048030000}"/>
    <cellStyle name="40% - Accent5 7 3" xfId="2855" xr:uid="{00000000-0005-0000-0000-000049030000}"/>
    <cellStyle name="40% - Accent5 8" xfId="489" xr:uid="{00000000-0005-0000-0000-00004A030000}"/>
    <cellStyle name="40% - Accent5 8 2" xfId="1540" xr:uid="{00000000-0005-0000-0000-00004B030000}"/>
    <cellStyle name="40% - Accent5 8 2 2" xfId="3635" xr:uid="{00000000-0005-0000-0000-00004C030000}"/>
    <cellStyle name="40% - Accent5 8 3" xfId="2589" xr:uid="{00000000-0005-0000-0000-00004D030000}"/>
    <cellStyle name="40% - Accent5 9" xfId="1292" xr:uid="{00000000-0005-0000-0000-00004E030000}"/>
    <cellStyle name="40% - Accent5 9 2" xfId="3387" xr:uid="{00000000-0005-0000-0000-00004F030000}"/>
    <cellStyle name="40% - Accent6" xfId="240" builtinId="51" customBuiltin="1"/>
    <cellStyle name="40% - Accent6 10" xfId="2343" xr:uid="{00000000-0005-0000-0000-000051030000}"/>
    <cellStyle name="40% - Accent6 2" xfId="30" xr:uid="{00000000-0005-0000-0000-000052030000}"/>
    <cellStyle name="40% - Accent6 3" xfId="261" xr:uid="{00000000-0005-0000-0000-000053030000}"/>
    <cellStyle name="40% - Accent6 3 2" xfId="385" xr:uid="{00000000-0005-0000-0000-000054030000}"/>
    <cellStyle name="40% - Accent6 3 2 2" xfId="1170" xr:uid="{00000000-0005-0000-0000-000055030000}"/>
    <cellStyle name="40% - Accent6 3 2 2 2" xfId="2216" xr:uid="{00000000-0005-0000-0000-000056030000}"/>
    <cellStyle name="40% - Accent6 3 2 2 2 2" xfId="4311" xr:uid="{00000000-0005-0000-0000-000057030000}"/>
    <cellStyle name="40% - Accent6 3 2 2 3" xfId="3265" xr:uid="{00000000-0005-0000-0000-000058030000}"/>
    <cellStyle name="40% - Accent6 3 2 3" xfId="904" xr:uid="{00000000-0005-0000-0000-000059030000}"/>
    <cellStyle name="40% - Accent6 3 2 3 2" xfId="1950" xr:uid="{00000000-0005-0000-0000-00005A030000}"/>
    <cellStyle name="40% - Accent6 3 2 3 2 2" xfId="4045" xr:uid="{00000000-0005-0000-0000-00005B030000}"/>
    <cellStyle name="40% - Accent6 3 2 3 3" xfId="2999" xr:uid="{00000000-0005-0000-0000-00005C030000}"/>
    <cellStyle name="40% - Accent6 3 2 4" xfId="633" xr:uid="{00000000-0005-0000-0000-00005D030000}"/>
    <cellStyle name="40% - Accent6 3 2 4 2" xfId="1684" xr:uid="{00000000-0005-0000-0000-00005E030000}"/>
    <cellStyle name="40% - Accent6 3 2 4 2 2" xfId="3779" xr:uid="{00000000-0005-0000-0000-00005F030000}"/>
    <cellStyle name="40% - Accent6 3 2 4 3" xfId="2733" xr:uid="{00000000-0005-0000-0000-000060030000}"/>
    <cellStyle name="40% - Accent6 3 2 5" xfId="1436" xr:uid="{00000000-0005-0000-0000-000061030000}"/>
    <cellStyle name="40% - Accent6 3 2 5 2" xfId="3531" xr:uid="{00000000-0005-0000-0000-000062030000}"/>
    <cellStyle name="40% - Accent6 3 2 6" xfId="2485" xr:uid="{00000000-0005-0000-0000-000063030000}"/>
    <cellStyle name="40% - Accent6 3 3" xfId="1046" xr:uid="{00000000-0005-0000-0000-000064030000}"/>
    <cellStyle name="40% - Accent6 3 3 2" xfId="2092" xr:uid="{00000000-0005-0000-0000-000065030000}"/>
    <cellStyle name="40% - Accent6 3 3 2 2" xfId="4187" xr:uid="{00000000-0005-0000-0000-000066030000}"/>
    <cellStyle name="40% - Accent6 3 3 3" xfId="3141" xr:uid="{00000000-0005-0000-0000-000067030000}"/>
    <cellStyle name="40% - Accent6 3 4" xfId="780" xr:uid="{00000000-0005-0000-0000-000068030000}"/>
    <cellStyle name="40% - Accent6 3 4 2" xfId="1826" xr:uid="{00000000-0005-0000-0000-000069030000}"/>
    <cellStyle name="40% - Accent6 3 4 2 2" xfId="3921" xr:uid="{00000000-0005-0000-0000-00006A030000}"/>
    <cellStyle name="40% - Accent6 3 4 3" xfId="2875" xr:uid="{00000000-0005-0000-0000-00006B030000}"/>
    <cellStyle name="40% - Accent6 3 5" xfId="509" xr:uid="{00000000-0005-0000-0000-00006C030000}"/>
    <cellStyle name="40% - Accent6 3 5 2" xfId="1560" xr:uid="{00000000-0005-0000-0000-00006D030000}"/>
    <cellStyle name="40% - Accent6 3 5 2 2" xfId="3655" xr:uid="{00000000-0005-0000-0000-00006E030000}"/>
    <cellStyle name="40% - Accent6 3 5 3" xfId="2609" xr:uid="{00000000-0005-0000-0000-00006F030000}"/>
    <cellStyle name="40% - Accent6 3 6" xfId="1312" xr:uid="{00000000-0005-0000-0000-000070030000}"/>
    <cellStyle name="40% - Accent6 3 6 2" xfId="3407" xr:uid="{00000000-0005-0000-0000-000071030000}"/>
    <cellStyle name="40% - Accent6 3 7" xfId="2361" xr:uid="{00000000-0005-0000-0000-000072030000}"/>
    <cellStyle name="40% - Accent6 4" xfId="367" xr:uid="{00000000-0005-0000-0000-000073030000}"/>
    <cellStyle name="40% - Accent6 4 2" xfId="1152" xr:uid="{00000000-0005-0000-0000-000074030000}"/>
    <cellStyle name="40% - Accent6 4 2 2" xfId="2198" xr:uid="{00000000-0005-0000-0000-000075030000}"/>
    <cellStyle name="40% - Accent6 4 2 2 2" xfId="4293" xr:uid="{00000000-0005-0000-0000-000076030000}"/>
    <cellStyle name="40% - Accent6 4 2 3" xfId="3247" xr:uid="{00000000-0005-0000-0000-000077030000}"/>
    <cellStyle name="40% - Accent6 4 3" xfId="886" xr:uid="{00000000-0005-0000-0000-000078030000}"/>
    <cellStyle name="40% - Accent6 4 3 2" xfId="1932" xr:uid="{00000000-0005-0000-0000-000079030000}"/>
    <cellStyle name="40% - Accent6 4 3 2 2" xfId="4027" xr:uid="{00000000-0005-0000-0000-00007A030000}"/>
    <cellStyle name="40% - Accent6 4 3 3" xfId="2981" xr:uid="{00000000-0005-0000-0000-00007B030000}"/>
    <cellStyle name="40% - Accent6 4 4" xfId="615" xr:uid="{00000000-0005-0000-0000-00007C030000}"/>
    <cellStyle name="40% - Accent6 4 4 2" xfId="1666" xr:uid="{00000000-0005-0000-0000-00007D030000}"/>
    <cellStyle name="40% - Accent6 4 4 2 2" xfId="3761" xr:uid="{00000000-0005-0000-0000-00007E030000}"/>
    <cellStyle name="40% - Accent6 4 4 3" xfId="2715" xr:uid="{00000000-0005-0000-0000-00007F030000}"/>
    <cellStyle name="40% - Accent6 4 5" xfId="1418" xr:uid="{00000000-0005-0000-0000-000080030000}"/>
    <cellStyle name="40% - Accent6 4 5 2" xfId="3513" xr:uid="{00000000-0005-0000-0000-000081030000}"/>
    <cellStyle name="40% - Accent6 4 6" xfId="2467" xr:uid="{00000000-0005-0000-0000-000082030000}"/>
    <cellStyle name="40% - Accent6 5" xfId="647" xr:uid="{00000000-0005-0000-0000-000083030000}"/>
    <cellStyle name="40% - Accent6 5 2" xfId="1184" xr:uid="{00000000-0005-0000-0000-000084030000}"/>
    <cellStyle name="40% - Accent6 5 2 2" xfId="2230" xr:uid="{00000000-0005-0000-0000-000085030000}"/>
    <cellStyle name="40% - Accent6 5 2 2 2" xfId="4325" xr:uid="{00000000-0005-0000-0000-000086030000}"/>
    <cellStyle name="40% - Accent6 5 2 3" xfId="3279" xr:uid="{00000000-0005-0000-0000-000087030000}"/>
    <cellStyle name="40% - Accent6 5 3" xfId="918" xr:uid="{00000000-0005-0000-0000-000088030000}"/>
    <cellStyle name="40% - Accent6 5 3 2" xfId="1964" xr:uid="{00000000-0005-0000-0000-000089030000}"/>
    <cellStyle name="40% - Accent6 5 3 2 2" xfId="4059" xr:uid="{00000000-0005-0000-0000-00008A030000}"/>
    <cellStyle name="40% - Accent6 5 3 3" xfId="3013" xr:uid="{00000000-0005-0000-0000-00008B030000}"/>
    <cellStyle name="40% - Accent6 5 4" xfId="1698" xr:uid="{00000000-0005-0000-0000-00008C030000}"/>
    <cellStyle name="40% - Accent6 5 4 2" xfId="3793" xr:uid="{00000000-0005-0000-0000-00008D030000}"/>
    <cellStyle name="40% - Accent6 5 5" xfId="2747" xr:uid="{00000000-0005-0000-0000-00008E030000}"/>
    <cellStyle name="40% - Accent6 6" xfId="1028" xr:uid="{00000000-0005-0000-0000-00008F030000}"/>
    <cellStyle name="40% - Accent6 6 2" xfId="2074" xr:uid="{00000000-0005-0000-0000-000090030000}"/>
    <cellStyle name="40% - Accent6 6 2 2" xfId="4169" xr:uid="{00000000-0005-0000-0000-000091030000}"/>
    <cellStyle name="40% - Accent6 6 3" xfId="3123" xr:uid="{00000000-0005-0000-0000-000092030000}"/>
    <cellStyle name="40% - Accent6 7" xfId="762" xr:uid="{00000000-0005-0000-0000-000093030000}"/>
    <cellStyle name="40% - Accent6 7 2" xfId="1808" xr:uid="{00000000-0005-0000-0000-000094030000}"/>
    <cellStyle name="40% - Accent6 7 2 2" xfId="3903" xr:uid="{00000000-0005-0000-0000-000095030000}"/>
    <cellStyle name="40% - Accent6 7 3" xfId="2857" xr:uid="{00000000-0005-0000-0000-000096030000}"/>
    <cellStyle name="40% - Accent6 8" xfId="491" xr:uid="{00000000-0005-0000-0000-000097030000}"/>
    <cellStyle name="40% - Accent6 8 2" xfId="1542" xr:uid="{00000000-0005-0000-0000-000098030000}"/>
    <cellStyle name="40% - Accent6 8 2 2" xfId="3637" xr:uid="{00000000-0005-0000-0000-000099030000}"/>
    <cellStyle name="40% - Accent6 8 3" xfId="2591" xr:uid="{00000000-0005-0000-0000-00009A030000}"/>
    <cellStyle name="40% - Accent6 9" xfId="1294" xr:uid="{00000000-0005-0000-0000-00009B030000}"/>
    <cellStyle name="40% - Accent6 9 2" xfId="3389" xr:uid="{00000000-0005-0000-0000-00009C030000}"/>
    <cellStyle name="60% - Accent1" xfId="221" builtinId="32" customBuiltin="1"/>
    <cellStyle name="60% - Accent1 2" xfId="31" xr:uid="{00000000-0005-0000-0000-00009E030000}"/>
    <cellStyle name="60% - Accent2" xfId="225" builtinId="36" customBuiltin="1"/>
    <cellStyle name="60% - Accent2 2" xfId="32" xr:uid="{00000000-0005-0000-0000-0000A0030000}"/>
    <cellStyle name="60% - Accent3" xfId="229" builtinId="40" customBuiltin="1"/>
    <cellStyle name="60% - Accent3 2" xfId="33" xr:uid="{00000000-0005-0000-0000-0000A2030000}"/>
    <cellStyle name="60% - Accent4" xfId="233" builtinId="44" customBuiltin="1"/>
    <cellStyle name="60% - Accent4 2" xfId="34" xr:uid="{00000000-0005-0000-0000-0000A4030000}"/>
    <cellStyle name="60% - Accent5" xfId="237" builtinId="48" customBuiltin="1"/>
    <cellStyle name="60% - Accent5 2" xfId="35" xr:uid="{00000000-0005-0000-0000-0000A6030000}"/>
    <cellStyle name="60% - Accent6" xfId="241" builtinId="52" customBuiltin="1"/>
    <cellStyle name="60% - Accent6 2" xfId="36" xr:uid="{00000000-0005-0000-0000-0000A8030000}"/>
    <cellStyle name="Accent1" xfId="218" builtinId="29" customBuiltin="1"/>
    <cellStyle name="Accent1 2" xfId="37" xr:uid="{00000000-0005-0000-0000-0000AA030000}"/>
    <cellStyle name="Accent2" xfId="222" builtinId="33" customBuiltin="1"/>
    <cellStyle name="Accent2 2" xfId="38" xr:uid="{00000000-0005-0000-0000-0000AC030000}"/>
    <cellStyle name="Accent3" xfId="226" builtinId="37" customBuiltin="1"/>
    <cellStyle name="Accent3 2" xfId="39" xr:uid="{00000000-0005-0000-0000-0000AE030000}"/>
    <cellStyle name="Accent4" xfId="230" builtinId="41" customBuiltin="1"/>
    <cellStyle name="Accent4 2" xfId="40" xr:uid="{00000000-0005-0000-0000-0000B0030000}"/>
    <cellStyle name="Accent5" xfId="234" builtinId="45" customBuiltin="1"/>
    <cellStyle name="Accent5 2" xfId="41" xr:uid="{00000000-0005-0000-0000-0000B2030000}"/>
    <cellStyle name="Accent6" xfId="238" builtinId="49" customBuiltin="1"/>
    <cellStyle name="Accent6 2" xfId="42" xr:uid="{00000000-0005-0000-0000-0000B4030000}"/>
    <cellStyle name="Bad" xfId="208" builtinId="27" customBuiltin="1"/>
    <cellStyle name="Bad 2" xfId="43" xr:uid="{00000000-0005-0000-0000-0000B6030000}"/>
    <cellStyle name="Calculation" xfId="212" builtinId="22" customBuiltin="1"/>
    <cellStyle name="Calculation 2" xfId="44" xr:uid="{00000000-0005-0000-0000-0000B8030000}"/>
    <cellStyle name="Check Cell" xfId="214" builtinId="23" customBuiltin="1"/>
    <cellStyle name="Check Cell 2" xfId="45" xr:uid="{00000000-0005-0000-0000-0000BA030000}"/>
    <cellStyle name="Comma" xfId="132" builtinId="3"/>
    <cellStyle name="Comma 10" xfId="648" xr:uid="{00000000-0005-0000-0000-0000BC030000}"/>
    <cellStyle name="Comma 10 2" xfId="1185" xr:uid="{00000000-0005-0000-0000-0000BD030000}"/>
    <cellStyle name="Comma 10 2 2" xfId="2231" xr:uid="{00000000-0005-0000-0000-0000BE030000}"/>
    <cellStyle name="Comma 10 2 2 2" xfId="4326" xr:uid="{00000000-0005-0000-0000-0000BF030000}"/>
    <cellStyle name="Comma 10 2 3" xfId="3280" xr:uid="{00000000-0005-0000-0000-0000C0030000}"/>
    <cellStyle name="Comma 10 3" xfId="919" xr:uid="{00000000-0005-0000-0000-0000C1030000}"/>
    <cellStyle name="Comma 10 3 2" xfId="1965" xr:uid="{00000000-0005-0000-0000-0000C2030000}"/>
    <cellStyle name="Comma 10 3 2 2" xfId="4060" xr:uid="{00000000-0005-0000-0000-0000C3030000}"/>
    <cellStyle name="Comma 10 3 3" xfId="3014" xr:uid="{00000000-0005-0000-0000-0000C4030000}"/>
    <cellStyle name="Comma 10 4" xfId="1699" xr:uid="{00000000-0005-0000-0000-0000C5030000}"/>
    <cellStyle name="Comma 10 4 2" xfId="3794" xr:uid="{00000000-0005-0000-0000-0000C6030000}"/>
    <cellStyle name="Comma 10 5" xfId="2748" xr:uid="{00000000-0005-0000-0000-0000C7030000}"/>
    <cellStyle name="Comma 2" xfId="1" xr:uid="{00000000-0005-0000-0000-0000C8030000}"/>
    <cellStyle name="Comma 2 2" xfId="46" xr:uid="{00000000-0005-0000-0000-0000C9030000}"/>
    <cellStyle name="Comma 2 3" xfId="47" xr:uid="{00000000-0005-0000-0000-0000CA030000}"/>
    <cellStyle name="Comma 2 4" xfId="48" xr:uid="{00000000-0005-0000-0000-0000CB030000}"/>
    <cellStyle name="Comma 3" xfId="2" xr:uid="{00000000-0005-0000-0000-0000CC030000}"/>
    <cellStyle name="Comma 3 2" xfId="49" xr:uid="{00000000-0005-0000-0000-0000CD030000}"/>
    <cellStyle name="Comma 3 3" xfId="50" xr:uid="{00000000-0005-0000-0000-0000CE030000}"/>
    <cellStyle name="Comma 4" xfId="51" xr:uid="{00000000-0005-0000-0000-0000CF030000}"/>
    <cellStyle name="Comma 4 2" xfId="135" xr:uid="{00000000-0005-0000-0000-0000D0030000}"/>
    <cellStyle name="Comma 4 2 2" xfId="190" xr:uid="{00000000-0005-0000-0000-0000D1030000}"/>
    <cellStyle name="Comma 4 2 2 2" xfId="344" xr:uid="{00000000-0005-0000-0000-0000D2030000}"/>
    <cellStyle name="Comma 4 2 2 2 2" xfId="1129" xr:uid="{00000000-0005-0000-0000-0000D3030000}"/>
    <cellStyle name="Comma 4 2 2 2 2 2" xfId="2175" xr:uid="{00000000-0005-0000-0000-0000D4030000}"/>
    <cellStyle name="Comma 4 2 2 2 2 2 2" xfId="4270" xr:uid="{00000000-0005-0000-0000-0000D5030000}"/>
    <cellStyle name="Comma 4 2 2 2 2 3" xfId="3224" xr:uid="{00000000-0005-0000-0000-0000D6030000}"/>
    <cellStyle name="Comma 4 2 2 2 3" xfId="863" xr:uid="{00000000-0005-0000-0000-0000D7030000}"/>
    <cellStyle name="Comma 4 2 2 2 3 2" xfId="1909" xr:uid="{00000000-0005-0000-0000-0000D8030000}"/>
    <cellStyle name="Comma 4 2 2 2 3 2 2" xfId="4004" xr:uid="{00000000-0005-0000-0000-0000D9030000}"/>
    <cellStyle name="Comma 4 2 2 2 3 3" xfId="2958" xr:uid="{00000000-0005-0000-0000-0000DA030000}"/>
    <cellStyle name="Comma 4 2 2 2 4" xfId="592" xr:uid="{00000000-0005-0000-0000-0000DB030000}"/>
    <cellStyle name="Comma 4 2 2 2 4 2" xfId="1643" xr:uid="{00000000-0005-0000-0000-0000DC030000}"/>
    <cellStyle name="Comma 4 2 2 2 4 2 2" xfId="3738" xr:uid="{00000000-0005-0000-0000-0000DD030000}"/>
    <cellStyle name="Comma 4 2 2 2 4 3" xfId="2692" xr:uid="{00000000-0005-0000-0000-0000DE030000}"/>
    <cellStyle name="Comma 4 2 2 2 5" xfId="1395" xr:uid="{00000000-0005-0000-0000-0000DF030000}"/>
    <cellStyle name="Comma 4 2 2 2 5 2" xfId="3490" xr:uid="{00000000-0005-0000-0000-0000E0030000}"/>
    <cellStyle name="Comma 4 2 2 2 6" xfId="2444" xr:uid="{00000000-0005-0000-0000-0000E1030000}"/>
    <cellStyle name="Comma 4 2 2 3" xfId="1005" xr:uid="{00000000-0005-0000-0000-0000E2030000}"/>
    <cellStyle name="Comma 4 2 2 3 2" xfId="2051" xr:uid="{00000000-0005-0000-0000-0000E3030000}"/>
    <cellStyle name="Comma 4 2 2 3 2 2" xfId="4146" xr:uid="{00000000-0005-0000-0000-0000E4030000}"/>
    <cellStyle name="Comma 4 2 2 3 3" xfId="3100" xr:uid="{00000000-0005-0000-0000-0000E5030000}"/>
    <cellStyle name="Comma 4 2 2 4" xfId="739" xr:uid="{00000000-0005-0000-0000-0000E6030000}"/>
    <cellStyle name="Comma 4 2 2 4 2" xfId="1785" xr:uid="{00000000-0005-0000-0000-0000E7030000}"/>
    <cellStyle name="Comma 4 2 2 4 2 2" xfId="3880" xr:uid="{00000000-0005-0000-0000-0000E8030000}"/>
    <cellStyle name="Comma 4 2 2 4 3" xfId="2834" xr:uid="{00000000-0005-0000-0000-0000E9030000}"/>
    <cellStyle name="Comma 4 2 2 5" xfId="468" xr:uid="{00000000-0005-0000-0000-0000EA030000}"/>
    <cellStyle name="Comma 4 2 2 5 2" xfId="1519" xr:uid="{00000000-0005-0000-0000-0000EB030000}"/>
    <cellStyle name="Comma 4 2 2 5 2 2" xfId="3614" xr:uid="{00000000-0005-0000-0000-0000EC030000}"/>
    <cellStyle name="Comma 4 2 2 5 3" xfId="2568" xr:uid="{00000000-0005-0000-0000-0000ED030000}"/>
    <cellStyle name="Comma 4 2 2 6" xfId="1271" xr:uid="{00000000-0005-0000-0000-0000EE030000}"/>
    <cellStyle name="Comma 4 2 2 6 2" xfId="3366" xr:uid="{00000000-0005-0000-0000-0000EF030000}"/>
    <cellStyle name="Comma 4 2 2 7" xfId="2320" xr:uid="{00000000-0005-0000-0000-0000F0030000}"/>
    <cellStyle name="Comma 4 2 3" xfId="297" xr:uid="{00000000-0005-0000-0000-0000F1030000}"/>
    <cellStyle name="Comma 4 2 3 2" xfId="1082" xr:uid="{00000000-0005-0000-0000-0000F2030000}"/>
    <cellStyle name="Comma 4 2 3 2 2" xfId="2128" xr:uid="{00000000-0005-0000-0000-0000F3030000}"/>
    <cellStyle name="Comma 4 2 3 2 2 2" xfId="4223" xr:uid="{00000000-0005-0000-0000-0000F4030000}"/>
    <cellStyle name="Comma 4 2 3 2 3" xfId="3177" xr:uid="{00000000-0005-0000-0000-0000F5030000}"/>
    <cellStyle name="Comma 4 2 3 3" xfId="816" xr:uid="{00000000-0005-0000-0000-0000F6030000}"/>
    <cellStyle name="Comma 4 2 3 3 2" xfId="1862" xr:uid="{00000000-0005-0000-0000-0000F7030000}"/>
    <cellStyle name="Comma 4 2 3 3 2 2" xfId="3957" xr:uid="{00000000-0005-0000-0000-0000F8030000}"/>
    <cellStyle name="Comma 4 2 3 3 3" xfId="2911" xr:uid="{00000000-0005-0000-0000-0000F9030000}"/>
    <cellStyle name="Comma 4 2 3 4" xfId="545" xr:uid="{00000000-0005-0000-0000-0000FA030000}"/>
    <cellStyle name="Comma 4 2 3 4 2" xfId="1596" xr:uid="{00000000-0005-0000-0000-0000FB030000}"/>
    <cellStyle name="Comma 4 2 3 4 2 2" xfId="3691" xr:uid="{00000000-0005-0000-0000-0000FC030000}"/>
    <cellStyle name="Comma 4 2 3 4 3" xfId="2645" xr:uid="{00000000-0005-0000-0000-0000FD030000}"/>
    <cellStyle name="Comma 4 2 3 5" xfId="1348" xr:uid="{00000000-0005-0000-0000-0000FE030000}"/>
    <cellStyle name="Comma 4 2 3 5 2" xfId="3443" xr:uid="{00000000-0005-0000-0000-0000FF030000}"/>
    <cellStyle name="Comma 4 2 3 6" xfId="2397" xr:uid="{00000000-0005-0000-0000-000000040000}"/>
    <cellStyle name="Comma 4 2 4" xfId="958" xr:uid="{00000000-0005-0000-0000-000001040000}"/>
    <cellStyle name="Comma 4 2 4 2" xfId="2004" xr:uid="{00000000-0005-0000-0000-000002040000}"/>
    <cellStyle name="Comma 4 2 4 2 2" xfId="4099" xr:uid="{00000000-0005-0000-0000-000003040000}"/>
    <cellStyle name="Comma 4 2 4 3" xfId="3053" xr:uid="{00000000-0005-0000-0000-000004040000}"/>
    <cellStyle name="Comma 4 2 5" xfId="692" xr:uid="{00000000-0005-0000-0000-000005040000}"/>
    <cellStyle name="Comma 4 2 5 2" xfId="1738" xr:uid="{00000000-0005-0000-0000-000006040000}"/>
    <cellStyle name="Comma 4 2 5 2 2" xfId="3833" xr:uid="{00000000-0005-0000-0000-000007040000}"/>
    <cellStyle name="Comma 4 2 5 3" xfId="2787" xr:uid="{00000000-0005-0000-0000-000008040000}"/>
    <cellStyle name="Comma 4 2 6" xfId="421" xr:uid="{00000000-0005-0000-0000-000009040000}"/>
    <cellStyle name="Comma 4 2 6 2" xfId="1472" xr:uid="{00000000-0005-0000-0000-00000A040000}"/>
    <cellStyle name="Comma 4 2 6 2 2" xfId="3567" xr:uid="{00000000-0005-0000-0000-00000B040000}"/>
    <cellStyle name="Comma 4 2 6 3" xfId="2521" xr:uid="{00000000-0005-0000-0000-00000C040000}"/>
    <cellStyle name="Comma 4 2 7" xfId="1224" xr:uid="{00000000-0005-0000-0000-00000D040000}"/>
    <cellStyle name="Comma 4 2 7 2" xfId="3319" xr:uid="{00000000-0005-0000-0000-00000E040000}"/>
    <cellStyle name="Comma 4 2 8" xfId="2273" xr:uid="{00000000-0005-0000-0000-00000F040000}"/>
    <cellStyle name="Comma 4 3" xfId="160" xr:uid="{00000000-0005-0000-0000-000010040000}"/>
    <cellStyle name="Comma 4 3 2" xfId="314" xr:uid="{00000000-0005-0000-0000-000011040000}"/>
    <cellStyle name="Comma 4 3 2 2" xfId="1099" xr:uid="{00000000-0005-0000-0000-000012040000}"/>
    <cellStyle name="Comma 4 3 2 2 2" xfId="2145" xr:uid="{00000000-0005-0000-0000-000013040000}"/>
    <cellStyle name="Comma 4 3 2 2 2 2" xfId="4240" xr:uid="{00000000-0005-0000-0000-000014040000}"/>
    <cellStyle name="Comma 4 3 2 2 3" xfId="3194" xr:uid="{00000000-0005-0000-0000-000015040000}"/>
    <cellStyle name="Comma 4 3 2 3" xfId="833" xr:uid="{00000000-0005-0000-0000-000016040000}"/>
    <cellStyle name="Comma 4 3 2 3 2" xfId="1879" xr:uid="{00000000-0005-0000-0000-000017040000}"/>
    <cellStyle name="Comma 4 3 2 3 2 2" xfId="3974" xr:uid="{00000000-0005-0000-0000-000018040000}"/>
    <cellStyle name="Comma 4 3 2 3 3" xfId="2928" xr:uid="{00000000-0005-0000-0000-000019040000}"/>
    <cellStyle name="Comma 4 3 2 4" xfId="562" xr:uid="{00000000-0005-0000-0000-00001A040000}"/>
    <cellStyle name="Comma 4 3 2 4 2" xfId="1613" xr:uid="{00000000-0005-0000-0000-00001B040000}"/>
    <cellStyle name="Comma 4 3 2 4 2 2" xfId="3708" xr:uid="{00000000-0005-0000-0000-00001C040000}"/>
    <cellStyle name="Comma 4 3 2 4 3" xfId="2662" xr:uid="{00000000-0005-0000-0000-00001D040000}"/>
    <cellStyle name="Comma 4 3 2 5" xfId="1365" xr:uid="{00000000-0005-0000-0000-00001E040000}"/>
    <cellStyle name="Comma 4 3 2 5 2" xfId="3460" xr:uid="{00000000-0005-0000-0000-00001F040000}"/>
    <cellStyle name="Comma 4 3 2 6" xfId="2414" xr:uid="{00000000-0005-0000-0000-000020040000}"/>
    <cellStyle name="Comma 4 3 3" xfId="975" xr:uid="{00000000-0005-0000-0000-000021040000}"/>
    <cellStyle name="Comma 4 3 3 2" xfId="2021" xr:uid="{00000000-0005-0000-0000-000022040000}"/>
    <cellStyle name="Comma 4 3 3 2 2" xfId="4116" xr:uid="{00000000-0005-0000-0000-000023040000}"/>
    <cellStyle name="Comma 4 3 3 3" xfId="3070" xr:uid="{00000000-0005-0000-0000-000024040000}"/>
    <cellStyle name="Comma 4 3 4" xfId="709" xr:uid="{00000000-0005-0000-0000-000025040000}"/>
    <cellStyle name="Comma 4 3 4 2" xfId="1755" xr:uid="{00000000-0005-0000-0000-000026040000}"/>
    <cellStyle name="Comma 4 3 4 2 2" xfId="3850" xr:uid="{00000000-0005-0000-0000-000027040000}"/>
    <cellStyle name="Comma 4 3 4 3" xfId="2804" xr:uid="{00000000-0005-0000-0000-000028040000}"/>
    <cellStyle name="Comma 4 3 5" xfId="438" xr:uid="{00000000-0005-0000-0000-000029040000}"/>
    <cellStyle name="Comma 4 3 5 2" xfId="1489" xr:uid="{00000000-0005-0000-0000-00002A040000}"/>
    <cellStyle name="Comma 4 3 5 2 2" xfId="3584" xr:uid="{00000000-0005-0000-0000-00002B040000}"/>
    <cellStyle name="Comma 4 3 5 3" xfId="2538" xr:uid="{00000000-0005-0000-0000-00002C040000}"/>
    <cellStyle name="Comma 4 3 6" xfId="1241" xr:uid="{00000000-0005-0000-0000-00002D040000}"/>
    <cellStyle name="Comma 4 3 6 2" xfId="3336" xr:uid="{00000000-0005-0000-0000-00002E040000}"/>
    <cellStyle name="Comma 4 3 7" xfId="2290" xr:uid="{00000000-0005-0000-0000-00002F040000}"/>
    <cellStyle name="Comma 4 4" xfId="267" xr:uid="{00000000-0005-0000-0000-000030040000}"/>
    <cellStyle name="Comma 4 4 2" xfId="1052" xr:uid="{00000000-0005-0000-0000-000031040000}"/>
    <cellStyle name="Comma 4 4 2 2" xfId="2098" xr:uid="{00000000-0005-0000-0000-000032040000}"/>
    <cellStyle name="Comma 4 4 2 2 2" xfId="4193" xr:uid="{00000000-0005-0000-0000-000033040000}"/>
    <cellStyle name="Comma 4 4 2 3" xfId="3147" xr:uid="{00000000-0005-0000-0000-000034040000}"/>
    <cellStyle name="Comma 4 4 3" xfId="786" xr:uid="{00000000-0005-0000-0000-000035040000}"/>
    <cellStyle name="Comma 4 4 3 2" xfId="1832" xr:uid="{00000000-0005-0000-0000-000036040000}"/>
    <cellStyle name="Comma 4 4 3 2 2" xfId="3927" xr:uid="{00000000-0005-0000-0000-000037040000}"/>
    <cellStyle name="Comma 4 4 3 3" xfId="2881" xr:uid="{00000000-0005-0000-0000-000038040000}"/>
    <cellStyle name="Comma 4 4 4" xfId="515" xr:uid="{00000000-0005-0000-0000-000039040000}"/>
    <cellStyle name="Comma 4 4 4 2" xfId="1566" xr:uid="{00000000-0005-0000-0000-00003A040000}"/>
    <cellStyle name="Comma 4 4 4 2 2" xfId="3661" xr:uid="{00000000-0005-0000-0000-00003B040000}"/>
    <cellStyle name="Comma 4 4 4 3" xfId="2615" xr:uid="{00000000-0005-0000-0000-00003C040000}"/>
    <cellStyle name="Comma 4 4 5" xfId="1318" xr:uid="{00000000-0005-0000-0000-00003D040000}"/>
    <cellStyle name="Comma 4 4 5 2" xfId="3413" xr:uid="{00000000-0005-0000-0000-00003E040000}"/>
    <cellStyle name="Comma 4 4 6" xfId="2367" xr:uid="{00000000-0005-0000-0000-00003F040000}"/>
    <cellStyle name="Comma 4 5" xfId="928" xr:uid="{00000000-0005-0000-0000-000040040000}"/>
    <cellStyle name="Comma 4 5 2" xfId="1974" xr:uid="{00000000-0005-0000-0000-000041040000}"/>
    <cellStyle name="Comma 4 5 2 2" xfId="4069" xr:uid="{00000000-0005-0000-0000-000042040000}"/>
    <cellStyle name="Comma 4 5 3" xfId="3023" xr:uid="{00000000-0005-0000-0000-000043040000}"/>
    <cellStyle name="Comma 4 6" xfId="662" xr:uid="{00000000-0005-0000-0000-000044040000}"/>
    <cellStyle name="Comma 4 6 2" xfId="1708" xr:uid="{00000000-0005-0000-0000-000045040000}"/>
    <cellStyle name="Comma 4 6 2 2" xfId="3803" xr:uid="{00000000-0005-0000-0000-000046040000}"/>
    <cellStyle name="Comma 4 6 3" xfId="2757" xr:uid="{00000000-0005-0000-0000-000047040000}"/>
    <cellStyle name="Comma 4 7" xfId="391" xr:uid="{00000000-0005-0000-0000-000048040000}"/>
    <cellStyle name="Comma 4 7 2" xfId="1442" xr:uid="{00000000-0005-0000-0000-000049040000}"/>
    <cellStyle name="Comma 4 7 2 2" xfId="3537" xr:uid="{00000000-0005-0000-0000-00004A040000}"/>
    <cellStyle name="Comma 4 7 3" xfId="2491" xr:uid="{00000000-0005-0000-0000-00004B040000}"/>
    <cellStyle name="Comma 4 8" xfId="1194" xr:uid="{00000000-0005-0000-0000-00004C040000}"/>
    <cellStyle name="Comma 4 8 2" xfId="3289" xr:uid="{00000000-0005-0000-0000-00004D040000}"/>
    <cellStyle name="Comma 4 9" xfId="2243" xr:uid="{00000000-0005-0000-0000-00004E040000}"/>
    <cellStyle name="Comma 5" xfId="52" xr:uid="{00000000-0005-0000-0000-00004F040000}"/>
    <cellStyle name="Comma 6" xfId="53" xr:uid="{00000000-0005-0000-0000-000050040000}"/>
    <cellStyle name="Comma 6 2" xfId="161" xr:uid="{00000000-0005-0000-0000-000051040000}"/>
    <cellStyle name="Comma 6 2 2" xfId="315" xr:uid="{00000000-0005-0000-0000-000052040000}"/>
    <cellStyle name="Comma 6 2 2 2" xfId="1100" xr:uid="{00000000-0005-0000-0000-000053040000}"/>
    <cellStyle name="Comma 6 2 2 2 2" xfId="2146" xr:uid="{00000000-0005-0000-0000-000054040000}"/>
    <cellStyle name="Comma 6 2 2 2 2 2" xfId="4241" xr:uid="{00000000-0005-0000-0000-000055040000}"/>
    <cellStyle name="Comma 6 2 2 2 3" xfId="3195" xr:uid="{00000000-0005-0000-0000-000056040000}"/>
    <cellStyle name="Comma 6 2 2 3" xfId="834" xr:uid="{00000000-0005-0000-0000-000057040000}"/>
    <cellStyle name="Comma 6 2 2 3 2" xfId="1880" xr:uid="{00000000-0005-0000-0000-000058040000}"/>
    <cellStyle name="Comma 6 2 2 3 2 2" xfId="3975" xr:uid="{00000000-0005-0000-0000-000059040000}"/>
    <cellStyle name="Comma 6 2 2 3 3" xfId="2929" xr:uid="{00000000-0005-0000-0000-00005A040000}"/>
    <cellStyle name="Comma 6 2 2 4" xfId="563" xr:uid="{00000000-0005-0000-0000-00005B040000}"/>
    <cellStyle name="Comma 6 2 2 4 2" xfId="1614" xr:uid="{00000000-0005-0000-0000-00005C040000}"/>
    <cellStyle name="Comma 6 2 2 4 2 2" xfId="3709" xr:uid="{00000000-0005-0000-0000-00005D040000}"/>
    <cellStyle name="Comma 6 2 2 4 3" xfId="2663" xr:uid="{00000000-0005-0000-0000-00005E040000}"/>
    <cellStyle name="Comma 6 2 2 5" xfId="1366" xr:uid="{00000000-0005-0000-0000-00005F040000}"/>
    <cellStyle name="Comma 6 2 2 5 2" xfId="3461" xr:uid="{00000000-0005-0000-0000-000060040000}"/>
    <cellStyle name="Comma 6 2 2 6" xfId="2415" xr:uid="{00000000-0005-0000-0000-000061040000}"/>
    <cellStyle name="Comma 6 2 3" xfId="976" xr:uid="{00000000-0005-0000-0000-000062040000}"/>
    <cellStyle name="Comma 6 2 3 2" xfId="2022" xr:uid="{00000000-0005-0000-0000-000063040000}"/>
    <cellStyle name="Comma 6 2 3 2 2" xfId="4117" xr:uid="{00000000-0005-0000-0000-000064040000}"/>
    <cellStyle name="Comma 6 2 3 3" xfId="3071" xr:uid="{00000000-0005-0000-0000-000065040000}"/>
    <cellStyle name="Comma 6 2 4" xfId="710" xr:uid="{00000000-0005-0000-0000-000066040000}"/>
    <cellStyle name="Comma 6 2 4 2" xfId="1756" xr:uid="{00000000-0005-0000-0000-000067040000}"/>
    <cellStyle name="Comma 6 2 4 2 2" xfId="3851" xr:uid="{00000000-0005-0000-0000-000068040000}"/>
    <cellStyle name="Comma 6 2 4 3" xfId="2805" xr:uid="{00000000-0005-0000-0000-000069040000}"/>
    <cellStyle name="Comma 6 2 5" xfId="439" xr:uid="{00000000-0005-0000-0000-00006A040000}"/>
    <cellStyle name="Comma 6 2 5 2" xfId="1490" xr:uid="{00000000-0005-0000-0000-00006B040000}"/>
    <cellStyle name="Comma 6 2 5 2 2" xfId="3585" xr:uid="{00000000-0005-0000-0000-00006C040000}"/>
    <cellStyle name="Comma 6 2 5 3" xfId="2539" xr:uid="{00000000-0005-0000-0000-00006D040000}"/>
    <cellStyle name="Comma 6 2 6" xfId="1242" xr:uid="{00000000-0005-0000-0000-00006E040000}"/>
    <cellStyle name="Comma 6 2 6 2" xfId="3337" xr:uid="{00000000-0005-0000-0000-00006F040000}"/>
    <cellStyle name="Comma 6 2 7" xfId="2291" xr:uid="{00000000-0005-0000-0000-000070040000}"/>
    <cellStyle name="Comma 6 3" xfId="268" xr:uid="{00000000-0005-0000-0000-000071040000}"/>
    <cellStyle name="Comma 6 3 2" xfId="1053" xr:uid="{00000000-0005-0000-0000-000072040000}"/>
    <cellStyle name="Comma 6 3 2 2" xfId="2099" xr:uid="{00000000-0005-0000-0000-000073040000}"/>
    <cellStyle name="Comma 6 3 2 2 2" xfId="4194" xr:uid="{00000000-0005-0000-0000-000074040000}"/>
    <cellStyle name="Comma 6 3 2 3" xfId="3148" xr:uid="{00000000-0005-0000-0000-000075040000}"/>
    <cellStyle name="Comma 6 3 3" xfId="787" xr:uid="{00000000-0005-0000-0000-000076040000}"/>
    <cellStyle name="Comma 6 3 3 2" xfId="1833" xr:uid="{00000000-0005-0000-0000-000077040000}"/>
    <cellStyle name="Comma 6 3 3 2 2" xfId="3928" xr:uid="{00000000-0005-0000-0000-000078040000}"/>
    <cellStyle name="Comma 6 3 3 3" xfId="2882" xr:uid="{00000000-0005-0000-0000-000079040000}"/>
    <cellStyle name="Comma 6 3 4" xfId="516" xr:uid="{00000000-0005-0000-0000-00007A040000}"/>
    <cellStyle name="Comma 6 3 4 2" xfId="1567" xr:uid="{00000000-0005-0000-0000-00007B040000}"/>
    <cellStyle name="Comma 6 3 4 2 2" xfId="3662" xr:uid="{00000000-0005-0000-0000-00007C040000}"/>
    <cellStyle name="Comma 6 3 4 3" xfId="2616" xr:uid="{00000000-0005-0000-0000-00007D040000}"/>
    <cellStyle name="Comma 6 3 5" xfId="1319" xr:uid="{00000000-0005-0000-0000-00007E040000}"/>
    <cellStyle name="Comma 6 3 5 2" xfId="3414" xr:uid="{00000000-0005-0000-0000-00007F040000}"/>
    <cellStyle name="Comma 6 3 6" xfId="2368" xr:uid="{00000000-0005-0000-0000-000080040000}"/>
    <cellStyle name="Comma 6 4" xfId="929" xr:uid="{00000000-0005-0000-0000-000081040000}"/>
    <cellStyle name="Comma 6 4 2" xfId="1975" xr:uid="{00000000-0005-0000-0000-000082040000}"/>
    <cellStyle name="Comma 6 4 2 2" xfId="4070" xr:uid="{00000000-0005-0000-0000-000083040000}"/>
    <cellStyle name="Comma 6 4 3" xfId="3024" xr:uid="{00000000-0005-0000-0000-000084040000}"/>
    <cellStyle name="Comma 6 5" xfId="663" xr:uid="{00000000-0005-0000-0000-000085040000}"/>
    <cellStyle name="Comma 6 5 2" xfId="1709" xr:uid="{00000000-0005-0000-0000-000086040000}"/>
    <cellStyle name="Comma 6 5 2 2" xfId="3804" xr:uid="{00000000-0005-0000-0000-000087040000}"/>
    <cellStyle name="Comma 6 5 3" xfId="2758" xr:uid="{00000000-0005-0000-0000-000088040000}"/>
    <cellStyle name="Comma 6 6" xfId="392" xr:uid="{00000000-0005-0000-0000-000089040000}"/>
    <cellStyle name="Comma 6 6 2" xfId="1443" xr:uid="{00000000-0005-0000-0000-00008A040000}"/>
    <cellStyle name="Comma 6 6 2 2" xfId="3538" xr:uid="{00000000-0005-0000-0000-00008B040000}"/>
    <cellStyle name="Comma 6 6 3" xfId="2492" xr:uid="{00000000-0005-0000-0000-00008C040000}"/>
    <cellStyle name="Comma 6 7" xfId="1195" xr:uid="{00000000-0005-0000-0000-00008D040000}"/>
    <cellStyle name="Comma 6 7 2" xfId="3290" xr:uid="{00000000-0005-0000-0000-00008E040000}"/>
    <cellStyle name="Comma 6 8" xfId="2244" xr:uid="{00000000-0005-0000-0000-00008F040000}"/>
    <cellStyle name="Comma 7" xfId="54" xr:uid="{00000000-0005-0000-0000-000090040000}"/>
    <cellStyle name="Comma 8" xfId="55" xr:uid="{00000000-0005-0000-0000-000091040000}"/>
    <cellStyle name="Comma 8 2" xfId="162" xr:uid="{00000000-0005-0000-0000-000092040000}"/>
    <cellStyle name="Comma 8 2 2" xfId="316" xr:uid="{00000000-0005-0000-0000-000093040000}"/>
    <cellStyle name="Comma 8 2 2 2" xfId="1101" xr:uid="{00000000-0005-0000-0000-000094040000}"/>
    <cellStyle name="Comma 8 2 2 2 2" xfId="2147" xr:uid="{00000000-0005-0000-0000-000095040000}"/>
    <cellStyle name="Comma 8 2 2 2 2 2" xfId="4242" xr:uid="{00000000-0005-0000-0000-000096040000}"/>
    <cellStyle name="Comma 8 2 2 2 3" xfId="3196" xr:uid="{00000000-0005-0000-0000-000097040000}"/>
    <cellStyle name="Comma 8 2 2 3" xfId="835" xr:uid="{00000000-0005-0000-0000-000098040000}"/>
    <cellStyle name="Comma 8 2 2 3 2" xfId="1881" xr:uid="{00000000-0005-0000-0000-000099040000}"/>
    <cellStyle name="Comma 8 2 2 3 2 2" xfId="3976" xr:uid="{00000000-0005-0000-0000-00009A040000}"/>
    <cellStyle name="Comma 8 2 2 3 3" xfId="2930" xr:uid="{00000000-0005-0000-0000-00009B040000}"/>
    <cellStyle name="Comma 8 2 2 4" xfId="564" xr:uid="{00000000-0005-0000-0000-00009C040000}"/>
    <cellStyle name="Comma 8 2 2 4 2" xfId="1615" xr:uid="{00000000-0005-0000-0000-00009D040000}"/>
    <cellStyle name="Comma 8 2 2 4 2 2" xfId="3710" xr:uid="{00000000-0005-0000-0000-00009E040000}"/>
    <cellStyle name="Comma 8 2 2 4 3" xfId="2664" xr:uid="{00000000-0005-0000-0000-00009F040000}"/>
    <cellStyle name="Comma 8 2 2 5" xfId="1367" xr:uid="{00000000-0005-0000-0000-0000A0040000}"/>
    <cellStyle name="Comma 8 2 2 5 2" xfId="3462" xr:uid="{00000000-0005-0000-0000-0000A1040000}"/>
    <cellStyle name="Comma 8 2 2 6" xfId="2416" xr:uid="{00000000-0005-0000-0000-0000A2040000}"/>
    <cellStyle name="Comma 8 2 3" xfId="977" xr:uid="{00000000-0005-0000-0000-0000A3040000}"/>
    <cellStyle name="Comma 8 2 3 2" xfId="2023" xr:uid="{00000000-0005-0000-0000-0000A4040000}"/>
    <cellStyle name="Comma 8 2 3 2 2" xfId="4118" xr:uid="{00000000-0005-0000-0000-0000A5040000}"/>
    <cellStyle name="Comma 8 2 3 3" xfId="3072" xr:uid="{00000000-0005-0000-0000-0000A6040000}"/>
    <cellStyle name="Comma 8 2 4" xfId="711" xr:uid="{00000000-0005-0000-0000-0000A7040000}"/>
    <cellStyle name="Comma 8 2 4 2" xfId="1757" xr:uid="{00000000-0005-0000-0000-0000A8040000}"/>
    <cellStyle name="Comma 8 2 4 2 2" xfId="3852" xr:uid="{00000000-0005-0000-0000-0000A9040000}"/>
    <cellStyle name="Comma 8 2 4 3" xfId="2806" xr:uid="{00000000-0005-0000-0000-0000AA040000}"/>
    <cellStyle name="Comma 8 2 5" xfId="440" xr:uid="{00000000-0005-0000-0000-0000AB040000}"/>
    <cellStyle name="Comma 8 2 5 2" xfId="1491" xr:uid="{00000000-0005-0000-0000-0000AC040000}"/>
    <cellStyle name="Comma 8 2 5 2 2" xfId="3586" xr:uid="{00000000-0005-0000-0000-0000AD040000}"/>
    <cellStyle name="Comma 8 2 5 3" xfId="2540" xr:uid="{00000000-0005-0000-0000-0000AE040000}"/>
    <cellStyle name="Comma 8 2 6" xfId="1243" xr:uid="{00000000-0005-0000-0000-0000AF040000}"/>
    <cellStyle name="Comma 8 2 6 2" xfId="3338" xr:uid="{00000000-0005-0000-0000-0000B0040000}"/>
    <cellStyle name="Comma 8 2 7" xfId="2292" xr:uid="{00000000-0005-0000-0000-0000B1040000}"/>
    <cellStyle name="Comma 8 3" xfId="269" xr:uid="{00000000-0005-0000-0000-0000B2040000}"/>
    <cellStyle name="Comma 8 3 2" xfId="1054" xr:uid="{00000000-0005-0000-0000-0000B3040000}"/>
    <cellStyle name="Comma 8 3 2 2" xfId="2100" xr:uid="{00000000-0005-0000-0000-0000B4040000}"/>
    <cellStyle name="Comma 8 3 2 2 2" xfId="4195" xr:uid="{00000000-0005-0000-0000-0000B5040000}"/>
    <cellStyle name="Comma 8 3 2 3" xfId="3149" xr:uid="{00000000-0005-0000-0000-0000B6040000}"/>
    <cellStyle name="Comma 8 3 3" xfId="788" xr:uid="{00000000-0005-0000-0000-0000B7040000}"/>
    <cellStyle name="Comma 8 3 3 2" xfId="1834" xr:uid="{00000000-0005-0000-0000-0000B8040000}"/>
    <cellStyle name="Comma 8 3 3 2 2" xfId="3929" xr:uid="{00000000-0005-0000-0000-0000B9040000}"/>
    <cellStyle name="Comma 8 3 3 3" xfId="2883" xr:uid="{00000000-0005-0000-0000-0000BA040000}"/>
    <cellStyle name="Comma 8 3 4" xfId="517" xr:uid="{00000000-0005-0000-0000-0000BB040000}"/>
    <cellStyle name="Comma 8 3 4 2" xfId="1568" xr:uid="{00000000-0005-0000-0000-0000BC040000}"/>
    <cellStyle name="Comma 8 3 4 2 2" xfId="3663" xr:uid="{00000000-0005-0000-0000-0000BD040000}"/>
    <cellStyle name="Comma 8 3 4 3" xfId="2617" xr:uid="{00000000-0005-0000-0000-0000BE040000}"/>
    <cellStyle name="Comma 8 3 5" xfId="1320" xr:uid="{00000000-0005-0000-0000-0000BF040000}"/>
    <cellStyle name="Comma 8 3 5 2" xfId="3415" xr:uid="{00000000-0005-0000-0000-0000C0040000}"/>
    <cellStyle name="Comma 8 3 6" xfId="2369" xr:uid="{00000000-0005-0000-0000-0000C1040000}"/>
    <cellStyle name="Comma 8 4" xfId="930" xr:uid="{00000000-0005-0000-0000-0000C2040000}"/>
    <cellStyle name="Comma 8 4 2" xfId="1976" xr:uid="{00000000-0005-0000-0000-0000C3040000}"/>
    <cellStyle name="Comma 8 4 2 2" xfId="4071" xr:uid="{00000000-0005-0000-0000-0000C4040000}"/>
    <cellStyle name="Comma 8 4 3" xfId="3025" xr:uid="{00000000-0005-0000-0000-0000C5040000}"/>
    <cellStyle name="Comma 8 5" xfId="664" xr:uid="{00000000-0005-0000-0000-0000C6040000}"/>
    <cellStyle name="Comma 8 5 2" xfId="1710" xr:uid="{00000000-0005-0000-0000-0000C7040000}"/>
    <cellStyle name="Comma 8 5 2 2" xfId="3805" xr:uid="{00000000-0005-0000-0000-0000C8040000}"/>
    <cellStyle name="Comma 8 5 3" xfId="2759" xr:uid="{00000000-0005-0000-0000-0000C9040000}"/>
    <cellStyle name="Comma 8 6" xfId="393" xr:uid="{00000000-0005-0000-0000-0000CA040000}"/>
    <cellStyle name="Comma 8 6 2" xfId="1444" xr:uid="{00000000-0005-0000-0000-0000CB040000}"/>
    <cellStyle name="Comma 8 6 2 2" xfId="3539" xr:uid="{00000000-0005-0000-0000-0000CC040000}"/>
    <cellStyle name="Comma 8 6 3" xfId="2493" xr:uid="{00000000-0005-0000-0000-0000CD040000}"/>
    <cellStyle name="Comma 8 7" xfId="1196" xr:uid="{00000000-0005-0000-0000-0000CE040000}"/>
    <cellStyle name="Comma 8 7 2" xfId="3291" xr:uid="{00000000-0005-0000-0000-0000CF040000}"/>
    <cellStyle name="Comma 8 8" xfId="2245" xr:uid="{00000000-0005-0000-0000-0000D0040000}"/>
    <cellStyle name="Comma 9" xfId="134" xr:uid="{00000000-0005-0000-0000-0000D1040000}"/>
    <cellStyle name="Comma 9 2" xfId="189" xr:uid="{00000000-0005-0000-0000-0000D2040000}"/>
    <cellStyle name="Comma 9 2 2" xfId="343" xr:uid="{00000000-0005-0000-0000-0000D3040000}"/>
    <cellStyle name="Comma 9 2 2 2" xfId="1128" xr:uid="{00000000-0005-0000-0000-0000D4040000}"/>
    <cellStyle name="Comma 9 2 2 2 2" xfId="2174" xr:uid="{00000000-0005-0000-0000-0000D5040000}"/>
    <cellStyle name="Comma 9 2 2 2 2 2" xfId="4269" xr:uid="{00000000-0005-0000-0000-0000D6040000}"/>
    <cellStyle name="Comma 9 2 2 2 3" xfId="3223" xr:uid="{00000000-0005-0000-0000-0000D7040000}"/>
    <cellStyle name="Comma 9 2 2 3" xfId="862" xr:uid="{00000000-0005-0000-0000-0000D8040000}"/>
    <cellStyle name="Comma 9 2 2 3 2" xfId="1908" xr:uid="{00000000-0005-0000-0000-0000D9040000}"/>
    <cellStyle name="Comma 9 2 2 3 2 2" xfId="4003" xr:uid="{00000000-0005-0000-0000-0000DA040000}"/>
    <cellStyle name="Comma 9 2 2 3 3" xfId="2957" xr:uid="{00000000-0005-0000-0000-0000DB040000}"/>
    <cellStyle name="Comma 9 2 2 4" xfId="591" xr:uid="{00000000-0005-0000-0000-0000DC040000}"/>
    <cellStyle name="Comma 9 2 2 4 2" xfId="1642" xr:uid="{00000000-0005-0000-0000-0000DD040000}"/>
    <cellStyle name="Comma 9 2 2 4 2 2" xfId="3737" xr:uid="{00000000-0005-0000-0000-0000DE040000}"/>
    <cellStyle name="Comma 9 2 2 4 3" xfId="2691" xr:uid="{00000000-0005-0000-0000-0000DF040000}"/>
    <cellStyle name="Comma 9 2 2 5" xfId="1394" xr:uid="{00000000-0005-0000-0000-0000E0040000}"/>
    <cellStyle name="Comma 9 2 2 5 2" xfId="3489" xr:uid="{00000000-0005-0000-0000-0000E1040000}"/>
    <cellStyle name="Comma 9 2 2 6" xfId="2443" xr:uid="{00000000-0005-0000-0000-0000E2040000}"/>
    <cellStyle name="Comma 9 2 3" xfId="1004" xr:uid="{00000000-0005-0000-0000-0000E3040000}"/>
    <cellStyle name="Comma 9 2 3 2" xfId="2050" xr:uid="{00000000-0005-0000-0000-0000E4040000}"/>
    <cellStyle name="Comma 9 2 3 2 2" xfId="4145" xr:uid="{00000000-0005-0000-0000-0000E5040000}"/>
    <cellStyle name="Comma 9 2 3 3" xfId="3099" xr:uid="{00000000-0005-0000-0000-0000E6040000}"/>
    <cellStyle name="Comma 9 2 4" xfId="738" xr:uid="{00000000-0005-0000-0000-0000E7040000}"/>
    <cellStyle name="Comma 9 2 4 2" xfId="1784" xr:uid="{00000000-0005-0000-0000-0000E8040000}"/>
    <cellStyle name="Comma 9 2 4 2 2" xfId="3879" xr:uid="{00000000-0005-0000-0000-0000E9040000}"/>
    <cellStyle name="Comma 9 2 4 3" xfId="2833" xr:uid="{00000000-0005-0000-0000-0000EA040000}"/>
    <cellStyle name="Comma 9 2 5" xfId="467" xr:uid="{00000000-0005-0000-0000-0000EB040000}"/>
    <cellStyle name="Comma 9 2 5 2" xfId="1518" xr:uid="{00000000-0005-0000-0000-0000EC040000}"/>
    <cellStyle name="Comma 9 2 5 2 2" xfId="3613" xr:uid="{00000000-0005-0000-0000-0000ED040000}"/>
    <cellStyle name="Comma 9 2 5 3" xfId="2567" xr:uid="{00000000-0005-0000-0000-0000EE040000}"/>
    <cellStyle name="Comma 9 2 6" xfId="1270" xr:uid="{00000000-0005-0000-0000-0000EF040000}"/>
    <cellStyle name="Comma 9 2 6 2" xfId="3365" xr:uid="{00000000-0005-0000-0000-0000F0040000}"/>
    <cellStyle name="Comma 9 2 7" xfId="2319" xr:uid="{00000000-0005-0000-0000-0000F1040000}"/>
    <cellStyle name="Comma 9 3" xfId="296" xr:uid="{00000000-0005-0000-0000-0000F2040000}"/>
    <cellStyle name="Comma 9 3 2" xfId="1081" xr:uid="{00000000-0005-0000-0000-0000F3040000}"/>
    <cellStyle name="Comma 9 3 2 2" xfId="2127" xr:uid="{00000000-0005-0000-0000-0000F4040000}"/>
    <cellStyle name="Comma 9 3 2 2 2" xfId="4222" xr:uid="{00000000-0005-0000-0000-0000F5040000}"/>
    <cellStyle name="Comma 9 3 2 3" xfId="3176" xr:uid="{00000000-0005-0000-0000-0000F6040000}"/>
    <cellStyle name="Comma 9 3 3" xfId="815" xr:uid="{00000000-0005-0000-0000-0000F7040000}"/>
    <cellStyle name="Comma 9 3 3 2" xfId="1861" xr:uid="{00000000-0005-0000-0000-0000F8040000}"/>
    <cellStyle name="Comma 9 3 3 2 2" xfId="3956" xr:uid="{00000000-0005-0000-0000-0000F9040000}"/>
    <cellStyle name="Comma 9 3 3 3" xfId="2910" xr:uid="{00000000-0005-0000-0000-0000FA040000}"/>
    <cellStyle name="Comma 9 3 4" xfId="544" xr:uid="{00000000-0005-0000-0000-0000FB040000}"/>
    <cellStyle name="Comma 9 3 4 2" xfId="1595" xr:uid="{00000000-0005-0000-0000-0000FC040000}"/>
    <cellStyle name="Comma 9 3 4 2 2" xfId="3690" xr:uid="{00000000-0005-0000-0000-0000FD040000}"/>
    <cellStyle name="Comma 9 3 4 3" xfId="2644" xr:uid="{00000000-0005-0000-0000-0000FE040000}"/>
    <cellStyle name="Comma 9 3 5" xfId="1347" xr:uid="{00000000-0005-0000-0000-0000FF040000}"/>
    <cellStyle name="Comma 9 3 5 2" xfId="3442" xr:uid="{00000000-0005-0000-0000-000000050000}"/>
    <cellStyle name="Comma 9 3 6" xfId="2396" xr:uid="{00000000-0005-0000-0000-000001050000}"/>
    <cellStyle name="Comma 9 4" xfId="957" xr:uid="{00000000-0005-0000-0000-000002050000}"/>
    <cellStyle name="Comma 9 4 2" xfId="2003" xr:uid="{00000000-0005-0000-0000-000003050000}"/>
    <cellStyle name="Comma 9 4 2 2" xfId="4098" xr:uid="{00000000-0005-0000-0000-000004050000}"/>
    <cellStyle name="Comma 9 4 3" xfId="3052" xr:uid="{00000000-0005-0000-0000-000005050000}"/>
    <cellStyle name="Comma 9 5" xfId="691" xr:uid="{00000000-0005-0000-0000-000006050000}"/>
    <cellStyle name="Comma 9 5 2" xfId="1737" xr:uid="{00000000-0005-0000-0000-000007050000}"/>
    <cellStyle name="Comma 9 5 2 2" xfId="3832" xr:uid="{00000000-0005-0000-0000-000008050000}"/>
    <cellStyle name="Comma 9 5 3" xfId="2786" xr:uid="{00000000-0005-0000-0000-000009050000}"/>
    <cellStyle name="Comma 9 6" xfId="420" xr:uid="{00000000-0005-0000-0000-00000A050000}"/>
    <cellStyle name="Comma 9 6 2" xfId="1471" xr:uid="{00000000-0005-0000-0000-00000B050000}"/>
    <cellStyle name="Comma 9 6 2 2" xfId="3566" xr:uid="{00000000-0005-0000-0000-00000C050000}"/>
    <cellStyle name="Comma 9 6 3" xfId="2520" xr:uid="{00000000-0005-0000-0000-00000D050000}"/>
    <cellStyle name="Comma 9 7" xfId="1223" xr:uid="{00000000-0005-0000-0000-00000E050000}"/>
    <cellStyle name="Comma 9 7 2" xfId="3318" xr:uid="{00000000-0005-0000-0000-00000F050000}"/>
    <cellStyle name="Comma 9 8" xfId="2272" xr:uid="{00000000-0005-0000-0000-000010050000}"/>
    <cellStyle name="Currency 2" xfId="3" xr:uid="{00000000-0005-0000-0000-000011050000}"/>
    <cellStyle name="Currency 2 2" xfId="56" xr:uid="{00000000-0005-0000-0000-000012050000}"/>
    <cellStyle name="Currency 2 2 2" xfId="57" xr:uid="{00000000-0005-0000-0000-000013050000}"/>
    <cellStyle name="Currency 2 2 3" xfId="58" xr:uid="{00000000-0005-0000-0000-000014050000}"/>
    <cellStyle name="Currency 2 3" xfId="59" xr:uid="{00000000-0005-0000-0000-000015050000}"/>
    <cellStyle name="Currency 2 3 2" xfId="136" xr:uid="{00000000-0005-0000-0000-000016050000}"/>
    <cellStyle name="Currency 2 3 2 2" xfId="191" xr:uid="{00000000-0005-0000-0000-000017050000}"/>
    <cellStyle name="Currency 2 3 2 2 2" xfId="345" xr:uid="{00000000-0005-0000-0000-000018050000}"/>
    <cellStyle name="Currency 2 3 2 2 2 2" xfId="1130" xr:uid="{00000000-0005-0000-0000-000019050000}"/>
    <cellStyle name="Currency 2 3 2 2 2 2 2" xfId="2176" xr:uid="{00000000-0005-0000-0000-00001A050000}"/>
    <cellStyle name="Currency 2 3 2 2 2 2 2 2" xfId="4271" xr:uid="{00000000-0005-0000-0000-00001B050000}"/>
    <cellStyle name="Currency 2 3 2 2 2 2 3" xfId="3225" xr:uid="{00000000-0005-0000-0000-00001C050000}"/>
    <cellStyle name="Currency 2 3 2 2 2 3" xfId="864" xr:uid="{00000000-0005-0000-0000-00001D050000}"/>
    <cellStyle name="Currency 2 3 2 2 2 3 2" xfId="1910" xr:uid="{00000000-0005-0000-0000-00001E050000}"/>
    <cellStyle name="Currency 2 3 2 2 2 3 2 2" xfId="4005" xr:uid="{00000000-0005-0000-0000-00001F050000}"/>
    <cellStyle name="Currency 2 3 2 2 2 3 3" xfId="2959" xr:uid="{00000000-0005-0000-0000-000020050000}"/>
    <cellStyle name="Currency 2 3 2 2 2 4" xfId="593" xr:uid="{00000000-0005-0000-0000-000021050000}"/>
    <cellStyle name="Currency 2 3 2 2 2 4 2" xfId="1644" xr:uid="{00000000-0005-0000-0000-000022050000}"/>
    <cellStyle name="Currency 2 3 2 2 2 4 2 2" xfId="3739" xr:uid="{00000000-0005-0000-0000-000023050000}"/>
    <cellStyle name="Currency 2 3 2 2 2 4 3" xfId="2693" xr:uid="{00000000-0005-0000-0000-000024050000}"/>
    <cellStyle name="Currency 2 3 2 2 2 5" xfId="1396" xr:uid="{00000000-0005-0000-0000-000025050000}"/>
    <cellStyle name="Currency 2 3 2 2 2 5 2" xfId="3491" xr:uid="{00000000-0005-0000-0000-000026050000}"/>
    <cellStyle name="Currency 2 3 2 2 2 6" xfId="2445" xr:uid="{00000000-0005-0000-0000-000027050000}"/>
    <cellStyle name="Currency 2 3 2 2 3" xfId="1006" xr:uid="{00000000-0005-0000-0000-000028050000}"/>
    <cellStyle name="Currency 2 3 2 2 3 2" xfId="2052" xr:uid="{00000000-0005-0000-0000-000029050000}"/>
    <cellStyle name="Currency 2 3 2 2 3 2 2" xfId="4147" xr:uid="{00000000-0005-0000-0000-00002A050000}"/>
    <cellStyle name="Currency 2 3 2 2 3 3" xfId="3101" xr:uid="{00000000-0005-0000-0000-00002B050000}"/>
    <cellStyle name="Currency 2 3 2 2 4" xfId="740" xr:uid="{00000000-0005-0000-0000-00002C050000}"/>
    <cellStyle name="Currency 2 3 2 2 4 2" xfId="1786" xr:uid="{00000000-0005-0000-0000-00002D050000}"/>
    <cellStyle name="Currency 2 3 2 2 4 2 2" xfId="3881" xr:uid="{00000000-0005-0000-0000-00002E050000}"/>
    <cellStyle name="Currency 2 3 2 2 4 3" xfId="2835" xr:uid="{00000000-0005-0000-0000-00002F050000}"/>
    <cellStyle name="Currency 2 3 2 2 5" xfId="469" xr:uid="{00000000-0005-0000-0000-000030050000}"/>
    <cellStyle name="Currency 2 3 2 2 5 2" xfId="1520" xr:uid="{00000000-0005-0000-0000-000031050000}"/>
    <cellStyle name="Currency 2 3 2 2 5 2 2" xfId="3615" xr:uid="{00000000-0005-0000-0000-000032050000}"/>
    <cellStyle name="Currency 2 3 2 2 5 3" xfId="2569" xr:uid="{00000000-0005-0000-0000-000033050000}"/>
    <cellStyle name="Currency 2 3 2 2 6" xfId="1272" xr:uid="{00000000-0005-0000-0000-000034050000}"/>
    <cellStyle name="Currency 2 3 2 2 6 2" xfId="3367" xr:uid="{00000000-0005-0000-0000-000035050000}"/>
    <cellStyle name="Currency 2 3 2 2 7" xfId="2321" xr:uid="{00000000-0005-0000-0000-000036050000}"/>
    <cellStyle name="Currency 2 3 2 3" xfId="298" xr:uid="{00000000-0005-0000-0000-000037050000}"/>
    <cellStyle name="Currency 2 3 2 3 2" xfId="1083" xr:uid="{00000000-0005-0000-0000-000038050000}"/>
    <cellStyle name="Currency 2 3 2 3 2 2" xfId="2129" xr:uid="{00000000-0005-0000-0000-000039050000}"/>
    <cellStyle name="Currency 2 3 2 3 2 2 2" xfId="4224" xr:uid="{00000000-0005-0000-0000-00003A050000}"/>
    <cellStyle name="Currency 2 3 2 3 2 3" xfId="3178" xr:uid="{00000000-0005-0000-0000-00003B050000}"/>
    <cellStyle name="Currency 2 3 2 3 3" xfId="817" xr:uid="{00000000-0005-0000-0000-00003C050000}"/>
    <cellStyle name="Currency 2 3 2 3 3 2" xfId="1863" xr:uid="{00000000-0005-0000-0000-00003D050000}"/>
    <cellStyle name="Currency 2 3 2 3 3 2 2" xfId="3958" xr:uid="{00000000-0005-0000-0000-00003E050000}"/>
    <cellStyle name="Currency 2 3 2 3 3 3" xfId="2912" xr:uid="{00000000-0005-0000-0000-00003F050000}"/>
    <cellStyle name="Currency 2 3 2 3 4" xfId="546" xr:uid="{00000000-0005-0000-0000-000040050000}"/>
    <cellStyle name="Currency 2 3 2 3 4 2" xfId="1597" xr:uid="{00000000-0005-0000-0000-000041050000}"/>
    <cellStyle name="Currency 2 3 2 3 4 2 2" xfId="3692" xr:uid="{00000000-0005-0000-0000-000042050000}"/>
    <cellStyle name="Currency 2 3 2 3 4 3" xfId="2646" xr:uid="{00000000-0005-0000-0000-000043050000}"/>
    <cellStyle name="Currency 2 3 2 3 5" xfId="1349" xr:uid="{00000000-0005-0000-0000-000044050000}"/>
    <cellStyle name="Currency 2 3 2 3 5 2" xfId="3444" xr:uid="{00000000-0005-0000-0000-000045050000}"/>
    <cellStyle name="Currency 2 3 2 3 6" xfId="2398" xr:uid="{00000000-0005-0000-0000-000046050000}"/>
    <cellStyle name="Currency 2 3 2 4" xfId="959" xr:uid="{00000000-0005-0000-0000-000047050000}"/>
    <cellStyle name="Currency 2 3 2 4 2" xfId="2005" xr:uid="{00000000-0005-0000-0000-000048050000}"/>
    <cellStyle name="Currency 2 3 2 4 2 2" xfId="4100" xr:uid="{00000000-0005-0000-0000-000049050000}"/>
    <cellStyle name="Currency 2 3 2 4 3" xfId="3054" xr:uid="{00000000-0005-0000-0000-00004A050000}"/>
    <cellStyle name="Currency 2 3 2 5" xfId="693" xr:uid="{00000000-0005-0000-0000-00004B050000}"/>
    <cellStyle name="Currency 2 3 2 5 2" xfId="1739" xr:uid="{00000000-0005-0000-0000-00004C050000}"/>
    <cellStyle name="Currency 2 3 2 5 2 2" xfId="3834" xr:uid="{00000000-0005-0000-0000-00004D050000}"/>
    <cellStyle name="Currency 2 3 2 5 3" xfId="2788" xr:uid="{00000000-0005-0000-0000-00004E050000}"/>
    <cellStyle name="Currency 2 3 2 6" xfId="422" xr:uid="{00000000-0005-0000-0000-00004F050000}"/>
    <cellStyle name="Currency 2 3 2 6 2" xfId="1473" xr:uid="{00000000-0005-0000-0000-000050050000}"/>
    <cellStyle name="Currency 2 3 2 6 2 2" xfId="3568" xr:uid="{00000000-0005-0000-0000-000051050000}"/>
    <cellStyle name="Currency 2 3 2 6 3" xfId="2522" xr:uid="{00000000-0005-0000-0000-000052050000}"/>
    <cellStyle name="Currency 2 3 2 7" xfId="1225" xr:uid="{00000000-0005-0000-0000-000053050000}"/>
    <cellStyle name="Currency 2 3 2 7 2" xfId="3320" xr:uid="{00000000-0005-0000-0000-000054050000}"/>
    <cellStyle name="Currency 2 3 2 8" xfId="2274" xr:uid="{00000000-0005-0000-0000-000055050000}"/>
    <cellStyle name="Currency 2 3 3" xfId="163" xr:uid="{00000000-0005-0000-0000-000056050000}"/>
    <cellStyle name="Currency 2 3 3 2" xfId="317" xr:uid="{00000000-0005-0000-0000-000057050000}"/>
    <cellStyle name="Currency 2 3 3 2 2" xfId="1102" xr:uid="{00000000-0005-0000-0000-000058050000}"/>
    <cellStyle name="Currency 2 3 3 2 2 2" xfId="2148" xr:uid="{00000000-0005-0000-0000-000059050000}"/>
    <cellStyle name="Currency 2 3 3 2 2 2 2" xfId="4243" xr:uid="{00000000-0005-0000-0000-00005A050000}"/>
    <cellStyle name="Currency 2 3 3 2 2 3" xfId="3197" xr:uid="{00000000-0005-0000-0000-00005B050000}"/>
    <cellStyle name="Currency 2 3 3 2 3" xfId="836" xr:uid="{00000000-0005-0000-0000-00005C050000}"/>
    <cellStyle name="Currency 2 3 3 2 3 2" xfId="1882" xr:uid="{00000000-0005-0000-0000-00005D050000}"/>
    <cellStyle name="Currency 2 3 3 2 3 2 2" xfId="3977" xr:uid="{00000000-0005-0000-0000-00005E050000}"/>
    <cellStyle name="Currency 2 3 3 2 3 3" xfId="2931" xr:uid="{00000000-0005-0000-0000-00005F050000}"/>
    <cellStyle name="Currency 2 3 3 2 4" xfId="565" xr:uid="{00000000-0005-0000-0000-000060050000}"/>
    <cellStyle name="Currency 2 3 3 2 4 2" xfId="1616" xr:uid="{00000000-0005-0000-0000-000061050000}"/>
    <cellStyle name="Currency 2 3 3 2 4 2 2" xfId="3711" xr:uid="{00000000-0005-0000-0000-000062050000}"/>
    <cellStyle name="Currency 2 3 3 2 4 3" xfId="2665" xr:uid="{00000000-0005-0000-0000-000063050000}"/>
    <cellStyle name="Currency 2 3 3 2 5" xfId="1368" xr:uid="{00000000-0005-0000-0000-000064050000}"/>
    <cellStyle name="Currency 2 3 3 2 5 2" xfId="3463" xr:uid="{00000000-0005-0000-0000-000065050000}"/>
    <cellStyle name="Currency 2 3 3 2 6" xfId="2417" xr:uid="{00000000-0005-0000-0000-000066050000}"/>
    <cellStyle name="Currency 2 3 3 3" xfId="978" xr:uid="{00000000-0005-0000-0000-000067050000}"/>
    <cellStyle name="Currency 2 3 3 3 2" xfId="2024" xr:uid="{00000000-0005-0000-0000-000068050000}"/>
    <cellStyle name="Currency 2 3 3 3 2 2" xfId="4119" xr:uid="{00000000-0005-0000-0000-000069050000}"/>
    <cellStyle name="Currency 2 3 3 3 3" xfId="3073" xr:uid="{00000000-0005-0000-0000-00006A050000}"/>
    <cellStyle name="Currency 2 3 3 4" xfId="712" xr:uid="{00000000-0005-0000-0000-00006B050000}"/>
    <cellStyle name="Currency 2 3 3 4 2" xfId="1758" xr:uid="{00000000-0005-0000-0000-00006C050000}"/>
    <cellStyle name="Currency 2 3 3 4 2 2" xfId="3853" xr:uid="{00000000-0005-0000-0000-00006D050000}"/>
    <cellStyle name="Currency 2 3 3 4 3" xfId="2807" xr:uid="{00000000-0005-0000-0000-00006E050000}"/>
    <cellStyle name="Currency 2 3 3 5" xfId="441" xr:uid="{00000000-0005-0000-0000-00006F050000}"/>
    <cellStyle name="Currency 2 3 3 5 2" xfId="1492" xr:uid="{00000000-0005-0000-0000-000070050000}"/>
    <cellStyle name="Currency 2 3 3 5 2 2" xfId="3587" xr:uid="{00000000-0005-0000-0000-000071050000}"/>
    <cellStyle name="Currency 2 3 3 5 3" xfId="2541" xr:uid="{00000000-0005-0000-0000-000072050000}"/>
    <cellStyle name="Currency 2 3 3 6" xfId="1244" xr:uid="{00000000-0005-0000-0000-000073050000}"/>
    <cellStyle name="Currency 2 3 3 6 2" xfId="3339" xr:uid="{00000000-0005-0000-0000-000074050000}"/>
    <cellStyle name="Currency 2 3 3 7" xfId="2293" xr:uid="{00000000-0005-0000-0000-000075050000}"/>
    <cellStyle name="Currency 2 3 4" xfId="270" xr:uid="{00000000-0005-0000-0000-000076050000}"/>
    <cellStyle name="Currency 2 3 4 2" xfId="1055" xr:uid="{00000000-0005-0000-0000-000077050000}"/>
    <cellStyle name="Currency 2 3 4 2 2" xfId="2101" xr:uid="{00000000-0005-0000-0000-000078050000}"/>
    <cellStyle name="Currency 2 3 4 2 2 2" xfId="4196" xr:uid="{00000000-0005-0000-0000-000079050000}"/>
    <cellStyle name="Currency 2 3 4 2 3" xfId="3150" xr:uid="{00000000-0005-0000-0000-00007A050000}"/>
    <cellStyle name="Currency 2 3 4 3" xfId="789" xr:uid="{00000000-0005-0000-0000-00007B050000}"/>
    <cellStyle name="Currency 2 3 4 3 2" xfId="1835" xr:uid="{00000000-0005-0000-0000-00007C050000}"/>
    <cellStyle name="Currency 2 3 4 3 2 2" xfId="3930" xr:uid="{00000000-0005-0000-0000-00007D050000}"/>
    <cellStyle name="Currency 2 3 4 3 3" xfId="2884" xr:uid="{00000000-0005-0000-0000-00007E050000}"/>
    <cellStyle name="Currency 2 3 4 4" xfId="518" xr:uid="{00000000-0005-0000-0000-00007F050000}"/>
    <cellStyle name="Currency 2 3 4 4 2" xfId="1569" xr:uid="{00000000-0005-0000-0000-000080050000}"/>
    <cellStyle name="Currency 2 3 4 4 2 2" xfId="3664" xr:uid="{00000000-0005-0000-0000-000081050000}"/>
    <cellStyle name="Currency 2 3 4 4 3" xfId="2618" xr:uid="{00000000-0005-0000-0000-000082050000}"/>
    <cellStyle name="Currency 2 3 4 5" xfId="1321" xr:uid="{00000000-0005-0000-0000-000083050000}"/>
    <cellStyle name="Currency 2 3 4 5 2" xfId="3416" xr:uid="{00000000-0005-0000-0000-000084050000}"/>
    <cellStyle name="Currency 2 3 4 6" xfId="2370" xr:uid="{00000000-0005-0000-0000-000085050000}"/>
    <cellStyle name="Currency 2 3 5" xfId="931" xr:uid="{00000000-0005-0000-0000-000086050000}"/>
    <cellStyle name="Currency 2 3 5 2" xfId="1977" xr:uid="{00000000-0005-0000-0000-000087050000}"/>
    <cellStyle name="Currency 2 3 5 2 2" xfId="4072" xr:uid="{00000000-0005-0000-0000-000088050000}"/>
    <cellStyle name="Currency 2 3 5 3" xfId="3026" xr:uid="{00000000-0005-0000-0000-000089050000}"/>
    <cellStyle name="Currency 2 3 6" xfId="665" xr:uid="{00000000-0005-0000-0000-00008A050000}"/>
    <cellStyle name="Currency 2 3 6 2" xfId="1711" xr:uid="{00000000-0005-0000-0000-00008B050000}"/>
    <cellStyle name="Currency 2 3 6 2 2" xfId="3806" xr:uid="{00000000-0005-0000-0000-00008C050000}"/>
    <cellStyle name="Currency 2 3 6 3" xfId="2760" xr:uid="{00000000-0005-0000-0000-00008D050000}"/>
    <cellStyle name="Currency 2 3 7" xfId="394" xr:uid="{00000000-0005-0000-0000-00008E050000}"/>
    <cellStyle name="Currency 2 3 7 2" xfId="1445" xr:uid="{00000000-0005-0000-0000-00008F050000}"/>
    <cellStyle name="Currency 2 3 7 2 2" xfId="3540" xr:uid="{00000000-0005-0000-0000-000090050000}"/>
    <cellStyle name="Currency 2 3 7 3" xfId="2494" xr:uid="{00000000-0005-0000-0000-000091050000}"/>
    <cellStyle name="Currency 2 3 8" xfId="1197" xr:uid="{00000000-0005-0000-0000-000092050000}"/>
    <cellStyle name="Currency 2 3 8 2" xfId="3292" xr:uid="{00000000-0005-0000-0000-000093050000}"/>
    <cellStyle name="Currency 2 3 9" xfId="2246" xr:uid="{00000000-0005-0000-0000-000094050000}"/>
    <cellStyle name="Currency 2 4" xfId="60" xr:uid="{00000000-0005-0000-0000-000095050000}"/>
    <cellStyle name="Currency 3" xfId="61" xr:uid="{00000000-0005-0000-0000-000096050000}"/>
    <cellStyle name="Currency 3 2" xfId="62" xr:uid="{00000000-0005-0000-0000-000097050000}"/>
    <cellStyle name="Currency 3 3" xfId="63" xr:uid="{00000000-0005-0000-0000-000098050000}"/>
    <cellStyle name="Currency 4" xfId="64" xr:uid="{00000000-0005-0000-0000-000099050000}"/>
    <cellStyle name="Currency 4 2" xfId="137" xr:uid="{00000000-0005-0000-0000-00009A050000}"/>
    <cellStyle name="Currency 4 2 2" xfId="192" xr:uid="{00000000-0005-0000-0000-00009B050000}"/>
    <cellStyle name="Currency 4 2 2 2" xfId="346" xr:uid="{00000000-0005-0000-0000-00009C050000}"/>
    <cellStyle name="Currency 4 2 2 2 2" xfId="1131" xr:uid="{00000000-0005-0000-0000-00009D050000}"/>
    <cellStyle name="Currency 4 2 2 2 2 2" xfId="2177" xr:uid="{00000000-0005-0000-0000-00009E050000}"/>
    <cellStyle name="Currency 4 2 2 2 2 2 2" xfId="4272" xr:uid="{00000000-0005-0000-0000-00009F050000}"/>
    <cellStyle name="Currency 4 2 2 2 2 3" xfId="3226" xr:uid="{00000000-0005-0000-0000-0000A0050000}"/>
    <cellStyle name="Currency 4 2 2 2 3" xfId="865" xr:uid="{00000000-0005-0000-0000-0000A1050000}"/>
    <cellStyle name="Currency 4 2 2 2 3 2" xfId="1911" xr:uid="{00000000-0005-0000-0000-0000A2050000}"/>
    <cellStyle name="Currency 4 2 2 2 3 2 2" xfId="4006" xr:uid="{00000000-0005-0000-0000-0000A3050000}"/>
    <cellStyle name="Currency 4 2 2 2 3 3" xfId="2960" xr:uid="{00000000-0005-0000-0000-0000A4050000}"/>
    <cellStyle name="Currency 4 2 2 2 4" xfId="594" xr:uid="{00000000-0005-0000-0000-0000A5050000}"/>
    <cellStyle name="Currency 4 2 2 2 4 2" xfId="1645" xr:uid="{00000000-0005-0000-0000-0000A6050000}"/>
    <cellStyle name="Currency 4 2 2 2 4 2 2" xfId="3740" xr:uid="{00000000-0005-0000-0000-0000A7050000}"/>
    <cellStyle name="Currency 4 2 2 2 4 3" xfId="2694" xr:uid="{00000000-0005-0000-0000-0000A8050000}"/>
    <cellStyle name="Currency 4 2 2 2 5" xfId="1397" xr:uid="{00000000-0005-0000-0000-0000A9050000}"/>
    <cellStyle name="Currency 4 2 2 2 5 2" xfId="3492" xr:uid="{00000000-0005-0000-0000-0000AA050000}"/>
    <cellStyle name="Currency 4 2 2 2 6" xfId="2446" xr:uid="{00000000-0005-0000-0000-0000AB050000}"/>
    <cellStyle name="Currency 4 2 2 3" xfId="1007" xr:uid="{00000000-0005-0000-0000-0000AC050000}"/>
    <cellStyle name="Currency 4 2 2 3 2" xfId="2053" xr:uid="{00000000-0005-0000-0000-0000AD050000}"/>
    <cellStyle name="Currency 4 2 2 3 2 2" xfId="4148" xr:uid="{00000000-0005-0000-0000-0000AE050000}"/>
    <cellStyle name="Currency 4 2 2 3 3" xfId="3102" xr:uid="{00000000-0005-0000-0000-0000AF050000}"/>
    <cellStyle name="Currency 4 2 2 4" xfId="741" xr:uid="{00000000-0005-0000-0000-0000B0050000}"/>
    <cellStyle name="Currency 4 2 2 4 2" xfId="1787" xr:uid="{00000000-0005-0000-0000-0000B1050000}"/>
    <cellStyle name="Currency 4 2 2 4 2 2" xfId="3882" xr:uid="{00000000-0005-0000-0000-0000B2050000}"/>
    <cellStyle name="Currency 4 2 2 4 3" xfId="2836" xr:uid="{00000000-0005-0000-0000-0000B3050000}"/>
    <cellStyle name="Currency 4 2 2 5" xfId="470" xr:uid="{00000000-0005-0000-0000-0000B4050000}"/>
    <cellStyle name="Currency 4 2 2 5 2" xfId="1521" xr:uid="{00000000-0005-0000-0000-0000B5050000}"/>
    <cellStyle name="Currency 4 2 2 5 2 2" xfId="3616" xr:uid="{00000000-0005-0000-0000-0000B6050000}"/>
    <cellStyle name="Currency 4 2 2 5 3" xfId="2570" xr:uid="{00000000-0005-0000-0000-0000B7050000}"/>
    <cellStyle name="Currency 4 2 2 6" xfId="1273" xr:uid="{00000000-0005-0000-0000-0000B8050000}"/>
    <cellStyle name="Currency 4 2 2 6 2" xfId="3368" xr:uid="{00000000-0005-0000-0000-0000B9050000}"/>
    <cellStyle name="Currency 4 2 2 7" xfId="2322" xr:uid="{00000000-0005-0000-0000-0000BA050000}"/>
    <cellStyle name="Currency 4 2 3" xfId="299" xr:uid="{00000000-0005-0000-0000-0000BB050000}"/>
    <cellStyle name="Currency 4 2 3 2" xfId="1084" xr:uid="{00000000-0005-0000-0000-0000BC050000}"/>
    <cellStyle name="Currency 4 2 3 2 2" xfId="2130" xr:uid="{00000000-0005-0000-0000-0000BD050000}"/>
    <cellStyle name="Currency 4 2 3 2 2 2" xfId="4225" xr:uid="{00000000-0005-0000-0000-0000BE050000}"/>
    <cellStyle name="Currency 4 2 3 2 3" xfId="3179" xr:uid="{00000000-0005-0000-0000-0000BF050000}"/>
    <cellStyle name="Currency 4 2 3 3" xfId="818" xr:uid="{00000000-0005-0000-0000-0000C0050000}"/>
    <cellStyle name="Currency 4 2 3 3 2" xfId="1864" xr:uid="{00000000-0005-0000-0000-0000C1050000}"/>
    <cellStyle name="Currency 4 2 3 3 2 2" xfId="3959" xr:uid="{00000000-0005-0000-0000-0000C2050000}"/>
    <cellStyle name="Currency 4 2 3 3 3" xfId="2913" xr:uid="{00000000-0005-0000-0000-0000C3050000}"/>
    <cellStyle name="Currency 4 2 3 4" xfId="547" xr:uid="{00000000-0005-0000-0000-0000C4050000}"/>
    <cellStyle name="Currency 4 2 3 4 2" xfId="1598" xr:uid="{00000000-0005-0000-0000-0000C5050000}"/>
    <cellStyle name="Currency 4 2 3 4 2 2" xfId="3693" xr:uid="{00000000-0005-0000-0000-0000C6050000}"/>
    <cellStyle name="Currency 4 2 3 4 3" xfId="2647" xr:uid="{00000000-0005-0000-0000-0000C7050000}"/>
    <cellStyle name="Currency 4 2 3 5" xfId="1350" xr:uid="{00000000-0005-0000-0000-0000C8050000}"/>
    <cellStyle name="Currency 4 2 3 5 2" xfId="3445" xr:uid="{00000000-0005-0000-0000-0000C9050000}"/>
    <cellStyle name="Currency 4 2 3 6" xfId="2399" xr:uid="{00000000-0005-0000-0000-0000CA050000}"/>
    <cellStyle name="Currency 4 2 4" xfId="960" xr:uid="{00000000-0005-0000-0000-0000CB050000}"/>
    <cellStyle name="Currency 4 2 4 2" xfId="2006" xr:uid="{00000000-0005-0000-0000-0000CC050000}"/>
    <cellStyle name="Currency 4 2 4 2 2" xfId="4101" xr:uid="{00000000-0005-0000-0000-0000CD050000}"/>
    <cellStyle name="Currency 4 2 4 3" xfId="3055" xr:uid="{00000000-0005-0000-0000-0000CE050000}"/>
    <cellStyle name="Currency 4 2 5" xfId="694" xr:uid="{00000000-0005-0000-0000-0000CF050000}"/>
    <cellStyle name="Currency 4 2 5 2" xfId="1740" xr:uid="{00000000-0005-0000-0000-0000D0050000}"/>
    <cellStyle name="Currency 4 2 5 2 2" xfId="3835" xr:uid="{00000000-0005-0000-0000-0000D1050000}"/>
    <cellStyle name="Currency 4 2 5 3" xfId="2789" xr:uid="{00000000-0005-0000-0000-0000D2050000}"/>
    <cellStyle name="Currency 4 2 6" xfId="423" xr:uid="{00000000-0005-0000-0000-0000D3050000}"/>
    <cellStyle name="Currency 4 2 6 2" xfId="1474" xr:uid="{00000000-0005-0000-0000-0000D4050000}"/>
    <cellStyle name="Currency 4 2 6 2 2" xfId="3569" xr:uid="{00000000-0005-0000-0000-0000D5050000}"/>
    <cellStyle name="Currency 4 2 6 3" xfId="2523" xr:uid="{00000000-0005-0000-0000-0000D6050000}"/>
    <cellStyle name="Currency 4 2 7" xfId="1226" xr:uid="{00000000-0005-0000-0000-0000D7050000}"/>
    <cellStyle name="Currency 4 2 7 2" xfId="3321" xr:uid="{00000000-0005-0000-0000-0000D8050000}"/>
    <cellStyle name="Currency 4 2 8" xfId="2275" xr:uid="{00000000-0005-0000-0000-0000D9050000}"/>
    <cellStyle name="Currency 4 3" xfId="164" xr:uid="{00000000-0005-0000-0000-0000DA050000}"/>
    <cellStyle name="Currency 4 3 2" xfId="318" xr:uid="{00000000-0005-0000-0000-0000DB050000}"/>
    <cellStyle name="Currency 4 3 2 2" xfId="1103" xr:uid="{00000000-0005-0000-0000-0000DC050000}"/>
    <cellStyle name="Currency 4 3 2 2 2" xfId="2149" xr:uid="{00000000-0005-0000-0000-0000DD050000}"/>
    <cellStyle name="Currency 4 3 2 2 2 2" xfId="4244" xr:uid="{00000000-0005-0000-0000-0000DE050000}"/>
    <cellStyle name="Currency 4 3 2 2 3" xfId="3198" xr:uid="{00000000-0005-0000-0000-0000DF050000}"/>
    <cellStyle name="Currency 4 3 2 3" xfId="837" xr:uid="{00000000-0005-0000-0000-0000E0050000}"/>
    <cellStyle name="Currency 4 3 2 3 2" xfId="1883" xr:uid="{00000000-0005-0000-0000-0000E1050000}"/>
    <cellStyle name="Currency 4 3 2 3 2 2" xfId="3978" xr:uid="{00000000-0005-0000-0000-0000E2050000}"/>
    <cellStyle name="Currency 4 3 2 3 3" xfId="2932" xr:uid="{00000000-0005-0000-0000-0000E3050000}"/>
    <cellStyle name="Currency 4 3 2 4" xfId="566" xr:uid="{00000000-0005-0000-0000-0000E4050000}"/>
    <cellStyle name="Currency 4 3 2 4 2" xfId="1617" xr:uid="{00000000-0005-0000-0000-0000E5050000}"/>
    <cellStyle name="Currency 4 3 2 4 2 2" xfId="3712" xr:uid="{00000000-0005-0000-0000-0000E6050000}"/>
    <cellStyle name="Currency 4 3 2 4 3" xfId="2666" xr:uid="{00000000-0005-0000-0000-0000E7050000}"/>
    <cellStyle name="Currency 4 3 2 5" xfId="1369" xr:uid="{00000000-0005-0000-0000-0000E8050000}"/>
    <cellStyle name="Currency 4 3 2 5 2" xfId="3464" xr:uid="{00000000-0005-0000-0000-0000E9050000}"/>
    <cellStyle name="Currency 4 3 2 6" xfId="2418" xr:uid="{00000000-0005-0000-0000-0000EA050000}"/>
    <cellStyle name="Currency 4 3 3" xfId="979" xr:uid="{00000000-0005-0000-0000-0000EB050000}"/>
    <cellStyle name="Currency 4 3 3 2" xfId="2025" xr:uid="{00000000-0005-0000-0000-0000EC050000}"/>
    <cellStyle name="Currency 4 3 3 2 2" xfId="4120" xr:uid="{00000000-0005-0000-0000-0000ED050000}"/>
    <cellStyle name="Currency 4 3 3 3" xfId="3074" xr:uid="{00000000-0005-0000-0000-0000EE050000}"/>
    <cellStyle name="Currency 4 3 4" xfId="713" xr:uid="{00000000-0005-0000-0000-0000EF050000}"/>
    <cellStyle name="Currency 4 3 4 2" xfId="1759" xr:uid="{00000000-0005-0000-0000-0000F0050000}"/>
    <cellStyle name="Currency 4 3 4 2 2" xfId="3854" xr:uid="{00000000-0005-0000-0000-0000F1050000}"/>
    <cellStyle name="Currency 4 3 4 3" xfId="2808" xr:uid="{00000000-0005-0000-0000-0000F2050000}"/>
    <cellStyle name="Currency 4 3 5" xfId="442" xr:uid="{00000000-0005-0000-0000-0000F3050000}"/>
    <cellStyle name="Currency 4 3 5 2" xfId="1493" xr:uid="{00000000-0005-0000-0000-0000F4050000}"/>
    <cellStyle name="Currency 4 3 5 2 2" xfId="3588" xr:uid="{00000000-0005-0000-0000-0000F5050000}"/>
    <cellStyle name="Currency 4 3 5 3" xfId="2542" xr:uid="{00000000-0005-0000-0000-0000F6050000}"/>
    <cellStyle name="Currency 4 3 6" xfId="1245" xr:uid="{00000000-0005-0000-0000-0000F7050000}"/>
    <cellStyle name="Currency 4 3 6 2" xfId="3340" xr:uid="{00000000-0005-0000-0000-0000F8050000}"/>
    <cellStyle name="Currency 4 3 7" xfId="2294" xr:uid="{00000000-0005-0000-0000-0000F9050000}"/>
    <cellStyle name="Currency 4 4" xfId="271" xr:uid="{00000000-0005-0000-0000-0000FA050000}"/>
    <cellStyle name="Currency 4 4 2" xfId="1056" xr:uid="{00000000-0005-0000-0000-0000FB050000}"/>
    <cellStyle name="Currency 4 4 2 2" xfId="2102" xr:uid="{00000000-0005-0000-0000-0000FC050000}"/>
    <cellStyle name="Currency 4 4 2 2 2" xfId="4197" xr:uid="{00000000-0005-0000-0000-0000FD050000}"/>
    <cellStyle name="Currency 4 4 2 3" xfId="3151" xr:uid="{00000000-0005-0000-0000-0000FE050000}"/>
    <cellStyle name="Currency 4 4 3" xfId="790" xr:uid="{00000000-0005-0000-0000-0000FF050000}"/>
    <cellStyle name="Currency 4 4 3 2" xfId="1836" xr:uid="{00000000-0005-0000-0000-000000060000}"/>
    <cellStyle name="Currency 4 4 3 2 2" xfId="3931" xr:uid="{00000000-0005-0000-0000-000001060000}"/>
    <cellStyle name="Currency 4 4 3 3" xfId="2885" xr:uid="{00000000-0005-0000-0000-000002060000}"/>
    <cellStyle name="Currency 4 4 4" xfId="519" xr:uid="{00000000-0005-0000-0000-000003060000}"/>
    <cellStyle name="Currency 4 4 4 2" xfId="1570" xr:uid="{00000000-0005-0000-0000-000004060000}"/>
    <cellStyle name="Currency 4 4 4 2 2" xfId="3665" xr:uid="{00000000-0005-0000-0000-000005060000}"/>
    <cellStyle name="Currency 4 4 4 3" xfId="2619" xr:uid="{00000000-0005-0000-0000-000006060000}"/>
    <cellStyle name="Currency 4 4 5" xfId="1322" xr:uid="{00000000-0005-0000-0000-000007060000}"/>
    <cellStyle name="Currency 4 4 5 2" xfId="3417" xr:uid="{00000000-0005-0000-0000-000008060000}"/>
    <cellStyle name="Currency 4 4 6" xfId="2371" xr:uid="{00000000-0005-0000-0000-000009060000}"/>
    <cellStyle name="Currency 4 5" xfId="932" xr:uid="{00000000-0005-0000-0000-00000A060000}"/>
    <cellStyle name="Currency 4 5 2" xfId="1978" xr:uid="{00000000-0005-0000-0000-00000B060000}"/>
    <cellStyle name="Currency 4 5 2 2" xfId="4073" xr:uid="{00000000-0005-0000-0000-00000C060000}"/>
    <cellStyle name="Currency 4 5 3" xfId="3027" xr:uid="{00000000-0005-0000-0000-00000D060000}"/>
    <cellStyle name="Currency 4 6" xfId="666" xr:uid="{00000000-0005-0000-0000-00000E060000}"/>
    <cellStyle name="Currency 4 6 2" xfId="1712" xr:uid="{00000000-0005-0000-0000-00000F060000}"/>
    <cellStyle name="Currency 4 6 2 2" xfId="3807" xr:uid="{00000000-0005-0000-0000-000010060000}"/>
    <cellStyle name="Currency 4 6 3" xfId="2761" xr:uid="{00000000-0005-0000-0000-000011060000}"/>
    <cellStyle name="Currency 4 7" xfId="395" xr:uid="{00000000-0005-0000-0000-000012060000}"/>
    <cellStyle name="Currency 4 7 2" xfId="1446" xr:uid="{00000000-0005-0000-0000-000013060000}"/>
    <cellStyle name="Currency 4 7 2 2" xfId="3541" xr:uid="{00000000-0005-0000-0000-000014060000}"/>
    <cellStyle name="Currency 4 7 3" xfId="2495" xr:uid="{00000000-0005-0000-0000-000015060000}"/>
    <cellStyle name="Currency 4 8" xfId="1198" xr:uid="{00000000-0005-0000-0000-000016060000}"/>
    <cellStyle name="Currency 4 8 2" xfId="3293" xr:uid="{00000000-0005-0000-0000-000017060000}"/>
    <cellStyle name="Currency 4 9" xfId="2247" xr:uid="{00000000-0005-0000-0000-000018060000}"/>
    <cellStyle name="Currency 5" xfId="654" xr:uid="{00000000-0005-0000-0000-000019060000}"/>
    <cellStyle name="Currency 5 2" xfId="1188" xr:uid="{00000000-0005-0000-0000-00001A060000}"/>
    <cellStyle name="Currency 5 2 2" xfId="2234" xr:uid="{00000000-0005-0000-0000-00001B060000}"/>
    <cellStyle name="Currency 5 2 2 2" xfId="4329" xr:uid="{00000000-0005-0000-0000-00001C060000}"/>
    <cellStyle name="Currency 5 2 3" xfId="3283" xr:uid="{00000000-0005-0000-0000-00001D060000}"/>
    <cellStyle name="Currency 5 3" xfId="922" xr:uid="{00000000-0005-0000-0000-00001E060000}"/>
    <cellStyle name="Currency 5 3 2" xfId="1968" xr:uid="{00000000-0005-0000-0000-00001F060000}"/>
    <cellStyle name="Currency 5 3 2 2" xfId="4063" xr:uid="{00000000-0005-0000-0000-000020060000}"/>
    <cellStyle name="Currency 5 3 3" xfId="3017" xr:uid="{00000000-0005-0000-0000-000021060000}"/>
    <cellStyle name="Currency 5 4" xfId="1702" xr:uid="{00000000-0005-0000-0000-000022060000}"/>
    <cellStyle name="Currency 5 4 2" xfId="3797" xr:uid="{00000000-0005-0000-0000-000023060000}"/>
    <cellStyle name="Currency 5 5" xfId="2751" xr:uid="{00000000-0005-0000-0000-000024060000}"/>
    <cellStyle name="Explanatory Text" xfId="216" builtinId="53" customBuiltin="1"/>
    <cellStyle name="Explanatory Text 2" xfId="65" xr:uid="{00000000-0005-0000-0000-000026060000}"/>
    <cellStyle name="globaldir" xfId="649" xr:uid="{00000000-0005-0000-0000-000027060000}"/>
    <cellStyle name="Good" xfId="207" builtinId="26" customBuiltin="1"/>
    <cellStyle name="Good 2" xfId="66" xr:uid="{00000000-0005-0000-0000-000029060000}"/>
    <cellStyle name="Heading 1" xfId="203" builtinId="16" customBuiltin="1"/>
    <cellStyle name="Heading 1 2" xfId="67" xr:uid="{00000000-0005-0000-0000-00002B060000}"/>
    <cellStyle name="Heading 2" xfId="204" builtinId="17" customBuiltin="1"/>
    <cellStyle name="Heading 2 2" xfId="68" xr:uid="{00000000-0005-0000-0000-00002D060000}"/>
    <cellStyle name="Heading 3" xfId="205" builtinId="18" customBuiltin="1"/>
    <cellStyle name="Heading 3 2" xfId="69" xr:uid="{00000000-0005-0000-0000-00002F060000}"/>
    <cellStyle name="Heading 3 3" xfId="70" xr:uid="{00000000-0005-0000-0000-000030060000}"/>
    <cellStyle name="Heading 4" xfId="206" builtinId="19" customBuiltin="1"/>
    <cellStyle name="Heading 4 2" xfId="71" xr:uid="{00000000-0005-0000-0000-000032060000}"/>
    <cellStyle name="Hyperlink" xfId="4333" builtinId="8"/>
    <cellStyle name="Hyperlink 2" xfId="151" xr:uid="{00000000-0005-0000-0000-000034060000}"/>
    <cellStyle name="Input" xfId="210" builtinId="20" customBuiltin="1"/>
    <cellStyle name="Input 2" xfId="72" xr:uid="{00000000-0005-0000-0000-000036060000}"/>
    <cellStyle name="Linked Cell" xfId="213" builtinId="24" customBuiltin="1"/>
    <cellStyle name="Linked Cell 2" xfId="73" xr:uid="{00000000-0005-0000-0000-000038060000}"/>
    <cellStyle name="LockedStyle" xfId="74" xr:uid="{00000000-0005-0000-0000-000039060000}"/>
    <cellStyle name="Neutral" xfId="209" builtinId="28" customBuiltin="1"/>
    <cellStyle name="Neutral 2" xfId="75" xr:uid="{00000000-0005-0000-0000-00003B060000}"/>
    <cellStyle name="Normal" xfId="0" builtinId="0" customBuiltin="1"/>
    <cellStyle name="Normal - Style1" xfId="650" xr:uid="{00000000-0005-0000-0000-00003D060000}"/>
    <cellStyle name="Normal 10" xfId="76" xr:uid="{00000000-0005-0000-0000-00003E060000}"/>
    <cellStyle name="Normal 10 2" xfId="150" xr:uid="{00000000-0005-0000-0000-00003F060000}"/>
    <cellStyle name="Normal 10 2 2" xfId="201" xr:uid="{00000000-0005-0000-0000-000040060000}"/>
    <cellStyle name="Normal 10 2 2 2" xfId="355" xr:uid="{00000000-0005-0000-0000-000041060000}"/>
    <cellStyle name="Normal 10 2 2 2 2" xfId="1140" xr:uid="{00000000-0005-0000-0000-000042060000}"/>
    <cellStyle name="Normal 10 2 2 2 2 2" xfId="2186" xr:uid="{00000000-0005-0000-0000-000043060000}"/>
    <cellStyle name="Normal 10 2 2 2 2 2 2" xfId="4281" xr:uid="{00000000-0005-0000-0000-000044060000}"/>
    <cellStyle name="Normal 10 2 2 2 2 3" xfId="3235" xr:uid="{00000000-0005-0000-0000-000045060000}"/>
    <cellStyle name="Normal 10 2 2 2 3" xfId="874" xr:uid="{00000000-0005-0000-0000-000046060000}"/>
    <cellStyle name="Normal 10 2 2 2 3 2" xfId="1920" xr:uid="{00000000-0005-0000-0000-000047060000}"/>
    <cellStyle name="Normal 10 2 2 2 3 2 2" xfId="4015" xr:uid="{00000000-0005-0000-0000-000048060000}"/>
    <cellStyle name="Normal 10 2 2 2 3 3" xfId="2969" xr:uid="{00000000-0005-0000-0000-000049060000}"/>
    <cellStyle name="Normal 10 2 2 2 4" xfId="603" xr:uid="{00000000-0005-0000-0000-00004A060000}"/>
    <cellStyle name="Normal 10 2 2 2 4 2" xfId="1654" xr:uid="{00000000-0005-0000-0000-00004B060000}"/>
    <cellStyle name="Normal 10 2 2 2 4 2 2" xfId="3749" xr:uid="{00000000-0005-0000-0000-00004C060000}"/>
    <cellStyle name="Normal 10 2 2 2 4 3" xfId="2703" xr:uid="{00000000-0005-0000-0000-00004D060000}"/>
    <cellStyle name="Normal 10 2 2 2 5" xfId="1406" xr:uid="{00000000-0005-0000-0000-00004E060000}"/>
    <cellStyle name="Normal 10 2 2 2 5 2" xfId="3501" xr:uid="{00000000-0005-0000-0000-00004F060000}"/>
    <cellStyle name="Normal 10 2 2 2 6" xfId="2455" xr:uid="{00000000-0005-0000-0000-000050060000}"/>
    <cellStyle name="Normal 10 2 2 3" xfId="1016" xr:uid="{00000000-0005-0000-0000-000051060000}"/>
    <cellStyle name="Normal 10 2 2 3 2" xfId="2062" xr:uid="{00000000-0005-0000-0000-000052060000}"/>
    <cellStyle name="Normal 10 2 2 3 2 2" xfId="4157" xr:uid="{00000000-0005-0000-0000-000053060000}"/>
    <cellStyle name="Normal 10 2 2 3 3" xfId="3111" xr:uid="{00000000-0005-0000-0000-000054060000}"/>
    <cellStyle name="Normal 10 2 2 4" xfId="750" xr:uid="{00000000-0005-0000-0000-000055060000}"/>
    <cellStyle name="Normal 10 2 2 4 2" xfId="1796" xr:uid="{00000000-0005-0000-0000-000056060000}"/>
    <cellStyle name="Normal 10 2 2 4 2 2" xfId="3891" xr:uid="{00000000-0005-0000-0000-000057060000}"/>
    <cellStyle name="Normal 10 2 2 4 3" xfId="2845" xr:uid="{00000000-0005-0000-0000-000058060000}"/>
    <cellStyle name="Normal 10 2 2 5" xfId="479" xr:uid="{00000000-0005-0000-0000-000059060000}"/>
    <cellStyle name="Normal 10 2 2 5 2" xfId="1530" xr:uid="{00000000-0005-0000-0000-00005A060000}"/>
    <cellStyle name="Normal 10 2 2 5 2 2" xfId="3625" xr:uid="{00000000-0005-0000-0000-00005B060000}"/>
    <cellStyle name="Normal 10 2 2 5 3" xfId="2579" xr:uid="{00000000-0005-0000-0000-00005C060000}"/>
    <cellStyle name="Normal 10 2 2 6" xfId="1282" xr:uid="{00000000-0005-0000-0000-00005D060000}"/>
    <cellStyle name="Normal 10 2 2 6 2" xfId="3377" xr:uid="{00000000-0005-0000-0000-00005E060000}"/>
    <cellStyle name="Normal 10 2 2 7" xfId="2331" xr:uid="{00000000-0005-0000-0000-00005F060000}"/>
    <cellStyle name="Normal 10 2 3" xfId="308" xr:uid="{00000000-0005-0000-0000-000060060000}"/>
    <cellStyle name="Normal 10 2 3 2" xfId="1093" xr:uid="{00000000-0005-0000-0000-000061060000}"/>
    <cellStyle name="Normal 10 2 3 2 2" xfId="2139" xr:uid="{00000000-0005-0000-0000-000062060000}"/>
    <cellStyle name="Normal 10 2 3 2 2 2" xfId="4234" xr:uid="{00000000-0005-0000-0000-000063060000}"/>
    <cellStyle name="Normal 10 2 3 2 3" xfId="3188" xr:uid="{00000000-0005-0000-0000-000064060000}"/>
    <cellStyle name="Normal 10 2 3 3" xfId="827" xr:uid="{00000000-0005-0000-0000-000065060000}"/>
    <cellStyle name="Normal 10 2 3 3 2" xfId="1873" xr:uid="{00000000-0005-0000-0000-000066060000}"/>
    <cellStyle name="Normal 10 2 3 3 2 2" xfId="3968" xr:uid="{00000000-0005-0000-0000-000067060000}"/>
    <cellStyle name="Normal 10 2 3 3 3" xfId="2922" xr:uid="{00000000-0005-0000-0000-000068060000}"/>
    <cellStyle name="Normal 10 2 3 4" xfId="556" xr:uid="{00000000-0005-0000-0000-000069060000}"/>
    <cellStyle name="Normal 10 2 3 4 2" xfId="1607" xr:uid="{00000000-0005-0000-0000-00006A060000}"/>
    <cellStyle name="Normal 10 2 3 4 2 2" xfId="3702" xr:uid="{00000000-0005-0000-0000-00006B060000}"/>
    <cellStyle name="Normal 10 2 3 4 3" xfId="2656" xr:uid="{00000000-0005-0000-0000-00006C060000}"/>
    <cellStyle name="Normal 10 2 3 5" xfId="1359" xr:uid="{00000000-0005-0000-0000-00006D060000}"/>
    <cellStyle name="Normal 10 2 3 5 2" xfId="3454" xr:uid="{00000000-0005-0000-0000-00006E060000}"/>
    <cellStyle name="Normal 10 2 3 6" xfId="2408" xr:uid="{00000000-0005-0000-0000-00006F060000}"/>
    <cellStyle name="Normal 10 2 4" xfId="969" xr:uid="{00000000-0005-0000-0000-000070060000}"/>
    <cellStyle name="Normal 10 2 4 2" xfId="2015" xr:uid="{00000000-0005-0000-0000-000071060000}"/>
    <cellStyle name="Normal 10 2 4 2 2" xfId="4110" xr:uid="{00000000-0005-0000-0000-000072060000}"/>
    <cellStyle name="Normal 10 2 4 3" xfId="3064" xr:uid="{00000000-0005-0000-0000-000073060000}"/>
    <cellStyle name="Normal 10 2 5" xfId="703" xr:uid="{00000000-0005-0000-0000-000074060000}"/>
    <cellStyle name="Normal 10 2 5 2" xfId="1749" xr:uid="{00000000-0005-0000-0000-000075060000}"/>
    <cellStyle name="Normal 10 2 5 2 2" xfId="3844" xr:uid="{00000000-0005-0000-0000-000076060000}"/>
    <cellStyle name="Normal 10 2 5 3" xfId="2798" xr:uid="{00000000-0005-0000-0000-000077060000}"/>
    <cellStyle name="Normal 10 2 6" xfId="432" xr:uid="{00000000-0005-0000-0000-000078060000}"/>
    <cellStyle name="Normal 10 2 6 2" xfId="1483" xr:uid="{00000000-0005-0000-0000-000079060000}"/>
    <cellStyle name="Normal 10 2 6 2 2" xfId="3578" xr:uid="{00000000-0005-0000-0000-00007A060000}"/>
    <cellStyle name="Normal 10 2 6 3" xfId="2532" xr:uid="{00000000-0005-0000-0000-00007B060000}"/>
    <cellStyle name="Normal 10 2 7" xfId="1235" xr:uid="{00000000-0005-0000-0000-00007C060000}"/>
    <cellStyle name="Normal 10 2 7 2" xfId="3330" xr:uid="{00000000-0005-0000-0000-00007D060000}"/>
    <cellStyle name="Normal 10 2 8" xfId="2284" xr:uid="{00000000-0005-0000-0000-00007E060000}"/>
    <cellStyle name="Normal 10 3" xfId="165" xr:uid="{00000000-0005-0000-0000-00007F060000}"/>
    <cellStyle name="Normal 10 3 2" xfId="319" xr:uid="{00000000-0005-0000-0000-000080060000}"/>
    <cellStyle name="Normal 10 3 2 2" xfId="1104" xr:uid="{00000000-0005-0000-0000-000081060000}"/>
    <cellStyle name="Normal 10 3 2 2 2" xfId="2150" xr:uid="{00000000-0005-0000-0000-000082060000}"/>
    <cellStyle name="Normal 10 3 2 2 2 2" xfId="4245" xr:uid="{00000000-0005-0000-0000-000083060000}"/>
    <cellStyle name="Normal 10 3 2 2 3" xfId="3199" xr:uid="{00000000-0005-0000-0000-000084060000}"/>
    <cellStyle name="Normal 10 3 2 3" xfId="838" xr:uid="{00000000-0005-0000-0000-000085060000}"/>
    <cellStyle name="Normal 10 3 2 3 2" xfId="1884" xr:uid="{00000000-0005-0000-0000-000086060000}"/>
    <cellStyle name="Normal 10 3 2 3 2 2" xfId="3979" xr:uid="{00000000-0005-0000-0000-000087060000}"/>
    <cellStyle name="Normal 10 3 2 3 3" xfId="2933" xr:uid="{00000000-0005-0000-0000-000088060000}"/>
    <cellStyle name="Normal 10 3 2 4" xfId="567" xr:uid="{00000000-0005-0000-0000-000089060000}"/>
    <cellStyle name="Normal 10 3 2 4 2" xfId="1618" xr:uid="{00000000-0005-0000-0000-00008A060000}"/>
    <cellStyle name="Normal 10 3 2 4 2 2" xfId="3713" xr:uid="{00000000-0005-0000-0000-00008B060000}"/>
    <cellStyle name="Normal 10 3 2 4 3" xfId="2667" xr:uid="{00000000-0005-0000-0000-00008C060000}"/>
    <cellStyle name="Normal 10 3 2 5" xfId="1370" xr:uid="{00000000-0005-0000-0000-00008D060000}"/>
    <cellStyle name="Normal 10 3 2 5 2" xfId="3465" xr:uid="{00000000-0005-0000-0000-00008E060000}"/>
    <cellStyle name="Normal 10 3 2 6" xfId="2419" xr:uid="{00000000-0005-0000-0000-00008F060000}"/>
    <cellStyle name="Normal 10 3 3" xfId="980" xr:uid="{00000000-0005-0000-0000-000090060000}"/>
    <cellStyle name="Normal 10 3 3 2" xfId="2026" xr:uid="{00000000-0005-0000-0000-000091060000}"/>
    <cellStyle name="Normal 10 3 3 2 2" xfId="4121" xr:uid="{00000000-0005-0000-0000-000092060000}"/>
    <cellStyle name="Normal 10 3 3 3" xfId="3075" xr:uid="{00000000-0005-0000-0000-000093060000}"/>
    <cellStyle name="Normal 10 3 4" xfId="714" xr:uid="{00000000-0005-0000-0000-000094060000}"/>
    <cellStyle name="Normal 10 3 4 2" xfId="1760" xr:uid="{00000000-0005-0000-0000-000095060000}"/>
    <cellStyle name="Normal 10 3 4 2 2" xfId="3855" xr:uid="{00000000-0005-0000-0000-000096060000}"/>
    <cellStyle name="Normal 10 3 4 3" xfId="2809" xr:uid="{00000000-0005-0000-0000-000097060000}"/>
    <cellStyle name="Normal 10 3 5" xfId="443" xr:uid="{00000000-0005-0000-0000-000098060000}"/>
    <cellStyle name="Normal 10 3 5 2" xfId="1494" xr:uid="{00000000-0005-0000-0000-000099060000}"/>
    <cellStyle name="Normal 10 3 5 2 2" xfId="3589" xr:uid="{00000000-0005-0000-0000-00009A060000}"/>
    <cellStyle name="Normal 10 3 5 3" xfId="2543" xr:uid="{00000000-0005-0000-0000-00009B060000}"/>
    <cellStyle name="Normal 10 3 6" xfId="1246" xr:uid="{00000000-0005-0000-0000-00009C060000}"/>
    <cellStyle name="Normal 10 3 6 2" xfId="3341" xr:uid="{00000000-0005-0000-0000-00009D060000}"/>
    <cellStyle name="Normal 10 3 7" xfId="2295" xr:uid="{00000000-0005-0000-0000-00009E060000}"/>
    <cellStyle name="Normal 10 4" xfId="272" xr:uid="{00000000-0005-0000-0000-00009F060000}"/>
    <cellStyle name="Normal 10 4 2" xfId="1057" xr:uid="{00000000-0005-0000-0000-0000A0060000}"/>
    <cellStyle name="Normal 10 4 2 2" xfId="2103" xr:uid="{00000000-0005-0000-0000-0000A1060000}"/>
    <cellStyle name="Normal 10 4 2 2 2" xfId="4198" xr:uid="{00000000-0005-0000-0000-0000A2060000}"/>
    <cellStyle name="Normal 10 4 2 3" xfId="3152" xr:uid="{00000000-0005-0000-0000-0000A3060000}"/>
    <cellStyle name="Normal 10 4 3" xfId="791" xr:uid="{00000000-0005-0000-0000-0000A4060000}"/>
    <cellStyle name="Normal 10 4 3 2" xfId="1837" xr:uid="{00000000-0005-0000-0000-0000A5060000}"/>
    <cellStyle name="Normal 10 4 3 2 2" xfId="3932" xr:uid="{00000000-0005-0000-0000-0000A6060000}"/>
    <cellStyle name="Normal 10 4 3 3" xfId="2886" xr:uid="{00000000-0005-0000-0000-0000A7060000}"/>
    <cellStyle name="Normal 10 4 4" xfId="520" xr:uid="{00000000-0005-0000-0000-0000A8060000}"/>
    <cellStyle name="Normal 10 4 4 2" xfId="1571" xr:uid="{00000000-0005-0000-0000-0000A9060000}"/>
    <cellStyle name="Normal 10 4 4 2 2" xfId="3666" xr:uid="{00000000-0005-0000-0000-0000AA060000}"/>
    <cellStyle name="Normal 10 4 4 3" xfId="2620" xr:uid="{00000000-0005-0000-0000-0000AB060000}"/>
    <cellStyle name="Normal 10 4 5" xfId="1323" xr:uid="{00000000-0005-0000-0000-0000AC060000}"/>
    <cellStyle name="Normal 10 4 5 2" xfId="3418" xr:uid="{00000000-0005-0000-0000-0000AD060000}"/>
    <cellStyle name="Normal 10 4 6" xfId="2372" xr:uid="{00000000-0005-0000-0000-0000AE060000}"/>
    <cellStyle name="Normal 10 5" xfId="933" xr:uid="{00000000-0005-0000-0000-0000AF060000}"/>
    <cellStyle name="Normal 10 5 2" xfId="1979" xr:uid="{00000000-0005-0000-0000-0000B0060000}"/>
    <cellStyle name="Normal 10 5 2 2" xfId="4074" xr:uid="{00000000-0005-0000-0000-0000B1060000}"/>
    <cellStyle name="Normal 10 5 3" xfId="3028" xr:uid="{00000000-0005-0000-0000-0000B2060000}"/>
    <cellStyle name="Normal 10 6" xfId="667" xr:uid="{00000000-0005-0000-0000-0000B3060000}"/>
    <cellStyle name="Normal 10 6 2" xfId="1713" xr:uid="{00000000-0005-0000-0000-0000B4060000}"/>
    <cellStyle name="Normal 10 6 2 2" xfId="3808" xr:uid="{00000000-0005-0000-0000-0000B5060000}"/>
    <cellStyle name="Normal 10 6 3" xfId="2762" xr:uid="{00000000-0005-0000-0000-0000B6060000}"/>
    <cellStyle name="Normal 10 7" xfId="396" xr:uid="{00000000-0005-0000-0000-0000B7060000}"/>
    <cellStyle name="Normal 10 7 2" xfId="1447" xr:uid="{00000000-0005-0000-0000-0000B8060000}"/>
    <cellStyle name="Normal 10 7 2 2" xfId="3542" xr:uid="{00000000-0005-0000-0000-0000B9060000}"/>
    <cellStyle name="Normal 10 7 3" xfId="2496" xr:uid="{00000000-0005-0000-0000-0000BA060000}"/>
    <cellStyle name="Normal 10 8" xfId="1199" xr:uid="{00000000-0005-0000-0000-0000BB060000}"/>
    <cellStyle name="Normal 10 8 2" xfId="3294" xr:uid="{00000000-0005-0000-0000-0000BC060000}"/>
    <cellStyle name="Normal 10 9" xfId="2248" xr:uid="{00000000-0005-0000-0000-0000BD060000}"/>
    <cellStyle name="Normal 11" xfId="77" xr:uid="{00000000-0005-0000-0000-0000BE060000}"/>
    <cellStyle name="Normal 12" xfId="78" xr:uid="{00000000-0005-0000-0000-0000BF060000}"/>
    <cellStyle name="Normal 13" xfId="79" xr:uid="{00000000-0005-0000-0000-0000C0060000}"/>
    <cellStyle name="Normal 14" xfId="80" xr:uid="{00000000-0005-0000-0000-0000C1060000}"/>
    <cellStyle name="Normal 14 2" xfId="81" xr:uid="{00000000-0005-0000-0000-0000C2060000}"/>
    <cellStyle name="Normal 14 5" xfId="82" xr:uid="{00000000-0005-0000-0000-0000C3060000}"/>
    <cellStyle name="Normal 15" xfId="83" xr:uid="{00000000-0005-0000-0000-0000C4060000}"/>
    <cellStyle name="Normal 15 2" xfId="166" xr:uid="{00000000-0005-0000-0000-0000C5060000}"/>
    <cellStyle name="Normal 15 2 2" xfId="320" xr:uid="{00000000-0005-0000-0000-0000C6060000}"/>
    <cellStyle name="Normal 15 2 2 2" xfId="1105" xr:uid="{00000000-0005-0000-0000-0000C7060000}"/>
    <cellStyle name="Normal 15 2 2 2 2" xfId="2151" xr:uid="{00000000-0005-0000-0000-0000C8060000}"/>
    <cellStyle name="Normal 15 2 2 2 2 2" xfId="4246" xr:uid="{00000000-0005-0000-0000-0000C9060000}"/>
    <cellStyle name="Normal 15 2 2 2 3" xfId="3200" xr:uid="{00000000-0005-0000-0000-0000CA060000}"/>
    <cellStyle name="Normal 15 2 2 3" xfId="839" xr:uid="{00000000-0005-0000-0000-0000CB060000}"/>
    <cellStyle name="Normal 15 2 2 3 2" xfId="1885" xr:uid="{00000000-0005-0000-0000-0000CC060000}"/>
    <cellStyle name="Normal 15 2 2 3 2 2" xfId="3980" xr:uid="{00000000-0005-0000-0000-0000CD060000}"/>
    <cellStyle name="Normal 15 2 2 3 3" xfId="2934" xr:uid="{00000000-0005-0000-0000-0000CE060000}"/>
    <cellStyle name="Normal 15 2 2 4" xfId="568" xr:uid="{00000000-0005-0000-0000-0000CF060000}"/>
    <cellStyle name="Normal 15 2 2 4 2" xfId="1619" xr:uid="{00000000-0005-0000-0000-0000D0060000}"/>
    <cellStyle name="Normal 15 2 2 4 2 2" xfId="3714" xr:uid="{00000000-0005-0000-0000-0000D1060000}"/>
    <cellStyle name="Normal 15 2 2 4 3" xfId="2668" xr:uid="{00000000-0005-0000-0000-0000D2060000}"/>
    <cellStyle name="Normal 15 2 2 5" xfId="1371" xr:uid="{00000000-0005-0000-0000-0000D3060000}"/>
    <cellStyle name="Normal 15 2 2 5 2" xfId="3466" xr:uid="{00000000-0005-0000-0000-0000D4060000}"/>
    <cellStyle name="Normal 15 2 2 6" xfId="2420" xr:uid="{00000000-0005-0000-0000-0000D5060000}"/>
    <cellStyle name="Normal 15 2 3" xfId="981" xr:uid="{00000000-0005-0000-0000-0000D6060000}"/>
    <cellStyle name="Normal 15 2 3 2" xfId="2027" xr:uid="{00000000-0005-0000-0000-0000D7060000}"/>
    <cellStyle name="Normal 15 2 3 2 2" xfId="4122" xr:uid="{00000000-0005-0000-0000-0000D8060000}"/>
    <cellStyle name="Normal 15 2 3 3" xfId="3076" xr:uid="{00000000-0005-0000-0000-0000D9060000}"/>
    <cellStyle name="Normal 15 2 4" xfId="715" xr:uid="{00000000-0005-0000-0000-0000DA060000}"/>
    <cellStyle name="Normal 15 2 4 2" xfId="1761" xr:uid="{00000000-0005-0000-0000-0000DB060000}"/>
    <cellStyle name="Normal 15 2 4 2 2" xfId="3856" xr:uid="{00000000-0005-0000-0000-0000DC060000}"/>
    <cellStyle name="Normal 15 2 4 3" xfId="2810" xr:uid="{00000000-0005-0000-0000-0000DD060000}"/>
    <cellStyle name="Normal 15 2 5" xfId="444" xr:uid="{00000000-0005-0000-0000-0000DE060000}"/>
    <cellStyle name="Normal 15 2 5 2" xfId="1495" xr:uid="{00000000-0005-0000-0000-0000DF060000}"/>
    <cellStyle name="Normal 15 2 5 2 2" xfId="3590" xr:uid="{00000000-0005-0000-0000-0000E0060000}"/>
    <cellStyle name="Normal 15 2 5 3" xfId="2544" xr:uid="{00000000-0005-0000-0000-0000E1060000}"/>
    <cellStyle name="Normal 15 2 6" xfId="1247" xr:uid="{00000000-0005-0000-0000-0000E2060000}"/>
    <cellStyle name="Normal 15 2 6 2" xfId="3342" xr:uid="{00000000-0005-0000-0000-0000E3060000}"/>
    <cellStyle name="Normal 15 2 7" xfId="2296" xr:uid="{00000000-0005-0000-0000-0000E4060000}"/>
    <cellStyle name="Normal 15 3" xfId="273" xr:uid="{00000000-0005-0000-0000-0000E5060000}"/>
    <cellStyle name="Normal 15 3 2" xfId="1058" xr:uid="{00000000-0005-0000-0000-0000E6060000}"/>
    <cellStyle name="Normal 15 3 2 2" xfId="2104" xr:uid="{00000000-0005-0000-0000-0000E7060000}"/>
    <cellStyle name="Normal 15 3 2 2 2" xfId="4199" xr:uid="{00000000-0005-0000-0000-0000E8060000}"/>
    <cellStyle name="Normal 15 3 2 3" xfId="3153" xr:uid="{00000000-0005-0000-0000-0000E9060000}"/>
    <cellStyle name="Normal 15 3 3" xfId="792" xr:uid="{00000000-0005-0000-0000-0000EA060000}"/>
    <cellStyle name="Normal 15 3 3 2" xfId="1838" xr:uid="{00000000-0005-0000-0000-0000EB060000}"/>
    <cellStyle name="Normal 15 3 3 2 2" xfId="3933" xr:uid="{00000000-0005-0000-0000-0000EC060000}"/>
    <cellStyle name="Normal 15 3 3 3" xfId="2887" xr:uid="{00000000-0005-0000-0000-0000ED060000}"/>
    <cellStyle name="Normal 15 3 4" xfId="521" xr:uid="{00000000-0005-0000-0000-0000EE060000}"/>
    <cellStyle name="Normal 15 3 4 2" xfId="1572" xr:uid="{00000000-0005-0000-0000-0000EF060000}"/>
    <cellStyle name="Normal 15 3 4 2 2" xfId="3667" xr:uid="{00000000-0005-0000-0000-0000F0060000}"/>
    <cellStyle name="Normal 15 3 4 3" xfId="2621" xr:uid="{00000000-0005-0000-0000-0000F1060000}"/>
    <cellStyle name="Normal 15 3 5" xfId="1324" xr:uid="{00000000-0005-0000-0000-0000F2060000}"/>
    <cellStyle name="Normal 15 3 5 2" xfId="3419" xr:uid="{00000000-0005-0000-0000-0000F3060000}"/>
    <cellStyle name="Normal 15 3 6" xfId="2373" xr:uid="{00000000-0005-0000-0000-0000F4060000}"/>
    <cellStyle name="Normal 15 4" xfId="934" xr:uid="{00000000-0005-0000-0000-0000F5060000}"/>
    <cellStyle name="Normal 15 4 2" xfId="1980" xr:uid="{00000000-0005-0000-0000-0000F6060000}"/>
    <cellStyle name="Normal 15 4 2 2" xfId="4075" xr:uid="{00000000-0005-0000-0000-0000F7060000}"/>
    <cellStyle name="Normal 15 4 3" xfId="3029" xr:uid="{00000000-0005-0000-0000-0000F8060000}"/>
    <cellStyle name="Normal 15 5" xfId="668" xr:uid="{00000000-0005-0000-0000-0000F9060000}"/>
    <cellStyle name="Normal 15 5 2" xfId="1714" xr:uid="{00000000-0005-0000-0000-0000FA060000}"/>
    <cellStyle name="Normal 15 5 2 2" xfId="3809" xr:uid="{00000000-0005-0000-0000-0000FB060000}"/>
    <cellStyle name="Normal 15 5 3" xfId="2763" xr:uid="{00000000-0005-0000-0000-0000FC060000}"/>
    <cellStyle name="Normal 15 6" xfId="397" xr:uid="{00000000-0005-0000-0000-0000FD060000}"/>
    <cellStyle name="Normal 15 6 2" xfId="1448" xr:uid="{00000000-0005-0000-0000-0000FE060000}"/>
    <cellStyle name="Normal 15 6 2 2" xfId="3543" xr:uid="{00000000-0005-0000-0000-0000FF060000}"/>
    <cellStyle name="Normal 15 6 3" xfId="2497" xr:uid="{00000000-0005-0000-0000-000000070000}"/>
    <cellStyle name="Normal 15 7" xfId="1200" xr:uid="{00000000-0005-0000-0000-000001070000}"/>
    <cellStyle name="Normal 15 7 2" xfId="3295" xr:uid="{00000000-0005-0000-0000-000002070000}"/>
    <cellStyle name="Normal 15 8" xfId="2249" xr:uid="{00000000-0005-0000-0000-000003070000}"/>
    <cellStyle name="Normal 16" xfId="84" xr:uid="{00000000-0005-0000-0000-000004070000}"/>
    <cellStyle name="Normal 16 2" xfId="167" xr:uid="{00000000-0005-0000-0000-000005070000}"/>
    <cellStyle name="Normal 16 2 2" xfId="321" xr:uid="{00000000-0005-0000-0000-000006070000}"/>
    <cellStyle name="Normal 16 2 2 2" xfId="1106" xr:uid="{00000000-0005-0000-0000-000007070000}"/>
    <cellStyle name="Normal 16 2 2 2 2" xfId="2152" xr:uid="{00000000-0005-0000-0000-000008070000}"/>
    <cellStyle name="Normal 16 2 2 2 2 2" xfId="4247" xr:uid="{00000000-0005-0000-0000-000009070000}"/>
    <cellStyle name="Normal 16 2 2 2 3" xfId="3201" xr:uid="{00000000-0005-0000-0000-00000A070000}"/>
    <cellStyle name="Normal 16 2 2 3" xfId="840" xr:uid="{00000000-0005-0000-0000-00000B070000}"/>
    <cellStyle name="Normal 16 2 2 3 2" xfId="1886" xr:uid="{00000000-0005-0000-0000-00000C070000}"/>
    <cellStyle name="Normal 16 2 2 3 2 2" xfId="3981" xr:uid="{00000000-0005-0000-0000-00000D070000}"/>
    <cellStyle name="Normal 16 2 2 3 3" xfId="2935" xr:uid="{00000000-0005-0000-0000-00000E070000}"/>
    <cellStyle name="Normal 16 2 2 4" xfId="569" xr:uid="{00000000-0005-0000-0000-00000F070000}"/>
    <cellStyle name="Normal 16 2 2 4 2" xfId="1620" xr:uid="{00000000-0005-0000-0000-000010070000}"/>
    <cellStyle name="Normal 16 2 2 4 2 2" xfId="3715" xr:uid="{00000000-0005-0000-0000-000011070000}"/>
    <cellStyle name="Normal 16 2 2 4 3" xfId="2669" xr:uid="{00000000-0005-0000-0000-000012070000}"/>
    <cellStyle name="Normal 16 2 2 5" xfId="1372" xr:uid="{00000000-0005-0000-0000-000013070000}"/>
    <cellStyle name="Normal 16 2 2 5 2" xfId="3467" xr:uid="{00000000-0005-0000-0000-000014070000}"/>
    <cellStyle name="Normal 16 2 2 6" xfId="2421" xr:uid="{00000000-0005-0000-0000-000015070000}"/>
    <cellStyle name="Normal 16 2 3" xfId="982" xr:uid="{00000000-0005-0000-0000-000016070000}"/>
    <cellStyle name="Normal 16 2 3 2" xfId="2028" xr:uid="{00000000-0005-0000-0000-000017070000}"/>
    <cellStyle name="Normal 16 2 3 2 2" xfId="4123" xr:uid="{00000000-0005-0000-0000-000018070000}"/>
    <cellStyle name="Normal 16 2 3 3" xfId="3077" xr:uid="{00000000-0005-0000-0000-000019070000}"/>
    <cellStyle name="Normal 16 2 4" xfId="716" xr:uid="{00000000-0005-0000-0000-00001A070000}"/>
    <cellStyle name="Normal 16 2 4 2" xfId="1762" xr:uid="{00000000-0005-0000-0000-00001B070000}"/>
    <cellStyle name="Normal 16 2 4 2 2" xfId="3857" xr:uid="{00000000-0005-0000-0000-00001C070000}"/>
    <cellStyle name="Normal 16 2 4 3" xfId="2811" xr:uid="{00000000-0005-0000-0000-00001D070000}"/>
    <cellStyle name="Normal 16 2 5" xfId="445" xr:uid="{00000000-0005-0000-0000-00001E070000}"/>
    <cellStyle name="Normal 16 2 5 2" xfId="1496" xr:uid="{00000000-0005-0000-0000-00001F070000}"/>
    <cellStyle name="Normal 16 2 5 2 2" xfId="3591" xr:uid="{00000000-0005-0000-0000-000020070000}"/>
    <cellStyle name="Normal 16 2 5 3" xfId="2545" xr:uid="{00000000-0005-0000-0000-000021070000}"/>
    <cellStyle name="Normal 16 2 6" xfId="1248" xr:uid="{00000000-0005-0000-0000-000022070000}"/>
    <cellStyle name="Normal 16 2 6 2" xfId="3343" xr:uid="{00000000-0005-0000-0000-000023070000}"/>
    <cellStyle name="Normal 16 2 7" xfId="2297" xr:uid="{00000000-0005-0000-0000-000024070000}"/>
    <cellStyle name="Normal 16 3" xfId="274" xr:uid="{00000000-0005-0000-0000-000025070000}"/>
    <cellStyle name="Normal 16 3 2" xfId="1059" xr:uid="{00000000-0005-0000-0000-000026070000}"/>
    <cellStyle name="Normal 16 3 2 2" xfId="2105" xr:uid="{00000000-0005-0000-0000-000027070000}"/>
    <cellStyle name="Normal 16 3 2 2 2" xfId="4200" xr:uid="{00000000-0005-0000-0000-000028070000}"/>
    <cellStyle name="Normal 16 3 2 3" xfId="3154" xr:uid="{00000000-0005-0000-0000-000029070000}"/>
    <cellStyle name="Normal 16 3 3" xfId="793" xr:uid="{00000000-0005-0000-0000-00002A070000}"/>
    <cellStyle name="Normal 16 3 3 2" xfId="1839" xr:uid="{00000000-0005-0000-0000-00002B070000}"/>
    <cellStyle name="Normal 16 3 3 2 2" xfId="3934" xr:uid="{00000000-0005-0000-0000-00002C070000}"/>
    <cellStyle name="Normal 16 3 3 3" xfId="2888" xr:uid="{00000000-0005-0000-0000-00002D070000}"/>
    <cellStyle name="Normal 16 3 4" xfId="522" xr:uid="{00000000-0005-0000-0000-00002E070000}"/>
    <cellStyle name="Normal 16 3 4 2" xfId="1573" xr:uid="{00000000-0005-0000-0000-00002F070000}"/>
    <cellStyle name="Normal 16 3 4 2 2" xfId="3668" xr:uid="{00000000-0005-0000-0000-000030070000}"/>
    <cellStyle name="Normal 16 3 4 3" xfId="2622" xr:uid="{00000000-0005-0000-0000-000031070000}"/>
    <cellStyle name="Normal 16 3 5" xfId="1325" xr:uid="{00000000-0005-0000-0000-000032070000}"/>
    <cellStyle name="Normal 16 3 5 2" xfId="3420" xr:uid="{00000000-0005-0000-0000-000033070000}"/>
    <cellStyle name="Normal 16 3 6" xfId="2374" xr:uid="{00000000-0005-0000-0000-000034070000}"/>
    <cellStyle name="Normal 16 4" xfId="935" xr:uid="{00000000-0005-0000-0000-000035070000}"/>
    <cellStyle name="Normal 16 4 2" xfId="1981" xr:uid="{00000000-0005-0000-0000-000036070000}"/>
    <cellStyle name="Normal 16 4 2 2" xfId="4076" xr:uid="{00000000-0005-0000-0000-000037070000}"/>
    <cellStyle name="Normal 16 4 3" xfId="3030" xr:uid="{00000000-0005-0000-0000-000038070000}"/>
    <cellStyle name="Normal 16 5" xfId="669" xr:uid="{00000000-0005-0000-0000-000039070000}"/>
    <cellStyle name="Normal 16 5 2" xfId="1715" xr:uid="{00000000-0005-0000-0000-00003A070000}"/>
    <cellStyle name="Normal 16 5 2 2" xfId="3810" xr:uid="{00000000-0005-0000-0000-00003B070000}"/>
    <cellStyle name="Normal 16 5 3" xfId="2764" xr:uid="{00000000-0005-0000-0000-00003C070000}"/>
    <cellStyle name="Normal 16 6" xfId="398" xr:uid="{00000000-0005-0000-0000-00003D070000}"/>
    <cellStyle name="Normal 16 6 2" xfId="1449" xr:uid="{00000000-0005-0000-0000-00003E070000}"/>
    <cellStyle name="Normal 16 6 2 2" xfId="3544" xr:uid="{00000000-0005-0000-0000-00003F070000}"/>
    <cellStyle name="Normal 16 6 3" xfId="2498" xr:uid="{00000000-0005-0000-0000-000040070000}"/>
    <cellStyle name="Normal 16 7" xfId="1201" xr:uid="{00000000-0005-0000-0000-000041070000}"/>
    <cellStyle name="Normal 16 7 2" xfId="3296" xr:uid="{00000000-0005-0000-0000-000042070000}"/>
    <cellStyle name="Normal 16 8" xfId="2250" xr:uid="{00000000-0005-0000-0000-000043070000}"/>
    <cellStyle name="Normal 17" xfId="85" xr:uid="{00000000-0005-0000-0000-000044070000}"/>
    <cellStyle name="Normal 17 2" xfId="168" xr:uid="{00000000-0005-0000-0000-000045070000}"/>
    <cellStyle name="Normal 17 2 2" xfId="322" xr:uid="{00000000-0005-0000-0000-000046070000}"/>
    <cellStyle name="Normal 17 2 2 2" xfId="1107" xr:uid="{00000000-0005-0000-0000-000047070000}"/>
    <cellStyle name="Normal 17 2 2 2 2" xfId="2153" xr:uid="{00000000-0005-0000-0000-000048070000}"/>
    <cellStyle name="Normal 17 2 2 2 2 2" xfId="4248" xr:uid="{00000000-0005-0000-0000-000049070000}"/>
    <cellStyle name="Normal 17 2 2 2 3" xfId="3202" xr:uid="{00000000-0005-0000-0000-00004A070000}"/>
    <cellStyle name="Normal 17 2 2 3" xfId="841" xr:uid="{00000000-0005-0000-0000-00004B070000}"/>
    <cellStyle name="Normal 17 2 2 3 2" xfId="1887" xr:uid="{00000000-0005-0000-0000-00004C070000}"/>
    <cellStyle name="Normal 17 2 2 3 2 2" xfId="3982" xr:uid="{00000000-0005-0000-0000-00004D070000}"/>
    <cellStyle name="Normal 17 2 2 3 3" xfId="2936" xr:uid="{00000000-0005-0000-0000-00004E070000}"/>
    <cellStyle name="Normal 17 2 2 4" xfId="570" xr:uid="{00000000-0005-0000-0000-00004F070000}"/>
    <cellStyle name="Normal 17 2 2 4 2" xfId="1621" xr:uid="{00000000-0005-0000-0000-000050070000}"/>
    <cellStyle name="Normal 17 2 2 4 2 2" xfId="3716" xr:uid="{00000000-0005-0000-0000-000051070000}"/>
    <cellStyle name="Normal 17 2 2 4 3" xfId="2670" xr:uid="{00000000-0005-0000-0000-000052070000}"/>
    <cellStyle name="Normal 17 2 2 5" xfId="1373" xr:uid="{00000000-0005-0000-0000-000053070000}"/>
    <cellStyle name="Normal 17 2 2 5 2" xfId="3468" xr:uid="{00000000-0005-0000-0000-000054070000}"/>
    <cellStyle name="Normal 17 2 2 6" xfId="2422" xr:uid="{00000000-0005-0000-0000-000055070000}"/>
    <cellStyle name="Normal 17 2 3" xfId="983" xr:uid="{00000000-0005-0000-0000-000056070000}"/>
    <cellStyle name="Normal 17 2 3 2" xfId="2029" xr:uid="{00000000-0005-0000-0000-000057070000}"/>
    <cellStyle name="Normal 17 2 3 2 2" xfId="4124" xr:uid="{00000000-0005-0000-0000-000058070000}"/>
    <cellStyle name="Normal 17 2 3 3" xfId="3078" xr:uid="{00000000-0005-0000-0000-000059070000}"/>
    <cellStyle name="Normal 17 2 4" xfId="717" xr:uid="{00000000-0005-0000-0000-00005A070000}"/>
    <cellStyle name="Normal 17 2 4 2" xfId="1763" xr:uid="{00000000-0005-0000-0000-00005B070000}"/>
    <cellStyle name="Normal 17 2 4 2 2" xfId="3858" xr:uid="{00000000-0005-0000-0000-00005C070000}"/>
    <cellStyle name="Normal 17 2 4 3" xfId="2812" xr:uid="{00000000-0005-0000-0000-00005D070000}"/>
    <cellStyle name="Normal 17 2 5" xfId="446" xr:uid="{00000000-0005-0000-0000-00005E070000}"/>
    <cellStyle name="Normal 17 2 5 2" xfId="1497" xr:uid="{00000000-0005-0000-0000-00005F070000}"/>
    <cellStyle name="Normal 17 2 5 2 2" xfId="3592" xr:uid="{00000000-0005-0000-0000-000060070000}"/>
    <cellStyle name="Normal 17 2 5 3" xfId="2546" xr:uid="{00000000-0005-0000-0000-000061070000}"/>
    <cellStyle name="Normal 17 2 6" xfId="1249" xr:uid="{00000000-0005-0000-0000-000062070000}"/>
    <cellStyle name="Normal 17 2 6 2" xfId="3344" xr:uid="{00000000-0005-0000-0000-000063070000}"/>
    <cellStyle name="Normal 17 2 7" xfId="2298" xr:uid="{00000000-0005-0000-0000-000064070000}"/>
    <cellStyle name="Normal 17 3" xfId="275" xr:uid="{00000000-0005-0000-0000-000065070000}"/>
    <cellStyle name="Normal 17 3 2" xfId="1060" xr:uid="{00000000-0005-0000-0000-000066070000}"/>
    <cellStyle name="Normal 17 3 2 2" xfId="2106" xr:uid="{00000000-0005-0000-0000-000067070000}"/>
    <cellStyle name="Normal 17 3 2 2 2" xfId="4201" xr:uid="{00000000-0005-0000-0000-000068070000}"/>
    <cellStyle name="Normal 17 3 2 3" xfId="3155" xr:uid="{00000000-0005-0000-0000-000069070000}"/>
    <cellStyle name="Normal 17 3 3" xfId="794" xr:uid="{00000000-0005-0000-0000-00006A070000}"/>
    <cellStyle name="Normal 17 3 3 2" xfId="1840" xr:uid="{00000000-0005-0000-0000-00006B070000}"/>
    <cellStyle name="Normal 17 3 3 2 2" xfId="3935" xr:uid="{00000000-0005-0000-0000-00006C070000}"/>
    <cellStyle name="Normal 17 3 3 3" xfId="2889" xr:uid="{00000000-0005-0000-0000-00006D070000}"/>
    <cellStyle name="Normal 17 3 4" xfId="523" xr:uid="{00000000-0005-0000-0000-00006E070000}"/>
    <cellStyle name="Normal 17 3 4 2" xfId="1574" xr:uid="{00000000-0005-0000-0000-00006F070000}"/>
    <cellStyle name="Normal 17 3 4 2 2" xfId="3669" xr:uid="{00000000-0005-0000-0000-000070070000}"/>
    <cellStyle name="Normal 17 3 4 3" xfId="2623" xr:uid="{00000000-0005-0000-0000-000071070000}"/>
    <cellStyle name="Normal 17 3 5" xfId="1326" xr:uid="{00000000-0005-0000-0000-000072070000}"/>
    <cellStyle name="Normal 17 3 5 2" xfId="3421" xr:uid="{00000000-0005-0000-0000-000073070000}"/>
    <cellStyle name="Normal 17 3 6" xfId="2375" xr:uid="{00000000-0005-0000-0000-000074070000}"/>
    <cellStyle name="Normal 17 4" xfId="936" xr:uid="{00000000-0005-0000-0000-000075070000}"/>
    <cellStyle name="Normal 17 4 2" xfId="1982" xr:uid="{00000000-0005-0000-0000-000076070000}"/>
    <cellStyle name="Normal 17 4 2 2" xfId="4077" xr:uid="{00000000-0005-0000-0000-000077070000}"/>
    <cellStyle name="Normal 17 4 3" xfId="3031" xr:uid="{00000000-0005-0000-0000-000078070000}"/>
    <cellStyle name="Normal 17 5" xfId="670" xr:uid="{00000000-0005-0000-0000-000079070000}"/>
    <cellStyle name="Normal 17 5 2" xfId="1716" xr:uid="{00000000-0005-0000-0000-00007A070000}"/>
    <cellStyle name="Normal 17 5 2 2" xfId="3811" xr:uid="{00000000-0005-0000-0000-00007B070000}"/>
    <cellStyle name="Normal 17 5 3" xfId="2765" xr:uid="{00000000-0005-0000-0000-00007C070000}"/>
    <cellStyle name="Normal 17 6" xfId="399" xr:uid="{00000000-0005-0000-0000-00007D070000}"/>
    <cellStyle name="Normal 17 6 2" xfId="1450" xr:uid="{00000000-0005-0000-0000-00007E070000}"/>
    <cellStyle name="Normal 17 6 2 2" xfId="3545" xr:uid="{00000000-0005-0000-0000-00007F070000}"/>
    <cellStyle name="Normal 17 6 3" xfId="2499" xr:uid="{00000000-0005-0000-0000-000080070000}"/>
    <cellStyle name="Normal 17 7" xfId="1202" xr:uid="{00000000-0005-0000-0000-000081070000}"/>
    <cellStyle name="Normal 17 7 2" xfId="3297" xr:uid="{00000000-0005-0000-0000-000082070000}"/>
    <cellStyle name="Normal 17 8" xfId="2251" xr:uid="{00000000-0005-0000-0000-000083070000}"/>
    <cellStyle name="Normal 18" xfId="86" xr:uid="{00000000-0005-0000-0000-000084070000}"/>
    <cellStyle name="Normal 18 2" xfId="169" xr:uid="{00000000-0005-0000-0000-000085070000}"/>
    <cellStyle name="Normal 18 2 2" xfId="323" xr:uid="{00000000-0005-0000-0000-000086070000}"/>
    <cellStyle name="Normal 18 2 2 2" xfId="1108" xr:uid="{00000000-0005-0000-0000-000087070000}"/>
    <cellStyle name="Normal 18 2 2 2 2" xfId="2154" xr:uid="{00000000-0005-0000-0000-000088070000}"/>
    <cellStyle name="Normal 18 2 2 2 2 2" xfId="4249" xr:uid="{00000000-0005-0000-0000-000089070000}"/>
    <cellStyle name="Normal 18 2 2 2 3" xfId="3203" xr:uid="{00000000-0005-0000-0000-00008A070000}"/>
    <cellStyle name="Normal 18 2 2 3" xfId="842" xr:uid="{00000000-0005-0000-0000-00008B070000}"/>
    <cellStyle name="Normal 18 2 2 3 2" xfId="1888" xr:uid="{00000000-0005-0000-0000-00008C070000}"/>
    <cellStyle name="Normal 18 2 2 3 2 2" xfId="3983" xr:uid="{00000000-0005-0000-0000-00008D070000}"/>
    <cellStyle name="Normal 18 2 2 3 3" xfId="2937" xr:uid="{00000000-0005-0000-0000-00008E070000}"/>
    <cellStyle name="Normal 18 2 2 4" xfId="571" xr:uid="{00000000-0005-0000-0000-00008F070000}"/>
    <cellStyle name="Normal 18 2 2 4 2" xfId="1622" xr:uid="{00000000-0005-0000-0000-000090070000}"/>
    <cellStyle name="Normal 18 2 2 4 2 2" xfId="3717" xr:uid="{00000000-0005-0000-0000-000091070000}"/>
    <cellStyle name="Normal 18 2 2 4 3" xfId="2671" xr:uid="{00000000-0005-0000-0000-000092070000}"/>
    <cellStyle name="Normal 18 2 2 5" xfId="1374" xr:uid="{00000000-0005-0000-0000-000093070000}"/>
    <cellStyle name="Normal 18 2 2 5 2" xfId="3469" xr:uid="{00000000-0005-0000-0000-000094070000}"/>
    <cellStyle name="Normal 18 2 2 6" xfId="2423" xr:uid="{00000000-0005-0000-0000-000095070000}"/>
    <cellStyle name="Normal 18 2 3" xfId="984" xr:uid="{00000000-0005-0000-0000-000096070000}"/>
    <cellStyle name="Normal 18 2 3 2" xfId="2030" xr:uid="{00000000-0005-0000-0000-000097070000}"/>
    <cellStyle name="Normal 18 2 3 2 2" xfId="4125" xr:uid="{00000000-0005-0000-0000-000098070000}"/>
    <cellStyle name="Normal 18 2 3 3" xfId="3079" xr:uid="{00000000-0005-0000-0000-000099070000}"/>
    <cellStyle name="Normal 18 2 4" xfId="718" xr:uid="{00000000-0005-0000-0000-00009A070000}"/>
    <cellStyle name="Normal 18 2 4 2" xfId="1764" xr:uid="{00000000-0005-0000-0000-00009B070000}"/>
    <cellStyle name="Normal 18 2 4 2 2" xfId="3859" xr:uid="{00000000-0005-0000-0000-00009C070000}"/>
    <cellStyle name="Normal 18 2 4 3" xfId="2813" xr:uid="{00000000-0005-0000-0000-00009D070000}"/>
    <cellStyle name="Normal 18 2 5" xfId="447" xr:uid="{00000000-0005-0000-0000-00009E070000}"/>
    <cellStyle name="Normal 18 2 5 2" xfId="1498" xr:uid="{00000000-0005-0000-0000-00009F070000}"/>
    <cellStyle name="Normal 18 2 5 2 2" xfId="3593" xr:uid="{00000000-0005-0000-0000-0000A0070000}"/>
    <cellStyle name="Normal 18 2 5 3" xfId="2547" xr:uid="{00000000-0005-0000-0000-0000A1070000}"/>
    <cellStyle name="Normal 18 2 6" xfId="1250" xr:uid="{00000000-0005-0000-0000-0000A2070000}"/>
    <cellStyle name="Normal 18 2 6 2" xfId="3345" xr:uid="{00000000-0005-0000-0000-0000A3070000}"/>
    <cellStyle name="Normal 18 2 7" xfId="2299" xr:uid="{00000000-0005-0000-0000-0000A4070000}"/>
    <cellStyle name="Normal 18 3" xfId="276" xr:uid="{00000000-0005-0000-0000-0000A5070000}"/>
    <cellStyle name="Normal 18 3 2" xfId="1061" xr:uid="{00000000-0005-0000-0000-0000A6070000}"/>
    <cellStyle name="Normal 18 3 2 2" xfId="2107" xr:uid="{00000000-0005-0000-0000-0000A7070000}"/>
    <cellStyle name="Normal 18 3 2 2 2" xfId="4202" xr:uid="{00000000-0005-0000-0000-0000A8070000}"/>
    <cellStyle name="Normal 18 3 2 3" xfId="3156" xr:uid="{00000000-0005-0000-0000-0000A9070000}"/>
    <cellStyle name="Normal 18 3 3" xfId="795" xr:uid="{00000000-0005-0000-0000-0000AA070000}"/>
    <cellStyle name="Normal 18 3 3 2" xfId="1841" xr:uid="{00000000-0005-0000-0000-0000AB070000}"/>
    <cellStyle name="Normal 18 3 3 2 2" xfId="3936" xr:uid="{00000000-0005-0000-0000-0000AC070000}"/>
    <cellStyle name="Normal 18 3 3 3" xfId="2890" xr:uid="{00000000-0005-0000-0000-0000AD070000}"/>
    <cellStyle name="Normal 18 3 4" xfId="524" xr:uid="{00000000-0005-0000-0000-0000AE070000}"/>
    <cellStyle name="Normal 18 3 4 2" xfId="1575" xr:uid="{00000000-0005-0000-0000-0000AF070000}"/>
    <cellStyle name="Normal 18 3 4 2 2" xfId="3670" xr:uid="{00000000-0005-0000-0000-0000B0070000}"/>
    <cellStyle name="Normal 18 3 4 3" xfId="2624" xr:uid="{00000000-0005-0000-0000-0000B1070000}"/>
    <cellStyle name="Normal 18 3 5" xfId="1327" xr:uid="{00000000-0005-0000-0000-0000B2070000}"/>
    <cellStyle name="Normal 18 3 5 2" xfId="3422" xr:uid="{00000000-0005-0000-0000-0000B3070000}"/>
    <cellStyle name="Normal 18 3 6" xfId="2376" xr:uid="{00000000-0005-0000-0000-0000B4070000}"/>
    <cellStyle name="Normal 18 4" xfId="937" xr:uid="{00000000-0005-0000-0000-0000B5070000}"/>
    <cellStyle name="Normal 18 4 2" xfId="1983" xr:uid="{00000000-0005-0000-0000-0000B6070000}"/>
    <cellStyle name="Normal 18 4 2 2" xfId="4078" xr:uid="{00000000-0005-0000-0000-0000B7070000}"/>
    <cellStyle name="Normal 18 4 3" xfId="3032" xr:uid="{00000000-0005-0000-0000-0000B8070000}"/>
    <cellStyle name="Normal 18 5" xfId="671" xr:uid="{00000000-0005-0000-0000-0000B9070000}"/>
    <cellStyle name="Normal 18 5 2" xfId="1717" xr:uid="{00000000-0005-0000-0000-0000BA070000}"/>
    <cellStyle name="Normal 18 5 2 2" xfId="3812" xr:uid="{00000000-0005-0000-0000-0000BB070000}"/>
    <cellStyle name="Normal 18 5 3" xfId="2766" xr:uid="{00000000-0005-0000-0000-0000BC070000}"/>
    <cellStyle name="Normal 18 6" xfId="400" xr:uid="{00000000-0005-0000-0000-0000BD070000}"/>
    <cellStyle name="Normal 18 6 2" xfId="1451" xr:uid="{00000000-0005-0000-0000-0000BE070000}"/>
    <cellStyle name="Normal 18 6 2 2" xfId="3546" xr:uid="{00000000-0005-0000-0000-0000BF070000}"/>
    <cellStyle name="Normal 18 6 3" xfId="2500" xr:uid="{00000000-0005-0000-0000-0000C0070000}"/>
    <cellStyle name="Normal 18 7" xfId="1203" xr:uid="{00000000-0005-0000-0000-0000C1070000}"/>
    <cellStyle name="Normal 18 7 2" xfId="3298" xr:uid="{00000000-0005-0000-0000-0000C2070000}"/>
    <cellStyle name="Normal 18 8" xfId="2252" xr:uid="{00000000-0005-0000-0000-0000C3070000}"/>
    <cellStyle name="Normal 19" xfId="87" xr:uid="{00000000-0005-0000-0000-0000C4070000}"/>
    <cellStyle name="Normal 19 2" xfId="17" xr:uid="{00000000-0005-0000-0000-0000C5070000}"/>
    <cellStyle name="Normal 2" xfId="4" xr:uid="{00000000-0005-0000-0000-0000C6070000}"/>
    <cellStyle name="Normal 2 2" xfId="5" xr:uid="{00000000-0005-0000-0000-0000C7070000}"/>
    <cellStyle name="Normal 2 2 2" xfId="6" xr:uid="{00000000-0005-0000-0000-0000C8070000}"/>
    <cellStyle name="Normal 2 2 2 2" xfId="139" xr:uid="{00000000-0005-0000-0000-0000C9070000}"/>
    <cellStyle name="Normal 2 2 2 3" xfId="155" xr:uid="{00000000-0005-0000-0000-0000CA070000}"/>
    <cellStyle name="Normal 2 2 2 3 2" xfId="309" xr:uid="{00000000-0005-0000-0000-0000CB070000}"/>
    <cellStyle name="Normal 2 2 2 3 2 2" xfId="1094" xr:uid="{00000000-0005-0000-0000-0000CC070000}"/>
    <cellStyle name="Normal 2 2 2 3 2 2 2" xfId="2140" xr:uid="{00000000-0005-0000-0000-0000CD070000}"/>
    <cellStyle name="Normal 2 2 2 3 2 2 2 2" xfId="4235" xr:uid="{00000000-0005-0000-0000-0000CE070000}"/>
    <cellStyle name="Normal 2 2 2 3 2 2 3" xfId="3189" xr:uid="{00000000-0005-0000-0000-0000CF070000}"/>
    <cellStyle name="Normal 2 2 2 3 2 3" xfId="828" xr:uid="{00000000-0005-0000-0000-0000D0070000}"/>
    <cellStyle name="Normal 2 2 2 3 2 3 2" xfId="1874" xr:uid="{00000000-0005-0000-0000-0000D1070000}"/>
    <cellStyle name="Normal 2 2 2 3 2 3 2 2" xfId="3969" xr:uid="{00000000-0005-0000-0000-0000D2070000}"/>
    <cellStyle name="Normal 2 2 2 3 2 3 3" xfId="2923" xr:uid="{00000000-0005-0000-0000-0000D3070000}"/>
    <cellStyle name="Normal 2 2 2 3 2 4" xfId="557" xr:uid="{00000000-0005-0000-0000-0000D4070000}"/>
    <cellStyle name="Normal 2 2 2 3 2 4 2" xfId="1608" xr:uid="{00000000-0005-0000-0000-0000D5070000}"/>
    <cellStyle name="Normal 2 2 2 3 2 4 2 2" xfId="3703" xr:uid="{00000000-0005-0000-0000-0000D6070000}"/>
    <cellStyle name="Normal 2 2 2 3 2 4 3" xfId="2657" xr:uid="{00000000-0005-0000-0000-0000D7070000}"/>
    <cellStyle name="Normal 2 2 2 3 2 5" xfId="1360" xr:uid="{00000000-0005-0000-0000-0000D8070000}"/>
    <cellStyle name="Normal 2 2 2 3 2 5 2" xfId="3455" xr:uid="{00000000-0005-0000-0000-0000D9070000}"/>
    <cellStyle name="Normal 2 2 2 3 2 6" xfId="2409" xr:uid="{00000000-0005-0000-0000-0000DA070000}"/>
    <cellStyle name="Normal 2 2 2 3 3" xfId="970" xr:uid="{00000000-0005-0000-0000-0000DB070000}"/>
    <cellStyle name="Normal 2 2 2 3 3 2" xfId="2016" xr:uid="{00000000-0005-0000-0000-0000DC070000}"/>
    <cellStyle name="Normal 2 2 2 3 3 2 2" xfId="4111" xr:uid="{00000000-0005-0000-0000-0000DD070000}"/>
    <cellStyle name="Normal 2 2 2 3 3 3" xfId="3065" xr:uid="{00000000-0005-0000-0000-0000DE070000}"/>
    <cellStyle name="Normal 2 2 2 3 4" xfId="704" xr:uid="{00000000-0005-0000-0000-0000DF070000}"/>
    <cellStyle name="Normal 2 2 2 3 4 2" xfId="1750" xr:uid="{00000000-0005-0000-0000-0000E0070000}"/>
    <cellStyle name="Normal 2 2 2 3 4 2 2" xfId="3845" xr:uid="{00000000-0005-0000-0000-0000E1070000}"/>
    <cellStyle name="Normal 2 2 2 3 4 3" xfId="2799" xr:uid="{00000000-0005-0000-0000-0000E2070000}"/>
    <cellStyle name="Normal 2 2 2 3 5" xfId="433" xr:uid="{00000000-0005-0000-0000-0000E3070000}"/>
    <cellStyle name="Normal 2 2 2 3 5 2" xfId="1484" xr:uid="{00000000-0005-0000-0000-0000E4070000}"/>
    <cellStyle name="Normal 2 2 2 3 5 2 2" xfId="3579" xr:uid="{00000000-0005-0000-0000-0000E5070000}"/>
    <cellStyle name="Normal 2 2 2 3 5 3" xfId="2533" xr:uid="{00000000-0005-0000-0000-0000E6070000}"/>
    <cellStyle name="Normal 2 2 2 3 6" xfId="1236" xr:uid="{00000000-0005-0000-0000-0000E7070000}"/>
    <cellStyle name="Normal 2 2 2 3 6 2" xfId="3331" xr:uid="{00000000-0005-0000-0000-0000E8070000}"/>
    <cellStyle name="Normal 2 2 2 3 7" xfId="2285" xr:uid="{00000000-0005-0000-0000-0000E9070000}"/>
    <cellStyle name="Normal 2 2 2 4" xfId="262" xr:uid="{00000000-0005-0000-0000-0000EA070000}"/>
    <cellStyle name="Normal 2 2 2 4 2" xfId="1047" xr:uid="{00000000-0005-0000-0000-0000EB070000}"/>
    <cellStyle name="Normal 2 2 2 4 2 2" xfId="2093" xr:uid="{00000000-0005-0000-0000-0000EC070000}"/>
    <cellStyle name="Normal 2 2 2 4 2 2 2" xfId="4188" xr:uid="{00000000-0005-0000-0000-0000ED070000}"/>
    <cellStyle name="Normal 2 2 2 4 2 3" xfId="3142" xr:uid="{00000000-0005-0000-0000-0000EE070000}"/>
    <cellStyle name="Normal 2 2 2 4 3" xfId="781" xr:uid="{00000000-0005-0000-0000-0000EF070000}"/>
    <cellStyle name="Normal 2 2 2 4 3 2" xfId="1827" xr:uid="{00000000-0005-0000-0000-0000F0070000}"/>
    <cellStyle name="Normal 2 2 2 4 3 2 2" xfId="3922" xr:uid="{00000000-0005-0000-0000-0000F1070000}"/>
    <cellStyle name="Normal 2 2 2 4 3 3" xfId="2876" xr:uid="{00000000-0005-0000-0000-0000F2070000}"/>
    <cellStyle name="Normal 2 2 2 4 4" xfId="510" xr:uid="{00000000-0005-0000-0000-0000F3070000}"/>
    <cellStyle name="Normal 2 2 2 4 4 2" xfId="1561" xr:uid="{00000000-0005-0000-0000-0000F4070000}"/>
    <cellStyle name="Normal 2 2 2 4 4 2 2" xfId="3656" xr:uid="{00000000-0005-0000-0000-0000F5070000}"/>
    <cellStyle name="Normal 2 2 2 4 4 3" xfId="2610" xr:uid="{00000000-0005-0000-0000-0000F6070000}"/>
    <cellStyle name="Normal 2 2 2 4 5" xfId="1313" xr:uid="{00000000-0005-0000-0000-0000F7070000}"/>
    <cellStyle name="Normal 2 2 2 4 5 2" xfId="3408" xr:uid="{00000000-0005-0000-0000-0000F8070000}"/>
    <cellStyle name="Normal 2 2 2 4 6" xfId="2362" xr:uid="{00000000-0005-0000-0000-0000F9070000}"/>
    <cellStyle name="Normal 2 2 2 5" xfId="923" xr:uid="{00000000-0005-0000-0000-0000FA070000}"/>
    <cellStyle name="Normal 2 2 2 5 2" xfId="1969" xr:uid="{00000000-0005-0000-0000-0000FB070000}"/>
    <cellStyle name="Normal 2 2 2 5 2 2" xfId="4064" xr:uid="{00000000-0005-0000-0000-0000FC070000}"/>
    <cellStyle name="Normal 2 2 2 5 3" xfId="3018" xr:uid="{00000000-0005-0000-0000-0000FD070000}"/>
    <cellStyle name="Normal 2 2 2 6" xfId="657" xr:uid="{00000000-0005-0000-0000-0000FE070000}"/>
    <cellStyle name="Normal 2 2 2 6 2" xfId="1703" xr:uid="{00000000-0005-0000-0000-0000FF070000}"/>
    <cellStyle name="Normal 2 2 2 6 2 2" xfId="3798" xr:uid="{00000000-0005-0000-0000-000000080000}"/>
    <cellStyle name="Normal 2 2 2 6 3" xfId="2752" xr:uid="{00000000-0005-0000-0000-000001080000}"/>
    <cellStyle name="Normal 2 2 2 7" xfId="386" xr:uid="{00000000-0005-0000-0000-000002080000}"/>
    <cellStyle name="Normal 2 2 2 7 2" xfId="1437" xr:uid="{00000000-0005-0000-0000-000003080000}"/>
    <cellStyle name="Normal 2 2 2 7 2 2" xfId="3532" xr:uid="{00000000-0005-0000-0000-000004080000}"/>
    <cellStyle name="Normal 2 2 2 7 3" xfId="2486" xr:uid="{00000000-0005-0000-0000-000005080000}"/>
    <cellStyle name="Normal 2 2 2 8" xfId="1189" xr:uid="{00000000-0005-0000-0000-000006080000}"/>
    <cellStyle name="Normal 2 2 2 8 2" xfId="3284" xr:uid="{00000000-0005-0000-0000-000007080000}"/>
    <cellStyle name="Normal 2 2 2 9" xfId="2238" xr:uid="{00000000-0005-0000-0000-000008080000}"/>
    <cellStyle name="Normal 2 2 3" xfId="88" xr:uid="{00000000-0005-0000-0000-000009080000}"/>
    <cellStyle name="Normal 2 2 4" xfId="89" xr:uid="{00000000-0005-0000-0000-00000A080000}"/>
    <cellStyle name="Normal 2 2 4 2" xfId="170" xr:uid="{00000000-0005-0000-0000-00000B080000}"/>
    <cellStyle name="Normal 2 2 4 2 2" xfId="324" xr:uid="{00000000-0005-0000-0000-00000C080000}"/>
    <cellStyle name="Normal 2 2 4 2 2 2" xfId="1109" xr:uid="{00000000-0005-0000-0000-00000D080000}"/>
    <cellStyle name="Normal 2 2 4 2 2 2 2" xfId="2155" xr:uid="{00000000-0005-0000-0000-00000E080000}"/>
    <cellStyle name="Normal 2 2 4 2 2 2 2 2" xfId="4250" xr:uid="{00000000-0005-0000-0000-00000F080000}"/>
    <cellStyle name="Normal 2 2 4 2 2 2 3" xfId="3204" xr:uid="{00000000-0005-0000-0000-000010080000}"/>
    <cellStyle name="Normal 2 2 4 2 2 3" xfId="843" xr:uid="{00000000-0005-0000-0000-000011080000}"/>
    <cellStyle name="Normal 2 2 4 2 2 3 2" xfId="1889" xr:uid="{00000000-0005-0000-0000-000012080000}"/>
    <cellStyle name="Normal 2 2 4 2 2 3 2 2" xfId="3984" xr:uid="{00000000-0005-0000-0000-000013080000}"/>
    <cellStyle name="Normal 2 2 4 2 2 3 3" xfId="2938" xr:uid="{00000000-0005-0000-0000-000014080000}"/>
    <cellStyle name="Normal 2 2 4 2 2 4" xfId="572" xr:uid="{00000000-0005-0000-0000-000015080000}"/>
    <cellStyle name="Normal 2 2 4 2 2 4 2" xfId="1623" xr:uid="{00000000-0005-0000-0000-000016080000}"/>
    <cellStyle name="Normal 2 2 4 2 2 4 2 2" xfId="3718" xr:uid="{00000000-0005-0000-0000-000017080000}"/>
    <cellStyle name="Normal 2 2 4 2 2 4 3" xfId="2672" xr:uid="{00000000-0005-0000-0000-000018080000}"/>
    <cellStyle name="Normal 2 2 4 2 2 5" xfId="1375" xr:uid="{00000000-0005-0000-0000-000019080000}"/>
    <cellStyle name="Normal 2 2 4 2 2 5 2" xfId="3470" xr:uid="{00000000-0005-0000-0000-00001A080000}"/>
    <cellStyle name="Normal 2 2 4 2 2 6" xfId="2424" xr:uid="{00000000-0005-0000-0000-00001B080000}"/>
    <cellStyle name="Normal 2 2 4 2 3" xfId="985" xr:uid="{00000000-0005-0000-0000-00001C080000}"/>
    <cellStyle name="Normal 2 2 4 2 3 2" xfId="2031" xr:uid="{00000000-0005-0000-0000-00001D080000}"/>
    <cellStyle name="Normal 2 2 4 2 3 2 2" xfId="4126" xr:uid="{00000000-0005-0000-0000-00001E080000}"/>
    <cellStyle name="Normal 2 2 4 2 3 3" xfId="3080" xr:uid="{00000000-0005-0000-0000-00001F080000}"/>
    <cellStyle name="Normal 2 2 4 2 4" xfId="719" xr:uid="{00000000-0005-0000-0000-000020080000}"/>
    <cellStyle name="Normal 2 2 4 2 4 2" xfId="1765" xr:uid="{00000000-0005-0000-0000-000021080000}"/>
    <cellStyle name="Normal 2 2 4 2 4 2 2" xfId="3860" xr:uid="{00000000-0005-0000-0000-000022080000}"/>
    <cellStyle name="Normal 2 2 4 2 4 3" xfId="2814" xr:uid="{00000000-0005-0000-0000-000023080000}"/>
    <cellStyle name="Normal 2 2 4 2 5" xfId="448" xr:uid="{00000000-0005-0000-0000-000024080000}"/>
    <cellStyle name="Normal 2 2 4 2 5 2" xfId="1499" xr:uid="{00000000-0005-0000-0000-000025080000}"/>
    <cellStyle name="Normal 2 2 4 2 5 2 2" xfId="3594" xr:uid="{00000000-0005-0000-0000-000026080000}"/>
    <cellStyle name="Normal 2 2 4 2 5 3" xfId="2548" xr:uid="{00000000-0005-0000-0000-000027080000}"/>
    <cellStyle name="Normal 2 2 4 2 6" xfId="1251" xr:uid="{00000000-0005-0000-0000-000028080000}"/>
    <cellStyle name="Normal 2 2 4 2 6 2" xfId="3346" xr:uid="{00000000-0005-0000-0000-000029080000}"/>
    <cellStyle name="Normal 2 2 4 2 7" xfId="2300" xr:uid="{00000000-0005-0000-0000-00002A080000}"/>
    <cellStyle name="Normal 2 2 4 3" xfId="277" xr:uid="{00000000-0005-0000-0000-00002B080000}"/>
    <cellStyle name="Normal 2 2 4 3 2" xfId="1062" xr:uid="{00000000-0005-0000-0000-00002C080000}"/>
    <cellStyle name="Normal 2 2 4 3 2 2" xfId="2108" xr:uid="{00000000-0005-0000-0000-00002D080000}"/>
    <cellStyle name="Normal 2 2 4 3 2 2 2" xfId="4203" xr:uid="{00000000-0005-0000-0000-00002E080000}"/>
    <cellStyle name="Normal 2 2 4 3 2 3" xfId="3157" xr:uid="{00000000-0005-0000-0000-00002F080000}"/>
    <cellStyle name="Normal 2 2 4 3 3" xfId="796" xr:uid="{00000000-0005-0000-0000-000030080000}"/>
    <cellStyle name="Normal 2 2 4 3 3 2" xfId="1842" xr:uid="{00000000-0005-0000-0000-000031080000}"/>
    <cellStyle name="Normal 2 2 4 3 3 2 2" xfId="3937" xr:uid="{00000000-0005-0000-0000-000032080000}"/>
    <cellStyle name="Normal 2 2 4 3 3 3" xfId="2891" xr:uid="{00000000-0005-0000-0000-000033080000}"/>
    <cellStyle name="Normal 2 2 4 3 4" xfId="525" xr:uid="{00000000-0005-0000-0000-000034080000}"/>
    <cellStyle name="Normal 2 2 4 3 4 2" xfId="1576" xr:uid="{00000000-0005-0000-0000-000035080000}"/>
    <cellStyle name="Normal 2 2 4 3 4 2 2" xfId="3671" xr:uid="{00000000-0005-0000-0000-000036080000}"/>
    <cellStyle name="Normal 2 2 4 3 4 3" xfId="2625" xr:uid="{00000000-0005-0000-0000-000037080000}"/>
    <cellStyle name="Normal 2 2 4 3 5" xfId="1328" xr:uid="{00000000-0005-0000-0000-000038080000}"/>
    <cellStyle name="Normal 2 2 4 3 5 2" xfId="3423" xr:uid="{00000000-0005-0000-0000-000039080000}"/>
    <cellStyle name="Normal 2 2 4 3 6" xfId="2377" xr:uid="{00000000-0005-0000-0000-00003A080000}"/>
    <cellStyle name="Normal 2 2 4 4" xfId="938" xr:uid="{00000000-0005-0000-0000-00003B080000}"/>
    <cellStyle name="Normal 2 2 4 4 2" xfId="1984" xr:uid="{00000000-0005-0000-0000-00003C080000}"/>
    <cellStyle name="Normal 2 2 4 4 2 2" xfId="4079" xr:uid="{00000000-0005-0000-0000-00003D080000}"/>
    <cellStyle name="Normal 2 2 4 4 3" xfId="3033" xr:uid="{00000000-0005-0000-0000-00003E080000}"/>
    <cellStyle name="Normal 2 2 4 5" xfId="672" xr:uid="{00000000-0005-0000-0000-00003F080000}"/>
    <cellStyle name="Normal 2 2 4 5 2" xfId="1718" xr:uid="{00000000-0005-0000-0000-000040080000}"/>
    <cellStyle name="Normal 2 2 4 5 2 2" xfId="3813" xr:uid="{00000000-0005-0000-0000-000041080000}"/>
    <cellStyle name="Normal 2 2 4 5 3" xfId="2767" xr:uid="{00000000-0005-0000-0000-000042080000}"/>
    <cellStyle name="Normal 2 2 4 6" xfId="401" xr:uid="{00000000-0005-0000-0000-000043080000}"/>
    <cellStyle name="Normal 2 2 4 6 2" xfId="1452" xr:uid="{00000000-0005-0000-0000-000044080000}"/>
    <cellStyle name="Normal 2 2 4 6 2 2" xfId="3547" xr:uid="{00000000-0005-0000-0000-000045080000}"/>
    <cellStyle name="Normal 2 2 4 6 3" xfId="2501" xr:uid="{00000000-0005-0000-0000-000046080000}"/>
    <cellStyle name="Normal 2 2 4 7" xfId="1204" xr:uid="{00000000-0005-0000-0000-000047080000}"/>
    <cellStyle name="Normal 2 2 4 7 2" xfId="3299" xr:uid="{00000000-0005-0000-0000-000048080000}"/>
    <cellStyle name="Normal 2 2 4 8" xfId="2253" xr:uid="{00000000-0005-0000-0000-000049080000}"/>
    <cellStyle name="Normal 2 2 5" xfId="138" xr:uid="{00000000-0005-0000-0000-00004A080000}"/>
    <cellStyle name="Normal 2 2 5 2" xfId="193" xr:uid="{00000000-0005-0000-0000-00004B080000}"/>
    <cellStyle name="Normal 2 2 5 2 2" xfId="347" xr:uid="{00000000-0005-0000-0000-00004C080000}"/>
    <cellStyle name="Normal 2 2 5 2 2 2" xfId="1132" xr:uid="{00000000-0005-0000-0000-00004D080000}"/>
    <cellStyle name="Normal 2 2 5 2 2 2 2" xfId="2178" xr:uid="{00000000-0005-0000-0000-00004E080000}"/>
    <cellStyle name="Normal 2 2 5 2 2 2 2 2" xfId="4273" xr:uid="{00000000-0005-0000-0000-00004F080000}"/>
    <cellStyle name="Normal 2 2 5 2 2 2 3" xfId="3227" xr:uid="{00000000-0005-0000-0000-000050080000}"/>
    <cellStyle name="Normal 2 2 5 2 2 3" xfId="866" xr:uid="{00000000-0005-0000-0000-000051080000}"/>
    <cellStyle name="Normal 2 2 5 2 2 3 2" xfId="1912" xr:uid="{00000000-0005-0000-0000-000052080000}"/>
    <cellStyle name="Normal 2 2 5 2 2 3 2 2" xfId="4007" xr:uid="{00000000-0005-0000-0000-000053080000}"/>
    <cellStyle name="Normal 2 2 5 2 2 3 3" xfId="2961" xr:uid="{00000000-0005-0000-0000-000054080000}"/>
    <cellStyle name="Normal 2 2 5 2 2 4" xfId="595" xr:uid="{00000000-0005-0000-0000-000055080000}"/>
    <cellStyle name="Normal 2 2 5 2 2 4 2" xfId="1646" xr:uid="{00000000-0005-0000-0000-000056080000}"/>
    <cellStyle name="Normal 2 2 5 2 2 4 2 2" xfId="3741" xr:uid="{00000000-0005-0000-0000-000057080000}"/>
    <cellStyle name="Normal 2 2 5 2 2 4 3" xfId="2695" xr:uid="{00000000-0005-0000-0000-000058080000}"/>
    <cellStyle name="Normal 2 2 5 2 2 5" xfId="1398" xr:uid="{00000000-0005-0000-0000-000059080000}"/>
    <cellStyle name="Normal 2 2 5 2 2 5 2" xfId="3493" xr:uid="{00000000-0005-0000-0000-00005A080000}"/>
    <cellStyle name="Normal 2 2 5 2 2 6" xfId="2447" xr:uid="{00000000-0005-0000-0000-00005B080000}"/>
    <cellStyle name="Normal 2 2 5 2 3" xfId="1008" xr:uid="{00000000-0005-0000-0000-00005C080000}"/>
    <cellStyle name="Normal 2 2 5 2 3 2" xfId="2054" xr:uid="{00000000-0005-0000-0000-00005D080000}"/>
    <cellStyle name="Normal 2 2 5 2 3 2 2" xfId="4149" xr:uid="{00000000-0005-0000-0000-00005E080000}"/>
    <cellStyle name="Normal 2 2 5 2 3 3" xfId="3103" xr:uid="{00000000-0005-0000-0000-00005F080000}"/>
    <cellStyle name="Normal 2 2 5 2 4" xfId="742" xr:uid="{00000000-0005-0000-0000-000060080000}"/>
    <cellStyle name="Normal 2 2 5 2 4 2" xfId="1788" xr:uid="{00000000-0005-0000-0000-000061080000}"/>
    <cellStyle name="Normal 2 2 5 2 4 2 2" xfId="3883" xr:uid="{00000000-0005-0000-0000-000062080000}"/>
    <cellStyle name="Normal 2 2 5 2 4 3" xfId="2837" xr:uid="{00000000-0005-0000-0000-000063080000}"/>
    <cellStyle name="Normal 2 2 5 2 5" xfId="471" xr:uid="{00000000-0005-0000-0000-000064080000}"/>
    <cellStyle name="Normal 2 2 5 2 5 2" xfId="1522" xr:uid="{00000000-0005-0000-0000-000065080000}"/>
    <cellStyle name="Normal 2 2 5 2 5 2 2" xfId="3617" xr:uid="{00000000-0005-0000-0000-000066080000}"/>
    <cellStyle name="Normal 2 2 5 2 5 3" xfId="2571" xr:uid="{00000000-0005-0000-0000-000067080000}"/>
    <cellStyle name="Normal 2 2 5 2 6" xfId="1274" xr:uid="{00000000-0005-0000-0000-000068080000}"/>
    <cellStyle name="Normal 2 2 5 2 6 2" xfId="3369" xr:uid="{00000000-0005-0000-0000-000069080000}"/>
    <cellStyle name="Normal 2 2 5 2 7" xfId="2323" xr:uid="{00000000-0005-0000-0000-00006A080000}"/>
    <cellStyle name="Normal 2 2 5 3" xfId="300" xr:uid="{00000000-0005-0000-0000-00006B080000}"/>
    <cellStyle name="Normal 2 2 5 3 2" xfId="1085" xr:uid="{00000000-0005-0000-0000-00006C080000}"/>
    <cellStyle name="Normal 2 2 5 3 2 2" xfId="2131" xr:uid="{00000000-0005-0000-0000-00006D080000}"/>
    <cellStyle name="Normal 2 2 5 3 2 2 2" xfId="4226" xr:uid="{00000000-0005-0000-0000-00006E080000}"/>
    <cellStyle name="Normal 2 2 5 3 2 3" xfId="3180" xr:uid="{00000000-0005-0000-0000-00006F080000}"/>
    <cellStyle name="Normal 2 2 5 3 3" xfId="819" xr:uid="{00000000-0005-0000-0000-000070080000}"/>
    <cellStyle name="Normal 2 2 5 3 3 2" xfId="1865" xr:uid="{00000000-0005-0000-0000-000071080000}"/>
    <cellStyle name="Normal 2 2 5 3 3 2 2" xfId="3960" xr:uid="{00000000-0005-0000-0000-000072080000}"/>
    <cellStyle name="Normal 2 2 5 3 3 3" xfId="2914" xr:uid="{00000000-0005-0000-0000-000073080000}"/>
    <cellStyle name="Normal 2 2 5 3 4" xfId="548" xr:uid="{00000000-0005-0000-0000-000074080000}"/>
    <cellStyle name="Normal 2 2 5 3 4 2" xfId="1599" xr:uid="{00000000-0005-0000-0000-000075080000}"/>
    <cellStyle name="Normal 2 2 5 3 4 2 2" xfId="3694" xr:uid="{00000000-0005-0000-0000-000076080000}"/>
    <cellStyle name="Normal 2 2 5 3 4 3" xfId="2648" xr:uid="{00000000-0005-0000-0000-000077080000}"/>
    <cellStyle name="Normal 2 2 5 3 5" xfId="1351" xr:uid="{00000000-0005-0000-0000-000078080000}"/>
    <cellStyle name="Normal 2 2 5 3 5 2" xfId="3446" xr:uid="{00000000-0005-0000-0000-000079080000}"/>
    <cellStyle name="Normal 2 2 5 3 6" xfId="2400" xr:uid="{00000000-0005-0000-0000-00007A080000}"/>
    <cellStyle name="Normal 2 2 5 4" xfId="961" xr:uid="{00000000-0005-0000-0000-00007B080000}"/>
    <cellStyle name="Normal 2 2 5 4 2" xfId="2007" xr:uid="{00000000-0005-0000-0000-00007C080000}"/>
    <cellStyle name="Normal 2 2 5 4 2 2" xfId="4102" xr:uid="{00000000-0005-0000-0000-00007D080000}"/>
    <cellStyle name="Normal 2 2 5 4 3" xfId="3056" xr:uid="{00000000-0005-0000-0000-00007E080000}"/>
    <cellStyle name="Normal 2 2 5 5" xfId="695" xr:uid="{00000000-0005-0000-0000-00007F080000}"/>
    <cellStyle name="Normal 2 2 5 5 2" xfId="1741" xr:uid="{00000000-0005-0000-0000-000080080000}"/>
    <cellStyle name="Normal 2 2 5 5 2 2" xfId="3836" xr:uid="{00000000-0005-0000-0000-000081080000}"/>
    <cellStyle name="Normal 2 2 5 5 3" xfId="2790" xr:uid="{00000000-0005-0000-0000-000082080000}"/>
    <cellStyle name="Normal 2 2 5 6" xfId="424" xr:uid="{00000000-0005-0000-0000-000083080000}"/>
    <cellStyle name="Normal 2 2 5 6 2" xfId="1475" xr:uid="{00000000-0005-0000-0000-000084080000}"/>
    <cellStyle name="Normal 2 2 5 6 2 2" xfId="3570" xr:uid="{00000000-0005-0000-0000-000085080000}"/>
    <cellStyle name="Normal 2 2 5 6 3" xfId="2524" xr:uid="{00000000-0005-0000-0000-000086080000}"/>
    <cellStyle name="Normal 2 2 5 7" xfId="1227" xr:uid="{00000000-0005-0000-0000-000087080000}"/>
    <cellStyle name="Normal 2 2 5 7 2" xfId="3322" xr:uid="{00000000-0005-0000-0000-000088080000}"/>
    <cellStyle name="Normal 2 2 5 8" xfId="2276" xr:uid="{00000000-0005-0000-0000-000089080000}"/>
    <cellStyle name="Normal 2 3" xfId="90" xr:uid="{00000000-0005-0000-0000-00008A080000}"/>
    <cellStyle name="Normal 2 3 10" xfId="1205" xr:uid="{00000000-0005-0000-0000-00008B080000}"/>
    <cellStyle name="Normal 2 3 10 2" xfId="3300" xr:uid="{00000000-0005-0000-0000-00008C080000}"/>
    <cellStyle name="Normal 2 3 11" xfId="2254" xr:uid="{00000000-0005-0000-0000-00008D080000}"/>
    <cellStyle name="Normal 2 3 2" xfId="91" xr:uid="{00000000-0005-0000-0000-00008E080000}"/>
    <cellStyle name="Normal 2 3 2 2" xfId="141" xr:uid="{00000000-0005-0000-0000-00008F080000}"/>
    <cellStyle name="Normal 2 3 2 2 2" xfId="195" xr:uid="{00000000-0005-0000-0000-000090080000}"/>
    <cellStyle name="Normal 2 3 2 2 2 2" xfId="349" xr:uid="{00000000-0005-0000-0000-000091080000}"/>
    <cellStyle name="Normal 2 3 2 2 2 2 2" xfId="1134" xr:uid="{00000000-0005-0000-0000-000092080000}"/>
    <cellStyle name="Normal 2 3 2 2 2 2 2 2" xfId="2180" xr:uid="{00000000-0005-0000-0000-000093080000}"/>
    <cellStyle name="Normal 2 3 2 2 2 2 2 2 2" xfId="4275" xr:uid="{00000000-0005-0000-0000-000094080000}"/>
    <cellStyle name="Normal 2 3 2 2 2 2 2 3" xfId="3229" xr:uid="{00000000-0005-0000-0000-000095080000}"/>
    <cellStyle name="Normal 2 3 2 2 2 2 3" xfId="868" xr:uid="{00000000-0005-0000-0000-000096080000}"/>
    <cellStyle name="Normal 2 3 2 2 2 2 3 2" xfId="1914" xr:uid="{00000000-0005-0000-0000-000097080000}"/>
    <cellStyle name="Normal 2 3 2 2 2 2 3 2 2" xfId="4009" xr:uid="{00000000-0005-0000-0000-000098080000}"/>
    <cellStyle name="Normal 2 3 2 2 2 2 3 3" xfId="2963" xr:uid="{00000000-0005-0000-0000-000099080000}"/>
    <cellStyle name="Normal 2 3 2 2 2 2 4" xfId="597" xr:uid="{00000000-0005-0000-0000-00009A080000}"/>
    <cellStyle name="Normal 2 3 2 2 2 2 4 2" xfId="1648" xr:uid="{00000000-0005-0000-0000-00009B080000}"/>
    <cellStyle name="Normal 2 3 2 2 2 2 4 2 2" xfId="3743" xr:uid="{00000000-0005-0000-0000-00009C080000}"/>
    <cellStyle name="Normal 2 3 2 2 2 2 4 3" xfId="2697" xr:uid="{00000000-0005-0000-0000-00009D080000}"/>
    <cellStyle name="Normal 2 3 2 2 2 2 5" xfId="1400" xr:uid="{00000000-0005-0000-0000-00009E080000}"/>
    <cellStyle name="Normal 2 3 2 2 2 2 5 2" xfId="3495" xr:uid="{00000000-0005-0000-0000-00009F080000}"/>
    <cellStyle name="Normal 2 3 2 2 2 2 6" xfId="2449" xr:uid="{00000000-0005-0000-0000-0000A0080000}"/>
    <cellStyle name="Normal 2 3 2 2 2 3" xfId="1010" xr:uid="{00000000-0005-0000-0000-0000A1080000}"/>
    <cellStyle name="Normal 2 3 2 2 2 3 2" xfId="2056" xr:uid="{00000000-0005-0000-0000-0000A2080000}"/>
    <cellStyle name="Normal 2 3 2 2 2 3 2 2" xfId="4151" xr:uid="{00000000-0005-0000-0000-0000A3080000}"/>
    <cellStyle name="Normal 2 3 2 2 2 3 3" xfId="3105" xr:uid="{00000000-0005-0000-0000-0000A4080000}"/>
    <cellStyle name="Normal 2 3 2 2 2 4" xfId="744" xr:uid="{00000000-0005-0000-0000-0000A5080000}"/>
    <cellStyle name="Normal 2 3 2 2 2 4 2" xfId="1790" xr:uid="{00000000-0005-0000-0000-0000A6080000}"/>
    <cellStyle name="Normal 2 3 2 2 2 4 2 2" xfId="3885" xr:uid="{00000000-0005-0000-0000-0000A7080000}"/>
    <cellStyle name="Normal 2 3 2 2 2 4 3" xfId="2839" xr:uid="{00000000-0005-0000-0000-0000A8080000}"/>
    <cellStyle name="Normal 2 3 2 2 2 5" xfId="473" xr:uid="{00000000-0005-0000-0000-0000A9080000}"/>
    <cellStyle name="Normal 2 3 2 2 2 5 2" xfId="1524" xr:uid="{00000000-0005-0000-0000-0000AA080000}"/>
    <cellStyle name="Normal 2 3 2 2 2 5 2 2" xfId="3619" xr:uid="{00000000-0005-0000-0000-0000AB080000}"/>
    <cellStyle name="Normal 2 3 2 2 2 5 3" xfId="2573" xr:uid="{00000000-0005-0000-0000-0000AC080000}"/>
    <cellStyle name="Normal 2 3 2 2 2 6" xfId="1276" xr:uid="{00000000-0005-0000-0000-0000AD080000}"/>
    <cellStyle name="Normal 2 3 2 2 2 6 2" xfId="3371" xr:uid="{00000000-0005-0000-0000-0000AE080000}"/>
    <cellStyle name="Normal 2 3 2 2 2 7" xfId="2325" xr:uid="{00000000-0005-0000-0000-0000AF080000}"/>
    <cellStyle name="Normal 2 3 2 2 3" xfId="302" xr:uid="{00000000-0005-0000-0000-0000B0080000}"/>
    <cellStyle name="Normal 2 3 2 2 3 2" xfId="1087" xr:uid="{00000000-0005-0000-0000-0000B1080000}"/>
    <cellStyle name="Normal 2 3 2 2 3 2 2" xfId="2133" xr:uid="{00000000-0005-0000-0000-0000B2080000}"/>
    <cellStyle name="Normal 2 3 2 2 3 2 2 2" xfId="4228" xr:uid="{00000000-0005-0000-0000-0000B3080000}"/>
    <cellStyle name="Normal 2 3 2 2 3 2 3" xfId="3182" xr:uid="{00000000-0005-0000-0000-0000B4080000}"/>
    <cellStyle name="Normal 2 3 2 2 3 3" xfId="821" xr:uid="{00000000-0005-0000-0000-0000B5080000}"/>
    <cellStyle name="Normal 2 3 2 2 3 3 2" xfId="1867" xr:uid="{00000000-0005-0000-0000-0000B6080000}"/>
    <cellStyle name="Normal 2 3 2 2 3 3 2 2" xfId="3962" xr:uid="{00000000-0005-0000-0000-0000B7080000}"/>
    <cellStyle name="Normal 2 3 2 2 3 3 3" xfId="2916" xr:uid="{00000000-0005-0000-0000-0000B8080000}"/>
    <cellStyle name="Normal 2 3 2 2 3 4" xfId="550" xr:uid="{00000000-0005-0000-0000-0000B9080000}"/>
    <cellStyle name="Normal 2 3 2 2 3 4 2" xfId="1601" xr:uid="{00000000-0005-0000-0000-0000BA080000}"/>
    <cellStyle name="Normal 2 3 2 2 3 4 2 2" xfId="3696" xr:uid="{00000000-0005-0000-0000-0000BB080000}"/>
    <cellStyle name="Normal 2 3 2 2 3 4 3" xfId="2650" xr:uid="{00000000-0005-0000-0000-0000BC080000}"/>
    <cellStyle name="Normal 2 3 2 2 3 5" xfId="1353" xr:uid="{00000000-0005-0000-0000-0000BD080000}"/>
    <cellStyle name="Normal 2 3 2 2 3 5 2" xfId="3448" xr:uid="{00000000-0005-0000-0000-0000BE080000}"/>
    <cellStyle name="Normal 2 3 2 2 3 6" xfId="2402" xr:uid="{00000000-0005-0000-0000-0000BF080000}"/>
    <cellStyle name="Normal 2 3 2 2 4" xfId="963" xr:uid="{00000000-0005-0000-0000-0000C0080000}"/>
    <cellStyle name="Normal 2 3 2 2 4 2" xfId="2009" xr:uid="{00000000-0005-0000-0000-0000C1080000}"/>
    <cellStyle name="Normal 2 3 2 2 4 2 2" xfId="4104" xr:uid="{00000000-0005-0000-0000-0000C2080000}"/>
    <cellStyle name="Normal 2 3 2 2 4 3" xfId="3058" xr:uid="{00000000-0005-0000-0000-0000C3080000}"/>
    <cellStyle name="Normal 2 3 2 2 5" xfId="697" xr:uid="{00000000-0005-0000-0000-0000C4080000}"/>
    <cellStyle name="Normal 2 3 2 2 5 2" xfId="1743" xr:uid="{00000000-0005-0000-0000-0000C5080000}"/>
    <cellStyle name="Normal 2 3 2 2 5 2 2" xfId="3838" xr:uid="{00000000-0005-0000-0000-0000C6080000}"/>
    <cellStyle name="Normal 2 3 2 2 5 3" xfId="2792" xr:uid="{00000000-0005-0000-0000-0000C7080000}"/>
    <cellStyle name="Normal 2 3 2 2 6" xfId="426" xr:uid="{00000000-0005-0000-0000-0000C8080000}"/>
    <cellStyle name="Normal 2 3 2 2 6 2" xfId="1477" xr:uid="{00000000-0005-0000-0000-0000C9080000}"/>
    <cellStyle name="Normal 2 3 2 2 6 2 2" xfId="3572" xr:uid="{00000000-0005-0000-0000-0000CA080000}"/>
    <cellStyle name="Normal 2 3 2 2 6 3" xfId="2526" xr:uid="{00000000-0005-0000-0000-0000CB080000}"/>
    <cellStyle name="Normal 2 3 2 2 7" xfId="1229" xr:uid="{00000000-0005-0000-0000-0000CC080000}"/>
    <cellStyle name="Normal 2 3 2 2 7 2" xfId="3324" xr:uid="{00000000-0005-0000-0000-0000CD080000}"/>
    <cellStyle name="Normal 2 3 2 2 8" xfId="2278" xr:uid="{00000000-0005-0000-0000-0000CE080000}"/>
    <cellStyle name="Normal 2 3 2 3" xfId="172" xr:uid="{00000000-0005-0000-0000-0000CF080000}"/>
    <cellStyle name="Normal 2 3 2 3 2" xfId="326" xr:uid="{00000000-0005-0000-0000-0000D0080000}"/>
    <cellStyle name="Normal 2 3 2 3 2 2" xfId="1111" xr:uid="{00000000-0005-0000-0000-0000D1080000}"/>
    <cellStyle name="Normal 2 3 2 3 2 2 2" xfId="2157" xr:uid="{00000000-0005-0000-0000-0000D2080000}"/>
    <cellStyle name="Normal 2 3 2 3 2 2 2 2" xfId="4252" xr:uid="{00000000-0005-0000-0000-0000D3080000}"/>
    <cellStyle name="Normal 2 3 2 3 2 2 3" xfId="3206" xr:uid="{00000000-0005-0000-0000-0000D4080000}"/>
    <cellStyle name="Normal 2 3 2 3 2 3" xfId="845" xr:uid="{00000000-0005-0000-0000-0000D5080000}"/>
    <cellStyle name="Normal 2 3 2 3 2 3 2" xfId="1891" xr:uid="{00000000-0005-0000-0000-0000D6080000}"/>
    <cellStyle name="Normal 2 3 2 3 2 3 2 2" xfId="3986" xr:uid="{00000000-0005-0000-0000-0000D7080000}"/>
    <cellStyle name="Normal 2 3 2 3 2 3 3" xfId="2940" xr:uid="{00000000-0005-0000-0000-0000D8080000}"/>
    <cellStyle name="Normal 2 3 2 3 2 4" xfId="574" xr:uid="{00000000-0005-0000-0000-0000D9080000}"/>
    <cellStyle name="Normal 2 3 2 3 2 4 2" xfId="1625" xr:uid="{00000000-0005-0000-0000-0000DA080000}"/>
    <cellStyle name="Normal 2 3 2 3 2 4 2 2" xfId="3720" xr:uid="{00000000-0005-0000-0000-0000DB080000}"/>
    <cellStyle name="Normal 2 3 2 3 2 4 3" xfId="2674" xr:uid="{00000000-0005-0000-0000-0000DC080000}"/>
    <cellStyle name="Normal 2 3 2 3 2 5" xfId="1377" xr:uid="{00000000-0005-0000-0000-0000DD080000}"/>
    <cellStyle name="Normal 2 3 2 3 2 5 2" xfId="3472" xr:uid="{00000000-0005-0000-0000-0000DE080000}"/>
    <cellStyle name="Normal 2 3 2 3 2 6" xfId="2426" xr:uid="{00000000-0005-0000-0000-0000DF080000}"/>
    <cellStyle name="Normal 2 3 2 3 3" xfId="987" xr:uid="{00000000-0005-0000-0000-0000E0080000}"/>
    <cellStyle name="Normal 2 3 2 3 3 2" xfId="2033" xr:uid="{00000000-0005-0000-0000-0000E1080000}"/>
    <cellStyle name="Normal 2 3 2 3 3 2 2" xfId="4128" xr:uid="{00000000-0005-0000-0000-0000E2080000}"/>
    <cellStyle name="Normal 2 3 2 3 3 3" xfId="3082" xr:uid="{00000000-0005-0000-0000-0000E3080000}"/>
    <cellStyle name="Normal 2 3 2 3 4" xfId="721" xr:uid="{00000000-0005-0000-0000-0000E4080000}"/>
    <cellStyle name="Normal 2 3 2 3 4 2" xfId="1767" xr:uid="{00000000-0005-0000-0000-0000E5080000}"/>
    <cellStyle name="Normal 2 3 2 3 4 2 2" xfId="3862" xr:uid="{00000000-0005-0000-0000-0000E6080000}"/>
    <cellStyle name="Normal 2 3 2 3 4 3" xfId="2816" xr:uid="{00000000-0005-0000-0000-0000E7080000}"/>
    <cellStyle name="Normal 2 3 2 3 5" xfId="450" xr:uid="{00000000-0005-0000-0000-0000E8080000}"/>
    <cellStyle name="Normal 2 3 2 3 5 2" xfId="1501" xr:uid="{00000000-0005-0000-0000-0000E9080000}"/>
    <cellStyle name="Normal 2 3 2 3 5 2 2" xfId="3596" xr:uid="{00000000-0005-0000-0000-0000EA080000}"/>
    <cellStyle name="Normal 2 3 2 3 5 3" xfId="2550" xr:uid="{00000000-0005-0000-0000-0000EB080000}"/>
    <cellStyle name="Normal 2 3 2 3 6" xfId="1253" xr:uid="{00000000-0005-0000-0000-0000EC080000}"/>
    <cellStyle name="Normal 2 3 2 3 6 2" xfId="3348" xr:uid="{00000000-0005-0000-0000-0000ED080000}"/>
    <cellStyle name="Normal 2 3 2 3 7" xfId="2302" xr:uid="{00000000-0005-0000-0000-0000EE080000}"/>
    <cellStyle name="Normal 2 3 2 4" xfId="279" xr:uid="{00000000-0005-0000-0000-0000EF080000}"/>
    <cellStyle name="Normal 2 3 2 4 2" xfId="1064" xr:uid="{00000000-0005-0000-0000-0000F0080000}"/>
    <cellStyle name="Normal 2 3 2 4 2 2" xfId="2110" xr:uid="{00000000-0005-0000-0000-0000F1080000}"/>
    <cellStyle name="Normal 2 3 2 4 2 2 2" xfId="4205" xr:uid="{00000000-0005-0000-0000-0000F2080000}"/>
    <cellStyle name="Normal 2 3 2 4 2 3" xfId="3159" xr:uid="{00000000-0005-0000-0000-0000F3080000}"/>
    <cellStyle name="Normal 2 3 2 4 3" xfId="798" xr:uid="{00000000-0005-0000-0000-0000F4080000}"/>
    <cellStyle name="Normal 2 3 2 4 3 2" xfId="1844" xr:uid="{00000000-0005-0000-0000-0000F5080000}"/>
    <cellStyle name="Normal 2 3 2 4 3 2 2" xfId="3939" xr:uid="{00000000-0005-0000-0000-0000F6080000}"/>
    <cellStyle name="Normal 2 3 2 4 3 3" xfId="2893" xr:uid="{00000000-0005-0000-0000-0000F7080000}"/>
    <cellStyle name="Normal 2 3 2 4 4" xfId="527" xr:uid="{00000000-0005-0000-0000-0000F8080000}"/>
    <cellStyle name="Normal 2 3 2 4 4 2" xfId="1578" xr:uid="{00000000-0005-0000-0000-0000F9080000}"/>
    <cellStyle name="Normal 2 3 2 4 4 2 2" xfId="3673" xr:uid="{00000000-0005-0000-0000-0000FA080000}"/>
    <cellStyle name="Normal 2 3 2 4 4 3" xfId="2627" xr:uid="{00000000-0005-0000-0000-0000FB080000}"/>
    <cellStyle name="Normal 2 3 2 4 5" xfId="1330" xr:uid="{00000000-0005-0000-0000-0000FC080000}"/>
    <cellStyle name="Normal 2 3 2 4 5 2" xfId="3425" xr:uid="{00000000-0005-0000-0000-0000FD080000}"/>
    <cellStyle name="Normal 2 3 2 4 6" xfId="2379" xr:uid="{00000000-0005-0000-0000-0000FE080000}"/>
    <cellStyle name="Normal 2 3 2 5" xfId="940" xr:uid="{00000000-0005-0000-0000-0000FF080000}"/>
    <cellStyle name="Normal 2 3 2 5 2" xfId="1986" xr:uid="{00000000-0005-0000-0000-000000090000}"/>
    <cellStyle name="Normal 2 3 2 5 2 2" xfId="4081" xr:uid="{00000000-0005-0000-0000-000001090000}"/>
    <cellStyle name="Normal 2 3 2 5 3" xfId="3035" xr:uid="{00000000-0005-0000-0000-000002090000}"/>
    <cellStyle name="Normal 2 3 2 6" xfId="674" xr:uid="{00000000-0005-0000-0000-000003090000}"/>
    <cellStyle name="Normal 2 3 2 6 2" xfId="1720" xr:uid="{00000000-0005-0000-0000-000004090000}"/>
    <cellStyle name="Normal 2 3 2 6 2 2" xfId="3815" xr:uid="{00000000-0005-0000-0000-000005090000}"/>
    <cellStyle name="Normal 2 3 2 6 3" xfId="2769" xr:uid="{00000000-0005-0000-0000-000006090000}"/>
    <cellStyle name="Normal 2 3 2 7" xfId="403" xr:uid="{00000000-0005-0000-0000-000007090000}"/>
    <cellStyle name="Normal 2 3 2 7 2" xfId="1454" xr:uid="{00000000-0005-0000-0000-000008090000}"/>
    <cellStyle name="Normal 2 3 2 7 2 2" xfId="3549" xr:uid="{00000000-0005-0000-0000-000009090000}"/>
    <cellStyle name="Normal 2 3 2 7 3" xfId="2503" xr:uid="{00000000-0005-0000-0000-00000A090000}"/>
    <cellStyle name="Normal 2 3 2 8" xfId="1206" xr:uid="{00000000-0005-0000-0000-00000B090000}"/>
    <cellStyle name="Normal 2 3 2 8 2" xfId="3301" xr:uid="{00000000-0005-0000-0000-00000C090000}"/>
    <cellStyle name="Normal 2 3 2 9" xfId="2255" xr:uid="{00000000-0005-0000-0000-00000D090000}"/>
    <cellStyle name="Normal 2 3 3" xfId="92" xr:uid="{00000000-0005-0000-0000-00000E090000}"/>
    <cellStyle name="Normal 2 3 4" xfId="140" xr:uid="{00000000-0005-0000-0000-00000F090000}"/>
    <cellStyle name="Normal 2 3 4 2" xfId="194" xr:uid="{00000000-0005-0000-0000-000010090000}"/>
    <cellStyle name="Normal 2 3 4 2 2" xfId="348" xr:uid="{00000000-0005-0000-0000-000011090000}"/>
    <cellStyle name="Normal 2 3 4 2 2 2" xfId="1133" xr:uid="{00000000-0005-0000-0000-000012090000}"/>
    <cellStyle name="Normal 2 3 4 2 2 2 2" xfId="2179" xr:uid="{00000000-0005-0000-0000-000013090000}"/>
    <cellStyle name="Normal 2 3 4 2 2 2 2 2" xfId="4274" xr:uid="{00000000-0005-0000-0000-000014090000}"/>
    <cellStyle name="Normal 2 3 4 2 2 2 3" xfId="3228" xr:uid="{00000000-0005-0000-0000-000015090000}"/>
    <cellStyle name="Normal 2 3 4 2 2 3" xfId="867" xr:uid="{00000000-0005-0000-0000-000016090000}"/>
    <cellStyle name="Normal 2 3 4 2 2 3 2" xfId="1913" xr:uid="{00000000-0005-0000-0000-000017090000}"/>
    <cellStyle name="Normal 2 3 4 2 2 3 2 2" xfId="4008" xr:uid="{00000000-0005-0000-0000-000018090000}"/>
    <cellStyle name="Normal 2 3 4 2 2 3 3" xfId="2962" xr:uid="{00000000-0005-0000-0000-000019090000}"/>
    <cellStyle name="Normal 2 3 4 2 2 4" xfId="596" xr:uid="{00000000-0005-0000-0000-00001A090000}"/>
    <cellStyle name="Normal 2 3 4 2 2 4 2" xfId="1647" xr:uid="{00000000-0005-0000-0000-00001B090000}"/>
    <cellStyle name="Normal 2 3 4 2 2 4 2 2" xfId="3742" xr:uid="{00000000-0005-0000-0000-00001C090000}"/>
    <cellStyle name="Normal 2 3 4 2 2 4 3" xfId="2696" xr:uid="{00000000-0005-0000-0000-00001D090000}"/>
    <cellStyle name="Normal 2 3 4 2 2 5" xfId="1399" xr:uid="{00000000-0005-0000-0000-00001E090000}"/>
    <cellStyle name="Normal 2 3 4 2 2 5 2" xfId="3494" xr:uid="{00000000-0005-0000-0000-00001F090000}"/>
    <cellStyle name="Normal 2 3 4 2 2 6" xfId="2448" xr:uid="{00000000-0005-0000-0000-000020090000}"/>
    <cellStyle name="Normal 2 3 4 2 3" xfId="1009" xr:uid="{00000000-0005-0000-0000-000021090000}"/>
    <cellStyle name="Normal 2 3 4 2 3 2" xfId="2055" xr:uid="{00000000-0005-0000-0000-000022090000}"/>
    <cellStyle name="Normal 2 3 4 2 3 2 2" xfId="4150" xr:uid="{00000000-0005-0000-0000-000023090000}"/>
    <cellStyle name="Normal 2 3 4 2 3 3" xfId="3104" xr:uid="{00000000-0005-0000-0000-000024090000}"/>
    <cellStyle name="Normal 2 3 4 2 4" xfId="743" xr:uid="{00000000-0005-0000-0000-000025090000}"/>
    <cellStyle name="Normal 2 3 4 2 4 2" xfId="1789" xr:uid="{00000000-0005-0000-0000-000026090000}"/>
    <cellStyle name="Normal 2 3 4 2 4 2 2" xfId="3884" xr:uid="{00000000-0005-0000-0000-000027090000}"/>
    <cellStyle name="Normal 2 3 4 2 4 3" xfId="2838" xr:uid="{00000000-0005-0000-0000-000028090000}"/>
    <cellStyle name="Normal 2 3 4 2 5" xfId="472" xr:uid="{00000000-0005-0000-0000-000029090000}"/>
    <cellStyle name="Normal 2 3 4 2 5 2" xfId="1523" xr:uid="{00000000-0005-0000-0000-00002A090000}"/>
    <cellStyle name="Normal 2 3 4 2 5 2 2" xfId="3618" xr:uid="{00000000-0005-0000-0000-00002B090000}"/>
    <cellStyle name="Normal 2 3 4 2 5 3" xfId="2572" xr:uid="{00000000-0005-0000-0000-00002C090000}"/>
    <cellStyle name="Normal 2 3 4 2 6" xfId="1275" xr:uid="{00000000-0005-0000-0000-00002D090000}"/>
    <cellStyle name="Normal 2 3 4 2 6 2" xfId="3370" xr:uid="{00000000-0005-0000-0000-00002E090000}"/>
    <cellStyle name="Normal 2 3 4 2 7" xfId="2324" xr:uid="{00000000-0005-0000-0000-00002F090000}"/>
    <cellStyle name="Normal 2 3 4 3" xfId="301" xr:uid="{00000000-0005-0000-0000-000030090000}"/>
    <cellStyle name="Normal 2 3 4 3 2" xfId="1086" xr:uid="{00000000-0005-0000-0000-000031090000}"/>
    <cellStyle name="Normal 2 3 4 3 2 2" xfId="2132" xr:uid="{00000000-0005-0000-0000-000032090000}"/>
    <cellStyle name="Normal 2 3 4 3 2 2 2" xfId="4227" xr:uid="{00000000-0005-0000-0000-000033090000}"/>
    <cellStyle name="Normal 2 3 4 3 2 3" xfId="3181" xr:uid="{00000000-0005-0000-0000-000034090000}"/>
    <cellStyle name="Normal 2 3 4 3 3" xfId="820" xr:uid="{00000000-0005-0000-0000-000035090000}"/>
    <cellStyle name="Normal 2 3 4 3 3 2" xfId="1866" xr:uid="{00000000-0005-0000-0000-000036090000}"/>
    <cellStyle name="Normal 2 3 4 3 3 2 2" xfId="3961" xr:uid="{00000000-0005-0000-0000-000037090000}"/>
    <cellStyle name="Normal 2 3 4 3 3 3" xfId="2915" xr:uid="{00000000-0005-0000-0000-000038090000}"/>
    <cellStyle name="Normal 2 3 4 3 4" xfId="549" xr:uid="{00000000-0005-0000-0000-000039090000}"/>
    <cellStyle name="Normal 2 3 4 3 4 2" xfId="1600" xr:uid="{00000000-0005-0000-0000-00003A090000}"/>
    <cellStyle name="Normal 2 3 4 3 4 2 2" xfId="3695" xr:uid="{00000000-0005-0000-0000-00003B090000}"/>
    <cellStyle name="Normal 2 3 4 3 4 3" xfId="2649" xr:uid="{00000000-0005-0000-0000-00003C090000}"/>
    <cellStyle name="Normal 2 3 4 3 5" xfId="1352" xr:uid="{00000000-0005-0000-0000-00003D090000}"/>
    <cellStyle name="Normal 2 3 4 3 5 2" xfId="3447" xr:uid="{00000000-0005-0000-0000-00003E090000}"/>
    <cellStyle name="Normal 2 3 4 3 6" xfId="2401" xr:uid="{00000000-0005-0000-0000-00003F090000}"/>
    <cellStyle name="Normal 2 3 4 4" xfId="962" xr:uid="{00000000-0005-0000-0000-000040090000}"/>
    <cellStyle name="Normal 2 3 4 4 2" xfId="2008" xr:uid="{00000000-0005-0000-0000-000041090000}"/>
    <cellStyle name="Normal 2 3 4 4 2 2" xfId="4103" xr:uid="{00000000-0005-0000-0000-000042090000}"/>
    <cellStyle name="Normal 2 3 4 4 3" xfId="3057" xr:uid="{00000000-0005-0000-0000-000043090000}"/>
    <cellStyle name="Normal 2 3 4 5" xfId="696" xr:uid="{00000000-0005-0000-0000-000044090000}"/>
    <cellStyle name="Normal 2 3 4 5 2" xfId="1742" xr:uid="{00000000-0005-0000-0000-000045090000}"/>
    <cellStyle name="Normal 2 3 4 5 2 2" xfId="3837" xr:uid="{00000000-0005-0000-0000-000046090000}"/>
    <cellStyle name="Normal 2 3 4 5 3" xfId="2791" xr:uid="{00000000-0005-0000-0000-000047090000}"/>
    <cellStyle name="Normal 2 3 4 6" xfId="425" xr:uid="{00000000-0005-0000-0000-000048090000}"/>
    <cellStyle name="Normal 2 3 4 6 2" xfId="1476" xr:uid="{00000000-0005-0000-0000-000049090000}"/>
    <cellStyle name="Normal 2 3 4 6 2 2" xfId="3571" xr:uid="{00000000-0005-0000-0000-00004A090000}"/>
    <cellStyle name="Normal 2 3 4 6 3" xfId="2525" xr:uid="{00000000-0005-0000-0000-00004B090000}"/>
    <cellStyle name="Normal 2 3 4 7" xfId="1228" xr:uid="{00000000-0005-0000-0000-00004C090000}"/>
    <cellStyle name="Normal 2 3 4 7 2" xfId="3323" xr:uid="{00000000-0005-0000-0000-00004D090000}"/>
    <cellStyle name="Normal 2 3 4 8" xfId="2277" xr:uid="{00000000-0005-0000-0000-00004E090000}"/>
    <cellStyle name="Normal 2 3 5" xfId="171" xr:uid="{00000000-0005-0000-0000-00004F090000}"/>
    <cellStyle name="Normal 2 3 5 2" xfId="325" xr:uid="{00000000-0005-0000-0000-000050090000}"/>
    <cellStyle name="Normal 2 3 5 2 2" xfId="1110" xr:uid="{00000000-0005-0000-0000-000051090000}"/>
    <cellStyle name="Normal 2 3 5 2 2 2" xfId="2156" xr:uid="{00000000-0005-0000-0000-000052090000}"/>
    <cellStyle name="Normal 2 3 5 2 2 2 2" xfId="4251" xr:uid="{00000000-0005-0000-0000-000053090000}"/>
    <cellStyle name="Normal 2 3 5 2 2 3" xfId="3205" xr:uid="{00000000-0005-0000-0000-000054090000}"/>
    <cellStyle name="Normal 2 3 5 2 3" xfId="844" xr:uid="{00000000-0005-0000-0000-000055090000}"/>
    <cellStyle name="Normal 2 3 5 2 3 2" xfId="1890" xr:uid="{00000000-0005-0000-0000-000056090000}"/>
    <cellStyle name="Normal 2 3 5 2 3 2 2" xfId="3985" xr:uid="{00000000-0005-0000-0000-000057090000}"/>
    <cellStyle name="Normal 2 3 5 2 3 3" xfId="2939" xr:uid="{00000000-0005-0000-0000-000058090000}"/>
    <cellStyle name="Normal 2 3 5 2 4" xfId="573" xr:uid="{00000000-0005-0000-0000-000059090000}"/>
    <cellStyle name="Normal 2 3 5 2 4 2" xfId="1624" xr:uid="{00000000-0005-0000-0000-00005A090000}"/>
    <cellStyle name="Normal 2 3 5 2 4 2 2" xfId="3719" xr:uid="{00000000-0005-0000-0000-00005B090000}"/>
    <cellStyle name="Normal 2 3 5 2 4 3" xfId="2673" xr:uid="{00000000-0005-0000-0000-00005C090000}"/>
    <cellStyle name="Normal 2 3 5 2 5" xfId="1376" xr:uid="{00000000-0005-0000-0000-00005D090000}"/>
    <cellStyle name="Normal 2 3 5 2 5 2" xfId="3471" xr:uid="{00000000-0005-0000-0000-00005E090000}"/>
    <cellStyle name="Normal 2 3 5 2 6" xfId="2425" xr:uid="{00000000-0005-0000-0000-00005F090000}"/>
    <cellStyle name="Normal 2 3 5 3" xfId="986" xr:uid="{00000000-0005-0000-0000-000060090000}"/>
    <cellStyle name="Normal 2 3 5 3 2" xfId="2032" xr:uid="{00000000-0005-0000-0000-000061090000}"/>
    <cellStyle name="Normal 2 3 5 3 2 2" xfId="4127" xr:uid="{00000000-0005-0000-0000-000062090000}"/>
    <cellStyle name="Normal 2 3 5 3 3" xfId="3081" xr:uid="{00000000-0005-0000-0000-000063090000}"/>
    <cellStyle name="Normal 2 3 5 4" xfId="720" xr:uid="{00000000-0005-0000-0000-000064090000}"/>
    <cellStyle name="Normal 2 3 5 4 2" xfId="1766" xr:uid="{00000000-0005-0000-0000-000065090000}"/>
    <cellStyle name="Normal 2 3 5 4 2 2" xfId="3861" xr:uid="{00000000-0005-0000-0000-000066090000}"/>
    <cellStyle name="Normal 2 3 5 4 3" xfId="2815" xr:uid="{00000000-0005-0000-0000-000067090000}"/>
    <cellStyle name="Normal 2 3 5 5" xfId="449" xr:uid="{00000000-0005-0000-0000-000068090000}"/>
    <cellStyle name="Normal 2 3 5 5 2" xfId="1500" xr:uid="{00000000-0005-0000-0000-000069090000}"/>
    <cellStyle name="Normal 2 3 5 5 2 2" xfId="3595" xr:uid="{00000000-0005-0000-0000-00006A090000}"/>
    <cellStyle name="Normal 2 3 5 5 3" xfId="2549" xr:uid="{00000000-0005-0000-0000-00006B090000}"/>
    <cellStyle name="Normal 2 3 5 6" xfId="1252" xr:uid="{00000000-0005-0000-0000-00006C090000}"/>
    <cellStyle name="Normal 2 3 5 6 2" xfId="3347" xr:uid="{00000000-0005-0000-0000-00006D090000}"/>
    <cellStyle name="Normal 2 3 5 7" xfId="2301" xr:uid="{00000000-0005-0000-0000-00006E090000}"/>
    <cellStyle name="Normal 2 3 6" xfId="278" xr:uid="{00000000-0005-0000-0000-00006F090000}"/>
    <cellStyle name="Normal 2 3 6 2" xfId="1063" xr:uid="{00000000-0005-0000-0000-000070090000}"/>
    <cellStyle name="Normal 2 3 6 2 2" xfId="2109" xr:uid="{00000000-0005-0000-0000-000071090000}"/>
    <cellStyle name="Normal 2 3 6 2 2 2" xfId="4204" xr:uid="{00000000-0005-0000-0000-000072090000}"/>
    <cellStyle name="Normal 2 3 6 2 3" xfId="3158" xr:uid="{00000000-0005-0000-0000-000073090000}"/>
    <cellStyle name="Normal 2 3 6 3" xfId="797" xr:uid="{00000000-0005-0000-0000-000074090000}"/>
    <cellStyle name="Normal 2 3 6 3 2" xfId="1843" xr:uid="{00000000-0005-0000-0000-000075090000}"/>
    <cellStyle name="Normal 2 3 6 3 2 2" xfId="3938" xr:uid="{00000000-0005-0000-0000-000076090000}"/>
    <cellStyle name="Normal 2 3 6 3 3" xfId="2892" xr:uid="{00000000-0005-0000-0000-000077090000}"/>
    <cellStyle name="Normal 2 3 6 4" xfId="526" xr:uid="{00000000-0005-0000-0000-000078090000}"/>
    <cellStyle name="Normal 2 3 6 4 2" xfId="1577" xr:uid="{00000000-0005-0000-0000-000079090000}"/>
    <cellStyle name="Normal 2 3 6 4 2 2" xfId="3672" xr:uid="{00000000-0005-0000-0000-00007A090000}"/>
    <cellStyle name="Normal 2 3 6 4 3" xfId="2626" xr:uid="{00000000-0005-0000-0000-00007B090000}"/>
    <cellStyle name="Normal 2 3 6 5" xfId="1329" xr:uid="{00000000-0005-0000-0000-00007C090000}"/>
    <cellStyle name="Normal 2 3 6 5 2" xfId="3424" xr:uid="{00000000-0005-0000-0000-00007D090000}"/>
    <cellStyle name="Normal 2 3 6 6" xfId="2378" xr:uid="{00000000-0005-0000-0000-00007E090000}"/>
    <cellStyle name="Normal 2 3 7" xfId="939" xr:uid="{00000000-0005-0000-0000-00007F090000}"/>
    <cellStyle name="Normal 2 3 7 2" xfId="1985" xr:uid="{00000000-0005-0000-0000-000080090000}"/>
    <cellStyle name="Normal 2 3 7 2 2" xfId="4080" xr:uid="{00000000-0005-0000-0000-000081090000}"/>
    <cellStyle name="Normal 2 3 7 3" xfId="3034" xr:uid="{00000000-0005-0000-0000-000082090000}"/>
    <cellStyle name="Normal 2 3 8" xfId="673" xr:uid="{00000000-0005-0000-0000-000083090000}"/>
    <cellStyle name="Normal 2 3 8 2" xfId="1719" xr:uid="{00000000-0005-0000-0000-000084090000}"/>
    <cellStyle name="Normal 2 3 8 2 2" xfId="3814" xr:uid="{00000000-0005-0000-0000-000085090000}"/>
    <cellStyle name="Normal 2 3 8 3" xfId="2768" xr:uid="{00000000-0005-0000-0000-000086090000}"/>
    <cellStyle name="Normal 2 3 9" xfId="402" xr:uid="{00000000-0005-0000-0000-000087090000}"/>
    <cellStyle name="Normal 2 3 9 2" xfId="1453" xr:uid="{00000000-0005-0000-0000-000088090000}"/>
    <cellStyle name="Normal 2 3 9 2 2" xfId="3548" xr:uid="{00000000-0005-0000-0000-000089090000}"/>
    <cellStyle name="Normal 2 3 9 3" xfId="2502" xr:uid="{00000000-0005-0000-0000-00008A090000}"/>
    <cellStyle name="Normal 2 4" xfId="93" xr:uid="{00000000-0005-0000-0000-00008B090000}"/>
    <cellStyle name="Normal 2 5" xfId="94" xr:uid="{00000000-0005-0000-0000-00008C090000}"/>
    <cellStyle name="Normal 2 6" xfId="95" xr:uid="{00000000-0005-0000-0000-00008D090000}"/>
    <cellStyle name="Normal 2 7" xfId="96" xr:uid="{00000000-0005-0000-0000-00008E090000}"/>
    <cellStyle name="Normal 2 7 2" xfId="173" xr:uid="{00000000-0005-0000-0000-00008F090000}"/>
    <cellStyle name="Normal 2 7 2 2" xfId="327" xr:uid="{00000000-0005-0000-0000-000090090000}"/>
    <cellStyle name="Normal 2 7 2 2 2" xfId="1112" xr:uid="{00000000-0005-0000-0000-000091090000}"/>
    <cellStyle name="Normal 2 7 2 2 2 2" xfId="2158" xr:uid="{00000000-0005-0000-0000-000092090000}"/>
    <cellStyle name="Normal 2 7 2 2 2 2 2" xfId="4253" xr:uid="{00000000-0005-0000-0000-000093090000}"/>
    <cellStyle name="Normal 2 7 2 2 2 3" xfId="3207" xr:uid="{00000000-0005-0000-0000-000094090000}"/>
    <cellStyle name="Normal 2 7 2 2 3" xfId="846" xr:uid="{00000000-0005-0000-0000-000095090000}"/>
    <cellStyle name="Normal 2 7 2 2 3 2" xfId="1892" xr:uid="{00000000-0005-0000-0000-000096090000}"/>
    <cellStyle name="Normal 2 7 2 2 3 2 2" xfId="3987" xr:uid="{00000000-0005-0000-0000-000097090000}"/>
    <cellStyle name="Normal 2 7 2 2 3 3" xfId="2941" xr:uid="{00000000-0005-0000-0000-000098090000}"/>
    <cellStyle name="Normal 2 7 2 2 4" xfId="575" xr:uid="{00000000-0005-0000-0000-000099090000}"/>
    <cellStyle name="Normal 2 7 2 2 4 2" xfId="1626" xr:uid="{00000000-0005-0000-0000-00009A090000}"/>
    <cellStyle name="Normal 2 7 2 2 4 2 2" xfId="3721" xr:uid="{00000000-0005-0000-0000-00009B090000}"/>
    <cellStyle name="Normal 2 7 2 2 4 3" xfId="2675" xr:uid="{00000000-0005-0000-0000-00009C090000}"/>
    <cellStyle name="Normal 2 7 2 2 5" xfId="1378" xr:uid="{00000000-0005-0000-0000-00009D090000}"/>
    <cellStyle name="Normal 2 7 2 2 5 2" xfId="3473" xr:uid="{00000000-0005-0000-0000-00009E090000}"/>
    <cellStyle name="Normal 2 7 2 2 6" xfId="2427" xr:uid="{00000000-0005-0000-0000-00009F090000}"/>
    <cellStyle name="Normal 2 7 2 3" xfId="988" xr:uid="{00000000-0005-0000-0000-0000A0090000}"/>
    <cellStyle name="Normal 2 7 2 3 2" xfId="2034" xr:uid="{00000000-0005-0000-0000-0000A1090000}"/>
    <cellStyle name="Normal 2 7 2 3 2 2" xfId="4129" xr:uid="{00000000-0005-0000-0000-0000A2090000}"/>
    <cellStyle name="Normal 2 7 2 3 3" xfId="3083" xr:uid="{00000000-0005-0000-0000-0000A3090000}"/>
    <cellStyle name="Normal 2 7 2 4" xfId="722" xr:uid="{00000000-0005-0000-0000-0000A4090000}"/>
    <cellStyle name="Normal 2 7 2 4 2" xfId="1768" xr:uid="{00000000-0005-0000-0000-0000A5090000}"/>
    <cellStyle name="Normal 2 7 2 4 2 2" xfId="3863" xr:uid="{00000000-0005-0000-0000-0000A6090000}"/>
    <cellStyle name="Normal 2 7 2 4 3" xfId="2817" xr:uid="{00000000-0005-0000-0000-0000A7090000}"/>
    <cellStyle name="Normal 2 7 2 5" xfId="451" xr:uid="{00000000-0005-0000-0000-0000A8090000}"/>
    <cellStyle name="Normal 2 7 2 5 2" xfId="1502" xr:uid="{00000000-0005-0000-0000-0000A9090000}"/>
    <cellStyle name="Normal 2 7 2 5 2 2" xfId="3597" xr:uid="{00000000-0005-0000-0000-0000AA090000}"/>
    <cellStyle name="Normal 2 7 2 5 3" xfId="2551" xr:uid="{00000000-0005-0000-0000-0000AB090000}"/>
    <cellStyle name="Normal 2 7 2 6" xfId="1254" xr:uid="{00000000-0005-0000-0000-0000AC090000}"/>
    <cellStyle name="Normal 2 7 2 6 2" xfId="3349" xr:uid="{00000000-0005-0000-0000-0000AD090000}"/>
    <cellStyle name="Normal 2 7 2 7" xfId="2303" xr:uid="{00000000-0005-0000-0000-0000AE090000}"/>
    <cellStyle name="Normal 2 7 3" xfId="280" xr:uid="{00000000-0005-0000-0000-0000AF090000}"/>
    <cellStyle name="Normal 2 7 3 2" xfId="1065" xr:uid="{00000000-0005-0000-0000-0000B0090000}"/>
    <cellStyle name="Normal 2 7 3 2 2" xfId="2111" xr:uid="{00000000-0005-0000-0000-0000B1090000}"/>
    <cellStyle name="Normal 2 7 3 2 2 2" xfId="4206" xr:uid="{00000000-0005-0000-0000-0000B2090000}"/>
    <cellStyle name="Normal 2 7 3 2 3" xfId="3160" xr:uid="{00000000-0005-0000-0000-0000B3090000}"/>
    <cellStyle name="Normal 2 7 3 3" xfId="799" xr:uid="{00000000-0005-0000-0000-0000B4090000}"/>
    <cellStyle name="Normal 2 7 3 3 2" xfId="1845" xr:uid="{00000000-0005-0000-0000-0000B5090000}"/>
    <cellStyle name="Normal 2 7 3 3 2 2" xfId="3940" xr:uid="{00000000-0005-0000-0000-0000B6090000}"/>
    <cellStyle name="Normal 2 7 3 3 3" xfId="2894" xr:uid="{00000000-0005-0000-0000-0000B7090000}"/>
    <cellStyle name="Normal 2 7 3 4" xfId="528" xr:uid="{00000000-0005-0000-0000-0000B8090000}"/>
    <cellStyle name="Normal 2 7 3 4 2" xfId="1579" xr:uid="{00000000-0005-0000-0000-0000B9090000}"/>
    <cellStyle name="Normal 2 7 3 4 2 2" xfId="3674" xr:uid="{00000000-0005-0000-0000-0000BA090000}"/>
    <cellStyle name="Normal 2 7 3 4 3" xfId="2628" xr:uid="{00000000-0005-0000-0000-0000BB090000}"/>
    <cellStyle name="Normal 2 7 3 5" xfId="1331" xr:uid="{00000000-0005-0000-0000-0000BC090000}"/>
    <cellStyle name="Normal 2 7 3 5 2" xfId="3426" xr:uid="{00000000-0005-0000-0000-0000BD090000}"/>
    <cellStyle name="Normal 2 7 3 6" xfId="2380" xr:uid="{00000000-0005-0000-0000-0000BE090000}"/>
    <cellStyle name="Normal 2 7 4" xfId="941" xr:uid="{00000000-0005-0000-0000-0000BF090000}"/>
    <cellStyle name="Normal 2 7 4 2" xfId="1987" xr:uid="{00000000-0005-0000-0000-0000C0090000}"/>
    <cellStyle name="Normal 2 7 4 2 2" xfId="4082" xr:uid="{00000000-0005-0000-0000-0000C1090000}"/>
    <cellStyle name="Normal 2 7 4 3" xfId="3036" xr:uid="{00000000-0005-0000-0000-0000C2090000}"/>
    <cellStyle name="Normal 2 7 5" xfId="675" xr:uid="{00000000-0005-0000-0000-0000C3090000}"/>
    <cellStyle name="Normal 2 7 5 2" xfId="1721" xr:uid="{00000000-0005-0000-0000-0000C4090000}"/>
    <cellStyle name="Normal 2 7 5 2 2" xfId="3816" xr:uid="{00000000-0005-0000-0000-0000C5090000}"/>
    <cellStyle name="Normal 2 7 5 3" xfId="2770" xr:uid="{00000000-0005-0000-0000-0000C6090000}"/>
    <cellStyle name="Normal 2 7 6" xfId="404" xr:uid="{00000000-0005-0000-0000-0000C7090000}"/>
    <cellStyle name="Normal 2 7 6 2" xfId="1455" xr:uid="{00000000-0005-0000-0000-0000C8090000}"/>
    <cellStyle name="Normal 2 7 6 2 2" xfId="3550" xr:uid="{00000000-0005-0000-0000-0000C9090000}"/>
    <cellStyle name="Normal 2 7 6 3" xfId="2504" xr:uid="{00000000-0005-0000-0000-0000CA090000}"/>
    <cellStyle name="Normal 2 7 7" xfId="1207" xr:uid="{00000000-0005-0000-0000-0000CB090000}"/>
    <cellStyle name="Normal 2 7 7 2" xfId="3302" xr:uid="{00000000-0005-0000-0000-0000CC090000}"/>
    <cellStyle name="Normal 2 7 8" xfId="2256" xr:uid="{00000000-0005-0000-0000-0000CD090000}"/>
    <cellStyle name="Normal 20" xfId="97" xr:uid="{00000000-0005-0000-0000-0000CE090000}"/>
    <cellStyle name="Normal 20 2" xfId="174" xr:uid="{00000000-0005-0000-0000-0000CF090000}"/>
    <cellStyle name="Normal 20 2 2" xfId="328" xr:uid="{00000000-0005-0000-0000-0000D0090000}"/>
    <cellStyle name="Normal 20 2 2 2" xfId="1113" xr:uid="{00000000-0005-0000-0000-0000D1090000}"/>
    <cellStyle name="Normal 20 2 2 2 2" xfId="2159" xr:uid="{00000000-0005-0000-0000-0000D2090000}"/>
    <cellStyle name="Normal 20 2 2 2 2 2" xfId="4254" xr:uid="{00000000-0005-0000-0000-0000D3090000}"/>
    <cellStyle name="Normal 20 2 2 2 3" xfId="3208" xr:uid="{00000000-0005-0000-0000-0000D4090000}"/>
    <cellStyle name="Normal 20 2 2 3" xfId="847" xr:uid="{00000000-0005-0000-0000-0000D5090000}"/>
    <cellStyle name="Normal 20 2 2 3 2" xfId="1893" xr:uid="{00000000-0005-0000-0000-0000D6090000}"/>
    <cellStyle name="Normal 20 2 2 3 2 2" xfId="3988" xr:uid="{00000000-0005-0000-0000-0000D7090000}"/>
    <cellStyle name="Normal 20 2 2 3 3" xfId="2942" xr:uid="{00000000-0005-0000-0000-0000D8090000}"/>
    <cellStyle name="Normal 20 2 2 4" xfId="576" xr:uid="{00000000-0005-0000-0000-0000D9090000}"/>
    <cellStyle name="Normal 20 2 2 4 2" xfId="1627" xr:uid="{00000000-0005-0000-0000-0000DA090000}"/>
    <cellStyle name="Normal 20 2 2 4 2 2" xfId="3722" xr:uid="{00000000-0005-0000-0000-0000DB090000}"/>
    <cellStyle name="Normal 20 2 2 4 3" xfId="2676" xr:uid="{00000000-0005-0000-0000-0000DC090000}"/>
    <cellStyle name="Normal 20 2 2 5" xfId="1379" xr:uid="{00000000-0005-0000-0000-0000DD090000}"/>
    <cellStyle name="Normal 20 2 2 5 2" xfId="3474" xr:uid="{00000000-0005-0000-0000-0000DE090000}"/>
    <cellStyle name="Normal 20 2 2 6" xfId="2428" xr:uid="{00000000-0005-0000-0000-0000DF090000}"/>
    <cellStyle name="Normal 20 2 3" xfId="989" xr:uid="{00000000-0005-0000-0000-0000E0090000}"/>
    <cellStyle name="Normal 20 2 3 2" xfId="2035" xr:uid="{00000000-0005-0000-0000-0000E1090000}"/>
    <cellStyle name="Normal 20 2 3 2 2" xfId="4130" xr:uid="{00000000-0005-0000-0000-0000E2090000}"/>
    <cellStyle name="Normal 20 2 3 3" xfId="3084" xr:uid="{00000000-0005-0000-0000-0000E3090000}"/>
    <cellStyle name="Normal 20 2 4" xfId="723" xr:uid="{00000000-0005-0000-0000-0000E4090000}"/>
    <cellStyle name="Normal 20 2 4 2" xfId="1769" xr:uid="{00000000-0005-0000-0000-0000E5090000}"/>
    <cellStyle name="Normal 20 2 4 2 2" xfId="3864" xr:uid="{00000000-0005-0000-0000-0000E6090000}"/>
    <cellStyle name="Normal 20 2 4 3" xfId="2818" xr:uid="{00000000-0005-0000-0000-0000E7090000}"/>
    <cellStyle name="Normal 20 2 5" xfId="452" xr:uid="{00000000-0005-0000-0000-0000E8090000}"/>
    <cellStyle name="Normal 20 2 5 2" xfId="1503" xr:uid="{00000000-0005-0000-0000-0000E9090000}"/>
    <cellStyle name="Normal 20 2 5 2 2" xfId="3598" xr:uid="{00000000-0005-0000-0000-0000EA090000}"/>
    <cellStyle name="Normal 20 2 5 3" xfId="2552" xr:uid="{00000000-0005-0000-0000-0000EB090000}"/>
    <cellStyle name="Normal 20 2 6" xfId="1255" xr:uid="{00000000-0005-0000-0000-0000EC090000}"/>
    <cellStyle name="Normal 20 2 6 2" xfId="3350" xr:uid="{00000000-0005-0000-0000-0000ED090000}"/>
    <cellStyle name="Normal 20 2 7" xfId="2304" xr:uid="{00000000-0005-0000-0000-0000EE090000}"/>
    <cellStyle name="Normal 20 3" xfId="281" xr:uid="{00000000-0005-0000-0000-0000EF090000}"/>
    <cellStyle name="Normal 20 3 2" xfId="1066" xr:uid="{00000000-0005-0000-0000-0000F0090000}"/>
    <cellStyle name="Normal 20 3 2 2" xfId="2112" xr:uid="{00000000-0005-0000-0000-0000F1090000}"/>
    <cellStyle name="Normal 20 3 2 2 2" xfId="4207" xr:uid="{00000000-0005-0000-0000-0000F2090000}"/>
    <cellStyle name="Normal 20 3 2 3" xfId="3161" xr:uid="{00000000-0005-0000-0000-0000F3090000}"/>
    <cellStyle name="Normal 20 3 3" xfId="800" xr:uid="{00000000-0005-0000-0000-0000F4090000}"/>
    <cellStyle name="Normal 20 3 3 2" xfId="1846" xr:uid="{00000000-0005-0000-0000-0000F5090000}"/>
    <cellStyle name="Normal 20 3 3 2 2" xfId="3941" xr:uid="{00000000-0005-0000-0000-0000F6090000}"/>
    <cellStyle name="Normal 20 3 3 3" xfId="2895" xr:uid="{00000000-0005-0000-0000-0000F7090000}"/>
    <cellStyle name="Normal 20 3 4" xfId="529" xr:uid="{00000000-0005-0000-0000-0000F8090000}"/>
    <cellStyle name="Normal 20 3 4 2" xfId="1580" xr:uid="{00000000-0005-0000-0000-0000F9090000}"/>
    <cellStyle name="Normal 20 3 4 2 2" xfId="3675" xr:uid="{00000000-0005-0000-0000-0000FA090000}"/>
    <cellStyle name="Normal 20 3 4 3" xfId="2629" xr:uid="{00000000-0005-0000-0000-0000FB090000}"/>
    <cellStyle name="Normal 20 3 5" xfId="1332" xr:uid="{00000000-0005-0000-0000-0000FC090000}"/>
    <cellStyle name="Normal 20 3 5 2" xfId="3427" xr:uid="{00000000-0005-0000-0000-0000FD090000}"/>
    <cellStyle name="Normal 20 3 6" xfId="2381" xr:uid="{00000000-0005-0000-0000-0000FE090000}"/>
    <cellStyle name="Normal 20 4" xfId="942" xr:uid="{00000000-0005-0000-0000-0000FF090000}"/>
    <cellStyle name="Normal 20 4 2" xfId="1988" xr:uid="{00000000-0005-0000-0000-0000000A0000}"/>
    <cellStyle name="Normal 20 4 2 2" xfId="4083" xr:uid="{00000000-0005-0000-0000-0000010A0000}"/>
    <cellStyle name="Normal 20 4 3" xfId="3037" xr:uid="{00000000-0005-0000-0000-0000020A0000}"/>
    <cellStyle name="Normal 20 5" xfId="676" xr:uid="{00000000-0005-0000-0000-0000030A0000}"/>
    <cellStyle name="Normal 20 5 2" xfId="1722" xr:uid="{00000000-0005-0000-0000-0000040A0000}"/>
    <cellStyle name="Normal 20 5 2 2" xfId="3817" xr:uid="{00000000-0005-0000-0000-0000050A0000}"/>
    <cellStyle name="Normal 20 5 3" xfId="2771" xr:uid="{00000000-0005-0000-0000-0000060A0000}"/>
    <cellStyle name="Normal 20 6" xfId="405" xr:uid="{00000000-0005-0000-0000-0000070A0000}"/>
    <cellStyle name="Normal 20 6 2" xfId="1456" xr:uid="{00000000-0005-0000-0000-0000080A0000}"/>
    <cellStyle name="Normal 20 6 2 2" xfId="3551" xr:uid="{00000000-0005-0000-0000-0000090A0000}"/>
    <cellStyle name="Normal 20 6 3" xfId="2505" xr:uid="{00000000-0005-0000-0000-00000A0A0000}"/>
    <cellStyle name="Normal 20 7" xfId="1208" xr:uid="{00000000-0005-0000-0000-00000B0A0000}"/>
    <cellStyle name="Normal 20 7 2" xfId="3303" xr:uid="{00000000-0005-0000-0000-00000C0A0000}"/>
    <cellStyle name="Normal 20 8" xfId="2257" xr:uid="{00000000-0005-0000-0000-00000D0A0000}"/>
    <cellStyle name="Normal 21" xfId="133" xr:uid="{00000000-0005-0000-0000-00000E0A0000}"/>
    <cellStyle name="Normal 21 2" xfId="188" xr:uid="{00000000-0005-0000-0000-00000F0A0000}"/>
    <cellStyle name="Normal 21 2 2" xfId="342" xr:uid="{00000000-0005-0000-0000-0000100A0000}"/>
    <cellStyle name="Normal 21 2 2 2" xfId="1127" xr:uid="{00000000-0005-0000-0000-0000110A0000}"/>
    <cellStyle name="Normal 21 2 2 2 2" xfId="2173" xr:uid="{00000000-0005-0000-0000-0000120A0000}"/>
    <cellStyle name="Normal 21 2 2 2 2 2" xfId="4268" xr:uid="{00000000-0005-0000-0000-0000130A0000}"/>
    <cellStyle name="Normal 21 2 2 2 3" xfId="3222" xr:uid="{00000000-0005-0000-0000-0000140A0000}"/>
    <cellStyle name="Normal 21 2 2 3" xfId="861" xr:uid="{00000000-0005-0000-0000-0000150A0000}"/>
    <cellStyle name="Normal 21 2 2 3 2" xfId="1907" xr:uid="{00000000-0005-0000-0000-0000160A0000}"/>
    <cellStyle name="Normal 21 2 2 3 2 2" xfId="4002" xr:uid="{00000000-0005-0000-0000-0000170A0000}"/>
    <cellStyle name="Normal 21 2 2 3 3" xfId="2956" xr:uid="{00000000-0005-0000-0000-0000180A0000}"/>
    <cellStyle name="Normal 21 2 2 4" xfId="590" xr:uid="{00000000-0005-0000-0000-0000190A0000}"/>
    <cellStyle name="Normal 21 2 2 4 2" xfId="1641" xr:uid="{00000000-0005-0000-0000-00001A0A0000}"/>
    <cellStyle name="Normal 21 2 2 4 2 2" xfId="3736" xr:uid="{00000000-0005-0000-0000-00001B0A0000}"/>
    <cellStyle name="Normal 21 2 2 4 3" xfId="2690" xr:uid="{00000000-0005-0000-0000-00001C0A0000}"/>
    <cellStyle name="Normal 21 2 2 5" xfId="1393" xr:uid="{00000000-0005-0000-0000-00001D0A0000}"/>
    <cellStyle name="Normal 21 2 2 5 2" xfId="3488" xr:uid="{00000000-0005-0000-0000-00001E0A0000}"/>
    <cellStyle name="Normal 21 2 2 6" xfId="2442" xr:uid="{00000000-0005-0000-0000-00001F0A0000}"/>
    <cellStyle name="Normal 21 2 3" xfId="1003" xr:uid="{00000000-0005-0000-0000-0000200A0000}"/>
    <cellStyle name="Normal 21 2 3 2" xfId="2049" xr:uid="{00000000-0005-0000-0000-0000210A0000}"/>
    <cellStyle name="Normal 21 2 3 2 2" xfId="4144" xr:uid="{00000000-0005-0000-0000-0000220A0000}"/>
    <cellStyle name="Normal 21 2 3 3" xfId="3098" xr:uid="{00000000-0005-0000-0000-0000230A0000}"/>
    <cellStyle name="Normal 21 2 4" xfId="737" xr:uid="{00000000-0005-0000-0000-0000240A0000}"/>
    <cellStyle name="Normal 21 2 4 2" xfId="1783" xr:uid="{00000000-0005-0000-0000-0000250A0000}"/>
    <cellStyle name="Normal 21 2 4 2 2" xfId="3878" xr:uid="{00000000-0005-0000-0000-0000260A0000}"/>
    <cellStyle name="Normal 21 2 4 3" xfId="2832" xr:uid="{00000000-0005-0000-0000-0000270A0000}"/>
    <cellStyle name="Normal 21 2 5" xfId="466" xr:uid="{00000000-0005-0000-0000-0000280A0000}"/>
    <cellStyle name="Normal 21 2 5 2" xfId="1517" xr:uid="{00000000-0005-0000-0000-0000290A0000}"/>
    <cellStyle name="Normal 21 2 5 2 2" xfId="3612" xr:uid="{00000000-0005-0000-0000-00002A0A0000}"/>
    <cellStyle name="Normal 21 2 5 3" xfId="2566" xr:uid="{00000000-0005-0000-0000-00002B0A0000}"/>
    <cellStyle name="Normal 21 2 6" xfId="1269" xr:uid="{00000000-0005-0000-0000-00002C0A0000}"/>
    <cellStyle name="Normal 21 2 6 2" xfId="3364" xr:uid="{00000000-0005-0000-0000-00002D0A0000}"/>
    <cellStyle name="Normal 21 2 7" xfId="2318" xr:uid="{00000000-0005-0000-0000-00002E0A0000}"/>
    <cellStyle name="Normal 21 3" xfId="295" xr:uid="{00000000-0005-0000-0000-00002F0A0000}"/>
    <cellStyle name="Normal 21 3 2" xfId="1080" xr:uid="{00000000-0005-0000-0000-0000300A0000}"/>
    <cellStyle name="Normal 21 3 2 2" xfId="2126" xr:uid="{00000000-0005-0000-0000-0000310A0000}"/>
    <cellStyle name="Normal 21 3 2 2 2" xfId="4221" xr:uid="{00000000-0005-0000-0000-0000320A0000}"/>
    <cellStyle name="Normal 21 3 2 3" xfId="3175" xr:uid="{00000000-0005-0000-0000-0000330A0000}"/>
    <cellStyle name="Normal 21 3 3" xfId="814" xr:uid="{00000000-0005-0000-0000-0000340A0000}"/>
    <cellStyle name="Normal 21 3 3 2" xfId="1860" xr:uid="{00000000-0005-0000-0000-0000350A0000}"/>
    <cellStyle name="Normal 21 3 3 2 2" xfId="3955" xr:uid="{00000000-0005-0000-0000-0000360A0000}"/>
    <cellStyle name="Normal 21 3 3 3" xfId="2909" xr:uid="{00000000-0005-0000-0000-0000370A0000}"/>
    <cellStyle name="Normal 21 3 4" xfId="543" xr:uid="{00000000-0005-0000-0000-0000380A0000}"/>
    <cellStyle name="Normal 21 3 4 2" xfId="1594" xr:uid="{00000000-0005-0000-0000-0000390A0000}"/>
    <cellStyle name="Normal 21 3 4 2 2" xfId="3689" xr:uid="{00000000-0005-0000-0000-00003A0A0000}"/>
    <cellStyle name="Normal 21 3 4 3" xfId="2643" xr:uid="{00000000-0005-0000-0000-00003B0A0000}"/>
    <cellStyle name="Normal 21 3 5" xfId="1346" xr:uid="{00000000-0005-0000-0000-00003C0A0000}"/>
    <cellStyle name="Normal 21 3 5 2" xfId="3441" xr:uid="{00000000-0005-0000-0000-00003D0A0000}"/>
    <cellStyle name="Normal 21 3 6" xfId="2395" xr:uid="{00000000-0005-0000-0000-00003E0A0000}"/>
    <cellStyle name="Normal 21 4" xfId="956" xr:uid="{00000000-0005-0000-0000-00003F0A0000}"/>
    <cellStyle name="Normal 21 4 2" xfId="2002" xr:uid="{00000000-0005-0000-0000-0000400A0000}"/>
    <cellStyle name="Normal 21 4 2 2" xfId="4097" xr:uid="{00000000-0005-0000-0000-0000410A0000}"/>
    <cellStyle name="Normal 21 4 3" xfId="3051" xr:uid="{00000000-0005-0000-0000-0000420A0000}"/>
    <cellStyle name="Normal 21 5" xfId="690" xr:uid="{00000000-0005-0000-0000-0000430A0000}"/>
    <cellStyle name="Normal 21 5 2" xfId="1736" xr:uid="{00000000-0005-0000-0000-0000440A0000}"/>
    <cellStyle name="Normal 21 5 2 2" xfId="3831" xr:uid="{00000000-0005-0000-0000-0000450A0000}"/>
    <cellStyle name="Normal 21 5 3" xfId="2785" xr:uid="{00000000-0005-0000-0000-0000460A0000}"/>
    <cellStyle name="Normal 21 6" xfId="419" xr:uid="{00000000-0005-0000-0000-0000470A0000}"/>
    <cellStyle name="Normal 21 6 2" xfId="1470" xr:uid="{00000000-0005-0000-0000-0000480A0000}"/>
    <cellStyle name="Normal 21 6 2 2" xfId="3565" xr:uid="{00000000-0005-0000-0000-0000490A0000}"/>
    <cellStyle name="Normal 21 6 3" xfId="2519" xr:uid="{00000000-0005-0000-0000-00004A0A0000}"/>
    <cellStyle name="Normal 21 7" xfId="1222" xr:uid="{00000000-0005-0000-0000-00004B0A0000}"/>
    <cellStyle name="Normal 21 7 2" xfId="3317" xr:uid="{00000000-0005-0000-0000-00004C0A0000}"/>
    <cellStyle name="Normal 21 8" xfId="2271" xr:uid="{00000000-0005-0000-0000-00004D0A0000}"/>
    <cellStyle name="Normal 22" xfId="242" xr:uid="{00000000-0005-0000-0000-00004E0A0000}"/>
    <cellStyle name="Normal 22 2" xfId="368" xr:uid="{00000000-0005-0000-0000-00004F0A0000}"/>
    <cellStyle name="Normal 22 2 2" xfId="1153" xr:uid="{00000000-0005-0000-0000-0000500A0000}"/>
    <cellStyle name="Normal 22 2 2 2" xfId="2199" xr:uid="{00000000-0005-0000-0000-0000510A0000}"/>
    <cellStyle name="Normal 22 2 2 2 2" xfId="4294" xr:uid="{00000000-0005-0000-0000-0000520A0000}"/>
    <cellStyle name="Normal 22 2 2 3" xfId="3248" xr:uid="{00000000-0005-0000-0000-0000530A0000}"/>
    <cellStyle name="Normal 22 2 3" xfId="887" xr:uid="{00000000-0005-0000-0000-0000540A0000}"/>
    <cellStyle name="Normal 22 2 3 2" xfId="1933" xr:uid="{00000000-0005-0000-0000-0000550A0000}"/>
    <cellStyle name="Normal 22 2 3 2 2" xfId="4028" xr:uid="{00000000-0005-0000-0000-0000560A0000}"/>
    <cellStyle name="Normal 22 2 3 3" xfId="2982" xr:uid="{00000000-0005-0000-0000-0000570A0000}"/>
    <cellStyle name="Normal 22 2 4" xfId="616" xr:uid="{00000000-0005-0000-0000-0000580A0000}"/>
    <cellStyle name="Normal 22 2 4 2" xfId="1667" xr:uid="{00000000-0005-0000-0000-0000590A0000}"/>
    <cellStyle name="Normal 22 2 4 2 2" xfId="3762" xr:uid="{00000000-0005-0000-0000-00005A0A0000}"/>
    <cellStyle name="Normal 22 2 4 3" xfId="2716" xr:uid="{00000000-0005-0000-0000-00005B0A0000}"/>
    <cellStyle name="Normal 22 2 5" xfId="1419" xr:uid="{00000000-0005-0000-0000-00005C0A0000}"/>
    <cellStyle name="Normal 22 2 5 2" xfId="3514" xr:uid="{00000000-0005-0000-0000-00005D0A0000}"/>
    <cellStyle name="Normal 22 2 6" xfId="2468" xr:uid="{00000000-0005-0000-0000-00005E0A0000}"/>
    <cellStyle name="Normal 22 3" xfId="1029" xr:uid="{00000000-0005-0000-0000-00005F0A0000}"/>
    <cellStyle name="Normal 22 3 2" xfId="2075" xr:uid="{00000000-0005-0000-0000-0000600A0000}"/>
    <cellStyle name="Normal 22 3 2 2" xfId="4170" xr:uid="{00000000-0005-0000-0000-0000610A0000}"/>
    <cellStyle name="Normal 22 3 3" xfId="3124" xr:uid="{00000000-0005-0000-0000-0000620A0000}"/>
    <cellStyle name="Normal 22 4" xfId="763" xr:uid="{00000000-0005-0000-0000-0000630A0000}"/>
    <cellStyle name="Normal 22 4 2" xfId="1809" xr:uid="{00000000-0005-0000-0000-0000640A0000}"/>
    <cellStyle name="Normal 22 4 2 2" xfId="3904" xr:uid="{00000000-0005-0000-0000-0000650A0000}"/>
    <cellStyle name="Normal 22 4 3" xfId="2858" xr:uid="{00000000-0005-0000-0000-0000660A0000}"/>
    <cellStyle name="Normal 22 5" xfId="492" xr:uid="{00000000-0005-0000-0000-0000670A0000}"/>
    <cellStyle name="Normal 22 5 2" xfId="1543" xr:uid="{00000000-0005-0000-0000-0000680A0000}"/>
    <cellStyle name="Normal 22 5 2 2" xfId="3638" xr:uid="{00000000-0005-0000-0000-0000690A0000}"/>
    <cellStyle name="Normal 22 5 3" xfId="2592" xr:uid="{00000000-0005-0000-0000-00006A0A0000}"/>
    <cellStyle name="Normal 22 6" xfId="1295" xr:uid="{00000000-0005-0000-0000-00006B0A0000}"/>
    <cellStyle name="Normal 22 6 2" xfId="3390" xr:uid="{00000000-0005-0000-0000-00006C0A0000}"/>
    <cellStyle name="Normal 22 7" xfId="2344" xr:uid="{00000000-0005-0000-0000-00006D0A0000}"/>
    <cellStyle name="Normal 23" xfId="245" xr:uid="{00000000-0005-0000-0000-00006E0A0000}"/>
    <cellStyle name="Normal 23 2" xfId="370" xr:uid="{00000000-0005-0000-0000-00006F0A0000}"/>
    <cellStyle name="Normal 23 2 2" xfId="1155" xr:uid="{00000000-0005-0000-0000-0000700A0000}"/>
    <cellStyle name="Normal 23 2 2 2" xfId="2201" xr:uid="{00000000-0005-0000-0000-0000710A0000}"/>
    <cellStyle name="Normal 23 2 2 2 2" xfId="4296" xr:uid="{00000000-0005-0000-0000-0000720A0000}"/>
    <cellStyle name="Normal 23 2 2 3" xfId="3250" xr:uid="{00000000-0005-0000-0000-0000730A0000}"/>
    <cellStyle name="Normal 23 2 3" xfId="889" xr:uid="{00000000-0005-0000-0000-0000740A0000}"/>
    <cellStyle name="Normal 23 2 3 2" xfId="1935" xr:uid="{00000000-0005-0000-0000-0000750A0000}"/>
    <cellStyle name="Normal 23 2 3 2 2" xfId="4030" xr:uid="{00000000-0005-0000-0000-0000760A0000}"/>
    <cellStyle name="Normal 23 2 3 3" xfId="2984" xr:uid="{00000000-0005-0000-0000-0000770A0000}"/>
    <cellStyle name="Normal 23 2 4" xfId="618" xr:uid="{00000000-0005-0000-0000-0000780A0000}"/>
    <cellStyle name="Normal 23 2 4 2" xfId="1669" xr:uid="{00000000-0005-0000-0000-0000790A0000}"/>
    <cellStyle name="Normal 23 2 4 2 2" xfId="3764" xr:uid="{00000000-0005-0000-0000-00007A0A0000}"/>
    <cellStyle name="Normal 23 2 4 3" xfId="2718" xr:uid="{00000000-0005-0000-0000-00007B0A0000}"/>
    <cellStyle name="Normal 23 2 5" xfId="1421" xr:uid="{00000000-0005-0000-0000-00007C0A0000}"/>
    <cellStyle name="Normal 23 2 5 2" xfId="3516" xr:uid="{00000000-0005-0000-0000-00007D0A0000}"/>
    <cellStyle name="Normal 23 2 6" xfId="2470" xr:uid="{00000000-0005-0000-0000-00007E0A0000}"/>
    <cellStyle name="Normal 23 3" xfId="1031" xr:uid="{00000000-0005-0000-0000-00007F0A0000}"/>
    <cellStyle name="Normal 23 3 2" xfId="2077" xr:uid="{00000000-0005-0000-0000-0000800A0000}"/>
    <cellStyle name="Normal 23 3 2 2" xfId="4172" xr:uid="{00000000-0005-0000-0000-0000810A0000}"/>
    <cellStyle name="Normal 23 3 3" xfId="3126" xr:uid="{00000000-0005-0000-0000-0000820A0000}"/>
    <cellStyle name="Normal 23 4" xfId="765" xr:uid="{00000000-0005-0000-0000-0000830A0000}"/>
    <cellStyle name="Normal 23 4 2" xfId="1811" xr:uid="{00000000-0005-0000-0000-0000840A0000}"/>
    <cellStyle name="Normal 23 4 2 2" xfId="3906" xr:uid="{00000000-0005-0000-0000-0000850A0000}"/>
    <cellStyle name="Normal 23 4 3" xfId="2860" xr:uid="{00000000-0005-0000-0000-0000860A0000}"/>
    <cellStyle name="Normal 23 5" xfId="494" xr:uid="{00000000-0005-0000-0000-0000870A0000}"/>
    <cellStyle name="Normal 23 5 2" xfId="1545" xr:uid="{00000000-0005-0000-0000-0000880A0000}"/>
    <cellStyle name="Normal 23 5 2 2" xfId="3640" xr:uid="{00000000-0005-0000-0000-0000890A0000}"/>
    <cellStyle name="Normal 23 5 3" xfId="2594" xr:uid="{00000000-0005-0000-0000-00008A0A0000}"/>
    <cellStyle name="Normal 23 6" xfId="1297" xr:uid="{00000000-0005-0000-0000-00008B0A0000}"/>
    <cellStyle name="Normal 23 6 2" xfId="3392" xr:uid="{00000000-0005-0000-0000-00008C0A0000}"/>
    <cellStyle name="Normal 23 7" xfId="2346" xr:uid="{00000000-0005-0000-0000-00008D0A0000}"/>
    <cellStyle name="Normal 23 8" xfId="4332" xr:uid="{00000000-0005-0000-0000-00008E0A0000}"/>
    <cellStyle name="Normal 24" xfId="248" xr:uid="{00000000-0005-0000-0000-00008F0A0000}"/>
    <cellStyle name="Normal 24 2" xfId="372" xr:uid="{00000000-0005-0000-0000-0000900A0000}"/>
    <cellStyle name="Normal 24 2 2" xfId="1157" xr:uid="{00000000-0005-0000-0000-0000910A0000}"/>
    <cellStyle name="Normal 24 2 2 2" xfId="2203" xr:uid="{00000000-0005-0000-0000-0000920A0000}"/>
    <cellStyle name="Normal 24 2 2 2 2" xfId="4298" xr:uid="{00000000-0005-0000-0000-0000930A0000}"/>
    <cellStyle name="Normal 24 2 2 3" xfId="3252" xr:uid="{00000000-0005-0000-0000-0000940A0000}"/>
    <cellStyle name="Normal 24 2 3" xfId="891" xr:uid="{00000000-0005-0000-0000-0000950A0000}"/>
    <cellStyle name="Normal 24 2 3 2" xfId="1937" xr:uid="{00000000-0005-0000-0000-0000960A0000}"/>
    <cellStyle name="Normal 24 2 3 2 2" xfId="4032" xr:uid="{00000000-0005-0000-0000-0000970A0000}"/>
    <cellStyle name="Normal 24 2 3 3" xfId="2986" xr:uid="{00000000-0005-0000-0000-0000980A0000}"/>
    <cellStyle name="Normal 24 2 4" xfId="620" xr:uid="{00000000-0005-0000-0000-0000990A0000}"/>
    <cellStyle name="Normal 24 2 4 2" xfId="1671" xr:uid="{00000000-0005-0000-0000-00009A0A0000}"/>
    <cellStyle name="Normal 24 2 4 2 2" xfId="3766" xr:uid="{00000000-0005-0000-0000-00009B0A0000}"/>
    <cellStyle name="Normal 24 2 4 3" xfId="2720" xr:uid="{00000000-0005-0000-0000-00009C0A0000}"/>
    <cellStyle name="Normal 24 2 5" xfId="1423" xr:uid="{00000000-0005-0000-0000-00009D0A0000}"/>
    <cellStyle name="Normal 24 2 5 2" xfId="3518" xr:uid="{00000000-0005-0000-0000-00009E0A0000}"/>
    <cellStyle name="Normal 24 2 6" xfId="2472" xr:uid="{00000000-0005-0000-0000-00009F0A0000}"/>
    <cellStyle name="Normal 24 3" xfId="1033" xr:uid="{00000000-0005-0000-0000-0000A00A0000}"/>
    <cellStyle name="Normal 24 3 2" xfId="2079" xr:uid="{00000000-0005-0000-0000-0000A10A0000}"/>
    <cellStyle name="Normal 24 3 2 2" xfId="4174" xr:uid="{00000000-0005-0000-0000-0000A20A0000}"/>
    <cellStyle name="Normal 24 3 3" xfId="3128" xr:uid="{00000000-0005-0000-0000-0000A30A0000}"/>
    <cellStyle name="Normal 24 4" xfId="767" xr:uid="{00000000-0005-0000-0000-0000A40A0000}"/>
    <cellStyle name="Normal 24 4 2" xfId="1813" xr:uid="{00000000-0005-0000-0000-0000A50A0000}"/>
    <cellStyle name="Normal 24 4 2 2" xfId="3908" xr:uid="{00000000-0005-0000-0000-0000A60A0000}"/>
    <cellStyle name="Normal 24 4 3" xfId="2862" xr:uid="{00000000-0005-0000-0000-0000A70A0000}"/>
    <cellStyle name="Normal 24 5" xfId="496" xr:uid="{00000000-0005-0000-0000-0000A80A0000}"/>
    <cellStyle name="Normal 24 5 2" xfId="1547" xr:uid="{00000000-0005-0000-0000-0000A90A0000}"/>
    <cellStyle name="Normal 24 5 2 2" xfId="3642" xr:uid="{00000000-0005-0000-0000-0000AA0A0000}"/>
    <cellStyle name="Normal 24 5 3" xfId="2596" xr:uid="{00000000-0005-0000-0000-0000AB0A0000}"/>
    <cellStyle name="Normal 24 6" xfId="1299" xr:uid="{00000000-0005-0000-0000-0000AC0A0000}"/>
    <cellStyle name="Normal 24 6 2" xfId="3394" xr:uid="{00000000-0005-0000-0000-0000AD0A0000}"/>
    <cellStyle name="Normal 24 7" xfId="2348" xr:uid="{00000000-0005-0000-0000-0000AE0A0000}"/>
    <cellStyle name="Normal 25" xfId="634" xr:uid="{00000000-0005-0000-0000-0000AF0A0000}"/>
    <cellStyle name="Normal 25 2" xfId="1171" xr:uid="{00000000-0005-0000-0000-0000B00A0000}"/>
    <cellStyle name="Normal 25 2 2" xfId="2217" xr:uid="{00000000-0005-0000-0000-0000B10A0000}"/>
    <cellStyle name="Normal 25 2 2 2" xfId="4312" xr:uid="{00000000-0005-0000-0000-0000B20A0000}"/>
    <cellStyle name="Normal 25 2 3" xfId="3266" xr:uid="{00000000-0005-0000-0000-0000B30A0000}"/>
    <cellStyle name="Normal 25 3" xfId="905" xr:uid="{00000000-0005-0000-0000-0000B40A0000}"/>
    <cellStyle name="Normal 25 3 2" xfId="1951" xr:uid="{00000000-0005-0000-0000-0000B50A0000}"/>
    <cellStyle name="Normal 25 3 2 2" xfId="4046" xr:uid="{00000000-0005-0000-0000-0000B60A0000}"/>
    <cellStyle name="Normal 25 3 3" xfId="3000" xr:uid="{00000000-0005-0000-0000-0000B70A0000}"/>
    <cellStyle name="Normal 25 4" xfId="1685" xr:uid="{00000000-0005-0000-0000-0000B80A0000}"/>
    <cellStyle name="Normal 25 4 2" xfId="3780" xr:uid="{00000000-0005-0000-0000-0000B90A0000}"/>
    <cellStyle name="Normal 25 5" xfId="2734" xr:uid="{00000000-0005-0000-0000-0000BA0A0000}"/>
    <cellStyle name="Normal 26" xfId="2235" xr:uid="{00000000-0005-0000-0000-0000BB0A0000}"/>
    <cellStyle name="Normal 26 2" xfId="4330" xr:uid="{00000000-0005-0000-0000-0000BC0A0000}"/>
    <cellStyle name="Normal 27" xfId="4331" xr:uid="{00000000-0005-0000-0000-0000BD0A0000}"/>
    <cellStyle name="Normal 3" xfId="7" xr:uid="{00000000-0005-0000-0000-0000BE0A0000}"/>
    <cellStyle name="Normal 3 2" xfId="8" xr:uid="{00000000-0005-0000-0000-0000BF0A0000}"/>
    <cellStyle name="Normal 3 2 2" xfId="98" xr:uid="{00000000-0005-0000-0000-0000C00A0000}"/>
    <cellStyle name="Normal 3 2 2 2" xfId="175" xr:uid="{00000000-0005-0000-0000-0000C10A0000}"/>
    <cellStyle name="Normal 3 2 2 2 2" xfId="329" xr:uid="{00000000-0005-0000-0000-0000C20A0000}"/>
    <cellStyle name="Normal 3 2 2 2 2 2" xfId="1114" xr:uid="{00000000-0005-0000-0000-0000C30A0000}"/>
    <cellStyle name="Normal 3 2 2 2 2 2 2" xfId="2160" xr:uid="{00000000-0005-0000-0000-0000C40A0000}"/>
    <cellStyle name="Normal 3 2 2 2 2 2 2 2" xfId="4255" xr:uid="{00000000-0005-0000-0000-0000C50A0000}"/>
    <cellStyle name="Normal 3 2 2 2 2 2 3" xfId="3209" xr:uid="{00000000-0005-0000-0000-0000C60A0000}"/>
    <cellStyle name="Normal 3 2 2 2 2 3" xfId="848" xr:uid="{00000000-0005-0000-0000-0000C70A0000}"/>
    <cellStyle name="Normal 3 2 2 2 2 3 2" xfId="1894" xr:uid="{00000000-0005-0000-0000-0000C80A0000}"/>
    <cellStyle name="Normal 3 2 2 2 2 3 2 2" xfId="3989" xr:uid="{00000000-0005-0000-0000-0000C90A0000}"/>
    <cellStyle name="Normal 3 2 2 2 2 3 3" xfId="2943" xr:uid="{00000000-0005-0000-0000-0000CA0A0000}"/>
    <cellStyle name="Normal 3 2 2 2 2 4" xfId="577" xr:uid="{00000000-0005-0000-0000-0000CB0A0000}"/>
    <cellStyle name="Normal 3 2 2 2 2 4 2" xfId="1628" xr:uid="{00000000-0005-0000-0000-0000CC0A0000}"/>
    <cellStyle name="Normal 3 2 2 2 2 4 2 2" xfId="3723" xr:uid="{00000000-0005-0000-0000-0000CD0A0000}"/>
    <cellStyle name="Normal 3 2 2 2 2 4 3" xfId="2677" xr:uid="{00000000-0005-0000-0000-0000CE0A0000}"/>
    <cellStyle name="Normal 3 2 2 2 2 5" xfId="1380" xr:uid="{00000000-0005-0000-0000-0000CF0A0000}"/>
    <cellStyle name="Normal 3 2 2 2 2 5 2" xfId="3475" xr:uid="{00000000-0005-0000-0000-0000D00A0000}"/>
    <cellStyle name="Normal 3 2 2 2 2 6" xfId="2429" xr:uid="{00000000-0005-0000-0000-0000D10A0000}"/>
    <cellStyle name="Normal 3 2 2 2 3" xfId="990" xr:uid="{00000000-0005-0000-0000-0000D20A0000}"/>
    <cellStyle name="Normal 3 2 2 2 3 2" xfId="2036" xr:uid="{00000000-0005-0000-0000-0000D30A0000}"/>
    <cellStyle name="Normal 3 2 2 2 3 2 2" xfId="4131" xr:uid="{00000000-0005-0000-0000-0000D40A0000}"/>
    <cellStyle name="Normal 3 2 2 2 3 3" xfId="3085" xr:uid="{00000000-0005-0000-0000-0000D50A0000}"/>
    <cellStyle name="Normal 3 2 2 2 4" xfId="724" xr:uid="{00000000-0005-0000-0000-0000D60A0000}"/>
    <cellStyle name="Normal 3 2 2 2 4 2" xfId="1770" xr:uid="{00000000-0005-0000-0000-0000D70A0000}"/>
    <cellStyle name="Normal 3 2 2 2 4 2 2" xfId="3865" xr:uid="{00000000-0005-0000-0000-0000D80A0000}"/>
    <cellStyle name="Normal 3 2 2 2 4 3" xfId="2819" xr:uid="{00000000-0005-0000-0000-0000D90A0000}"/>
    <cellStyle name="Normal 3 2 2 2 5" xfId="453" xr:uid="{00000000-0005-0000-0000-0000DA0A0000}"/>
    <cellStyle name="Normal 3 2 2 2 5 2" xfId="1504" xr:uid="{00000000-0005-0000-0000-0000DB0A0000}"/>
    <cellStyle name="Normal 3 2 2 2 5 2 2" xfId="3599" xr:uid="{00000000-0005-0000-0000-0000DC0A0000}"/>
    <cellStyle name="Normal 3 2 2 2 5 3" xfId="2553" xr:uid="{00000000-0005-0000-0000-0000DD0A0000}"/>
    <cellStyle name="Normal 3 2 2 2 6" xfId="1256" xr:uid="{00000000-0005-0000-0000-0000DE0A0000}"/>
    <cellStyle name="Normal 3 2 2 2 6 2" xfId="3351" xr:uid="{00000000-0005-0000-0000-0000DF0A0000}"/>
    <cellStyle name="Normal 3 2 2 2 7" xfId="2305" xr:uid="{00000000-0005-0000-0000-0000E00A0000}"/>
    <cellStyle name="Normal 3 2 2 3" xfId="282" xr:uid="{00000000-0005-0000-0000-0000E10A0000}"/>
    <cellStyle name="Normal 3 2 2 3 2" xfId="1067" xr:uid="{00000000-0005-0000-0000-0000E20A0000}"/>
    <cellStyle name="Normal 3 2 2 3 2 2" xfId="2113" xr:uid="{00000000-0005-0000-0000-0000E30A0000}"/>
    <cellStyle name="Normal 3 2 2 3 2 2 2" xfId="4208" xr:uid="{00000000-0005-0000-0000-0000E40A0000}"/>
    <cellStyle name="Normal 3 2 2 3 2 3" xfId="3162" xr:uid="{00000000-0005-0000-0000-0000E50A0000}"/>
    <cellStyle name="Normal 3 2 2 3 3" xfId="801" xr:uid="{00000000-0005-0000-0000-0000E60A0000}"/>
    <cellStyle name="Normal 3 2 2 3 3 2" xfId="1847" xr:uid="{00000000-0005-0000-0000-0000E70A0000}"/>
    <cellStyle name="Normal 3 2 2 3 3 2 2" xfId="3942" xr:uid="{00000000-0005-0000-0000-0000E80A0000}"/>
    <cellStyle name="Normal 3 2 2 3 3 3" xfId="2896" xr:uid="{00000000-0005-0000-0000-0000E90A0000}"/>
    <cellStyle name="Normal 3 2 2 3 4" xfId="530" xr:uid="{00000000-0005-0000-0000-0000EA0A0000}"/>
    <cellStyle name="Normal 3 2 2 3 4 2" xfId="1581" xr:uid="{00000000-0005-0000-0000-0000EB0A0000}"/>
    <cellStyle name="Normal 3 2 2 3 4 2 2" xfId="3676" xr:uid="{00000000-0005-0000-0000-0000EC0A0000}"/>
    <cellStyle name="Normal 3 2 2 3 4 3" xfId="2630" xr:uid="{00000000-0005-0000-0000-0000ED0A0000}"/>
    <cellStyle name="Normal 3 2 2 3 5" xfId="1333" xr:uid="{00000000-0005-0000-0000-0000EE0A0000}"/>
    <cellStyle name="Normal 3 2 2 3 5 2" xfId="3428" xr:uid="{00000000-0005-0000-0000-0000EF0A0000}"/>
    <cellStyle name="Normal 3 2 2 3 6" xfId="2382" xr:uid="{00000000-0005-0000-0000-0000F00A0000}"/>
    <cellStyle name="Normal 3 2 2 4" xfId="943" xr:uid="{00000000-0005-0000-0000-0000F10A0000}"/>
    <cellStyle name="Normal 3 2 2 4 2" xfId="1989" xr:uid="{00000000-0005-0000-0000-0000F20A0000}"/>
    <cellStyle name="Normal 3 2 2 4 2 2" xfId="4084" xr:uid="{00000000-0005-0000-0000-0000F30A0000}"/>
    <cellStyle name="Normal 3 2 2 4 3" xfId="3038" xr:uid="{00000000-0005-0000-0000-0000F40A0000}"/>
    <cellStyle name="Normal 3 2 2 5" xfId="677" xr:uid="{00000000-0005-0000-0000-0000F50A0000}"/>
    <cellStyle name="Normal 3 2 2 5 2" xfId="1723" xr:uid="{00000000-0005-0000-0000-0000F60A0000}"/>
    <cellStyle name="Normal 3 2 2 5 2 2" xfId="3818" xr:uid="{00000000-0005-0000-0000-0000F70A0000}"/>
    <cellStyle name="Normal 3 2 2 5 3" xfId="2772" xr:uid="{00000000-0005-0000-0000-0000F80A0000}"/>
    <cellStyle name="Normal 3 2 2 6" xfId="406" xr:uid="{00000000-0005-0000-0000-0000F90A0000}"/>
    <cellStyle name="Normal 3 2 2 6 2" xfId="1457" xr:uid="{00000000-0005-0000-0000-0000FA0A0000}"/>
    <cellStyle name="Normal 3 2 2 6 2 2" xfId="3552" xr:uid="{00000000-0005-0000-0000-0000FB0A0000}"/>
    <cellStyle name="Normal 3 2 2 6 3" xfId="2506" xr:uid="{00000000-0005-0000-0000-0000FC0A0000}"/>
    <cellStyle name="Normal 3 2 2 7" xfId="1209" xr:uid="{00000000-0005-0000-0000-0000FD0A0000}"/>
    <cellStyle name="Normal 3 2 2 7 2" xfId="3304" xr:uid="{00000000-0005-0000-0000-0000FE0A0000}"/>
    <cellStyle name="Normal 3 2 2 8" xfId="2258" xr:uid="{00000000-0005-0000-0000-0000FF0A0000}"/>
    <cellStyle name="Normal 3 2 3" xfId="99" xr:uid="{00000000-0005-0000-0000-0000000B0000}"/>
    <cellStyle name="Normal 3 2 3 2" xfId="176" xr:uid="{00000000-0005-0000-0000-0000010B0000}"/>
    <cellStyle name="Normal 3 2 3 2 2" xfId="330" xr:uid="{00000000-0005-0000-0000-0000020B0000}"/>
    <cellStyle name="Normal 3 2 3 2 2 2" xfId="1115" xr:uid="{00000000-0005-0000-0000-0000030B0000}"/>
    <cellStyle name="Normal 3 2 3 2 2 2 2" xfId="2161" xr:uid="{00000000-0005-0000-0000-0000040B0000}"/>
    <cellStyle name="Normal 3 2 3 2 2 2 2 2" xfId="4256" xr:uid="{00000000-0005-0000-0000-0000050B0000}"/>
    <cellStyle name="Normal 3 2 3 2 2 2 3" xfId="3210" xr:uid="{00000000-0005-0000-0000-0000060B0000}"/>
    <cellStyle name="Normal 3 2 3 2 2 3" xfId="849" xr:uid="{00000000-0005-0000-0000-0000070B0000}"/>
    <cellStyle name="Normal 3 2 3 2 2 3 2" xfId="1895" xr:uid="{00000000-0005-0000-0000-0000080B0000}"/>
    <cellStyle name="Normal 3 2 3 2 2 3 2 2" xfId="3990" xr:uid="{00000000-0005-0000-0000-0000090B0000}"/>
    <cellStyle name="Normal 3 2 3 2 2 3 3" xfId="2944" xr:uid="{00000000-0005-0000-0000-00000A0B0000}"/>
    <cellStyle name="Normal 3 2 3 2 2 4" xfId="578" xr:uid="{00000000-0005-0000-0000-00000B0B0000}"/>
    <cellStyle name="Normal 3 2 3 2 2 4 2" xfId="1629" xr:uid="{00000000-0005-0000-0000-00000C0B0000}"/>
    <cellStyle name="Normal 3 2 3 2 2 4 2 2" xfId="3724" xr:uid="{00000000-0005-0000-0000-00000D0B0000}"/>
    <cellStyle name="Normal 3 2 3 2 2 4 3" xfId="2678" xr:uid="{00000000-0005-0000-0000-00000E0B0000}"/>
    <cellStyle name="Normal 3 2 3 2 2 5" xfId="1381" xr:uid="{00000000-0005-0000-0000-00000F0B0000}"/>
    <cellStyle name="Normal 3 2 3 2 2 5 2" xfId="3476" xr:uid="{00000000-0005-0000-0000-0000100B0000}"/>
    <cellStyle name="Normal 3 2 3 2 2 6" xfId="2430" xr:uid="{00000000-0005-0000-0000-0000110B0000}"/>
    <cellStyle name="Normal 3 2 3 2 3" xfId="991" xr:uid="{00000000-0005-0000-0000-0000120B0000}"/>
    <cellStyle name="Normal 3 2 3 2 3 2" xfId="2037" xr:uid="{00000000-0005-0000-0000-0000130B0000}"/>
    <cellStyle name="Normal 3 2 3 2 3 2 2" xfId="4132" xr:uid="{00000000-0005-0000-0000-0000140B0000}"/>
    <cellStyle name="Normal 3 2 3 2 3 3" xfId="3086" xr:uid="{00000000-0005-0000-0000-0000150B0000}"/>
    <cellStyle name="Normal 3 2 3 2 4" xfId="725" xr:uid="{00000000-0005-0000-0000-0000160B0000}"/>
    <cellStyle name="Normal 3 2 3 2 4 2" xfId="1771" xr:uid="{00000000-0005-0000-0000-0000170B0000}"/>
    <cellStyle name="Normal 3 2 3 2 4 2 2" xfId="3866" xr:uid="{00000000-0005-0000-0000-0000180B0000}"/>
    <cellStyle name="Normal 3 2 3 2 4 3" xfId="2820" xr:uid="{00000000-0005-0000-0000-0000190B0000}"/>
    <cellStyle name="Normal 3 2 3 2 5" xfId="454" xr:uid="{00000000-0005-0000-0000-00001A0B0000}"/>
    <cellStyle name="Normal 3 2 3 2 5 2" xfId="1505" xr:uid="{00000000-0005-0000-0000-00001B0B0000}"/>
    <cellStyle name="Normal 3 2 3 2 5 2 2" xfId="3600" xr:uid="{00000000-0005-0000-0000-00001C0B0000}"/>
    <cellStyle name="Normal 3 2 3 2 5 3" xfId="2554" xr:uid="{00000000-0005-0000-0000-00001D0B0000}"/>
    <cellStyle name="Normal 3 2 3 2 6" xfId="1257" xr:uid="{00000000-0005-0000-0000-00001E0B0000}"/>
    <cellStyle name="Normal 3 2 3 2 6 2" xfId="3352" xr:uid="{00000000-0005-0000-0000-00001F0B0000}"/>
    <cellStyle name="Normal 3 2 3 2 7" xfId="2306" xr:uid="{00000000-0005-0000-0000-0000200B0000}"/>
    <cellStyle name="Normal 3 2 3 3" xfId="283" xr:uid="{00000000-0005-0000-0000-0000210B0000}"/>
    <cellStyle name="Normal 3 2 3 3 2" xfId="1068" xr:uid="{00000000-0005-0000-0000-0000220B0000}"/>
    <cellStyle name="Normal 3 2 3 3 2 2" xfId="2114" xr:uid="{00000000-0005-0000-0000-0000230B0000}"/>
    <cellStyle name="Normal 3 2 3 3 2 2 2" xfId="4209" xr:uid="{00000000-0005-0000-0000-0000240B0000}"/>
    <cellStyle name="Normal 3 2 3 3 2 3" xfId="3163" xr:uid="{00000000-0005-0000-0000-0000250B0000}"/>
    <cellStyle name="Normal 3 2 3 3 3" xfId="802" xr:uid="{00000000-0005-0000-0000-0000260B0000}"/>
    <cellStyle name="Normal 3 2 3 3 3 2" xfId="1848" xr:uid="{00000000-0005-0000-0000-0000270B0000}"/>
    <cellStyle name="Normal 3 2 3 3 3 2 2" xfId="3943" xr:uid="{00000000-0005-0000-0000-0000280B0000}"/>
    <cellStyle name="Normal 3 2 3 3 3 3" xfId="2897" xr:uid="{00000000-0005-0000-0000-0000290B0000}"/>
    <cellStyle name="Normal 3 2 3 3 4" xfId="531" xr:uid="{00000000-0005-0000-0000-00002A0B0000}"/>
    <cellStyle name="Normal 3 2 3 3 4 2" xfId="1582" xr:uid="{00000000-0005-0000-0000-00002B0B0000}"/>
    <cellStyle name="Normal 3 2 3 3 4 2 2" xfId="3677" xr:uid="{00000000-0005-0000-0000-00002C0B0000}"/>
    <cellStyle name="Normal 3 2 3 3 4 3" xfId="2631" xr:uid="{00000000-0005-0000-0000-00002D0B0000}"/>
    <cellStyle name="Normal 3 2 3 3 5" xfId="1334" xr:uid="{00000000-0005-0000-0000-00002E0B0000}"/>
    <cellStyle name="Normal 3 2 3 3 5 2" xfId="3429" xr:uid="{00000000-0005-0000-0000-00002F0B0000}"/>
    <cellStyle name="Normal 3 2 3 3 6" xfId="2383" xr:uid="{00000000-0005-0000-0000-0000300B0000}"/>
    <cellStyle name="Normal 3 2 3 4" xfId="944" xr:uid="{00000000-0005-0000-0000-0000310B0000}"/>
    <cellStyle name="Normal 3 2 3 4 2" xfId="1990" xr:uid="{00000000-0005-0000-0000-0000320B0000}"/>
    <cellStyle name="Normal 3 2 3 4 2 2" xfId="4085" xr:uid="{00000000-0005-0000-0000-0000330B0000}"/>
    <cellStyle name="Normal 3 2 3 4 3" xfId="3039" xr:uid="{00000000-0005-0000-0000-0000340B0000}"/>
    <cellStyle name="Normal 3 2 3 5" xfId="678" xr:uid="{00000000-0005-0000-0000-0000350B0000}"/>
    <cellStyle name="Normal 3 2 3 5 2" xfId="1724" xr:uid="{00000000-0005-0000-0000-0000360B0000}"/>
    <cellStyle name="Normal 3 2 3 5 2 2" xfId="3819" xr:uid="{00000000-0005-0000-0000-0000370B0000}"/>
    <cellStyle name="Normal 3 2 3 5 3" xfId="2773" xr:uid="{00000000-0005-0000-0000-0000380B0000}"/>
    <cellStyle name="Normal 3 2 3 6" xfId="407" xr:uid="{00000000-0005-0000-0000-0000390B0000}"/>
    <cellStyle name="Normal 3 2 3 6 2" xfId="1458" xr:uid="{00000000-0005-0000-0000-00003A0B0000}"/>
    <cellStyle name="Normal 3 2 3 6 2 2" xfId="3553" xr:uid="{00000000-0005-0000-0000-00003B0B0000}"/>
    <cellStyle name="Normal 3 2 3 6 3" xfId="2507" xr:uid="{00000000-0005-0000-0000-00003C0B0000}"/>
    <cellStyle name="Normal 3 2 3 7" xfId="1210" xr:uid="{00000000-0005-0000-0000-00003D0B0000}"/>
    <cellStyle name="Normal 3 2 3 7 2" xfId="3305" xr:uid="{00000000-0005-0000-0000-00003E0B0000}"/>
    <cellStyle name="Normal 3 2 3 8" xfId="2259" xr:uid="{00000000-0005-0000-0000-00003F0B0000}"/>
    <cellStyle name="Normal 3 2 4" xfId="143" xr:uid="{00000000-0005-0000-0000-0000400B0000}"/>
    <cellStyle name="Normal 3 2 4 2" xfId="197" xr:uid="{00000000-0005-0000-0000-0000410B0000}"/>
    <cellStyle name="Normal 3 2 4 2 2" xfId="351" xr:uid="{00000000-0005-0000-0000-0000420B0000}"/>
    <cellStyle name="Normal 3 2 4 2 2 2" xfId="1136" xr:uid="{00000000-0005-0000-0000-0000430B0000}"/>
    <cellStyle name="Normal 3 2 4 2 2 2 2" xfId="2182" xr:uid="{00000000-0005-0000-0000-0000440B0000}"/>
    <cellStyle name="Normal 3 2 4 2 2 2 2 2" xfId="4277" xr:uid="{00000000-0005-0000-0000-0000450B0000}"/>
    <cellStyle name="Normal 3 2 4 2 2 2 3" xfId="3231" xr:uid="{00000000-0005-0000-0000-0000460B0000}"/>
    <cellStyle name="Normal 3 2 4 2 2 3" xfId="870" xr:uid="{00000000-0005-0000-0000-0000470B0000}"/>
    <cellStyle name="Normal 3 2 4 2 2 3 2" xfId="1916" xr:uid="{00000000-0005-0000-0000-0000480B0000}"/>
    <cellStyle name="Normal 3 2 4 2 2 3 2 2" xfId="4011" xr:uid="{00000000-0005-0000-0000-0000490B0000}"/>
    <cellStyle name="Normal 3 2 4 2 2 3 3" xfId="2965" xr:uid="{00000000-0005-0000-0000-00004A0B0000}"/>
    <cellStyle name="Normal 3 2 4 2 2 4" xfId="599" xr:uid="{00000000-0005-0000-0000-00004B0B0000}"/>
    <cellStyle name="Normal 3 2 4 2 2 4 2" xfId="1650" xr:uid="{00000000-0005-0000-0000-00004C0B0000}"/>
    <cellStyle name="Normal 3 2 4 2 2 4 2 2" xfId="3745" xr:uid="{00000000-0005-0000-0000-00004D0B0000}"/>
    <cellStyle name="Normal 3 2 4 2 2 4 3" xfId="2699" xr:uid="{00000000-0005-0000-0000-00004E0B0000}"/>
    <cellStyle name="Normal 3 2 4 2 2 5" xfId="1402" xr:uid="{00000000-0005-0000-0000-00004F0B0000}"/>
    <cellStyle name="Normal 3 2 4 2 2 5 2" xfId="3497" xr:uid="{00000000-0005-0000-0000-0000500B0000}"/>
    <cellStyle name="Normal 3 2 4 2 2 6" xfId="2451" xr:uid="{00000000-0005-0000-0000-0000510B0000}"/>
    <cellStyle name="Normal 3 2 4 2 3" xfId="1012" xr:uid="{00000000-0005-0000-0000-0000520B0000}"/>
    <cellStyle name="Normal 3 2 4 2 3 2" xfId="2058" xr:uid="{00000000-0005-0000-0000-0000530B0000}"/>
    <cellStyle name="Normal 3 2 4 2 3 2 2" xfId="4153" xr:uid="{00000000-0005-0000-0000-0000540B0000}"/>
    <cellStyle name="Normal 3 2 4 2 3 3" xfId="3107" xr:uid="{00000000-0005-0000-0000-0000550B0000}"/>
    <cellStyle name="Normal 3 2 4 2 4" xfId="746" xr:uid="{00000000-0005-0000-0000-0000560B0000}"/>
    <cellStyle name="Normal 3 2 4 2 4 2" xfId="1792" xr:uid="{00000000-0005-0000-0000-0000570B0000}"/>
    <cellStyle name="Normal 3 2 4 2 4 2 2" xfId="3887" xr:uid="{00000000-0005-0000-0000-0000580B0000}"/>
    <cellStyle name="Normal 3 2 4 2 4 3" xfId="2841" xr:uid="{00000000-0005-0000-0000-0000590B0000}"/>
    <cellStyle name="Normal 3 2 4 2 5" xfId="475" xr:uid="{00000000-0005-0000-0000-00005A0B0000}"/>
    <cellStyle name="Normal 3 2 4 2 5 2" xfId="1526" xr:uid="{00000000-0005-0000-0000-00005B0B0000}"/>
    <cellStyle name="Normal 3 2 4 2 5 2 2" xfId="3621" xr:uid="{00000000-0005-0000-0000-00005C0B0000}"/>
    <cellStyle name="Normal 3 2 4 2 5 3" xfId="2575" xr:uid="{00000000-0005-0000-0000-00005D0B0000}"/>
    <cellStyle name="Normal 3 2 4 2 6" xfId="1278" xr:uid="{00000000-0005-0000-0000-00005E0B0000}"/>
    <cellStyle name="Normal 3 2 4 2 6 2" xfId="3373" xr:uid="{00000000-0005-0000-0000-00005F0B0000}"/>
    <cellStyle name="Normal 3 2 4 2 7" xfId="2327" xr:uid="{00000000-0005-0000-0000-0000600B0000}"/>
    <cellStyle name="Normal 3 2 4 3" xfId="304" xr:uid="{00000000-0005-0000-0000-0000610B0000}"/>
    <cellStyle name="Normal 3 2 4 3 2" xfId="1089" xr:uid="{00000000-0005-0000-0000-0000620B0000}"/>
    <cellStyle name="Normal 3 2 4 3 2 2" xfId="2135" xr:uid="{00000000-0005-0000-0000-0000630B0000}"/>
    <cellStyle name="Normal 3 2 4 3 2 2 2" xfId="4230" xr:uid="{00000000-0005-0000-0000-0000640B0000}"/>
    <cellStyle name="Normal 3 2 4 3 2 3" xfId="3184" xr:uid="{00000000-0005-0000-0000-0000650B0000}"/>
    <cellStyle name="Normal 3 2 4 3 3" xfId="823" xr:uid="{00000000-0005-0000-0000-0000660B0000}"/>
    <cellStyle name="Normal 3 2 4 3 3 2" xfId="1869" xr:uid="{00000000-0005-0000-0000-0000670B0000}"/>
    <cellStyle name="Normal 3 2 4 3 3 2 2" xfId="3964" xr:uid="{00000000-0005-0000-0000-0000680B0000}"/>
    <cellStyle name="Normal 3 2 4 3 3 3" xfId="2918" xr:uid="{00000000-0005-0000-0000-0000690B0000}"/>
    <cellStyle name="Normal 3 2 4 3 4" xfId="552" xr:uid="{00000000-0005-0000-0000-00006A0B0000}"/>
    <cellStyle name="Normal 3 2 4 3 4 2" xfId="1603" xr:uid="{00000000-0005-0000-0000-00006B0B0000}"/>
    <cellStyle name="Normal 3 2 4 3 4 2 2" xfId="3698" xr:uid="{00000000-0005-0000-0000-00006C0B0000}"/>
    <cellStyle name="Normal 3 2 4 3 4 3" xfId="2652" xr:uid="{00000000-0005-0000-0000-00006D0B0000}"/>
    <cellStyle name="Normal 3 2 4 3 5" xfId="1355" xr:uid="{00000000-0005-0000-0000-00006E0B0000}"/>
    <cellStyle name="Normal 3 2 4 3 5 2" xfId="3450" xr:uid="{00000000-0005-0000-0000-00006F0B0000}"/>
    <cellStyle name="Normal 3 2 4 3 6" xfId="2404" xr:uid="{00000000-0005-0000-0000-0000700B0000}"/>
    <cellStyle name="Normal 3 2 4 4" xfId="965" xr:uid="{00000000-0005-0000-0000-0000710B0000}"/>
    <cellStyle name="Normal 3 2 4 4 2" xfId="2011" xr:uid="{00000000-0005-0000-0000-0000720B0000}"/>
    <cellStyle name="Normal 3 2 4 4 2 2" xfId="4106" xr:uid="{00000000-0005-0000-0000-0000730B0000}"/>
    <cellStyle name="Normal 3 2 4 4 3" xfId="3060" xr:uid="{00000000-0005-0000-0000-0000740B0000}"/>
    <cellStyle name="Normal 3 2 4 5" xfId="699" xr:uid="{00000000-0005-0000-0000-0000750B0000}"/>
    <cellStyle name="Normal 3 2 4 5 2" xfId="1745" xr:uid="{00000000-0005-0000-0000-0000760B0000}"/>
    <cellStyle name="Normal 3 2 4 5 2 2" xfId="3840" xr:uid="{00000000-0005-0000-0000-0000770B0000}"/>
    <cellStyle name="Normal 3 2 4 5 3" xfId="2794" xr:uid="{00000000-0005-0000-0000-0000780B0000}"/>
    <cellStyle name="Normal 3 2 4 6" xfId="428" xr:uid="{00000000-0005-0000-0000-0000790B0000}"/>
    <cellStyle name="Normal 3 2 4 6 2" xfId="1479" xr:uid="{00000000-0005-0000-0000-00007A0B0000}"/>
    <cellStyle name="Normal 3 2 4 6 2 2" xfId="3574" xr:uid="{00000000-0005-0000-0000-00007B0B0000}"/>
    <cellStyle name="Normal 3 2 4 6 3" xfId="2528" xr:uid="{00000000-0005-0000-0000-00007C0B0000}"/>
    <cellStyle name="Normal 3 2 4 7" xfId="1231" xr:uid="{00000000-0005-0000-0000-00007D0B0000}"/>
    <cellStyle name="Normal 3 2 4 7 2" xfId="3326" xr:uid="{00000000-0005-0000-0000-00007E0B0000}"/>
    <cellStyle name="Normal 3 2 4 8" xfId="2280" xr:uid="{00000000-0005-0000-0000-00007F0B0000}"/>
    <cellStyle name="Normal 3 3" xfId="9" xr:uid="{00000000-0005-0000-0000-0000800B0000}"/>
    <cellStyle name="Normal 3 3 2" xfId="144" xr:uid="{00000000-0005-0000-0000-0000810B0000}"/>
    <cellStyle name="Normal 3 4" xfId="10" xr:uid="{00000000-0005-0000-0000-0000820B0000}"/>
    <cellStyle name="Normal 3 4 2" xfId="152" xr:uid="{00000000-0005-0000-0000-0000830B0000}"/>
    <cellStyle name="Normal 3 5" xfId="100" xr:uid="{00000000-0005-0000-0000-0000840B0000}"/>
    <cellStyle name="Normal 3 5 2" xfId="177" xr:uid="{00000000-0005-0000-0000-0000850B0000}"/>
    <cellStyle name="Normal 3 5 2 2" xfId="331" xr:uid="{00000000-0005-0000-0000-0000860B0000}"/>
    <cellStyle name="Normal 3 5 2 2 2" xfId="1116" xr:uid="{00000000-0005-0000-0000-0000870B0000}"/>
    <cellStyle name="Normal 3 5 2 2 2 2" xfId="2162" xr:uid="{00000000-0005-0000-0000-0000880B0000}"/>
    <cellStyle name="Normal 3 5 2 2 2 2 2" xfId="4257" xr:uid="{00000000-0005-0000-0000-0000890B0000}"/>
    <cellStyle name="Normal 3 5 2 2 2 3" xfId="3211" xr:uid="{00000000-0005-0000-0000-00008A0B0000}"/>
    <cellStyle name="Normal 3 5 2 2 3" xfId="850" xr:uid="{00000000-0005-0000-0000-00008B0B0000}"/>
    <cellStyle name="Normal 3 5 2 2 3 2" xfId="1896" xr:uid="{00000000-0005-0000-0000-00008C0B0000}"/>
    <cellStyle name="Normal 3 5 2 2 3 2 2" xfId="3991" xr:uid="{00000000-0005-0000-0000-00008D0B0000}"/>
    <cellStyle name="Normal 3 5 2 2 3 3" xfId="2945" xr:uid="{00000000-0005-0000-0000-00008E0B0000}"/>
    <cellStyle name="Normal 3 5 2 2 4" xfId="579" xr:uid="{00000000-0005-0000-0000-00008F0B0000}"/>
    <cellStyle name="Normal 3 5 2 2 4 2" xfId="1630" xr:uid="{00000000-0005-0000-0000-0000900B0000}"/>
    <cellStyle name="Normal 3 5 2 2 4 2 2" xfId="3725" xr:uid="{00000000-0005-0000-0000-0000910B0000}"/>
    <cellStyle name="Normal 3 5 2 2 4 3" xfId="2679" xr:uid="{00000000-0005-0000-0000-0000920B0000}"/>
    <cellStyle name="Normal 3 5 2 2 5" xfId="1382" xr:uid="{00000000-0005-0000-0000-0000930B0000}"/>
    <cellStyle name="Normal 3 5 2 2 5 2" xfId="3477" xr:uid="{00000000-0005-0000-0000-0000940B0000}"/>
    <cellStyle name="Normal 3 5 2 2 6" xfId="2431" xr:uid="{00000000-0005-0000-0000-0000950B0000}"/>
    <cellStyle name="Normal 3 5 2 3" xfId="992" xr:uid="{00000000-0005-0000-0000-0000960B0000}"/>
    <cellStyle name="Normal 3 5 2 3 2" xfId="2038" xr:uid="{00000000-0005-0000-0000-0000970B0000}"/>
    <cellStyle name="Normal 3 5 2 3 2 2" xfId="4133" xr:uid="{00000000-0005-0000-0000-0000980B0000}"/>
    <cellStyle name="Normal 3 5 2 3 3" xfId="3087" xr:uid="{00000000-0005-0000-0000-0000990B0000}"/>
    <cellStyle name="Normal 3 5 2 4" xfId="726" xr:uid="{00000000-0005-0000-0000-00009A0B0000}"/>
    <cellStyle name="Normal 3 5 2 4 2" xfId="1772" xr:uid="{00000000-0005-0000-0000-00009B0B0000}"/>
    <cellStyle name="Normal 3 5 2 4 2 2" xfId="3867" xr:uid="{00000000-0005-0000-0000-00009C0B0000}"/>
    <cellStyle name="Normal 3 5 2 4 3" xfId="2821" xr:uid="{00000000-0005-0000-0000-00009D0B0000}"/>
    <cellStyle name="Normal 3 5 2 5" xfId="455" xr:uid="{00000000-0005-0000-0000-00009E0B0000}"/>
    <cellStyle name="Normal 3 5 2 5 2" xfId="1506" xr:uid="{00000000-0005-0000-0000-00009F0B0000}"/>
    <cellStyle name="Normal 3 5 2 5 2 2" xfId="3601" xr:uid="{00000000-0005-0000-0000-0000A00B0000}"/>
    <cellStyle name="Normal 3 5 2 5 3" xfId="2555" xr:uid="{00000000-0005-0000-0000-0000A10B0000}"/>
    <cellStyle name="Normal 3 5 2 6" xfId="1258" xr:uid="{00000000-0005-0000-0000-0000A20B0000}"/>
    <cellStyle name="Normal 3 5 2 6 2" xfId="3353" xr:uid="{00000000-0005-0000-0000-0000A30B0000}"/>
    <cellStyle name="Normal 3 5 2 7" xfId="2307" xr:uid="{00000000-0005-0000-0000-0000A40B0000}"/>
    <cellStyle name="Normal 3 5 3" xfId="284" xr:uid="{00000000-0005-0000-0000-0000A50B0000}"/>
    <cellStyle name="Normal 3 5 3 2" xfId="1069" xr:uid="{00000000-0005-0000-0000-0000A60B0000}"/>
    <cellStyle name="Normal 3 5 3 2 2" xfId="2115" xr:uid="{00000000-0005-0000-0000-0000A70B0000}"/>
    <cellStyle name="Normal 3 5 3 2 2 2" xfId="4210" xr:uid="{00000000-0005-0000-0000-0000A80B0000}"/>
    <cellStyle name="Normal 3 5 3 2 3" xfId="3164" xr:uid="{00000000-0005-0000-0000-0000A90B0000}"/>
    <cellStyle name="Normal 3 5 3 3" xfId="803" xr:uid="{00000000-0005-0000-0000-0000AA0B0000}"/>
    <cellStyle name="Normal 3 5 3 3 2" xfId="1849" xr:uid="{00000000-0005-0000-0000-0000AB0B0000}"/>
    <cellStyle name="Normal 3 5 3 3 2 2" xfId="3944" xr:uid="{00000000-0005-0000-0000-0000AC0B0000}"/>
    <cellStyle name="Normal 3 5 3 3 3" xfId="2898" xr:uid="{00000000-0005-0000-0000-0000AD0B0000}"/>
    <cellStyle name="Normal 3 5 3 4" xfId="532" xr:uid="{00000000-0005-0000-0000-0000AE0B0000}"/>
    <cellStyle name="Normal 3 5 3 4 2" xfId="1583" xr:uid="{00000000-0005-0000-0000-0000AF0B0000}"/>
    <cellStyle name="Normal 3 5 3 4 2 2" xfId="3678" xr:uid="{00000000-0005-0000-0000-0000B00B0000}"/>
    <cellStyle name="Normal 3 5 3 4 3" xfId="2632" xr:uid="{00000000-0005-0000-0000-0000B10B0000}"/>
    <cellStyle name="Normal 3 5 3 5" xfId="1335" xr:uid="{00000000-0005-0000-0000-0000B20B0000}"/>
    <cellStyle name="Normal 3 5 3 5 2" xfId="3430" xr:uid="{00000000-0005-0000-0000-0000B30B0000}"/>
    <cellStyle name="Normal 3 5 3 6" xfId="2384" xr:uid="{00000000-0005-0000-0000-0000B40B0000}"/>
    <cellStyle name="Normal 3 5 4" xfId="945" xr:uid="{00000000-0005-0000-0000-0000B50B0000}"/>
    <cellStyle name="Normal 3 5 4 2" xfId="1991" xr:uid="{00000000-0005-0000-0000-0000B60B0000}"/>
    <cellStyle name="Normal 3 5 4 2 2" xfId="4086" xr:uid="{00000000-0005-0000-0000-0000B70B0000}"/>
    <cellStyle name="Normal 3 5 4 3" xfId="3040" xr:uid="{00000000-0005-0000-0000-0000B80B0000}"/>
    <cellStyle name="Normal 3 5 5" xfId="679" xr:uid="{00000000-0005-0000-0000-0000B90B0000}"/>
    <cellStyle name="Normal 3 5 5 2" xfId="1725" xr:uid="{00000000-0005-0000-0000-0000BA0B0000}"/>
    <cellStyle name="Normal 3 5 5 2 2" xfId="3820" xr:uid="{00000000-0005-0000-0000-0000BB0B0000}"/>
    <cellStyle name="Normal 3 5 5 3" xfId="2774" xr:uid="{00000000-0005-0000-0000-0000BC0B0000}"/>
    <cellStyle name="Normal 3 5 6" xfId="408" xr:uid="{00000000-0005-0000-0000-0000BD0B0000}"/>
    <cellStyle name="Normal 3 5 6 2" xfId="1459" xr:uid="{00000000-0005-0000-0000-0000BE0B0000}"/>
    <cellStyle name="Normal 3 5 6 2 2" xfId="3554" xr:uid="{00000000-0005-0000-0000-0000BF0B0000}"/>
    <cellStyle name="Normal 3 5 6 3" xfId="2508" xr:uid="{00000000-0005-0000-0000-0000C00B0000}"/>
    <cellStyle name="Normal 3 5 7" xfId="1211" xr:uid="{00000000-0005-0000-0000-0000C10B0000}"/>
    <cellStyle name="Normal 3 5 7 2" xfId="3306" xr:uid="{00000000-0005-0000-0000-0000C20B0000}"/>
    <cellStyle name="Normal 3 5 8" xfId="2260" xr:uid="{00000000-0005-0000-0000-0000C30B0000}"/>
    <cellStyle name="Normal 3 6" xfId="142" xr:uid="{00000000-0005-0000-0000-0000C40B0000}"/>
    <cellStyle name="Normal 3 6 2" xfId="196" xr:uid="{00000000-0005-0000-0000-0000C50B0000}"/>
    <cellStyle name="Normal 3 6 2 2" xfId="350" xr:uid="{00000000-0005-0000-0000-0000C60B0000}"/>
    <cellStyle name="Normal 3 6 2 2 2" xfId="1135" xr:uid="{00000000-0005-0000-0000-0000C70B0000}"/>
    <cellStyle name="Normal 3 6 2 2 2 2" xfId="2181" xr:uid="{00000000-0005-0000-0000-0000C80B0000}"/>
    <cellStyle name="Normal 3 6 2 2 2 2 2" xfId="4276" xr:uid="{00000000-0005-0000-0000-0000C90B0000}"/>
    <cellStyle name="Normal 3 6 2 2 2 3" xfId="3230" xr:uid="{00000000-0005-0000-0000-0000CA0B0000}"/>
    <cellStyle name="Normal 3 6 2 2 3" xfId="869" xr:uid="{00000000-0005-0000-0000-0000CB0B0000}"/>
    <cellStyle name="Normal 3 6 2 2 3 2" xfId="1915" xr:uid="{00000000-0005-0000-0000-0000CC0B0000}"/>
    <cellStyle name="Normal 3 6 2 2 3 2 2" xfId="4010" xr:uid="{00000000-0005-0000-0000-0000CD0B0000}"/>
    <cellStyle name="Normal 3 6 2 2 3 3" xfId="2964" xr:uid="{00000000-0005-0000-0000-0000CE0B0000}"/>
    <cellStyle name="Normal 3 6 2 2 4" xfId="598" xr:uid="{00000000-0005-0000-0000-0000CF0B0000}"/>
    <cellStyle name="Normal 3 6 2 2 4 2" xfId="1649" xr:uid="{00000000-0005-0000-0000-0000D00B0000}"/>
    <cellStyle name="Normal 3 6 2 2 4 2 2" xfId="3744" xr:uid="{00000000-0005-0000-0000-0000D10B0000}"/>
    <cellStyle name="Normal 3 6 2 2 4 3" xfId="2698" xr:uid="{00000000-0005-0000-0000-0000D20B0000}"/>
    <cellStyle name="Normal 3 6 2 2 5" xfId="1401" xr:uid="{00000000-0005-0000-0000-0000D30B0000}"/>
    <cellStyle name="Normal 3 6 2 2 5 2" xfId="3496" xr:uid="{00000000-0005-0000-0000-0000D40B0000}"/>
    <cellStyle name="Normal 3 6 2 2 6" xfId="2450" xr:uid="{00000000-0005-0000-0000-0000D50B0000}"/>
    <cellStyle name="Normal 3 6 2 3" xfId="1011" xr:uid="{00000000-0005-0000-0000-0000D60B0000}"/>
    <cellStyle name="Normal 3 6 2 3 2" xfId="2057" xr:uid="{00000000-0005-0000-0000-0000D70B0000}"/>
    <cellStyle name="Normal 3 6 2 3 2 2" xfId="4152" xr:uid="{00000000-0005-0000-0000-0000D80B0000}"/>
    <cellStyle name="Normal 3 6 2 3 3" xfId="3106" xr:uid="{00000000-0005-0000-0000-0000D90B0000}"/>
    <cellStyle name="Normal 3 6 2 4" xfId="745" xr:uid="{00000000-0005-0000-0000-0000DA0B0000}"/>
    <cellStyle name="Normal 3 6 2 4 2" xfId="1791" xr:uid="{00000000-0005-0000-0000-0000DB0B0000}"/>
    <cellStyle name="Normal 3 6 2 4 2 2" xfId="3886" xr:uid="{00000000-0005-0000-0000-0000DC0B0000}"/>
    <cellStyle name="Normal 3 6 2 4 3" xfId="2840" xr:uid="{00000000-0005-0000-0000-0000DD0B0000}"/>
    <cellStyle name="Normal 3 6 2 5" xfId="474" xr:uid="{00000000-0005-0000-0000-0000DE0B0000}"/>
    <cellStyle name="Normal 3 6 2 5 2" xfId="1525" xr:uid="{00000000-0005-0000-0000-0000DF0B0000}"/>
    <cellStyle name="Normal 3 6 2 5 2 2" xfId="3620" xr:uid="{00000000-0005-0000-0000-0000E00B0000}"/>
    <cellStyle name="Normal 3 6 2 5 3" xfId="2574" xr:uid="{00000000-0005-0000-0000-0000E10B0000}"/>
    <cellStyle name="Normal 3 6 2 6" xfId="1277" xr:uid="{00000000-0005-0000-0000-0000E20B0000}"/>
    <cellStyle name="Normal 3 6 2 6 2" xfId="3372" xr:uid="{00000000-0005-0000-0000-0000E30B0000}"/>
    <cellStyle name="Normal 3 6 2 7" xfId="2326" xr:uid="{00000000-0005-0000-0000-0000E40B0000}"/>
    <cellStyle name="Normal 3 6 3" xfId="303" xr:uid="{00000000-0005-0000-0000-0000E50B0000}"/>
    <cellStyle name="Normal 3 6 3 2" xfId="1088" xr:uid="{00000000-0005-0000-0000-0000E60B0000}"/>
    <cellStyle name="Normal 3 6 3 2 2" xfId="2134" xr:uid="{00000000-0005-0000-0000-0000E70B0000}"/>
    <cellStyle name="Normal 3 6 3 2 2 2" xfId="4229" xr:uid="{00000000-0005-0000-0000-0000E80B0000}"/>
    <cellStyle name="Normal 3 6 3 2 3" xfId="3183" xr:uid="{00000000-0005-0000-0000-0000E90B0000}"/>
    <cellStyle name="Normal 3 6 3 3" xfId="822" xr:uid="{00000000-0005-0000-0000-0000EA0B0000}"/>
    <cellStyle name="Normal 3 6 3 3 2" xfId="1868" xr:uid="{00000000-0005-0000-0000-0000EB0B0000}"/>
    <cellStyle name="Normal 3 6 3 3 2 2" xfId="3963" xr:uid="{00000000-0005-0000-0000-0000EC0B0000}"/>
    <cellStyle name="Normal 3 6 3 3 3" xfId="2917" xr:uid="{00000000-0005-0000-0000-0000ED0B0000}"/>
    <cellStyle name="Normal 3 6 3 4" xfId="551" xr:uid="{00000000-0005-0000-0000-0000EE0B0000}"/>
    <cellStyle name="Normal 3 6 3 4 2" xfId="1602" xr:uid="{00000000-0005-0000-0000-0000EF0B0000}"/>
    <cellStyle name="Normal 3 6 3 4 2 2" xfId="3697" xr:uid="{00000000-0005-0000-0000-0000F00B0000}"/>
    <cellStyle name="Normal 3 6 3 4 3" xfId="2651" xr:uid="{00000000-0005-0000-0000-0000F10B0000}"/>
    <cellStyle name="Normal 3 6 3 5" xfId="1354" xr:uid="{00000000-0005-0000-0000-0000F20B0000}"/>
    <cellStyle name="Normal 3 6 3 5 2" xfId="3449" xr:uid="{00000000-0005-0000-0000-0000F30B0000}"/>
    <cellStyle name="Normal 3 6 3 6" xfId="2403" xr:uid="{00000000-0005-0000-0000-0000F40B0000}"/>
    <cellStyle name="Normal 3 6 4" xfId="964" xr:uid="{00000000-0005-0000-0000-0000F50B0000}"/>
    <cellStyle name="Normal 3 6 4 2" xfId="2010" xr:uid="{00000000-0005-0000-0000-0000F60B0000}"/>
    <cellStyle name="Normal 3 6 4 2 2" xfId="4105" xr:uid="{00000000-0005-0000-0000-0000F70B0000}"/>
    <cellStyle name="Normal 3 6 4 3" xfId="3059" xr:uid="{00000000-0005-0000-0000-0000F80B0000}"/>
    <cellStyle name="Normal 3 6 5" xfId="698" xr:uid="{00000000-0005-0000-0000-0000F90B0000}"/>
    <cellStyle name="Normal 3 6 5 2" xfId="1744" xr:uid="{00000000-0005-0000-0000-0000FA0B0000}"/>
    <cellStyle name="Normal 3 6 5 2 2" xfId="3839" xr:uid="{00000000-0005-0000-0000-0000FB0B0000}"/>
    <cellStyle name="Normal 3 6 5 3" xfId="2793" xr:uid="{00000000-0005-0000-0000-0000FC0B0000}"/>
    <cellStyle name="Normal 3 6 6" xfId="427" xr:uid="{00000000-0005-0000-0000-0000FD0B0000}"/>
    <cellStyle name="Normal 3 6 6 2" xfId="1478" xr:uid="{00000000-0005-0000-0000-0000FE0B0000}"/>
    <cellStyle name="Normal 3 6 6 2 2" xfId="3573" xr:uid="{00000000-0005-0000-0000-0000FF0B0000}"/>
    <cellStyle name="Normal 3 6 6 3" xfId="2527" xr:uid="{00000000-0005-0000-0000-0000000C0000}"/>
    <cellStyle name="Normal 3 6 7" xfId="1230" xr:uid="{00000000-0005-0000-0000-0000010C0000}"/>
    <cellStyle name="Normal 3 6 7 2" xfId="3325" xr:uid="{00000000-0005-0000-0000-0000020C0000}"/>
    <cellStyle name="Normal 3 6 8" xfId="2279" xr:uid="{00000000-0005-0000-0000-0000030C0000}"/>
    <cellStyle name="Normal 3 7" xfId="652" xr:uid="{00000000-0005-0000-0000-0000040C0000}"/>
    <cellStyle name="Normal 3 7 2" xfId="1186" xr:uid="{00000000-0005-0000-0000-0000050C0000}"/>
    <cellStyle name="Normal 3 7 2 2" xfId="2232" xr:uid="{00000000-0005-0000-0000-0000060C0000}"/>
    <cellStyle name="Normal 3 7 2 2 2" xfId="4327" xr:uid="{00000000-0005-0000-0000-0000070C0000}"/>
    <cellStyle name="Normal 3 7 2 3" xfId="3281" xr:uid="{00000000-0005-0000-0000-0000080C0000}"/>
    <cellStyle name="Normal 3 7 3" xfId="920" xr:uid="{00000000-0005-0000-0000-0000090C0000}"/>
    <cellStyle name="Normal 3 7 3 2" xfId="1966" xr:uid="{00000000-0005-0000-0000-00000A0C0000}"/>
    <cellStyle name="Normal 3 7 3 2 2" xfId="4061" xr:uid="{00000000-0005-0000-0000-00000B0C0000}"/>
    <cellStyle name="Normal 3 7 3 3" xfId="3015" xr:uid="{00000000-0005-0000-0000-00000C0C0000}"/>
    <cellStyle name="Normal 3 7 4" xfId="1700" xr:uid="{00000000-0005-0000-0000-00000D0C0000}"/>
    <cellStyle name="Normal 3 7 4 2" xfId="3795" xr:uid="{00000000-0005-0000-0000-00000E0C0000}"/>
    <cellStyle name="Normal 3 7 5" xfId="2749" xr:uid="{00000000-0005-0000-0000-00000F0C0000}"/>
    <cellStyle name="Normal 3 8" xfId="2237" xr:uid="{00000000-0005-0000-0000-0000100C0000}"/>
    <cellStyle name="Normal 4" xfId="11" xr:uid="{00000000-0005-0000-0000-0000110C0000}"/>
    <cellStyle name="Normal 4 2" xfId="101" xr:uid="{00000000-0005-0000-0000-0000120C0000}"/>
    <cellStyle name="Normal 4 2 10" xfId="1212" xr:uid="{00000000-0005-0000-0000-0000130C0000}"/>
    <cellStyle name="Normal 4 2 10 2" xfId="3307" xr:uid="{00000000-0005-0000-0000-0000140C0000}"/>
    <cellStyle name="Normal 4 2 11" xfId="2261" xr:uid="{00000000-0005-0000-0000-0000150C0000}"/>
    <cellStyle name="Normal 4 2 2" xfId="102" xr:uid="{00000000-0005-0000-0000-0000160C0000}"/>
    <cellStyle name="Normal 4 2 3" xfId="103" xr:uid="{00000000-0005-0000-0000-0000170C0000}"/>
    <cellStyle name="Normal 4 2 4" xfId="104" xr:uid="{00000000-0005-0000-0000-0000180C0000}"/>
    <cellStyle name="Normal 4 2 4 2" xfId="179" xr:uid="{00000000-0005-0000-0000-0000190C0000}"/>
    <cellStyle name="Normal 4 2 4 2 2" xfId="333" xr:uid="{00000000-0005-0000-0000-00001A0C0000}"/>
    <cellStyle name="Normal 4 2 4 2 2 2" xfId="1118" xr:uid="{00000000-0005-0000-0000-00001B0C0000}"/>
    <cellStyle name="Normal 4 2 4 2 2 2 2" xfId="2164" xr:uid="{00000000-0005-0000-0000-00001C0C0000}"/>
    <cellStyle name="Normal 4 2 4 2 2 2 2 2" xfId="4259" xr:uid="{00000000-0005-0000-0000-00001D0C0000}"/>
    <cellStyle name="Normal 4 2 4 2 2 2 3" xfId="3213" xr:uid="{00000000-0005-0000-0000-00001E0C0000}"/>
    <cellStyle name="Normal 4 2 4 2 2 3" xfId="852" xr:uid="{00000000-0005-0000-0000-00001F0C0000}"/>
    <cellStyle name="Normal 4 2 4 2 2 3 2" xfId="1898" xr:uid="{00000000-0005-0000-0000-0000200C0000}"/>
    <cellStyle name="Normal 4 2 4 2 2 3 2 2" xfId="3993" xr:uid="{00000000-0005-0000-0000-0000210C0000}"/>
    <cellStyle name="Normal 4 2 4 2 2 3 3" xfId="2947" xr:uid="{00000000-0005-0000-0000-0000220C0000}"/>
    <cellStyle name="Normal 4 2 4 2 2 4" xfId="581" xr:uid="{00000000-0005-0000-0000-0000230C0000}"/>
    <cellStyle name="Normal 4 2 4 2 2 4 2" xfId="1632" xr:uid="{00000000-0005-0000-0000-0000240C0000}"/>
    <cellStyle name="Normal 4 2 4 2 2 4 2 2" xfId="3727" xr:uid="{00000000-0005-0000-0000-0000250C0000}"/>
    <cellStyle name="Normal 4 2 4 2 2 4 3" xfId="2681" xr:uid="{00000000-0005-0000-0000-0000260C0000}"/>
    <cellStyle name="Normal 4 2 4 2 2 5" xfId="1384" xr:uid="{00000000-0005-0000-0000-0000270C0000}"/>
    <cellStyle name="Normal 4 2 4 2 2 5 2" xfId="3479" xr:uid="{00000000-0005-0000-0000-0000280C0000}"/>
    <cellStyle name="Normal 4 2 4 2 2 6" xfId="2433" xr:uid="{00000000-0005-0000-0000-0000290C0000}"/>
    <cellStyle name="Normal 4 2 4 2 3" xfId="994" xr:uid="{00000000-0005-0000-0000-00002A0C0000}"/>
    <cellStyle name="Normal 4 2 4 2 3 2" xfId="2040" xr:uid="{00000000-0005-0000-0000-00002B0C0000}"/>
    <cellStyle name="Normal 4 2 4 2 3 2 2" xfId="4135" xr:uid="{00000000-0005-0000-0000-00002C0C0000}"/>
    <cellStyle name="Normal 4 2 4 2 3 3" xfId="3089" xr:uid="{00000000-0005-0000-0000-00002D0C0000}"/>
    <cellStyle name="Normal 4 2 4 2 4" xfId="728" xr:uid="{00000000-0005-0000-0000-00002E0C0000}"/>
    <cellStyle name="Normal 4 2 4 2 4 2" xfId="1774" xr:uid="{00000000-0005-0000-0000-00002F0C0000}"/>
    <cellStyle name="Normal 4 2 4 2 4 2 2" xfId="3869" xr:uid="{00000000-0005-0000-0000-0000300C0000}"/>
    <cellStyle name="Normal 4 2 4 2 4 3" xfId="2823" xr:uid="{00000000-0005-0000-0000-0000310C0000}"/>
    <cellStyle name="Normal 4 2 4 2 5" xfId="457" xr:uid="{00000000-0005-0000-0000-0000320C0000}"/>
    <cellStyle name="Normal 4 2 4 2 5 2" xfId="1508" xr:uid="{00000000-0005-0000-0000-0000330C0000}"/>
    <cellStyle name="Normal 4 2 4 2 5 2 2" xfId="3603" xr:uid="{00000000-0005-0000-0000-0000340C0000}"/>
    <cellStyle name="Normal 4 2 4 2 5 3" xfId="2557" xr:uid="{00000000-0005-0000-0000-0000350C0000}"/>
    <cellStyle name="Normal 4 2 4 2 6" xfId="1260" xr:uid="{00000000-0005-0000-0000-0000360C0000}"/>
    <cellStyle name="Normal 4 2 4 2 6 2" xfId="3355" xr:uid="{00000000-0005-0000-0000-0000370C0000}"/>
    <cellStyle name="Normal 4 2 4 2 7" xfId="2309" xr:uid="{00000000-0005-0000-0000-0000380C0000}"/>
    <cellStyle name="Normal 4 2 4 3" xfId="286" xr:uid="{00000000-0005-0000-0000-0000390C0000}"/>
    <cellStyle name="Normal 4 2 4 3 2" xfId="1071" xr:uid="{00000000-0005-0000-0000-00003A0C0000}"/>
    <cellStyle name="Normal 4 2 4 3 2 2" xfId="2117" xr:uid="{00000000-0005-0000-0000-00003B0C0000}"/>
    <cellStyle name="Normal 4 2 4 3 2 2 2" xfId="4212" xr:uid="{00000000-0005-0000-0000-00003C0C0000}"/>
    <cellStyle name="Normal 4 2 4 3 2 3" xfId="3166" xr:uid="{00000000-0005-0000-0000-00003D0C0000}"/>
    <cellStyle name="Normal 4 2 4 3 3" xfId="805" xr:uid="{00000000-0005-0000-0000-00003E0C0000}"/>
    <cellStyle name="Normal 4 2 4 3 3 2" xfId="1851" xr:uid="{00000000-0005-0000-0000-00003F0C0000}"/>
    <cellStyle name="Normal 4 2 4 3 3 2 2" xfId="3946" xr:uid="{00000000-0005-0000-0000-0000400C0000}"/>
    <cellStyle name="Normal 4 2 4 3 3 3" xfId="2900" xr:uid="{00000000-0005-0000-0000-0000410C0000}"/>
    <cellStyle name="Normal 4 2 4 3 4" xfId="534" xr:uid="{00000000-0005-0000-0000-0000420C0000}"/>
    <cellStyle name="Normal 4 2 4 3 4 2" xfId="1585" xr:uid="{00000000-0005-0000-0000-0000430C0000}"/>
    <cellStyle name="Normal 4 2 4 3 4 2 2" xfId="3680" xr:uid="{00000000-0005-0000-0000-0000440C0000}"/>
    <cellStyle name="Normal 4 2 4 3 4 3" xfId="2634" xr:uid="{00000000-0005-0000-0000-0000450C0000}"/>
    <cellStyle name="Normal 4 2 4 3 5" xfId="1337" xr:uid="{00000000-0005-0000-0000-0000460C0000}"/>
    <cellStyle name="Normal 4 2 4 3 5 2" xfId="3432" xr:uid="{00000000-0005-0000-0000-0000470C0000}"/>
    <cellStyle name="Normal 4 2 4 3 6" xfId="2386" xr:uid="{00000000-0005-0000-0000-0000480C0000}"/>
    <cellStyle name="Normal 4 2 4 4" xfId="947" xr:uid="{00000000-0005-0000-0000-0000490C0000}"/>
    <cellStyle name="Normal 4 2 4 4 2" xfId="1993" xr:uid="{00000000-0005-0000-0000-00004A0C0000}"/>
    <cellStyle name="Normal 4 2 4 4 2 2" xfId="4088" xr:uid="{00000000-0005-0000-0000-00004B0C0000}"/>
    <cellStyle name="Normal 4 2 4 4 3" xfId="3042" xr:uid="{00000000-0005-0000-0000-00004C0C0000}"/>
    <cellStyle name="Normal 4 2 4 5" xfId="681" xr:uid="{00000000-0005-0000-0000-00004D0C0000}"/>
    <cellStyle name="Normal 4 2 4 5 2" xfId="1727" xr:uid="{00000000-0005-0000-0000-00004E0C0000}"/>
    <cellStyle name="Normal 4 2 4 5 2 2" xfId="3822" xr:uid="{00000000-0005-0000-0000-00004F0C0000}"/>
    <cellStyle name="Normal 4 2 4 5 3" xfId="2776" xr:uid="{00000000-0005-0000-0000-0000500C0000}"/>
    <cellStyle name="Normal 4 2 4 6" xfId="410" xr:uid="{00000000-0005-0000-0000-0000510C0000}"/>
    <cellStyle name="Normal 4 2 4 6 2" xfId="1461" xr:uid="{00000000-0005-0000-0000-0000520C0000}"/>
    <cellStyle name="Normal 4 2 4 6 2 2" xfId="3556" xr:uid="{00000000-0005-0000-0000-0000530C0000}"/>
    <cellStyle name="Normal 4 2 4 6 3" xfId="2510" xr:uid="{00000000-0005-0000-0000-0000540C0000}"/>
    <cellStyle name="Normal 4 2 4 7" xfId="1213" xr:uid="{00000000-0005-0000-0000-0000550C0000}"/>
    <cellStyle name="Normal 4 2 4 7 2" xfId="3308" xr:uid="{00000000-0005-0000-0000-0000560C0000}"/>
    <cellStyle name="Normal 4 2 4 8" xfId="2262" xr:uid="{00000000-0005-0000-0000-0000570C0000}"/>
    <cellStyle name="Normal 4 2 5" xfId="178" xr:uid="{00000000-0005-0000-0000-0000580C0000}"/>
    <cellStyle name="Normal 4 2 5 2" xfId="332" xr:uid="{00000000-0005-0000-0000-0000590C0000}"/>
    <cellStyle name="Normal 4 2 5 2 2" xfId="1117" xr:uid="{00000000-0005-0000-0000-00005A0C0000}"/>
    <cellStyle name="Normal 4 2 5 2 2 2" xfId="2163" xr:uid="{00000000-0005-0000-0000-00005B0C0000}"/>
    <cellStyle name="Normal 4 2 5 2 2 2 2" xfId="4258" xr:uid="{00000000-0005-0000-0000-00005C0C0000}"/>
    <cellStyle name="Normal 4 2 5 2 2 3" xfId="3212" xr:uid="{00000000-0005-0000-0000-00005D0C0000}"/>
    <cellStyle name="Normal 4 2 5 2 3" xfId="851" xr:uid="{00000000-0005-0000-0000-00005E0C0000}"/>
    <cellStyle name="Normal 4 2 5 2 3 2" xfId="1897" xr:uid="{00000000-0005-0000-0000-00005F0C0000}"/>
    <cellStyle name="Normal 4 2 5 2 3 2 2" xfId="3992" xr:uid="{00000000-0005-0000-0000-0000600C0000}"/>
    <cellStyle name="Normal 4 2 5 2 3 3" xfId="2946" xr:uid="{00000000-0005-0000-0000-0000610C0000}"/>
    <cellStyle name="Normal 4 2 5 2 4" xfId="580" xr:uid="{00000000-0005-0000-0000-0000620C0000}"/>
    <cellStyle name="Normal 4 2 5 2 4 2" xfId="1631" xr:uid="{00000000-0005-0000-0000-0000630C0000}"/>
    <cellStyle name="Normal 4 2 5 2 4 2 2" xfId="3726" xr:uid="{00000000-0005-0000-0000-0000640C0000}"/>
    <cellStyle name="Normal 4 2 5 2 4 3" xfId="2680" xr:uid="{00000000-0005-0000-0000-0000650C0000}"/>
    <cellStyle name="Normal 4 2 5 2 5" xfId="1383" xr:uid="{00000000-0005-0000-0000-0000660C0000}"/>
    <cellStyle name="Normal 4 2 5 2 5 2" xfId="3478" xr:uid="{00000000-0005-0000-0000-0000670C0000}"/>
    <cellStyle name="Normal 4 2 5 2 6" xfId="2432" xr:uid="{00000000-0005-0000-0000-0000680C0000}"/>
    <cellStyle name="Normal 4 2 5 3" xfId="993" xr:uid="{00000000-0005-0000-0000-0000690C0000}"/>
    <cellStyle name="Normal 4 2 5 3 2" xfId="2039" xr:uid="{00000000-0005-0000-0000-00006A0C0000}"/>
    <cellStyle name="Normal 4 2 5 3 2 2" xfId="4134" xr:uid="{00000000-0005-0000-0000-00006B0C0000}"/>
    <cellStyle name="Normal 4 2 5 3 3" xfId="3088" xr:uid="{00000000-0005-0000-0000-00006C0C0000}"/>
    <cellStyle name="Normal 4 2 5 4" xfId="727" xr:uid="{00000000-0005-0000-0000-00006D0C0000}"/>
    <cellStyle name="Normal 4 2 5 4 2" xfId="1773" xr:uid="{00000000-0005-0000-0000-00006E0C0000}"/>
    <cellStyle name="Normal 4 2 5 4 2 2" xfId="3868" xr:uid="{00000000-0005-0000-0000-00006F0C0000}"/>
    <cellStyle name="Normal 4 2 5 4 3" xfId="2822" xr:uid="{00000000-0005-0000-0000-0000700C0000}"/>
    <cellStyle name="Normal 4 2 5 5" xfId="456" xr:uid="{00000000-0005-0000-0000-0000710C0000}"/>
    <cellStyle name="Normal 4 2 5 5 2" xfId="1507" xr:uid="{00000000-0005-0000-0000-0000720C0000}"/>
    <cellStyle name="Normal 4 2 5 5 2 2" xfId="3602" xr:uid="{00000000-0005-0000-0000-0000730C0000}"/>
    <cellStyle name="Normal 4 2 5 5 3" xfId="2556" xr:uid="{00000000-0005-0000-0000-0000740C0000}"/>
    <cellStyle name="Normal 4 2 5 6" xfId="1259" xr:uid="{00000000-0005-0000-0000-0000750C0000}"/>
    <cellStyle name="Normal 4 2 5 6 2" xfId="3354" xr:uid="{00000000-0005-0000-0000-0000760C0000}"/>
    <cellStyle name="Normal 4 2 5 7" xfId="2308" xr:uid="{00000000-0005-0000-0000-0000770C0000}"/>
    <cellStyle name="Normal 4 2 6" xfId="285" xr:uid="{00000000-0005-0000-0000-0000780C0000}"/>
    <cellStyle name="Normal 4 2 6 2" xfId="1070" xr:uid="{00000000-0005-0000-0000-0000790C0000}"/>
    <cellStyle name="Normal 4 2 6 2 2" xfId="2116" xr:uid="{00000000-0005-0000-0000-00007A0C0000}"/>
    <cellStyle name="Normal 4 2 6 2 2 2" xfId="4211" xr:uid="{00000000-0005-0000-0000-00007B0C0000}"/>
    <cellStyle name="Normal 4 2 6 2 3" xfId="3165" xr:uid="{00000000-0005-0000-0000-00007C0C0000}"/>
    <cellStyle name="Normal 4 2 6 3" xfId="804" xr:uid="{00000000-0005-0000-0000-00007D0C0000}"/>
    <cellStyle name="Normal 4 2 6 3 2" xfId="1850" xr:uid="{00000000-0005-0000-0000-00007E0C0000}"/>
    <cellStyle name="Normal 4 2 6 3 2 2" xfId="3945" xr:uid="{00000000-0005-0000-0000-00007F0C0000}"/>
    <cellStyle name="Normal 4 2 6 3 3" xfId="2899" xr:uid="{00000000-0005-0000-0000-0000800C0000}"/>
    <cellStyle name="Normal 4 2 6 4" xfId="533" xr:uid="{00000000-0005-0000-0000-0000810C0000}"/>
    <cellStyle name="Normal 4 2 6 4 2" xfId="1584" xr:uid="{00000000-0005-0000-0000-0000820C0000}"/>
    <cellStyle name="Normal 4 2 6 4 2 2" xfId="3679" xr:uid="{00000000-0005-0000-0000-0000830C0000}"/>
    <cellStyle name="Normal 4 2 6 4 3" xfId="2633" xr:uid="{00000000-0005-0000-0000-0000840C0000}"/>
    <cellStyle name="Normal 4 2 6 5" xfId="1336" xr:uid="{00000000-0005-0000-0000-0000850C0000}"/>
    <cellStyle name="Normal 4 2 6 5 2" xfId="3431" xr:uid="{00000000-0005-0000-0000-0000860C0000}"/>
    <cellStyle name="Normal 4 2 6 6" xfId="2385" xr:uid="{00000000-0005-0000-0000-0000870C0000}"/>
    <cellStyle name="Normal 4 2 7" xfId="946" xr:uid="{00000000-0005-0000-0000-0000880C0000}"/>
    <cellStyle name="Normal 4 2 7 2" xfId="1992" xr:uid="{00000000-0005-0000-0000-0000890C0000}"/>
    <cellStyle name="Normal 4 2 7 2 2" xfId="4087" xr:uid="{00000000-0005-0000-0000-00008A0C0000}"/>
    <cellStyle name="Normal 4 2 7 3" xfId="3041" xr:uid="{00000000-0005-0000-0000-00008B0C0000}"/>
    <cellStyle name="Normal 4 2 8" xfId="680" xr:uid="{00000000-0005-0000-0000-00008C0C0000}"/>
    <cellStyle name="Normal 4 2 8 2" xfId="1726" xr:uid="{00000000-0005-0000-0000-00008D0C0000}"/>
    <cellStyle name="Normal 4 2 8 2 2" xfId="3821" xr:uid="{00000000-0005-0000-0000-00008E0C0000}"/>
    <cellStyle name="Normal 4 2 8 3" xfId="2775" xr:uid="{00000000-0005-0000-0000-00008F0C0000}"/>
    <cellStyle name="Normal 4 2 9" xfId="409" xr:uid="{00000000-0005-0000-0000-0000900C0000}"/>
    <cellStyle name="Normal 4 2 9 2" xfId="1460" xr:uid="{00000000-0005-0000-0000-0000910C0000}"/>
    <cellStyle name="Normal 4 2 9 2 2" xfId="3555" xr:uid="{00000000-0005-0000-0000-0000920C0000}"/>
    <cellStyle name="Normal 4 2 9 3" xfId="2509" xr:uid="{00000000-0005-0000-0000-0000930C0000}"/>
    <cellStyle name="Normal 4 3" xfId="105" xr:uid="{00000000-0005-0000-0000-0000940C0000}"/>
    <cellStyle name="Normal 4 3 2" xfId="106" xr:uid="{00000000-0005-0000-0000-0000950C0000}"/>
    <cellStyle name="Normal 4 4" xfId="107" xr:uid="{00000000-0005-0000-0000-0000960C0000}"/>
    <cellStyle name="Normal 4 5" xfId="108" xr:uid="{00000000-0005-0000-0000-0000970C0000}"/>
    <cellStyle name="Normal 4 6" xfId="656" xr:uid="{00000000-0005-0000-0000-0000980C0000}"/>
    <cellStyle name="Normal 5" xfId="12" xr:uid="{00000000-0005-0000-0000-0000990C0000}"/>
    <cellStyle name="Normal 5 10" xfId="387" xr:uid="{00000000-0005-0000-0000-00009A0C0000}"/>
    <cellStyle name="Normal 5 10 2" xfId="1438" xr:uid="{00000000-0005-0000-0000-00009B0C0000}"/>
    <cellStyle name="Normal 5 10 2 2" xfId="3533" xr:uid="{00000000-0005-0000-0000-00009C0C0000}"/>
    <cellStyle name="Normal 5 10 3" xfId="2487" xr:uid="{00000000-0005-0000-0000-00009D0C0000}"/>
    <cellStyle name="Normal 5 11" xfId="1190" xr:uid="{00000000-0005-0000-0000-00009E0C0000}"/>
    <cellStyle name="Normal 5 11 2" xfId="3285" xr:uid="{00000000-0005-0000-0000-00009F0C0000}"/>
    <cellStyle name="Normal 5 12" xfId="2239" xr:uid="{00000000-0005-0000-0000-0000A00C0000}"/>
    <cellStyle name="Normal 5 2" xfId="13" xr:uid="{00000000-0005-0000-0000-0000A10C0000}"/>
    <cellStyle name="Normal 5 2 2" xfId="146" xr:uid="{00000000-0005-0000-0000-0000A20C0000}"/>
    <cellStyle name="Normal 5 2 2 2" xfId="199" xr:uid="{00000000-0005-0000-0000-0000A30C0000}"/>
    <cellStyle name="Normal 5 2 2 2 2" xfId="353" xr:uid="{00000000-0005-0000-0000-0000A40C0000}"/>
    <cellStyle name="Normal 5 2 2 2 2 2" xfId="1138" xr:uid="{00000000-0005-0000-0000-0000A50C0000}"/>
    <cellStyle name="Normal 5 2 2 2 2 2 2" xfId="2184" xr:uid="{00000000-0005-0000-0000-0000A60C0000}"/>
    <cellStyle name="Normal 5 2 2 2 2 2 2 2" xfId="4279" xr:uid="{00000000-0005-0000-0000-0000A70C0000}"/>
    <cellStyle name="Normal 5 2 2 2 2 2 3" xfId="3233" xr:uid="{00000000-0005-0000-0000-0000A80C0000}"/>
    <cellStyle name="Normal 5 2 2 2 2 3" xfId="872" xr:uid="{00000000-0005-0000-0000-0000A90C0000}"/>
    <cellStyle name="Normal 5 2 2 2 2 3 2" xfId="1918" xr:uid="{00000000-0005-0000-0000-0000AA0C0000}"/>
    <cellStyle name="Normal 5 2 2 2 2 3 2 2" xfId="4013" xr:uid="{00000000-0005-0000-0000-0000AB0C0000}"/>
    <cellStyle name="Normal 5 2 2 2 2 3 3" xfId="2967" xr:uid="{00000000-0005-0000-0000-0000AC0C0000}"/>
    <cellStyle name="Normal 5 2 2 2 2 4" xfId="601" xr:uid="{00000000-0005-0000-0000-0000AD0C0000}"/>
    <cellStyle name="Normal 5 2 2 2 2 4 2" xfId="1652" xr:uid="{00000000-0005-0000-0000-0000AE0C0000}"/>
    <cellStyle name="Normal 5 2 2 2 2 4 2 2" xfId="3747" xr:uid="{00000000-0005-0000-0000-0000AF0C0000}"/>
    <cellStyle name="Normal 5 2 2 2 2 4 3" xfId="2701" xr:uid="{00000000-0005-0000-0000-0000B00C0000}"/>
    <cellStyle name="Normal 5 2 2 2 2 5" xfId="1404" xr:uid="{00000000-0005-0000-0000-0000B10C0000}"/>
    <cellStyle name="Normal 5 2 2 2 2 5 2" xfId="3499" xr:uid="{00000000-0005-0000-0000-0000B20C0000}"/>
    <cellStyle name="Normal 5 2 2 2 2 6" xfId="2453" xr:uid="{00000000-0005-0000-0000-0000B30C0000}"/>
    <cellStyle name="Normal 5 2 2 2 3" xfId="1014" xr:uid="{00000000-0005-0000-0000-0000B40C0000}"/>
    <cellStyle name="Normal 5 2 2 2 3 2" xfId="2060" xr:uid="{00000000-0005-0000-0000-0000B50C0000}"/>
    <cellStyle name="Normal 5 2 2 2 3 2 2" xfId="4155" xr:uid="{00000000-0005-0000-0000-0000B60C0000}"/>
    <cellStyle name="Normal 5 2 2 2 3 3" xfId="3109" xr:uid="{00000000-0005-0000-0000-0000B70C0000}"/>
    <cellStyle name="Normal 5 2 2 2 4" xfId="748" xr:uid="{00000000-0005-0000-0000-0000B80C0000}"/>
    <cellStyle name="Normal 5 2 2 2 4 2" xfId="1794" xr:uid="{00000000-0005-0000-0000-0000B90C0000}"/>
    <cellStyle name="Normal 5 2 2 2 4 2 2" xfId="3889" xr:uid="{00000000-0005-0000-0000-0000BA0C0000}"/>
    <cellStyle name="Normal 5 2 2 2 4 3" xfId="2843" xr:uid="{00000000-0005-0000-0000-0000BB0C0000}"/>
    <cellStyle name="Normal 5 2 2 2 5" xfId="477" xr:uid="{00000000-0005-0000-0000-0000BC0C0000}"/>
    <cellStyle name="Normal 5 2 2 2 5 2" xfId="1528" xr:uid="{00000000-0005-0000-0000-0000BD0C0000}"/>
    <cellStyle name="Normal 5 2 2 2 5 2 2" xfId="3623" xr:uid="{00000000-0005-0000-0000-0000BE0C0000}"/>
    <cellStyle name="Normal 5 2 2 2 5 3" xfId="2577" xr:uid="{00000000-0005-0000-0000-0000BF0C0000}"/>
    <cellStyle name="Normal 5 2 2 2 6" xfId="1280" xr:uid="{00000000-0005-0000-0000-0000C00C0000}"/>
    <cellStyle name="Normal 5 2 2 2 6 2" xfId="3375" xr:uid="{00000000-0005-0000-0000-0000C10C0000}"/>
    <cellStyle name="Normal 5 2 2 2 7" xfId="2329" xr:uid="{00000000-0005-0000-0000-0000C20C0000}"/>
    <cellStyle name="Normal 5 2 2 3" xfId="306" xr:uid="{00000000-0005-0000-0000-0000C30C0000}"/>
    <cellStyle name="Normal 5 2 2 3 2" xfId="1091" xr:uid="{00000000-0005-0000-0000-0000C40C0000}"/>
    <cellStyle name="Normal 5 2 2 3 2 2" xfId="2137" xr:uid="{00000000-0005-0000-0000-0000C50C0000}"/>
    <cellStyle name="Normal 5 2 2 3 2 2 2" xfId="4232" xr:uid="{00000000-0005-0000-0000-0000C60C0000}"/>
    <cellStyle name="Normal 5 2 2 3 2 3" xfId="3186" xr:uid="{00000000-0005-0000-0000-0000C70C0000}"/>
    <cellStyle name="Normal 5 2 2 3 3" xfId="825" xr:uid="{00000000-0005-0000-0000-0000C80C0000}"/>
    <cellStyle name="Normal 5 2 2 3 3 2" xfId="1871" xr:uid="{00000000-0005-0000-0000-0000C90C0000}"/>
    <cellStyle name="Normal 5 2 2 3 3 2 2" xfId="3966" xr:uid="{00000000-0005-0000-0000-0000CA0C0000}"/>
    <cellStyle name="Normal 5 2 2 3 3 3" xfId="2920" xr:uid="{00000000-0005-0000-0000-0000CB0C0000}"/>
    <cellStyle name="Normal 5 2 2 3 4" xfId="554" xr:uid="{00000000-0005-0000-0000-0000CC0C0000}"/>
    <cellStyle name="Normal 5 2 2 3 4 2" xfId="1605" xr:uid="{00000000-0005-0000-0000-0000CD0C0000}"/>
    <cellStyle name="Normal 5 2 2 3 4 2 2" xfId="3700" xr:uid="{00000000-0005-0000-0000-0000CE0C0000}"/>
    <cellStyle name="Normal 5 2 2 3 4 3" xfId="2654" xr:uid="{00000000-0005-0000-0000-0000CF0C0000}"/>
    <cellStyle name="Normal 5 2 2 3 5" xfId="1357" xr:uid="{00000000-0005-0000-0000-0000D00C0000}"/>
    <cellStyle name="Normal 5 2 2 3 5 2" xfId="3452" xr:uid="{00000000-0005-0000-0000-0000D10C0000}"/>
    <cellStyle name="Normal 5 2 2 3 6" xfId="2406" xr:uid="{00000000-0005-0000-0000-0000D20C0000}"/>
    <cellStyle name="Normal 5 2 2 4" xfId="967" xr:uid="{00000000-0005-0000-0000-0000D30C0000}"/>
    <cellStyle name="Normal 5 2 2 4 2" xfId="2013" xr:uid="{00000000-0005-0000-0000-0000D40C0000}"/>
    <cellStyle name="Normal 5 2 2 4 2 2" xfId="4108" xr:uid="{00000000-0005-0000-0000-0000D50C0000}"/>
    <cellStyle name="Normal 5 2 2 4 3" xfId="3062" xr:uid="{00000000-0005-0000-0000-0000D60C0000}"/>
    <cellStyle name="Normal 5 2 2 5" xfId="701" xr:uid="{00000000-0005-0000-0000-0000D70C0000}"/>
    <cellStyle name="Normal 5 2 2 5 2" xfId="1747" xr:uid="{00000000-0005-0000-0000-0000D80C0000}"/>
    <cellStyle name="Normal 5 2 2 5 2 2" xfId="3842" xr:uid="{00000000-0005-0000-0000-0000D90C0000}"/>
    <cellStyle name="Normal 5 2 2 5 3" xfId="2796" xr:uid="{00000000-0005-0000-0000-0000DA0C0000}"/>
    <cellStyle name="Normal 5 2 2 6" xfId="430" xr:uid="{00000000-0005-0000-0000-0000DB0C0000}"/>
    <cellStyle name="Normal 5 2 2 6 2" xfId="1481" xr:uid="{00000000-0005-0000-0000-0000DC0C0000}"/>
    <cellStyle name="Normal 5 2 2 6 2 2" xfId="3576" xr:uid="{00000000-0005-0000-0000-0000DD0C0000}"/>
    <cellStyle name="Normal 5 2 2 6 3" xfId="2530" xr:uid="{00000000-0005-0000-0000-0000DE0C0000}"/>
    <cellStyle name="Normal 5 2 2 7" xfId="1233" xr:uid="{00000000-0005-0000-0000-0000DF0C0000}"/>
    <cellStyle name="Normal 5 2 2 7 2" xfId="3328" xr:uid="{00000000-0005-0000-0000-0000E00C0000}"/>
    <cellStyle name="Normal 5 2 2 8" xfId="2282" xr:uid="{00000000-0005-0000-0000-0000E10C0000}"/>
    <cellStyle name="Normal 5 2 3" xfId="157" xr:uid="{00000000-0005-0000-0000-0000E20C0000}"/>
    <cellStyle name="Normal 5 2 3 2" xfId="311" xr:uid="{00000000-0005-0000-0000-0000E30C0000}"/>
    <cellStyle name="Normal 5 2 3 2 2" xfId="1096" xr:uid="{00000000-0005-0000-0000-0000E40C0000}"/>
    <cellStyle name="Normal 5 2 3 2 2 2" xfId="2142" xr:uid="{00000000-0005-0000-0000-0000E50C0000}"/>
    <cellStyle name="Normal 5 2 3 2 2 2 2" xfId="4237" xr:uid="{00000000-0005-0000-0000-0000E60C0000}"/>
    <cellStyle name="Normal 5 2 3 2 2 3" xfId="3191" xr:uid="{00000000-0005-0000-0000-0000E70C0000}"/>
    <cellStyle name="Normal 5 2 3 2 3" xfId="830" xr:uid="{00000000-0005-0000-0000-0000E80C0000}"/>
    <cellStyle name="Normal 5 2 3 2 3 2" xfId="1876" xr:uid="{00000000-0005-0000-0000-0000E90C0000}"/>
    <cellStyle name="Normal 5 2 3 2 3 2 2" xfId="3971" xr:uid="{00000000-0005-0000-0000-0000EA0C0000}"/>
    <cellStyle name="Normal 5 2 3 2 3 3" xfId="2925" xr:uid="{00000000-0005-0000-0000-0000EB0C0000}"/>
    <cellStyle name="Normal 5 2 3 2 4" xfId="559" xr:uid="{00000000-0005-0000-0000-0000EC0C0000}"/>
    <cellStyle name="Normal 5 2 3 2 4 2" xfId="1610" xr:uid="{00000000-0005-0000-0000-0000ED0C0000}"/>
    <cellStyle name="Normal 5 2 3 2 4 2 2" xfId="3705" xr:uid="{00000000-0005-0000-0000-0000EE0C0000}"/>
    <cellStyle name="Normal 5 2 3 2 4 3" xfId="2659" xr:uid="{00000000-0005-0000-0000-0000EF0C0000}"/>
    <cellStyle name="Normal 5 2 3 2 5" xfId="1362" xr:uid="{00000000-0005-0000-0000-0000F00C0000}"/>
    <cellStyle name="Normal 5 2 3 2 5 2" xfId="3457" xr:uid="{00000000-0005-0000-0000-0000F10C0000}"/>
    <cellStyle name="Normal 5 2 3 2 6" xfId="2411" xr:uid="{00000000-0005-0000-0000-0000F20C0000}"/>
    <cellStyle name="Normal 5 2 3 3" xfId="972" xr:uid="{00000000-0005-0000-0000-0000F30C0000}"/>
    <cellStyle name="Normal 5 2 3 3 2" xfId="2018" xr:uid="{00000000-0005-0000-0000-0000F40C0000}"/>
    <cellStyle name="Normal 5 2 3 3 2 2" xfId="4113" xr:uid="{00000000-0005-0000-0000-0000F50C0000}"/>
    <cellStyle name="Normal 5 2 3 3 3" xfId="3067" xr:uid="{00000000-0005-0000-0000-0000F60C0000}"/>
    <cellStyle name="Normal 5 2 3 4" xfId="706" xr:uid="{00000000-0005-0000-0000-0000F70C0000}"/>
    <cellStyle name="Normal 5 2 3 4 2" xfId="1752" xr:uid="{00000000-0005-0000-0000-0000F80C0000}"/>
    <cellStyle name="Normal 5 2 3 4 2 2" xfId="3847" xr:uid="{00000000-0005-0000-0000-0000F90C0000}"/>
    <cellStyle name="Normal 5 2 3 4 3" xfId="2801" xr:uid="{00000000-0005-0000-0000-0000FA0C0000}"/>
    <cellStyle name="Normal 5 2 3 5" xfId="435" xr:uid="{00000000-0005-0000-0000-0000FB0C0000}"/>
    <cellStyle name="Normal 5 2 3 5 2" xfId="1486" xr:uid="{00000000-0005-0000-0000-0000FC0C0000}"/>
    <cellStyle name="Normal 5 2 3 5 2 2" xfId="3581" xr:uid="{00000000-0005-0000-0000-0000FD0C0000}"/>
    <cellStyle name="Normal 5 2 3 5 3" xfId="2535" xr:uid="{00000000-0005-0000-0000-0000FE0C0000}"/>
    <cellStyle name="Normal 5 2 3 6" xfId="1238" xr:uid="{00000000-0005-0000-0000-0000FF0C0000}"/>
    <cellStyle name="Normal 5 2 3 6 2" xfId="3333" xr:uid="{00000000-0005-0000-0000-0000000D0000}"/>
    <cellStyle name="Normal 5 2 3 7" xfId="2287" xr:uid="{00000000-0005-0000-0000-0000010D0000}"/>
    <cellStyle name="Normal 5 2 4" xfId="264" xr:uid="{00000000-0005-0000-0000-0000020D0000}"/>
    <cellStyle name="Normal 5 2 4 2" xfId="1049" xr:uid="{00000000-0005-0000-0000-0000030D0000}"/>
    <cellStyle name="Normal 5 2 4 2 2" xfId="2095" xr:uid="{00000000-0005-0000-0000-0000040D0000}"/>
    <cellStyle name="Normal 5 2 4 2 2 2" xfId="4190" xr:uid="{00000000-0005-0000-0000-0000050D0000}"/>
    <cellStyle name="Normal 5 2 4 2 3" xfId="3144" xr:uid="{00000000-0005-0000-0000-0000060D0000}"/>
    <cellStyle name="Normal 5 2 4 3" xfId="783" xr:uid="{00000000-0005-0000-0000-0000070D0000}"/>
    <cellStyle name="Normal 5 2 4 3 2" xfId="1829" xr:uid="{00000000-0005-0000-0000-0000080D0000}"/>
    <cellStyle name="Normal 5 2 4 3 2 2" xfId="3924" xr:uid="{00000000-0005-0000-0000-0000090D0000}"/>
    <cellStyle name="Normal 5 2 4 3 3" xfId="2878" xr:uid="{00000000-0005-0000-0000-00000A0D0000}"/>
    <cellStyle name="Normal 5 2 4 4" xfId="512" xr:uid="{00000000-0005-0000-0000-00000B0D0000}"/>
    <cellStyle name="Normal 5 2 4 4 2" xfId="1563" xr:uid="{00000000-0005-0000-0000-00000C0D0000}"/>
    <cellStyle name="Normal 5 2 4 4 2 2" xfId="3658" xr:uid="{00000000-0005-0000-0000-00000D0D0000}"/>
    <cellStyle name="Normal 5 2 4 4 3" xfId="2612" xr:uid="{00000000-0005-0000-0000-00000E0D0000}"/>
    <cellStyle name="Normal 5 2 4 5" xfId="1315" xr:uid="{00000000-0005-0000-0000-00000F0D0000}"/>
    <cellStyle name="Normal 5 2 4 5 2" xfId="3410" xr:uid="{00000000-0005-0000-0000-0000100D0000}"/>
    <cellStyle name="Normal 5 2 4 6" xfId="2364" xr:uid="{00000000-0005-0000-0000-0000110D0000}"/>
    <cellStyle name="Normal 5 2 5" xfId="925" xr:uid="{00000000-0005-0000-0000-0000120D0000}"/>
    <cellStyle name="Normal 5 2 5 2" xfId="1971" xr:uid="{00000000-0005-0000-0000-0000130D0000}"/>
    <cellStyle name="Normal 5 2 5 2 2" xfId="4066" xr:uid="{00000000-0005-0000-0000-0000140D0000}"/>
    <cellStyle name="Normal 5 2 5 3" xfId="3020" xr:uid="{00000000-0005-0000-0000-0000150D0000}"/>
    <cellStyle name="Normal 5 2 6" xfId="659" xr:uid="{00000000-0005-0000-0000-0000160D0000}"/>
    <cellStyle name="Normal 5 2 6 2" xfId="1705" xr:uid="{00000000-0005-0000-0000-0000170D0000}"/>
    <cellStyle name="Normal 5 2 6 2 2" xfId="3800" xr:uid="{00000000-0005-0000-0000-0000180D0000}"/>
    <cellStyle name="Normal 5 2 6 3" xfId="2754" xr:uid="{00000000-0005-0000-0000-0000190D0000}"/>
    <cellStyle name="Normal 5 2 7" xfId="388" xr:uid="{00000000-0005-0000-0000-00001A0D0000}"/>
    <cellStyle name="Normal 5 2 7 2" xfId="1439" xr:uid="{00000000-0005-0000-0000-00001B0D0000}"/>
    <cellStyle name="Normal 5 2 7 2 2" xfId="3534" xr:uid="{00000000-0005-0000-0000-00001C0D0000}"/>
    <cellStyle name="Normal 5 2 7 3" xfId="2488" xr:uid="{00000000-0005-0000-0000-00001D0D0000}"/>
    <cellStyle name="Normal 5 2 8" xfId="1191" xr:uid="{00000000-0005-0000-0000-00001E0D0000}"/>
    <cellStyle name="Normal 5 2 8 2" xfId="3286" xr:uid="{00000000-0005-0000-0000-00001F0D0000}"/>
    <cellStyle name="Normal 5 2 9" xfId="2240" xr:uid="{00000000-0005-0000-0000-0000200D0000}"/>
    <cellStyle name="Normal 5 3" xfId="109" xr:uid="{00000000-0005-0000-0000-0000210D0000}"/>
    <cellStyle name="Normal 5 4" xfId="145" xr:uid="{00000000-0005-0000-0000-0000220D0000}"/>
    <cellStyle name="Normal 5 4 2" xfId="198" xr:uid="{00000000-0005-0000-0000-0000230D0000}"/>
    <cellStyle name="Normal 5 4 2 2" xfId="352" xr:uid="{00000000-0005-0000-0000-0000240D0000}"/>
    <cellStyle name="Normal 5 4 2 2 2" xfId="1137" xr:uid="{00000000-0005-0000-0000-0000250D0000}"/>
    <cellStyle name="Normal 5 4 2 2 2 2" xfId="2183" xr:uid="{00000000-0005-0000-0000-0000260D0000}"/>
    <cellStyle name="Normal 5 4 2 2 2 2 2" xfId="4278" xr:uid="{00000000-0005-0000-0000-0000270D0000}"/>
    <cellStyle name="Normal 5 4 2 2 2 3" xfId="3232" xr:uid="{00000000-0005-0000-0000-0000280D0000}"/>
    <cellStyle name="Normal 5 4 2 2 3" xfId="871" xr:uid="{00000000-0005-0000-0000-0000290D0000}"/>
    <cellStyle name="Normal 5 4 2 2 3 2" xfId="1917" xr:uid="{00000000-0005-0000-0000-00002A0D0000}"/>
    <cellStyle name="Normal 5 4 2 2 3 2 2" xfId="4012" xr:uid="{00000000-0005-0000-0000-00002B0D0000}"/>
    <cellStyle name="Normal 5 4 2 2 3 3" xfId="2966" xr:uid="{00000000-0005-0000-0000-00002C0D0000}"/>
    <cellStyle name="Normal 5 4 2 2 4" xfId="600" xr:uid="{00000000-0005-0000-0000-00002D0D0000}"/>
    <cellStyle name="Normal 5 4 2 2 4 2" xfId="1651" xr:uid="{00000000-0005-0000-0000-00002E0D0000}"/>
    <cellStyle name="Normal 5 4 2 2 4 2 2" xfId="3746" xr:uid="{00000000-0005-0000-0000-00002F0D0000}"/>
    <cellStyle name="Normal 5 4 2 2 4 3" xfId="2700" xr:uid="{00000000-0005-0000-0000-0000300D0000}"/>
    <cellStyle name="Normal 5 4 2 2 5" xfId="1403" xr:uid="{00000000-0005-0000-0000-0000310D0000}"/>
    <cellStyle name="Normal 5 4 2 2 5 2" xfId="3498" xr:uid="{00000000-0005-0000-0000-0000320D0000}"/>
    <cellStyle name="Normal 5 4 2 2 6" xfId="2452" xr:uid="{00000000-0005-0000-0000-0000330D0000}"/>
    <cellStyle name="Normal 5 4 2 3" xfId="1013" xr:uid="{00000000-0005-0000-0000-0000340D0000}"/>
    <cellStyle name="Normal 5 4 2 3 2" xfId="2059" xr:uid="{00000000-0005-0000-0000-0000350D0000}"/>
    <cellStyle name="Normal 5 4 2 3 2 2" xfId="4154" xr:uid="{00000000-0005-0000-0000-0000360D0000}"/>
    <cellStyle name="Normal 5 4 2 3 3" xfId="3108" xr:uid="{00000000-0005-0000-0000-0000370D0000}"/>
    <cellStyle name="Normal 5 4 2 4" xfId="747" xr:uid="{00000000-0005-0000-0000-0000380D0000}"/>
    <cellStyle name="Normal 5 4 2 4 2" xfId="1793" xr:uid="{00000000-0005-0000-0000-0000390D0000}"/>
    <cellStyle name="Normal 5 4 2 4 2 2" xfId="3888" xr:uid="{00000000-0005-0000-0000-00003A0D0000}"/>
    <cellStyle name="Normal 5 4 2 4 3" xfId="2842" xr:uid="{00000000-0005-0000-0000-00003B0D0000}"/>
    <cellStyle name="Normal 5 4 2 5" xfId="476" xr:uid="{00000000-0005-0000-0000-00003C0D0000}"/>
    <cellStyle name="Normal 5 4 2 5 2" xfId="1527" xr:uid="{00000000-0005-0000-0000-00003D0D0000}"/>
    <cellStyle name="Normal 5 4 2 5 2 2" xfId="3622" xr:uid="{00000000-0005-0000-0000-00003E0D0000}"/>
    <cellStyle name="Normal 5 4 2 5 3" xfId="2576" xr:uid="{00000000-0005-0000-0000-00003F0D0000}"/>
    <cellStyle name="Normal 5 4 2 6" xfId="1279" xr:uid="{00000000-0005-0000-0000-0000400D0000}"/>
    <cellStyle name="Normal 5 4 2 6 2" xfId="3374" xr:uid="{00000000-0005-0000-0000-0000410D0000}"/>
    <cellStyle name="Normal 5 4 2 7" xfId="2328" xr:uid="{00000000-0005-0000-0000-0000420D0000}"/>
    <cellStyle name="Normal 5 4 3" xfId="305" xr:uid="{00000000-0005-0000-0000-0000430D0000}"/>
    <cellStyle name="Normal 5 4 3 2" xfId="1090" xr:uid="{00000000-0005-0000-0000-0000440D0000}"/>
    <cellStyle name="Normal 5 4 3 2 2" xfId="2136" xr:uid="{00000000-0005-0000-0000-0000450D0000}"/>
    <cellStyle name="Normal 5 4 3 2 2 2" xfId="4231" xr:uid="{00000000-0005-0000-0000-0000460D0000}"/>
    <cellStyle name="Normal 5 4 3 2 3" xfId="3185" xr:uid="{00000000-0005-0000-0000-0000470D0000}"/>
    <cellStyle name="Normal 5 4 3 3" xfId="824" xr:uid="{00000000-0005-0000-0000-0000480D0000}"/>
    <cellStyle name="Normal 5 4 3 3 2" xfId="1870" xr:uid="{00000000-0005-0000-0000-0000490D0000}"/>
    <cellStyle name="Normal 5 4 3 3 2 2" xfId="3965" xr:uid="{00000000-0005-0000-0000-00004A0D0000}"/>
    <cellStyle name="Normal 5 4 3 3 3" xfId="2919" xr:uid="{00000000-0005-0000-0000-00004B0D0000}"/>
    <cellStyle name="Normal 5 4 3 4" xfId="553" xr:uid="{00000000-0005-0000-0000-00004C0D0000}"/>
    <cellStyle name="Normal 5 4 3 4 2" xfId="1604" xr:uid="{00000000-0005-0000-0000-00004D0D0000}"/>
    <cellStyle name="Normal 5 4 3 4 2 2" xfId="3699" xr:uid="{00000000-0005-0000-0000-00004E0D0000}"/>
    <cellStyle name="Normal 5 4 3 4 3" xfId="2653" xr:uid="{00000000-0005-0000-0000-00004F0D0000}"/>
    <cellStyle name="Normal 5 4 3 5" xfId="1356" xr:uid="{00000000-0005-0000-0000-0000500D0000}"/>
    <cellStyle name="Normal 5 4 3 5 2" xfId="3451" xr:uid="{00000000-0005-0000-0000-0000510D0000}"/>
    <cellStyle name="Normal 5 4 3 6" xfId="2405" xr:uid="{00000000-0005-0000-0000-0000520D0000}"/>
    <cellStyle name="Normal 5 4 4" xfId="966" xr:uid="{00000000-0005-0000-0000-0000530D0000}"/>
    <cellStyle name="Normal 5 4 4 2" xfId="2012" xr:uid="{00000000-0005-0000-0000-0000540D0000}"/>
    <cellStyle name="Normal 5 4 4 2 2" xfId="4107" xr:uid="{00000000-0005-0000-0000-0000550D0000}"/>
    <cellStyle name="Normal 5 4 4 3" xfId="3061" xr:uid="{00000000-0005-0000-0000-0000560D0000}"/>
    <cellStyle name="Normal 5 4 5" xfId="700" xr:uid="{00000000-0005-0000-0000-0000570D0000}"/>
    <cellStyle name="Normal 5 4 5 2" xfId="1746" xr:uid="{00000000-0005-0000-0000-0000580D0000}"/>
    <cellStyle name="Normal 5 4 5 2 2" xfId="3841" xr:uid="{00000000-0005-0000-0000-0000590D0000}"/>
    <cellStyle name="Normal 5 4 5 3" xfId="2795" xr:uid="{00000000-0005-0000-0000-00005A0D0000}"/>
    <cellStyle name="Normal 5 4 6" xfId="429" xr:uid="{00000000-0005-0000-0000-00005B0D0000}"/>
    <cellStyle name="Normal 5 4 6 2" xfId="1480" xr:uid="{00000000-0005-0000-0000-00005C0D0000}"/>
    <cellStyle name="Normal 5 4 6 2 2" xfId="3575" xr:uid="{00000000-0005-0000-0000-00005D0D0000}"/>
    <cellStyle name="Normal 5 4 6 3" xfId="2529" xr:uid="{00000000-0005-0000-0000-00005E0D0000}"/>
    <cellStyle name="Normal 5 4 7" xfId="1232" xr:uid="{00000000-0005-0000-0000-00005F0D0000}"/>
    <cellStyle name="Normal 5 4 7 2" xfId="3327" xr:uid="{00000000-0005-0000-0000-0000600D0000}"/>
    <cellStyle name="Normal 5 4 8" xfId="2281" xr:uid="{00000000-0005-0000-0000-0000610D0000}"/>
    <cellStyle name="Normal 5 5" xfId="156" xr:uid="{00000000-0005-0000-0000-0000620D0000}"/>
    <cellStyle name="Normal 5 5 2" xfId="310" xr:uid="{00000000-0005-0000-0000-0000630D0000}"/>
    <cellStyle name="Normal 5 5 2 2" xfId="1095" xr:uid="{00000000-0005-0000-0000-0000640D0000}"/>
    <cellStyle name="Normal 5 5 2 2 2" xfId="2141" xr:uid="{00000000-0005-0000-0000-0000650D0000}"/>
    <cellStyle name="Normal 5 5 2 2 2 2" xfId="4236" xr:uid="{00000000-0005-0000-0000-0000660D0000}"/>
    <cellStyle name="Normal 5 5 2 2 3" xfId="3190" xr:uid="{00000000-0005-0000-0000-0000670D0000}"/>
    <cellStyle name="Normal 5 5 2 3" xfId="829" xr:uid="{00000000-0005-0000-0000-0000680D0000}"/>
    <cellStyle name="Normal 5 5 2 3 2" xfId="1875" xr:uid="{00000000-0005-0000-0000-0000690D0000}"/>
    <cellStyle name="Normal 5 5 2 3 2 2" xfId="3970" xr:uid="{00000000-0005-0000-0000-00006A0D0000}"/>
    <cellStyle name="Normal 5 5 2 3 3" xfId="2924" xr:uid="{00000000-0005-0000-0000-00006B0D0000}"/>
    <cellStyle name="Normal 5 5 2 4" xfId="558" xr:uid="{00000000-0005-0000-0000-00006C0D0000}"/>
    <cellStyle name="Normal 5 5 2 4 2" xfId="1609" xr:uid="{00000000-0005-0000-0000-00006D0D0000}"/>
    <cellStyle name="Normal 5 5 2 4 2 2" xfId="3704" xr:uid="{00000000-0005-0000-0000-00006E0D0000}"/>
    <cellStyle name="Normal 5 5 2 4 3" xfId="2658" xr:uid="{00000000-0005-0000-0000-00006F0D0000}"/>
    <cellStyle name="Normal 5 5 2 5" xfId="1361" xr:uid="{00000000-0005-0000-0000-0000700D0000}"/>
    <cellStyle name="Normal 5 5 2 5 2" xfId="3456" xr:uid="{00000000-0005-0000-0000-0000710D0000}"/>
    <cellStyle name="Normal 5 5 2 6" xfId="2410" xr:uid="{00000000-0005-0000-0000-0000720D0000}"/>
    <cellStyle name="Normal 5 5 3" xfId="971" xr:uid="{00000000-0005-0000-0000-0000730D0000}"/>
    <cellStyle name="Normal 5 5 3 2" xfId="2017" xr:uid="{00000000-0005-0000-0000-0000740D0000}"/>
    <cellStyle name="Normal 5 5 3 2 2" xfId="4112" xr:uid="{00000000-0005-0000-0000-0000750D0000}"/>
    <cellStyle name="Normal 5 5 3 3" xfId="3066" xr:uid="{00000000-0005-0000-0000-0000760D0000}"/>
    <cellStyle name="Normal 5 5 4" xfId="705" xr:uid="{00000000-0005-0000-0000-0000770D0000}"/>
    <cellStyle name="Normal 5 5 4 2" xfId="1751" xr:uid="{00000000-0005-0000-0000-0000780D0000}"/>
    <cellStyle name="Normal 5 5 4 2 2" xfId="3846" xr:uid="{00000000-0005-0000-0000-0000790D0000}"/>
    <cellStyle name="Normal 5 5 4 3" xfId="2800" xr:uid="{00000000-0005-0000-0000-00007A0D0000}"/>
    <cellStyle name="Normal 5 5 5" xfId="434" xr:uid="{00000000-0005-0000-0000-00007B0D0000}"/>
    <cellStyle name="Normal 5 5 5 2" xfId="1485" xr:uid="{00000000-0005-0000-0000-00007C0D0000}"/>
    <cellStyle name="Normal 5 5 5 2 2" xfId="3580" xr:uid="{00000000-0005-0000-0000-00007D0D0000}"/>
    <cellStyle name="Normal 5 5 5 3" xfId="2534" xr:uid="{00000000-0005-0000-0000-00007E0D0000}"/>
    <cellStyle name="Normal 5 5 6" xfId="1237" xr:uid="{00000000-0005-0000-0000-00007F0D0000}"/>
    <cellStyle name="Normal 5 5 6 2" xfId="3332" xr:uid="{00000000-0005-0000-0000-0000800D0000}"/>
    <cellStyle name="Normal 5 5 7" xfId="2286" xr:uid="{00000000-0005-0000-0000-0000810D0000}"/>
    <cellStyle name="Normal 5 6" xfId="263" xr:uid="{00000000-0005-0000-0000-0000820D0000}"/>
    <cellStyle name="Normal 5 6 2" xfId="1048" xr:uid="{00000000-0005-0000-0000-0000830D0000}"/>
    <cellStyle name="Normal 5 6 2 2" xfId="2094" xr:uid="{00000000-0005-0000-0000-0000840D0000}"/>
    <cellStyle name="Normal 5 6 2 2 2" xfId="4189" xr:uid="{00000000-0005-0000-0000-0000850D0000}"/>
    <cellStyle name="Normal 5 6 2 3" xfId="3143" xr:uid="{00000000-0005-0000-0000-0000860D0000}"/>
    <cellStyle name="Normal 5 6 3" xfId="782" xr:uid="{00000000-0005-0000-0000-0000870D0000}"/>
    <cellStyle name="Normal 5 6 3 2" xfId="1828" xr:uid="{00000000-0005-0000-0000-0000880D0000}"/>
    <cellStyle name="Normal 5 6 3 2 2" xfId="3923" xr:uid="{00000000-0005-0000-0000-0000890D0000}"/>
    <cellStyle name="Normal 5 6 3 3" xfId="2877" xr:uid="{00000000-0005-0000-0000-00008A0D0000}"/>
    <cellStyle name="Normal 5 6 4" xfId="511" xr:uid="{00000000-0005-0000-0000-00008B0D0000}"/>
    <cellStyle name="Normal 5 6 4 2" xfId="1562" xr:uid="{00000000-0005-0000-0000-00008C0D0000}"/>
    <cellStyle name="Normal 5 6 4 2 2" xfId="3657" xr:uid="{00000000-0005-0000-0000-00008D0D0000}"/>
    <cellStyle name="Normal 5 6 4 3" xfId="2611" xr:uid="{00000000-0005-0000-0000-00008E0D0000}"/>
    <cellStyle name="Normal 5 6 5" xfId="1314" xr:uid="{00000000-0005-0000-0000-00008F0D0000}"/>
    <cellStyle name="Normal 5 6 5 2" xfId="3409" xr:uid="{00000000-0005-0000-0000-0000900D0000}"/>
    <cellStyle name="Normal 5 6 6" xfId="2363" xr:uid="{00000000-0005-0000-0000-0000910D0000}"/>
    <cellStyle name="Normal 5 7" xfId="655" xr:uid="{00000000-0005-0000-0000-0000920D0000}"/>
    <cellStyle name="Normal 5 8" xfId="924" xr:uid="{00000000-0005-0000-0000-0000930D0000}"/>
    <cellStyle name="Normal 5 8 2" xfId="1970" xr:uid="{00000000-0005-0000-0000-0000940D0000}"/>
    <cellStyle name="Normal 5 8 2 2" xfId="4065" xr:uid="{00000000-0005-0000-0000-0000950D0000}"/>
    <cellStyle name="Normal 5 8 3" xfId="3019" xr:uid="{00000000-0005-0000-0000-0000960D0000}"/>
    <cellStyle name="Normal 5 9" xfId="658" xr:uid="{00000000-0005-0000-0000-0000970D0000}"/>
    <cellStyle name="Normal 5 9 2" xfId="1704" xr:uid="{00000000-0005-0000-0000-0000980D0000}"/>
    <cellStyle name="Normal 5 9 2 2" xfId="3799" xr:uid="{00000000-0005-0000-0000-0000990D0000}"/>
    <cellStyle name="Normal 5 9 3" xfId="2753" xr:uid="{00000000-0005-0000-0000-00009A0D0000}"/>
    <cellStyle name="Normal 6" xfId="14" xr:uid="{00000000-0005-0000-0000-00009B0D0000}"/>
    <cellStyle name="Normal 6 10" xfId="389" xr:uid="{00000000-0005-0000-0000-00009C0D0000}"/>
    <cellStyle name="Normal 6 10 2" xfId="1440" xr:uid="{00000000-0005-0000-0000-00009D0D0000}"/>
    <cellStyle name="Normal 6 10 2 2" xfId="3535" xr:uid="{00000000-0005-0000-0000-00009E0D0000}"/>
    <cellStyle name="Normal 6 10 3" xfId="2489" xr:uid="{00000000-0005-0000-0000-00009F0D0000}"/>
    <cellStyle name="Normal 6 11" xfId="1192" xr:uid="{00000000-0005-0000-0000-0000A00D0000}"/>
    <cellStyle name="Normal 6 11 2" xfId="3287" xr:uid="{00000000-0005-0000-0000-0000A10D0000}"/>
    <cellStyle name="Normal 6 12" xfId="2241" xr:uid="{00000000-0005-0000-0000-0000A20D0000}"/>
    <cellStyle name="Normal 6 2" xfId="15" xr:uid="{00000000-0005-0000-0000-0000A30D0000}"/>
    <cellStyle name="Normal 6 2 2" xfId="148" xr:uid="{00000000-0005-0000-0000-0000A40D0000}"/>
    <cellStyle name="Normal 6 2 3" xfId="159" xr:uid="{00000000-0005-0000-0000-0000A50D0000}"/>
    <cellStyle name="Normal 6 2 3 2" xfId="313" xr:uid="{00000000-0005-0000-0000-0000A60D0000}"/>
    <cellStyle name="Normal 6 2 3 2 2" xfId="1098" xr:uid="{00000000-0005-0000-0000-0000A70D0000}"/>
    <cellStyle name="Normal 6 2 3 2 2 2" xfId="2144" xr:uid="{00000000-0005-0000-0000-0000A80D0000}"/>
    <cellStyle name="Normal 6 2 3 2 2 2 2" xfId="4239" xr:uid="{00000000-0005-0000-0000-0000A90D0000}"/>
    <cellStyle name="Normal 6 2 3 2 2 3" xfId="3193" xr:uid="{00000000-0005-0000-0000-0000AA0D0000}"/>
    <cellStyle name="Normal 6 2 3 2 3" xfId="832" xr:uid="{00000000-0005-0000-0000-0000AB0D0000}"/>
    <cellStyle name="Normal 6 2 3 2 3 2" xfId="1878" xr:uid="{00000000-0005-0000-0000-0000AC0D0000}"/>
    <cellStyle name="Normal 6 2 3 2 3 2 2" xfId="3973" xr:uid="{00000000-0005-0000-0000-0000AD0D0000}"/>
    <cellStyle name="Normal 6 2 3 2 3 3" xfId="2927" xr:uid="{00000000-0005-0000-0000-0000AE0D0000}"/>
    <cellStyle name="Normal 6 2 3 2 4" xfId="561" xr:uid="{00000000-0005-0000-0000-0000AF0D0000}"/>
    <cellStyle name="Normal 6 2 3 2 4 2" xfId="1612" xr:uid="{00000000-0005-0000-0000-0000B00D0000}"/>
    <cellStyle name="Normal 6 2 3 2 4 2 2" xfId="3707" xr:uid="{00000000-0005-0000-0000-0000B10D0000}"/>
    <cellStyle name="Normal 6 2 3 2 4 3" xfId="2661" xr:uid="{00000000-0005-0000-0000-0000B20D0000}"/>
    <cellStyle name="Normal 6 2 3 2 5" xfId="1364" xr:uid="{00000000-0005-0000-0000-0000B30D0000}"/>
    <cellStyle name="Normal 6 2 3 2 5 2" xfId="3459" xr:uid="{00000000-0005-0000-0000-0000B40D0000}"/>
    <cellStyle name="Normal 6 2 3 2 6" xfId="2413" xr:uid="{00000000-0005-0000-0000-0000B50D0000}"/>
    <cellStyle name="Normal 6 2 3 3" xfId="974" xr:uid="{00000000-0005-0000-0000-0000B60D0000}"/>
    <cellStyle name="Normal 6 2 3 3 2" xfId="2020" xr:uid="{00000000-0005-0000-0000-0000B70D0000}"/>
    <cellStyle name="Normal 6 2 3 3 2 2" xfId="4115" xr:uid="{00000000-0005-0000-0000-0000B80D0000}"/>
    <cellStyle name="Normal 6 2 3 3 3" xfId="3069" xr:uid="{00000000-0005-0000-0000-0000B90D0000}"/>
    <cellStyle name="Normal 6 2 3 4" xfId="708" xr:uid="{00000000-0005-0000-0000-0000BA0D0000}"/>
    <cellStyle name="Normal 6 2 3 4 2" xfId="1754" xr:uid="{00000000-0005-0000-0000-0000BB0D0000}"/>
    <cellStyle name="Normal 6 2 3 4 2 2" xfId="3849" xr:uid="{00000000-0005-0000-0000-0000BC0D0000}"/>
    <cellStyle name="Normal 6 2 3 4 3" xfId="2803" xr:uid="{00000000-0005-0000-0000-0000BD0D0000}"/>
    <cellStyle name="Normal 6 2 3 5" xfId="437" xr:uid="{00000000-0005-0000-0000-0000BE0D0000}"/>
    <cellStyle name="Normal 6 2 3 5 2" xfId="1488" xr:uid="{00000000-0005-0000-0000-0000BF0D0000}"/>
    <cellStyle name="Normal 6 2 3 5 2 2" xfId="3583" xr:uid="{00000000-0005-0000-0000-0000C00D0000}"/>
    <cellStyle name="Normal 6 2 3 5 3" xfId="2537" xr:uid="{00000000-0005-0000-0000-0000C10D0000}"/>
    <cellStyle name="Normal 6 2 3 6" xfId="1240" xr:uid="{00000000-0005-0000-0000-0000C20D0000}"/>
    <cellStyle name="Normal 6 2 3 6 2" xfId="3335" xr:uid="{00000000-0005-0000-0000-0000C30D0000}"/>
    <cellStyle name="Normal 6 2 3 7" xfId="2289" xr:uid="{00000000-0005-0000-0000-0000C40D0000}"/>
    <cellStyle name="Normal 6 2 4" xfId="266" xr:uid="{00000000-0005-0000-0000-0000C50D0000}"/>
    <cellStyle name="Normal 6 2 4 2" xfId="1051" xr:uid="{00000000-0005-0000-0000-0000C60D0000}"/>
    <cellStyle name="Normal 6 2 4 2 2" xfId="2097" xr:uid="{00000000-0005-0000-0000-0000C70D0000}"/>
    <cellStyle name="Normal 6 2 4 2 2 2" xfId="4192" xr:uid="{00000000-0005-0000-0000-0000C80D0000}"/>
    <cellStyle name="Normal 6 2 4 2 3" xfId="3146" xr:uid="{00000000-0005-0000-0000-0000C90D0000}"/>
    <cellStyle name="Normal 6 2 4 3" xfId="785" xr:uid="{00000000-0005-0000-0000-0000CA0D0000}"/>
    <cellStyle name="Normal 6 2 4 3 2" xfId="1831" xr:uid="{00000000-0005-0000-0000-0000CB0D0000}"/>
    <cellStyle name="Normal 6 2 4 3 2 2" xfId="3926" xr:uid="{00000000-0005-0000-0000-0000CC0D0000}"/>
    <cellStyle name="Normal 6 2 4 3 3" xfId="2880" xr:uid="{00000000-0005-0000-0000-0000CD0D0000}"/>
    <cellStyle name="Normal 6 2 4 4" xfId="514" xr:uid="{00000000-0005-0000-0000-0000CE0D0000}"/>
    <cellStyle name="Normal 6 2 4 4 2" xfId="1565" xr:uid="{00000000-0005-0000-0000-0000CF0D0000}"/>
    <cellStyle name="Normal 6 2 4 4 2 2" xfId="3660" xr:uid="{00000000-0005-0000-0000-0000D00D0000}"/>
    <cellStyle name="Normal 6 2 4 4 3" xfId="2614" xr:uid="{00000000-0005-0000-0000-0000D10D0000}"/>
    <cellStyle name="Normal 6 2 4 5" xfId="1317" xr:uid="{00000000-0005-0000-0000-0000D20D0000}"/>
    <cellStyle name="Normal 6 2 4 5 2" xfId="3412" xr:uid="{00000000-0005-0000-0000-0000D30D0000}"/>
    <cellStyle name="Normal 6 2 4 6" xfId="2366" xr:uid="{00000000-0005-0000-0000-0000D40D0000}"/>
    <cellStyle name="Normal 6 2 5" xfId="927" xr:uid="{00000000-0005-0000-0000-0000D50D0000}"/>
    <cellStyle name="Normal 6 2 5 2" xfId="1973" xr:uid="{00000000-0005-0000-0000-0000D60D0000}"/>
    <cellStyle name="Normal 6 2 5 2 2" xfId="4068" xr:uid="{00000000-0005-0000-0000-0000D70D0000}"/>
    <cellStyle name="Normal 6 2 5 3" xfId="3022" xr:uid="{00000000-0005-0000-0000-0000D80D0000}"/>
    <cellStyle name="Normal 6 2 6" xfId="661" xr:uid="{00000000-0005-0000-0000-0000D90D0000}"/>
    <cellStyle name="Normal 6 2 6 2" xfId="1707" xr:uid="{00000000-0005-0000-0000-0000DA0D0000}"/>
    <cellStyle name="Normal 6 2 6 2 2" xfId="3802" xr:uid="{00000000-0005-0000-0000-0000DB0D0000}"/>
    <cellStyle name="Normal 6 2 6 3" xfId="2756" xr:uid="{00000000-0005-0000-0000-0000DC0D0000}"/>
    <cellStyle name="Normal 6 2 7" xfId="390" xr:uid="{00000000-0005-0000-0000-0000DD0D0000}"/>
    <cellStyle name="Normal 6 2 7 2" xfId="1441" xr:uid="{00000000-0005-0000-0000-0000DE0D0000}"/>
    <cellStyle name="Normal 6 2 7 2 2" xfId="3536" xr:uid="{00000000-0005-0000-0000-0000DF0D0000}"/>
    <cellStyle name="Normal 6 2 7 3" xfId="2490" xr:uid="{00000000-0005-0000-0000-0000E00D0000}"/>
    <cellStyle name="Normal 6 2 8" xfId="1193" xr:uid="{00000000-0005-0000-0000-0000E10D0000}"/>
    <cellStyle name="Normal 6 2 8 2" xfId="3288" xr:uid="{00000000-0005-0000-0000-0000E20D0000}"/>
    <cellStyle name="Normal 6 2 9" xfId="2242" xr:uid="{00000000-0005-0000-0000-0000E30D0000}"/>
    <cellStyle name="Normal 6 3" xfId="110" xr:uid="{00000000-0005-0000-0000-0000E40D0000}"/>
    <cellStyle name="Normal 6 4" xfId="147" xr:uid="{00000000-0005-0000-0000-0000E50D0000}"/>
    <cellStyle name="Normal 6 5" xfId="158" xr:uid="{00000000-0005-0000-0000-0000E60D0000}"/>
    <cellStyle name="Normal 6 5 2" xfId="312" xr:uid="{00000000-0005-0000-0000-0000E70D0000}"/>
    <cellStyle name="Normal 6 5 2 2" xfId="1097" xr:uid="{00000000-0005-0000-0000-0000E80D0000}"/>
    <cellStyle name="Normal 6 5 2 2 2" xfId="2143" xr:uid="{00000000-0005-0000-0000-0000E90D0000}"/>
    <cellStyle name="Normal 6 5 2 2 2 2" xfId="4238" xr:uid="{00000000-0005-0000-0000-0000EA0D0000}"/>
    <cellStyle name="Normal 6 5 2 2 3" xfId="3192" xr:uid="{00000000-0005-0000-0000-0000EB0D0000}"/>
    <cellStyle name="Normal 6 5 2 3" xfId="831" xr:uid="{00000000-0005-0000-0000-0000EC0D0000}"/>
    <cellStyle name="Normal 6 5 2 3 2" xfId="1877" xr:uid="{00000000-0005-0000-0000-0000ED0D0000}"/>
    <cellStyle name="Normal 6 5 2 3 2 2" xfId="3972" xr:uid="{00000000-0005-0000-0000-0000EE0D0000}"/>
    <cellStyle name="Normal 6 5 2 3 3" xfId="2926" xr:uid="{00000000-0005-0000-0000-0000EF0D0000}"/>
    <cellStyle name="Normal 6 5 2 4" xfId="560" xr:uid="{00000000-0005-0000-0000-0000F00D0000}"/>
    <cellStyle name="Normal 6 5 2 4 2" xfId="1611" xr:uid="{00000000-0005-0000-0000-0000F10D0000}"/>
    <cellStyle name="Normal 6 5 2 4 2 2" xfId="3706" xr:uid="{00000000-0005-0000-0000-0000F20D0000}"/>
    <cellStyle name="Normal 6 5 2 4 3" xfId="2660" xr:uid="{00000000-0005-0000-0000-0000F30D0000}"/>
    <cellStyle name="Normal 6 5 2 5" xfId="1363" xr:uid="{00000000-0005-0000-0000-0000F40D0000}"/>
    <cellStyle name="Normal 6 5 2 5 2" xfId="3458" xr:uid="{00000000-0005-0000-0000-0000F50D0000}"/>
    <cellStyle name="Normal 6 5 2 6" xfId="2412" xr:uid="{00000000-0005-0000-0000-0000F60D0000}"/>
    <cellStyle name="Normal 6 5 3" xfId="973" xr:uid="{00000000-0005-0000-0000-0000F70D0000}"/>
    <cellStyle name="Normal 6 5 3 2" xfId="2019" xr:uid="{00000000-0005-0000-0000-0000F80D0000}"/>
    <cellStyle name="Normal 6 5 3 2 2" xfId="4114" xr:uid="{00000000-0005-0000-0000-0000F90D0000}"/>
    <cellStyle name="Normal 6 5 3 3" xfId="3068" xr:uid="{00000000-0005-0000-0000-0000FA0D0000}"/>
    <cellStyle name="Normal 6 5 4" xfId="707" xr:uid="{00000000-0005-0000-0000-0000FB0D0000}"/>
    <cellStyle name="Normal 6 5 4 2" xfId="1753" xr:uid="{00000000-0005-0000-0000-0000FC0D0000}"/>
    <cellStyle name="Normal 6 5 4 2 2" xfId="3848" xr:uid="{00000000-0005-0000-0000-0000FD0D0000}"/>
    <cellStyle name="Normal 6 5 4 3" xfId="2802" xr:uid="{00000000-0005-0000-0000-0000FE0D0000}"/>
    <cellStyle name="Normal 6 5 5" xfId="436" xr:uid="{00000000-0005-0000-0000-0000FF0D0000}"/>
    <cellStyle name="Normal 6 5 5 2" xfId="1487" xr:uid="{00000000-0005-0000-0000-0000000E0000}"/>
    <cellStyle name="Normal 6 5 5 2 2" xfId="3582" xr:uid="{00000000-0005-0000-0000-0000010E0000}"/>
    <cellStyle name="Normal 6 5 5 3" xfId="2536" xr:uid="{00000000-0005-0000-0000-0000020E0000}"/>
    <cellStyle name="Normal 6 5 6" xfId="1239" xr:uid="{00000000-0005-0000-0000-0000030E0000}"/>
    <cellStyle name="Normal 6 5 6 2" xfId="3334" xr:uid="{00000000-0005-0000-0000-0000040E0000}"/>
    <cellStyle name="Normal 6 5 7" xfId="2288" xr:uid="{00000000-0005-0000-0000-0000050E0000}"/>
    <cellStyle name="Normal 6 6" xfId="247" xr:uid="{00000000-0005-0000-0000-0000060E0000}"/>
    <cellStyle name="Normal 6 6 2" xfId="371" xr:uid="{00000000-0005-0000-0000-0000070E0000}"/>
    <cellStyle name="Normal 6 6 2 2" xfId="1156" xr:uid="{00000000-0005-0000-0000-0000080E0000}"/>
    <cellStyle name="Normal 6 6 2 2 2" xfId="2202" xr:uid="{00000000-0005-0000-0000-0000090E0000}"/>
    <cellStyle name="Normal 6 6 2 2 2 2" xfId="4297" xr:uid="{00000000-0005-0000-0000-00000A0E0000}"/>
    <cellStyle name="Normal 6 6 2 2 3" xfId="3251" xr:uid="{00000000-0005-0000-0000-00000B0E0000}"/>
    <cellStyle name="Normal 6 6 2 3" xfId="890" xr:uid="{00000000-0005-0000-0000-00000C0E0000}"/>
    <cellStyle name="Normal 6 6 2 3 2" xfId="1936" xr:uid="{00000000-0005-0000-0000-00000D0E0000}"/>
    <cellStyle name="Normal 6 6 2 3 2 2" xfId="4031" xr:uid="{00000000-0005-0000-0000-00000E0E0000}"/>
    <cellStyle name="Normal 6 6 2 3 3" xfId="2985" xr:uid="{00000000-0005-0000-0000-00000F0E0000}"/>
    <cellStyle name="Normal 6 6 2 4" xfId="619" xr:uid="{00000000-0005-0000-0000-0000100E0000}"/>
    <cellStyle name="Normal 6 6 2 4 2" xfId="1670" xr:uid="{00000000-0005-0000-0000-0000110E0000}"/>
    <cellStyle name="Normal 6 6 2 4 2 2" xfId="3765" xr:uid="{00000000-0005-0000-0000-0000120E0000}"/>
    <cellStyle name="Normal 6 6 2 4 3" xfId="2719" xr:uid="{00000000-0005-0000-0000-0000130E0000}"/>
    <cellStyle name="Normal 6 6 2 5" xfId="1422" xr:uid="{00000000-0005-0000-0000-0000140E0000}"/>
    <cellStyle name="Normal 6 6 2 5 2" xfId="3517" xr:uid="{00000000-0005-0000-0000-0000150E0000}"/>
    <cellStyle name="Normal 6 6 2 6" xfId="2471" xr:uid="{00000000-0005-0000-0000-0000160E0000}"/>
    <cellStyle name="Normal 6 6 3" xfId="1032" xr:uid="{00000000-0005-0000-0000-0000170E0000}"/>
    <cellStyle name="Normal 6 6 3 2" xfId="2078" xr:uid="{00000000-0005-0000-0000-0000180E0000}"/>
    <cellStyle name="Normal 6 6 3 2 2" xfId="4173" xr:uid="{00000000-0005-0000-0000-0000190E0000}"/>
    <cellStyle name="Normal 6 6 3 3" xfId="3127" xr:uid="{00000000-0005-0000-0000-00001A0E0000}"/>
    <cellStyle name="Normal 6 6 4" xfId="766" xr:uid="{00000000-0005-0000-0000-00001B0E0000}"/>
    <cellStyle name="Normal 6 6 4 2" xfId="1812" xr:uid="{00000000-0005-0000-0000-00001C0E0000}"/>
    <cellStyle name="Normal 6 6 4 2 2" xfId="3907" xr:uid="{00000000-0005-0000-0000-00001D0E0000}"/>
    <cellStyle name="Normal 6 6 4 3" xfId="2861" xr:uid="{00000000-0005-0000-0000-00001E0E0000}"/>
    <cellStyle name="Normal 6 6 5" xfId="495" xr:uid="{00000000-0005-0000-0000-00001F0E0000}"/>
    <cellStyle name="Normal 6 6 5 2" xfId="1546" xr:uid="{00000000-0005-0000-0000-0000200E0000}"/>
    <cellStyle name="Normal 6 6 5 2 2" xfId="3641" xr:uid="{00000000-0005-0000-0000-0000210E0000}"/>
    <cellStyle name="Normal 6 6 5 3" xfId="2595" xr:uid="{00000000-0005-0000-0000-0000220E0000}"/>
    <cellStyle name="Normal 6 6 6" xfId="1298" xr:uid="{00000000-0005-0000-0000-0000230E0000}"/>
    <cellStyle name="Normal 6 6 6 2" xfId="3393" xr:uid="{00000000-0005-0000-0000-0000240E0000}"/>
    <cellStyle name="Normal 6 6 7" xfId="2347" xr:uid="{00000000-0005-0000-0000-0000250E0000}"/>
    <cellStyle name="Normal 6 7" xfId="265" xr:uid="{00000000-0005-0000-0000-0000260E0000}"/>
    <cellStyle name="Normal 6 7 2" xfId="1050" xr:uid="{00000000-0005-0000-0000-0000270E0000}"/>
    <cellStyle name="Normal 6 7 2 2" xfId="2096" xr:uid="{00000000-0005-0000-0000-0000280E0000}"/>
    <cellStyle name="Normal 6 7 2 2 2" xfId="4191" xr:uid="{00000000-0005-0000-0000-0000290E0000}"/>
    <cellStyle name="Normal 6 7 2 3" xfId="3145" xr:uid="{00000000-0005-0000-0000-00002A0E0000}"/>
    <cellStyle name="Normal 6 7 3" xfId="784" xr:uid="{00000000-0005-0000-0000-00002B0E0000}"/>
    <cellStyle name="Normal 6 7 3 2" xfId="1830" xr:uid="{00000000-0005-0000-0000-00002C0E0000}"/>
    <cellStyle name="Normal 6 7 3 2 2" xfId="3925" xr:uid="{00000000-0005-0000-0000-00002D0E0000}"/>
    <cellStyle name="Normal 6 7 3 3" xfId="2879" xr:uid="{00000000-0005-0000-0000-00002E0E0000}"/>
    <cellStyle name="Normal 6 7 4" xfId="513" xr:uid="{00000000-0005-0000-0000-00002F0E0000}"/>
    <cellStyle name="Normal 6 7 4 2" xfId="1564" xr:uid="{00000000-0005-0000-0000-0000300E0000}"/>
    <cellStyle name="Normal 6 7 4 2 2" xfId="3659" xr:uid="{00000000-0005-0000-0000-0000310E0000}"/>
    <cellStyle name="Normal 6 7 4 3" xfId="2613" xr:uid="{00000000-0005-0000-0000-0000320E0000}"/>
    <cellStyle name="Normal 6 7 5" xfId="1316" xr:uid="{00000000-0005-0000-0000-0000330E0000}"/>
    <cellStyle name="Normal 6 7 5 2" xfId="3411" xr:uid="{00000000-0005-0000-0000-0000340E0000}"/>
    <cellStyle name="Normal 6 7 6" xfId="2365" xr:uid="{00000000-0005-0000-0000-0000350E0000}"/>
    <cellStyle name="Normal 6 8" xfId="926" xr:uid="{00000000-0005-0000-0000-0000360E0000}"/>
    <cellStyle name="Normal 6 8 2" xfId="1972" xr:uid="{00000000-0005-0000-0000-0000370E0000}"/>
    <cellStyle name="Normal 6 8 2 2" xfId="4067" xr:uid="{00000000-0005-0000-0000-0000380E0000}"/>
    <cellStyle name="Normal 6 8 3" xfId="3021" xr:uid="{00000000-0005-0000-0000-0000390E0000}"/>
    <cellStyle name="Normal 6 9" xfId="660" xr:uid="{00000000-0005-0000-0000-00003A0E0000}"/>
    <cellStyle name="Normal 6 9 2" xfId="1706" xr:uid="{00000000-0005-0000-0000-00003B0E0000}"/>
    <cellStyle name="Normal 6 9 2 2" xfId="3801" xr:uid="{00000000-0005-0000-0000-00003C0E0000}"/>
    <cellStyle name="Normal 6 9 3" xfId="2755" xr:uid="{00000000-0005-0000-0000-00003D0E0000}"/>
    <cellStyle name="Normal 7" xfId="111" xr:uid="{00000000-0005-0000-0000-00003E0E0000}"/>
    <cellStyle name="Normal 7 2" xfId="112" xr:uid="{00000000-0005-0000-0000-00003F0E0000}"/>
    <cellStyle name="Normal 8" xfId="113" xr:uid="{00000000-0005-0000-0000-0000400E0000}"/>
    <cellStyle name="Normal 9" xfId="114" xr:uid="{00000000-0005-0000-0000-0000410E0000}"/>
    <cellStyle name="Normal_healthcare edit.xls" xfId="154" xr:uid="{00000000-0005-0000-0000-0000420E0000}"/>
    <cellStyle name="Normal_office as built edit.xls" xfId="2236" xr:uid="{00000000-0005-0000-0000-0000430E0000}"/>
    <cellStyle name="Normal_shopping centre design edit.xls" xfId="153" xr:uid="{00000000-0005-0000-0000-0000440E0000}"/>
    <cellStyle name="Note 2" xfId="115" xr:uid="{00000000-0005-0000-0000-0000450E0000}"/>
    <cellStyle name="Note 2 2" xfId="116" xr:uid="{00000000-0005-0000-0000-0000460E0000}"/>
    <cellStyle name="Note 2 2 2" xfId="180" xr:uid="{00000000-0005-0000-0000-0000470E0000}"/>
    <cellStyle name="Note 2 2 2 2" xfId="334" xr:uid="{00000000-0005-0000-0000-0000480E0000}"/>
    <cellStyle name="Note 2 2 2 2 2" xfId="1119" xr:uid="{00000000-0005-0000-0000-0000490E0000}"/>
    <cellStyle name="Note 2 2 2 2 2 2" xfId="2165" xr:uid="{00000000-0005-0000-0000-00004A0E0000}"/>
    <cellStyle name="Note 2 2 2 2 2 2 2" xfId="4260" xr:uid="{00000000-0005-0000-0000-00004B0E0000}"/>
    <cellStyle name="Note 2 2 2 2 2 3" xfId="3214" xr:uid="{00000000-0005-0000-0000-00004C0E0000}"/>
    <cellStyle name="Note 2 2 2 2 3" xfId="853" xr:uid="{00000000-0005-0000-0000-00004D0E0000}"/>
    <cellStyle name="Note 2 2 2 2 3 2" xfId="1899" xr:uid="{00000000-0005-0000-0000-00004E0E0000}"/>
    <cellStyle name="Note 2 2 2 2 3 2 2" xfId="3994" xr:uid="{00000000-0005-0000-0000-00004F0E0000}"/>
    <cellStyle name="Note 2 2 2 2 3 3" xfId="2948" xr:uid="{00000000-0005-0000-0000-0000500E0000}"/>
    <cellStyle name="Note 2 2 2 2 4" xfId="582" xr:uid="{00000000-0005-0000-0000-0000510E0000}"/>
    <cellStyle name="Note 2 2 2 2 4 2" xfId="1633" xr:uid="{00000000-0005-0000-0000-0000520E0000}"/>
    <cellStyle name="Note 2 2 2 2 4 2 2" xfId="3728" xr:uid="{00000000-0005-0000-0000-0000530E0000}"/>
    <cellStyle name="Note 2 2 2 2 4 3" xfId="2682" xr:uid="{00000000-0005-0000-0000-0000540E0000}"/>
    <cellStyle name="Note 2 2 2 2 5" xfId="1385" xr:uid="{00000000-0005-0000-0000-0000550E0000}"/>
    <cellStyle name="Note 2 2 2 2 5 2" xfId="3480" xr:uid="{00000000-0005-0000-0000-0000560E0000}"/>
    <cellStyle name="Note 2 2 2 2 6" xfId="2434" xr:uid="{00000000-0005-0000-0000-0000570E0000}"/>
    <cellStyle name="Note 2 2 2 3" xfId="995" xr:uid="{00000000-0005-0000-0000-0000580E0000}"/>
    <cellStyle name="Note 2 2 2 3 2" xfId="2041" xr:uid="{00000000-0005-0000-0000-0000590E0000}"/>
    <cellStyle name="Note 2 2 2 3 2 2" xfId="4136" xr:uid="{00000000-0005-0000-0000-00005A0E0000}"/>
    <cellStyle name="Note 2 2 2 3 3" xfId="3090" xr:uid="{00000000-0005-0000-0000-00005B0E0000}"/>
    <cellStyle name="Note 2 2 2 4" xfId="729" xr:uid="{00000000-0005-0000-0000-00005C0E0000}"/>
    <cellStyle name="Note 2 2 2 4 2" xfId="1775" xr:uid="{00000000-0005-0000-0000-00005D0E0000}"/>
    <cellStyle name="Note 2 2 2 4 2 2" xfId="3870" xr:uid="{00000000-0005-0000-0000-00005E0E0000}"/>
    <cellStyle name="Note 2 2 2 4 3" xfId="2824" xr:uid="{00000000-0005-0000-0000-00005F0E0000}"/>
    <cellStyle name="Note 2 2 2 5" xfId="458" xr:uid="{00000000-0005-0000-0000-0000600E0000}"/>
    <cellStyle name="Note 2 2 2 5 2" xfId="1509" xr:uid="{00000000-0005-0000-0000-0000610E0000}"/>
    <cellStyle name="Note 2 2 2 5 2 2" xfId="3604" xr:uid="{00000000-0005-0000-0000-0000620E0000}"/>
    <cellStyle name="Note 2 2 2 5 3" xfId="2558" xr:uid="{00000000-0005-0000-0000-0000630E0000}"/>
    <cellStyle name="Note 2 2 2 6" xfId="1261" xr:uid="{00000000-0005-0000-0000-0000640E0000}"/>
    <cellStyle name="Note 2 2 2 6 2" xfId="3356" xr:uid="{00000000-0005-0000-0000-0000650E0000}"/>
    <cellStyle name="Note 2 2 2 7" xfId="2310" xr:uid="{00000000-0005-0000-0000-0000660E0000}"/>
    <cellStyle name="Note 2 2 3" xfId="287" xr:uid="{00000000-0005-0000-0000-0000670E0000}"/>
    <cellStyle name="Note 2 2 3 2" xfId="1072" xr:uid="{00000000-0005-0000-0000-0000680E0000}"/>
    <cellStyle name="Note 2 2 3 2 2" xfId="2118" xr:uid="{00000000-0005-0000-0000-0000690E0000}"/>
    <cellStyle name="Note 2 2 3 2 2 2" xfId="4213" xr:uid="{00000000-0005-0000-0000-00006A0E0000}"/>
    <cellStyle name="Note 2 2 3 2 3" xfId="3167" xr:uid="{00000000-0005-0000-0000-00006B0E0000}"/>
    <cellStyle name="Note 2 2 3 3" xfId="806" xr:uid="{00000000-0005-0000-0000-00006C0E0000}"/>
    <cellStyle name="Note 2 2 3 3 2" xfId="1852" xr:uid="{00000000-0005-0000-0000-00006D0E0000}"/>
    <cellStyle name="Note 2 2 3 3 2 2" xfId="3947" xr:uid="{00000000-0005-0000-0000-00006E0E0000}"/>
    <cellStyle name="Note 2 2 3 3 3" xfId="2901" xr:uid="{00000000-0005-0000-0000-00006F0E0000}"/>
    <cellStyle name="Note 2 2 3 4" xfId="535" xr:uid="{00000000-0005-0000-0000-0000700E0000}"/>
    <cellStyle name="Note 2 2 3 4 2" xfId="1586" xr:uid="{00000000-0005-0000-0000-0000710E0000}"/>
    <cellStyle name="Note 2 2 3 4 2 2" xfId="3681" xr:uid="{00000000-0005-0000-0000-0000720E0000}"/>
    <cellStyle name="Note 2 2 3 4 3" xfId="2635" xr:uid="{00000000-0005-0000-0000-0000730E0000}"/>
    <cellStyle name="Note 2 2 3 5" xfId="1338" xr:uid="{00000000-0005-0000-0000-0000740E0000}"/>
    <cellStyle name="Note 2 2 3 5 2" xfId="3433" xr:uid="{00000000-0005-0000-0000-0000750E0000}"/>
    <cellStyle name="Note 2 2 3 6" xfId="2387" xr:uid="{00000000-0005-0000-0000-0000760E0000}"/>
    <cellStyle name="Note 2 2 4" xfId="948" xr:uid="{00000000-0005-0000-0000-0000770E0000}"/>
    <cellStyle name="Note 2 2 4 2" xfId="1994" xr:uid="{00000000-0005-0000-0000-0000780E0000}"/>
    <cellStyle name="Note 2 2 4 2 2" xfId="4089" xr:uid="{00000000-0005-0000-0000-0000790E0000}"/>
    <cellStyle name="Note 2 2 4 3" xfId="3043" xr:uid="{00000000-0005-0000-0000-00007A0E0000}"/>
    <cellStyle name="Note 2 2 5" xfId="682" xr:uid="{00000000-0005-0000-0000-00007B0E0000}"/>
    <cellStyle name="Note 2 2 5 2" xfId="1728" xr:uid="{00000000-0005-0000-0000-00007C0E0000}"/>
    <cellStyle name="Note 2 2 5 2 2" xfId="3823" xr:uid="{00000000-0005-0000-0000-00007D0E0000}"/>
    <cellStyle name="Note 2 2 5 3" xfId="2777" xr:uid="{00000000-0005-0000-0000-00007E0E0000}"/>
    <cellStyle name="Note 2 2 6" xfId="411" xr:uid="{00000000-0005-0000-0000-00007F0E0000}"/>
    <cellStyle name="Note 2 2 6 2" xfId="1462" xr:uid="{00000000-0005-0000-0000-0000800E0000}"/>
    <cellStyle name="Note 2 2 6 2 2" xfId="3557" xr:uid="{00000000-0005-0000-0000-0000810E0000}"/>
    <cellStyle name="Note 2 2 6 3" xfId="2511" xr:uid="{00000000-0005-0000-0000-0000820E0000}"/>
    <cellStyle name="Note 2 2 7" xfId="1214" xr:uid="{00000000-0005-0000-0000-0000830E0000}"/>
    <cellStyle name="Note 2 2 7 2" xfId="3309" xr:uid="{00000000-0005-0000-0000-0000840E0000}"/>
    <cellStyle name="Note 2 2 8" xfId="2263" xr:uid="{00000000-0005-0000-0000-0000850E0000}"/>
    <cellStyle name="Note 2 3" xfId="117" xr:uid="{00000000-0005-0000-0000-0000860E0000}"/>
    <cellStyle name="Note 2 3 2" xfId="181" xr:uid="{00000000-0005-0000-0000-0000870E0000}"/>
    <cellStyle name="Note 2 3 2 2" xfId="335" xr:uid="{00000000-0005-0000-0000-0000880E0000}"/>
    <cellStyle name="Note 2 3 2 2 2" xfId="1120" xr:uid="{00000000-0005-0000-0000-0000890E0000}"/>
    <cellStyle name="Note 2 3 2 2 2 2" xfId="2166" xr:uid="{00000000-0005-0000-0000-00008A0E0000}"/>
    <cellStyle name="Note 2 3 2 2 2 2 2" xfId="4261" xr:uid="{00000000-0005-0000-0000-00008B0E0000}"/>
    <cellStyle name="Note 2 3 2 2 2 3" xfId="3215" xr:uid="{00000000-0005-0000-0000-00008C0E0000}"/>
    <cellStyle name="Note 2 3 2 2 3" xfId="854" xr:uid="{00000000-0005-0000-0000-00008D0E0000}"/>
    <cellStyle name="Note 2 3 2 2 3 2" xfId="1900" xr:uid="{00000000-0005-0000-0000-00008E0E0000}"/>
    <cellStyle name="Note 2 3 2 2 3 2 2" xfId="3995" xr:uid="{00000000-0005-0000-0000-00008F0E0000}"/>
    <cellStyle name="Note 2 3 2 2 3 3" xfId="2949" xr:uid="{00000000-0005-0000-0000-0000900E0000}"/>
    <cellStyle name="Note 2 3 2 2 4" xfId="583" xr:uid="{00000000-0005-0000-0000-0000910E0000}"/>
    <cellStyle name="Note 2 3 2 2 4 2" xfId="1634" xr:uid="{00000000-0005-0000-0000-0000920E0000}"/>
    <cellStyle name="Note 2 3 2 2 4 2 2" xfId="3729" xr:uid="{00000000-0005-0000-0000-0000930E0000}"/>
    <cellStyle name="Note 2 3 2 2 4 3" xfId="2683" xr:uid="{00000000-0005-0000-0000-0000940E0000}"/>
    <cellStyle name="Note 2 3 2 2 5" xfId="1386" xr:uid="{00000000-0005-0000-0000-0000950E0000}"/>
    <cellStyle name="Note 2 3 2 2 5 2" xfId="3481" xr:uid="{00000000-0005-0000-0000-0000960E0000}"/>
    <cellStyle name="Note 2 3 2 2 6" xfId="2435" xr:uid="{00000000-0005-0000-0000-0000970E0000}"/>
    <cellStyle name="Note 2 3 2 3" xfId="996" xr:uid="{00000000-0005-0000-0000-0000980E0000}"/>
    <cellStyle name="Note 2 3 2 3 2" xfId="2042" xr:uid="{00000000-0005-0000-0000-0000990E0000}"/>
    <cellStyle name="Note 2 3 2 3 2 2" xfId="4137" xr:uid="{00000000-0005-0000-0000-00009A0E0000}"/>
    <cellStyle name="Note 2 3 2 3 3" xfId="3091" xr:uid="{00000000-0005-0000-0000-00009B0E0000}"/>
    <cellStyle name="Note 2 3 2 4" xfId="730" xr:uid="{00000000-0005-0000-0000-00009C0E0000}"/>
    <cellStyle name="Note 2 3 2 4 2" xfId="1776" xr:uid="{00000000-0005-0000-0000-00009D0E0000}"/>
    <cellStyle name="Note 2 3 2 4 2 2" xfId="3871" xr:uid="{00000000-0005-0000-0000-00009E0E0000}"/>
    <cellStyle name="Note 2 3 2 4 3" xfId="2825" xr:uid="{00000000-0005-0000-0000-00009F0E0000}"/>
    <cellStyle name="Note 2 3 2 5" xfId="459" xr:uid="{00000000-0005-0000-0000-0000A00E0000}"/>
    <cellStyle name="Note 2 3 2 5 2" xfId="1510" xr:uid="{00000000-0005-0000-0000-0000A10E0000}"/>
    <cellStyle name="Note 2 3 2 5 2 2" xfId="3605" xr:uid="{00000000-0005-0000-0000-0000A20E0000}"/>
    <cellStyle name="Note 2 3 2 5 3" xfId="2559" xr:uid="{00000000-0005-0000-0000-0000A30E0000}"/>
    <cellStyle name="Note 2 3 2 6" xfId="1262" xr:uid="{00000000-0005-0000-0000-0000A40E0000}"/>
    <cellStyle name="Note 2 3 2 6 2" xfId="3357" xr:uid="{00000000-0005-0000-0000-0000A50E0000}"/>
    <cellStyle name="Note 2 3 2 7" xfId="2311" xr:uid="{00000000-0005-0000-0000-0000A60E0000}"/>
    <cellStyle name="Note 2 3 3" xfId="288" xr:uid="{00000000-0005-0000-0000-0000A70E0000}"/>
    <cellStyle name="Note 2 3 3 2" xfId="1073" xr:uid="{00000000-0005-0000-0000-0000A80E0000}"/>
    <cellStyle name="Note 2 3 3 2 2" xfId="2119" xr:uid="{00000000-0005-0000-0000-0000A90E0000}"/>
    <cellStyle name="Note 2 3 3 2 2 2" xfId="4214" xr:uid="{00000000-0005-0000-0000-0000AA0E0000}"/>
    <cellStyle name="Note 2 3 3 2 3" xfId="3168" xr:uid="{00000000-0005-0000-0000-0000AB0E0000}"/>
    <cellStyle name="Note 2 3 3 3" xfId="807" xr:uid="{00000000-0005-0000-0000-0000AC0E0000}"/>
    <cellStyle name="Note 2 3 3 3 2" xfId="1853" xr:uid="{00000000-0005-0000-0000-0000AD0E0000}"/>
    <cellStyle name="Note 2 3 3 3 2 2" xfId="3948" xr:uid="{00000000-0005-0000-0000-0000AE0E0000}"/>
    <cellStyle name="Note 2 3 3 3 3" xfId="2902" xr:uid="{00000000-0005-0000-0000-0000AF0E0000}"/>
    <cellStyle name="Note 2 3 3 4" xfId="536" xr:uid="{00000000-0005-0000-0000-0000B00E0000}"/>
    <cellStyle name="Note 2 3 3 4 2" xfId="1587" xr:uid="{00000000-0005-0000-0000-0000B10E0000}"/>
    <cellStyle name="Note 2 3 3 4 2 2" xfId="3682" xr:uid="{00000000-0005-0000-0000-0000B20E0000}"/>
    <cellStyle name="Note 2 3 3 4 3" xfId="2636" xr:uid="{00000000-0005-0000-0000-0000B30E0000}"/>
    <cellStyle name="Note 2 3 3 5" xfId="1339" xr:uid="{00000000-0005-0000-0000-0000B40E0000}"/>
    <cellStyle name="Note 2 3 3 5 2" xfId="3434" xr:uid="{00000000-0005-0000-0000-0000B50E0000}"/>
    <cellStyle name="Note 2 3 3 6" xfId="2388" xr:uid="{00000000-0005-0000-0000-0000B60E0000}"/>
    <cellStyle name="Note 2 3 4" xfId="949" xr:uid="{00000000-0005-0000-0000-0000B70E0000}"/>
    <cellStyle name="Note 2 3 4 2" xfId="1995" xr:uid="{00000000-0005-0000-0000-0000B80E0000}"/>
    <cellStyle name="Note 2 3 4 2 2" xfId="4090" xr:uid="{00000000-0005-0000-0000-0000B90E0000}"/>
    <cellStyle name="Note 2 3 4 3" xfId="3044" xr:uid="{00000000-0005-0000-0000-0000BA0E0000}"/>
    <cellStyle name="Note 2 3 5" xfId="683" xr:uid="{00000000-0005-0000-0000-0000BB0E0000}"/>
    <cellStyle name="Note 2 3 5 2" xfId="1729" xr:uid="{00000000-0005-0000-0000-0000BC0E0000}"/>
    <cellStyle name="Note 2 3 5 2 2" xfId="3824" xr:uid="{00000000-0005-0000-0000-0000BD0E0000}"/>
    <cellStyle name="Note 2 3 5 3" xfId="2778" xr:uid="{00000000-0005-0000-0000-0000BE0E0000}"/>
    <cellStyle name="Note 2 3 6" xfId="412" xr:uid="{00000000-0005-0000-0000-0000BF0E0000}"/>
    <cellStyle name="Note 2 3 6 2" xfId="1463" xr:uid="{00000000-0005-0000-0000-0000C00E0000}"/>
    <cellStyle name="Note 2 3 6 2 2" xfId="3558" xr:uid="{00000000-0005-0000-0000-0000C10E0000}"/>
    <cellStyle name="Note 2 3 6 3" xfId="2512" xr:uid="{00000000-0005-0000-0000-0000C20E0000}"/>
    <cellStyle name="Note 2 3 7" xfId="1215" xr:uid="{00000000-0005-0000-0000-0000C30E0000}"/>
    <cellStyle name="Note 2 3 7 2" xfId="3310" xr:uid="{00000000-0005-0000-0000-0000C40E0000}"/>
    <cellStyle name="Note 2 3 8" xfId="2264" xr:uid="{00000000-0005-0000-0000-0000C50E0000}"/>
    <cellStyle name="Note 2 4" xfId="118" xr:uid="{00000000-0005-0000-0000-0000C60E0000}"/>
    <cellStyle name="Note 2 4 2" xfId="182" xr:uid="{00000000-0005-0000-0000-0000C70E0000}"/>
    <cellStyle name="Note 2 4 2 2" xfId="336" xr:uid="{00000000-0005-0000-0000-0000C80E0000}"/>
    <cellStyle name="Note 2 4 2 2 2" xfId="1121" xr:uid="{00000000-0005-0000-0000-0000C90E0000}"/>
    <cellStyle name="Note 2 4 2 2 2 2" xfId="2167" xr:uid="{00000000-0005-0000-0000-0000CA0E0000}"/>
    <cellStyle name="Note 2 4 2 2 2 2 2" xfId="4262" xr:uid="{00000000-0005-0000-0000-0000CB0E0000}"/>
    <cellStyle name="Note 2 4 2 2 2 3" xfId="3216" xr:uid="{00000000-0005-0000-0000-0000CC0E0000}"/>
    <cellStyle name="Note 2 4 2 2 3" xfId="855" xr:uid="{00000000-0005-0000-0000-0000CD0E0000}"/>
    <cellStyle name="Note 2 4 2 2 3 2" xfId="1901" xr:uid="{00000000-0005-0000-0000-0000CE0E0000}"/>
    <cellStyle name="Note 2 4 2 2 3 2 2" xfId="3996" xr:uid="{00000000-0005-0000-0000-0000CF0E0000}"/>
    <cellStyle name="Note 2 4 2 2 3 3" xfId="2950" xr:uid="{00000000-0005-0000-0000-0000D00E0000}"/>
    <cellStyle name="Note 2 4 2 2 4" xfId="584" xr:uid="{00000000-0005-0000-0000-0000D10E0000}"/>
    <cellStyle name="Note 2 4 2 2 4 2" xfId="1635" xr:uid="{00000000-0005-0000-0000-0000D20E0000}"/>
    <cellStyle name="Note 2 4 2 2 4 2 2" xfId="3730" xr:uid="{00000000-0005-0000-0000-0000D30E0000}"/>
    <cellStyle name="Note 2 4 2 2 4 3" xfId="2684" xr:uid="{00000000-0005-0000-0000-0000D40E0000}"/>
    <cellStyle name="Note 2 4 2 2 5" xfId="1387" xr:uid="{00000000-0005-0000-0000-0000D50E0000}"/>
    <cellStyle name="Note 2 4 2 2 5 2" xfId="3482" xr:uid="{00000000-0005-0000-0000-0000D60E0000}"/>
    <cellStyle name="Note 2 4 2 2 6" xfId="2436" xr:uid="{00000000-0005-0000-0000-0000D70E0000}"/>
    <cellStyle name="Note 2 4 2 3" xfId="997" xr:uid="{00000000-0005-0000-0000-0000D80E0000}"/>
    <cellStyle name="Note 2 4 2 3 2" xfId="2043" xr:uid="{00000000-0005-0000-0000-0000D90E0000}"/>
    <cellStyle name="Note 2 4 2 3 2 2" xfId="4138" xr:uid="{00000000-0005-0000-0000-0000DA0E0000}"/>
    <cellStyle name="Note 2 4 2 3 3" xfId="3092" xr:uid="{00000000-0005-0000-0000-0000DB0E0000}"/>
    <cellStyle name="Note 2 4 2 4" xfId="731" xr:uid="{00000000-0005-0000-0000-0000DC0E0000}"/>
    <cellStyle name="Note 2 4 2 4 2" xfId="1777" xr:uid="{00000000-0005-0000-0000-0000DD0E0000}"/>
    <cellStyle name="Note 2 4 2 4 2 2" xfId="3872" xr:uid="{00000000-0005-0000-0000-0000DE0E0000}"/>
    <cellStyle name="Note 2 4 2 4 3" xfId="2826" xr:uid="{00000000-0005-0000-0000-0000DF0E0000}"/>
    <cellStyle name="Note 2 4 2 5" xfId="460" xr:uid="{00000000-0005-0000-0000-0000E00E0000}"/>
    <cellStyle name="Note 2 4 2 5 2" xfId="1511" xr:uid="{00000000-0005-0000-0000-0000E10E0000}"/>
    <cellStyle name="Note 2 4 2 5 2 2" xfId="3606" xr:uid="{00000000-0005-0000-0000-0000E20E0000}"/>
    <cellStyle name="Note 2 4 2 5 3" xfId="2560" xr:uid="{00000000-0005-0000-0000-0000E30E0000}"/>
    <cellStyle name="Note 2 4 2 6" xfId="1263" xr:uid="{00000000-0005-0000-0000-0000E40E0000}"/>
    <cellStyle name="Note 2 4 2 6 2" xfId="3358" xr:uid="{00000000-0005-0000-0000-0000E50E0000}"/>
    <cellStyle name="Note 2 4 2 7" xfId="2312" xr:uid="{00000000-0005-0000-0000-0000E60E0000}"/>
    <cellStyle name="Note 2 4 3" xfId="289" xr:uid="{00000000-0005-0000-0000-0000E70E0000}"/>
    <cellStyle name="Note 2 4 3 2" xfId="1074" xr:uid="{00000000-0005-0000-0000-0000E80E0000}"/>
    <cellStyle name="Note 2 4 3 2 2" xfId="2120" xr:uid="{00000000-0005-0000-0000-0000E90E0000}"/>
    <cellStyle name="Note 2 4 3 2 2 2" xfId="4215" xr:uid="{00000000-0005-0000-0000-0000EA0E0000}"/>
    <cellStyle name="Note 2 4 3 2 3" xfId="3169" xr:uid="{00000000-0005-0000-0000-0000EB0E0000}"/>
    <cellStyle name="Note 2 4 3 3" xfId="808" xr:uid="{00000000-0005-0000-0000-0000EC0E0000}"/>
    <cellStyle name="Note 2 4 3 3 2" xfId="1854" xr:uid="{00000000-0005-0000-0000-0000ED0E0000}"/>
    <cellStyle name="Note 2 4 3 3 2 2" xfId="3949" xr:uid="{00000000-0005-0000-0000-0000EE0E0000}"/>
    <cellStyle name="Note 2 4 3 3 3" xfId="2903" xr:uid="{00000000-0005-0000-0000-0000EF0E0000}"/>
    <cellStyle name="Note 2 4 3 4" xfId="537" xr:uid="{00000000-0005-0000-0000-0000F00E0000}"/>
    <cellStyle name="Note 2 4 3 4 2" xfId="1588" xr:uid="{00000000-0005-0000-0000-0000F10E0000}"/>
    <cellStyle name="Note 2 4 3 4 2 2" xfId="3683" xr:uid="{00000000-0005-0000-0000-0000F20E0000}"/>
    <cellStyle name="Note 2 4 3 4 3" xfId="2637" xr:uid="{00000000-0005-0000-0000-0000F30E0000}"/>
    <cellStyle name="Note 2 4 3 5" xfId="1340" xr:uid="{00000000-0005-0000-0000-0000F40E0000}"/>
    <cellStyle name="Note 2 4 3 5 2" xfId="3435" xr:uid="{00000000-0005-0000-0000-0000F50E0000}"/>
    <cellStyle name="Note 2 4 3 6" xfId="2389" xr:uid="{00000000-0005-0000-0000-0000F60E0000}"/>
    <cellStyle name="Note 2 4 4" xfId="950" xr:uid="{00000000-0005-0000-0000-0000F70E0000}"/>
    <cellStyle name="Note 2 4 4 2" xfId="1996" xr:uid="{00000000-0005-0000-0000-0000F80E0000}"/>
    <cellStyle name="Note 2 4 4 2 2" xfId="4091" xr:uid="{00000000-0005-0000-0000-0000F90E0000}"/>
    <cellStyle name="Note 2 4 4 3" xfId="3045" xr:uid="{00000000-0005-0000-0000-0000FA0E0000}"/>
    <cellStyle name="Note 2 4 5" xfId="684" xr:uid="{00000000-0005-0000-0000-0000FB0E0000}"/>
    <cellStyle name="Note 2 4 5 2" xfId="1730" xr:uid="{00000000-0005-0000-0000-0000FC0E0000}"/>
    <cellStyle name="Note 2 4 5 2 2" xfId="3825" xr:uid="{00000000-0005-0000-0000-0000FD0E0000}"/>
    <cellStyle name="Note 2 4 5 3" xfId="2779" xr:uid="{00000000-0005-0000-0000-0000FE0E0000}"/>
    <cellStyle name="Note 2 4 6" xfId="413" xr:uid="{00000000-0005-0000-0000-0000FF0E0000}"/>
    <cellStyle name="Note 2 4 6 2" xfId="1464" xr:uid="{00000000-0005-0000-0000-0000000F0000}"/>
    <cellStyle name="Note 2 4 6 2 2" xfId="3559" xr:uid="{00000000-0005-0000-0000-0000010F0000}"/>
    <cellStyle name="Note 2 4 6 3" xfId="2513" xr:uid="{00000000-0005-0000-0000-0000020F0000}"/>
    <cellStyle name="Note 2 4 7" xfId="1216" xr:uid="{00000000-0005-0000-0000-0000030F0000}"/>
    <cellStyle name="Note 2 4 7 2" xfId="3311" xr:uid="{00000000-0005-0000-0000-0000040F0000}"/>
    <cellStyle name="Note 2 4 8" xfId="2265" xr:uid="{00000000-0005-0000-0000-0000050F0000}"/>
    <cellStyle name="Note 3" xfId="119" xr:uid="{00000000-0005-0000-0000-0000060F0000}"/>
    <cellStyle name="Note 3 2" xfId="183" xr:uid="{00000000-0005-0000-0000-0000070F0000}"/>
    <cellStyle name="Note 3 2 2" xfId="337" xr:uid="{00000000-0005-0000-0000-0000080F0000}"/>
    <cellStyle name="Note 3 2 2 2" xfId="1122" xr:uid="{00000000-0005-0000-0000-0000090F0000}"/>
    <cellStyle name="Note 3 2 2 2 2" xfId="2168" xr:uid="{00000000-0005-0000-0000-00000A0F0000}"/>
    <cellStyle name="Note 3 2 2 2 2 2" xfId="4263" xr:uid="{00000000-0005-0000-0000-00000B0F0000}"/>
    <cellStyle name="Note 3 2 2 2 3" xfId="3217" xr:uid="{00000000-0005-0000-0000-00000C0F0000}"/>
    <cellStyle name="Note 3 2 2 3" xfId="856" xr:uid="{00000000-0005-0000-0000-00000D0F0000}"/>
    <cellStyle name="Note 3 2 2 3 2" xfId="1902" xr:uid="{00000000-0005-0000-0000-00000E0F0000}"/>
    <cellStyle name="Note 3 2 2 3 2 2" xfId="3997" xr:uid="{00000000-0005-0000-0000-00000F0F0000}"/>
    <cellStyle name="Note 3 2 2 3 3" xfId="2951" xr:uid="{00000000-0005-0000-0000-0000100F0000}"/>
    <cellStyle name="Note 3 2 2 4" xfId="585" xr:uid="{00000000-0005-0000-0000-0000110F0000}"/>
    <cellStyle name="Note 3 2 2 4 2" xfId="1636" xr:uid="{00000000-0005-0000-0000-0000120F0000}"/>
    <cellStyle name="Note 3 2 2 4 2 2" xfId="3731" xr:uid="{00000000-0005-0000-0000-0000130F0000}"/>
    <cellStyle name="Note 3 2 2 4 3" xfId="2685" xr:uid="{00000000-0005-0000-0000-0000140F0000}"/>
    <cellStyle name="Note 3 2 2 5" xfId="1388" xr:uid="{00000000-0005-0000-0000-0000150F0000}"/>
    <cellStyle name="Note 3 2 2 5 2" xfId="3483" xr:uid="{00000000-0005-0000-0000-0000160F0000}"/>
    <cellStyle name="Note 3 2 2 6" xfId="2437" xr:uid="{00000000-0005-0000-0000-0000170F0000}"/>
    <cellStyle name="Note 3 2 3" xfId="998" xr:uid="{00000000-0005-0000-0000-0000180F0000}"/>
    <cellStyle name="Note 3 2 3 2" xfId="2044" xr:uid="{00000000-0005-0000-0000-0000190F0000}"/>
    <cellStyle name="Note 3 2 3 2 2" xfId="4139" xr:uid="{00000000-0005-0000-0000-00001A0F0000}"/>
    <cellStyle name="Note 3 2 3 3" xfId="3093" xr:uid="{00000000-0005-0000-0000-00001B0F0000}"/>
    <cellStyle name="Note 3 2 4" xfId="732" xr:uid="{00000000-0005-0000-0000-00001C0F0000}"/>
    <cellStyle name="Note 3 2 4 2" xfId="1778" xr:uid="{00000000-0005-0000-0000-00001D0F0000}"/>
    <cellStyle name="Note 3 2 4 2 2" xfId="3873" xr:uid="{00000000-0005-0000-0000-00001E0F0000}"/>
    <cellStyle name="Note 3 2 4 3" xfId="2827" xr:uid="{00000000-0005-0000-0000-00001F0F0000}"/>
    <cellStyle name="Note 3 2 5" xfId="461" xr:uid="{00000000-0005-0000-0000-0000200F0000}"/>
    <cellStyle name="Note 3 2 5 2" xfId="1512" xr:uid="{00000000-0005-0000-0000-0000210F0000}"/>
    <cellStyle name="Note 3 2 5 2 2" xfId="3607" xr:uid="{00000000-0005-0000-0000-0000220F0000}"/>
    <cellStyle name="Note 3 2 5 3" xfId="2561" xr:uid="{00000000-0005-0000-0000-0000230F0000}"/>
    <cellStyle name="Note 3 2 6" xfId="1264" xr:uid="{00000000-0005-0000-0000-0000240F0000}"/>
    <cellStyle name="Note 3 2 6 2" xfId="3359" xr:uid="{00000000-0005-0000-0000-0000250F0000}"/>
    <cellStyle name="Note 3 2 7" xfId="2313" xr:uid="{00000000-0005-0000-0000-0000260F0000}"/>
    <cellStyle name="Note 3 3" xfId="290" xr:uid="{00000000-0005-0000-0000-0000270F0000}"/>
    <cellStyle name="Note 3 3 2" xfId="1075" xr:uid="{00000000-0005-0000-0000-0000280F0000}"/>
    <cellStyle name="Note 3 3 2 2" xfId="2121" xr:uid="{00000000-0005-0000-0000-0000290F0000}"/>
    <cellStyle name="Note 3 3 2 2 2" xfId="4216" xr:uid="{00000000-0005-0000-0000-00002A0F0000}"/>
    <cellStyle name="Note 3 3 2 3" xfId="3170" xr:uid="{00000000-0005-0000-0000-00002B0F0000}"/>
    <cellStyle name="Note 3 3 3" xfId="809" xr:uid="{00000000-0005-0000-0000-00002C0F0000}"/>
    <cellStyle name="Note 3 3 3 2" xfId="1855" xr:uid="{00000000-0005-0000-0000-00002D0F0000}"/>
    <cellStyle name="Note 3 3 3 2 2" xfId="3950" xr:uid="{00000000-0005-0000-0000-00002E0F0000}"/>
    <cellStyle name="Note 3 3 3 3" xfId="2904" xr:uid="{00000000-0005-0000-0000-00002F0F0000}"/>
    <cellStyle name="Note 3 3 4" xfId="538" xr:uid="{00000000-0005-0000-0000-0000300F0000}"/>
    <cellStyle name="Note 3 3 4 2" xfId="1589" xr:uid="{00000000-0005-0000-0000-0000310F0000}"/>
    <cellStyle name="Note 3 3 4 2 2" xfId="3684" xr:uid="{00000000-0005-0000-0000-0000320F0000}"/>
    <cellStyle name="Note 3 3 4 3" xfId="2638" xr:uid="{00000000-0005-0000-0000-0000330F0000}"/>
    <cellStyle name="Note 3 3 5" xfId="1341" xr:uid="{00000000-0005-0000-0000-0000340F0000}"/>
    <cellStyle name="Note 3 3 5 2" xfId="3436" xr:uid="{00000000-0005-0000-0000-0000350F0000}"/>
    <cellStyle name="Note 3 3 6" xfId="2390" xr:uid="{00000000-0005-0000-0000-0000360F0000}"/>
    <cellStyle name="Note 3 4" xfId="951" xr:uid="{00000000-0005-0000-0000-0000370F0000}"/>
    <cellStyle name="Note 3 4 2" xfId="1997" xr:uid="{00000000-0005-0000-0000-0000380F0000}"/>
    <cellStyle name="Note 3 4 2 2" xfId="4092" xr:uid="{00000000-0005-0000-0000-0000390F0000}"/>
    <cellStyle name="Note 3 4 3" xfId="3046" xr:uid="{00000000-0005-0000-0000-00003A0F0000}"/>
    <cellStyle name="Note 3 5" xfId="685" xr:uid="{00000000-0005-0000-0000-00003B0F0000}"/>
    <cellStyle name="Note 3 5 2" xfId="1731" xr:uid="{00000000-0005-0000-0000-00003C0F0000}"/>
    <cellStyle name="Note 3 5 2 2" xfId="3826" xr:uid="{00000000-0005-0000-0000-00003D0F0000}"/>
    <cellStyle name="Note 3 5 3" xfId="2780" xr:uid="{00000000-0005-0000-0000-00003E0F0000}"/>
    <cellStyle name="Note 3 6" xfId="414" xr:uid="{00000000-0005-0000-0000-00003F0F0000}"/>
    <cellStyle name="Note 3 6 2" xfId="1465" xr:uid="{00000000-0005-0000-0000-0000400F0000}"/>
    <cellStyle name="Note 3 6 2 2" xfId="3560" xr:uid="{00000000-0005-0000-0000-0000410F0000}"/>
    <cellStyle name="Note 3 6 3" xfId="2514" xr:uid="{00000000-0005-0000-0000-0000420F0000}"/>
    <cellStyle name="Note 3 7" xfId="1217" xr:uid="{00000000-0005-0000-0000-0000430F0000}"/>
    <cellStyle name="Note 3 7 2" xfId="3312" xr:uid="{00000000-0005-0000-0000-0000440F0000}"/>
    <cellStyle name="Note 3 8" xfId="2266" xr:uid="{00000000-0005-0000-0000-0000450F0000}"/>
    <cellStyle name="Note 4" xfId="120" xr:uid="{00000000-0005-0000-0000-0000460F0000}"/>
    <cellStyle name="Note 4 2" xfId="184" xr:uid="{00000000-0005-0000-0000-0000470F0000}"/>
    <cellStyle name="Note 4 2 2" xfId="338" xr:uid="{00000000-0005-0000-0000-0000480F0000}"/>
    <cellStyle name="Note 4 2 2 2" xfId="1123" xr:uid="{00000000-0005-0000-0000-0000490F0000}"/>
    <cellStyle name="Note 4 2 2 2 2" xfId="2169" xr:uid="{00000000-0005-0000-0000-00004A0F0000}"/>
    <cellStyle name="Note 4 2 2 2 2 2" xfId="4264" xr:uid="{00000000-0005-0000-0000-00004B0F0000}"/>
    <cellStyle name="Note 4 2 2 2 3" xfId="3218" xr:uid="{00000000-0005-0000-0000-00004C0F0000}"/>
    <cellStyle name="Note 4 2 2 3" xfId="857" xr:uid="{00000000-0005-0000-0000-00004D0F0000}"/>
    <cellStyle name="Note 4 2 2 3 2" xfId="1903" xr:uid="{00000000-0005-0000-0000-00004E0F0000}"/>
    <cellStyle name="Note 4 2 2 3 2 2" xfId="3998" xr:uid="{00000000-0005-0000-0000-00004F0F0000}"/>
    <cellStyle name="Note 4 2 2 3 3" xfId="2952" xr:uid="{00000000-0005-0000-0000-0000500F0000}"/>
    <cellStyle name="Note 4 2 2 4" xfId="586" xr:uid="{00000000-0005-0000-0000-0000510F0000}"/>
    <cellStyle name="Note 4 2 2 4 2" xfId="1637" xr:uid="{00000000-0005-0000-0000-0000520F0000}"/>
    <cellStyle name="Note 4 2 2 4 2 2" xfId="3732" xr:uid="{00000000-0005-0000-0000-0000530F0000}"/>
    <cellStyle name="Note 4 2 2 4 3" xfId="2686" xr:uid="{00000000-0005-0000-0000-0000540F0000}"/>
    <cellStyle name="Note 4 2 2 5" xfId="1389" xr:uid="{00000000-0005-0000-0000-0000550F0000}"/>
    <cellStyle name="Note 4 2 2 5 2" xfId="3484" xr:uid="{00000000-0005-0000-0000-0000560F0000}"/>
    <cellStyle name="Note 4 2 2 6" xfId="2438" xr:uid="{00000000-0005-0000-0000-0000570F0000}"/>
    <cellStyle name="Note 4 2 3" xfId="999" xr:uid="{00000000-0005-0000-0000-0000580F0000}"/>
    <cellStyle name="Note 4 2 3 2" xfId="2045" xr:uid="{00000000-0005-0000-0000-0000590F0000}"/>
    <cellStyle name="Note 4 2 3 2 2" xfId="4140" xr:uid="{00000000-0005-0000-0000-00005A0F0000}"/>
    <cellStyle name="Note 4 2 3 3" xfId="3094" xr:uid="{00000000-0005-0000-0000-00005B0F0000}"/>
    <cellStyle name="Note 4 2 4" xfId="733" xr:uid="{00000000-0005-0000-0000-00005C0F0000}"/>
    <cellStyle name="Note 4 2 4 2" xfId="1779" xr:uid="{00000000-0005-0000-0000-00005D0F0000}"/>
    <cellStyle name="Note 4 2 4 2 2" xfId="3874" xr:uid="{00000000-0005-0000-0000-00005E0F0000}"/>
    <cellStyle name="Note 4 2 4 3" xfId="2828" xr:uid="{00000000-0005-0000-0000-00005F0F0000}"/>
    <cellStyle name="Note 4 2 5" xfId="462" xr:uid="{00000000-0005-0000-0000-0000600F0000}"/>
    <cellStyle name="Note 4 2 5 2" xfId="1513" xr:uid="{00000000-0005-0000-0000-0000610F0000}"/>
    <cellStyle name="Note 4 2 5 2 2" xfId="3608" xr:uid="{00000000-0005-0000-0000-0000620F0000}"/>
    <cellStyle name="Note 4 2 5 3" xfId="2562" xr:uid="{00000000-0005-0000-0000-0000630F0000}"/>
    <cellStyle name="Note 4 2 6" xfId="1265" xr:uid="{00000000-0005-0000-0000-0000640F0000}"/>
    <cellStyle name="Note 4 2 6 2" xfId="3360" xr:uid="{00000000-0005-0000-0000-0000650F0000}"/>
    <cellStyle name="Note 4 2 7" xfId="2314" xr:uid="{00000000-0005-0000-0000-0000660F0000}"/>
    <cellStyle name="Note 4 3" xfId="291" xr:uid="{00000000-0005-0000-0000-0000670F0000}"/>
    <cellStyle name="Note 4 3 2" xfId="1076" xr:uid="{00000000-0005-0000-0000-0000680F0000}"/>
    <cellStyle name="Note 4 3 2 2" xfId="2122" xr:uid="{00000000-0005-0000-0000-0000690F0000}"/>
    <cellStyle name="Note 4 3 2 2 2" xfId="4217" xr:uid="{00000000-0005-0000-0000-00006A0F0000}"/>
    <cellStyle name="Note 4 3 2 3" xfId="3171" xr:uid="{00000000-0005-0000-0000-00006B0F0000}"/>
    <cellStyle name="Note 4 3 3" xfId="810" xr:uid="{00000000-0005-0000-0000-00006C0F0000}"/>
    <cellStyle name="Note 4 3 3 2" xfId="1856" xr:uid="{00000000-0005-0000-0000-00006D0F0000}"/>
    <cellStyle name="Note 4 3 3 2 2" xfId="3951" xr:uid="{00000000-0005-0000-0000-00006E0F0000}"/>
    <cellStyle name="Note 4 3 3 3" xfId="2905" xr:uid="{00000000-0005-0000-0000-00006F0F0000}"/>
    <cellStyle name="Note 4 3 4" xfId="539" xr:uid="{00000000-0005-0000-0000-0000700F0000}"/>
    <cellStyle name="Note 4 3 4 2" xfId="1590" xr:uid="{00000000-0005-0000-0000-0000710F0000}"/>
    <cellStyle name="Note 4 3 4 2 2" xfId="3685" xr:uid="{00000000-0005-0000-0000-0000720F0000}"/>
    <cellStyle name="Note 4 3 4 3" xfId="2639" xr:uid="{00000000-0005-0000-0000-0000730F0000}"/>
    <cellStyle name="Note 4 3 5" xfId="1342" xr:uid="{00000000-0005-0000-0000-0000740F0000}"/>
    <cellStyle name="Note 4 3 5 2" xfId="3437" xr:uid="{00000000-0005-0000-0000-0000750F0000}"/>
    <cellStyle name="Note 4 3 6" xfId="2391" xr:uid="{00000000-0005-0000-0000-0000760F0000}"/>
    <cellStyle name="Note 4 4" xfId="952" xr:uid="{00000000-0005-0000-0000-0000770F0000}"/>
    <cellStyle name="Note 4 4 2" xfId="1998" xr:uid="{00000000-0005-0000-0000-0000780F0000}"/>
    <cellStyle name="Note 4 4 2 2" xfId="4093" xr:uid="{00000000-0005-0000-0000-0000790F0000}"/>
    <cellStyle name="Note 4 4 3" xfId="3047" xr:uid="{00000000-0005-0000-0000-00007A0F0000}"/>
    <cellStyle name="Note 4 5" xfId="686" xr:uid="{00000000-0005-0000-0000-00007B0F0000}"/>
    <cellStyle name="Note 4 5 2" xfId="1732" xr:uid="{00000000-0005-0000-0000-00007C0F0000}"/>
    <cellStyle name="Note 4 5 2 2" xfId="3827" xr:uid="{00000000-0005-0000-0000-00007D0F0000}"/>
    <cellStyle name="Note 4 5 3" xfId="2781" xr:uid="{00000000-0005-0000-0000-00007E0F0000}"/>
    <cellStyle name="Note 4 6" xfId="415" xr:uid="{00000000-0005-0000-0000-00007F0F0000}"/>
    <cellStyle name="Note 4 6 2" xfId="1466" xr:uid="{00000000-0005-0000-0000-0000800F0000}"/>
    <cellStyle name="Note 4 6 2 2" xfId="3561" xr:uid="{00000000-0005-0000-0000-0000810F0000}"/>
    <cellStyle name="Note 4 6 3" xfId="2515" xr:uid="{00000000-0005-0000-0000-0000820F0000}"/>
    <cellStyle name="Note 4 7" xfId="1218" xr:uid="{00000000-0005-0000-0000-0000830F0000}"/>
    <cellStyle name="Note 4 7 2" xfId="3313" xr:uid="{00000000-0005-0000-0000-0000840F0000}"/>
    <cellStyle name="Note 4 8" xfId="2267" xr:uid="{00000000-0005-0000-0000-0000850F0000}"/>
    <cellStyle name="Note 5" xfId="121" xr:uid="{00000000-0005-0000-0000-0000860F0000}"/>
    <cellStyle name="Note 5 2" xfId="185" xr:uid="{00000000-0005-0000-0000-0000870F0000}"/>
    <cellStyle name="Note 5 2 2" xfId="339" xr:uid="{00000000-0005-0000-0000-0000880F0000}"/>
    <cellStyle name="Note 5 2 2 2" xfId="1124" xr:uid="{00000000-0005-0000-0000-0000890F0000}"/>
    <cellStyle name="Note 5 2 2 2 2" xfId="2170" xr:uid="{00000000-0005-0000-0000-00008A0F0000}"/>
    <cellStyle name="Note 5 2 2 2 2 2" xfId="4265" xr:uid="{00000000-0005-0000-0000-00008B0F0000}"/>
    <cellStyle name="Note 5 2 2 2 3" xfId="3219" xr:uid="{00000000-0005-0000-0000-00008C0F0000}"/>
    <cellStyle name="Note 5 2 2 3" xfId="858" xr:uid="{00000000-0005-0000-0000-00008D0F0000}"/>
    <cellStyle name="Note 5 2 2 3 2" xfId="1904" xr:uid="{00000000-0005-0000-0000-00008E0F0000}"/>
    <cellStyle name="Note 5 2 2 3 2 2" xfId="3999" xr:uid="{00000000-0005-0000-0000-00008F0F0000}"/>
    <cellStyle name="Note 5 2 2 3 3" xfId="2953" xr:uid="{00000000-0005-0000-0000-0000900F0000}"/>
    <cellStyle name="Note 5 2 2 4" xfId="587" xr:uid="{00000000-0005-0000-0000-0000910F0000}"/>
    <cellStyle name="Note 5 2 2 4 2" xfId="1638" xr:uid="{00000000-0005-0000-0000-0000920F0000}"/>
    <cellStyle name="Note 5 2 2 4 2 2" xfId="3733" xr:uid="{00000000-0005-0000-0000-0000930F0000}"/>
    <cellStyle name="Note 5 2 2 4 3" xfId="2687" xr:uid="{00000000-0005-0000-0000-0000940F0000}"/>
    <cellStyle name="Note 5 2 2 5" xfId="1390" xr:uid="{00000000-0005-0000-0000-0000950F0000}"/>
    <cellStyle name="Note 5 2 2 5 2" xfId="3485" xr:uid="{00000000-0005-0000-0000-0000960F0000}"/>
    <cellStyle name="Note 5 2 2 6" xfId="2439" xr:uid="{00000000-0005-0000-0000-0000970F0000}"/>
    <cellStyle name="Note 5 2 3" xfId="1000" xr:uid="{00000000-0005-0000-0000-0000980F0000}"/>
    <cellStyle name="Note 5 2 3 2" xfId="2046" xr:uid="{00000000-0005-0000-0000-0000990F0000}"/>
    <cellStyle name="Note 5 2 3 2 2" xfId="4141" xr:uid="{00000000-0005-0000-0000-00009A0F0000}"/>
    <cellStyle name="Note 5 2 3 3" xfId="3095" xr:uid="{00000000-0005-0000-0000-00009B0F0000}"/>
    <cellStyle name="Note 5 2 4" xfId="734" xr:uid="{00000000-0005-0000-0000-00009C0F0000}"/>
    <cellStyle name="Note 5 2 4 2" xfId="1780" xr:uid="{00000000-0005-0000-0000-00009D0F0000}"/>
    <cellStyle name="Note 5 2 4 2 2" xfId="3875" xr:uid="{00000000-0005-0000-0000-00009E0F0000}"/>
    <cellStyle name="Note 5 2 4 3" xfId="2829" xr:uid="{00000000-0005-0000-0000-00009F0F0000}"/>
    <cellStyle name="Note 5 2 5" xfId="463" xr:uid="{00000000-0005-0000-0000-0000A00F0000}"/>
    <cellStyle name="Note 5 2 5 2" xfId="1514" xr:uid="{00000000-0005-0000-0000-0000A10F0000}"/>
    <cellStyle name="Note 5 2 5 2 2" xfId="3609" xr:uid="{00000000-0005-0000-0000-0000A20F0000}"/>
    <cellStyle name="Note 5 2 5 3" xfId="2563" xr:uid="{00000000-0005-0000-0000-0000A30F0000}"/>
    <cellStyle name="Note 5 2 6" xfId="1266" xr:uid="{00000000-0005-0000-0000-0000A40F0000}"/>
    <cellStyle name="Note 5 2 6 2" xfId="3361" xr:uid="{00000000-0005-0000-0000-0000A50F0000}"/>
    <cellStyle name="Note 5 2 7" xfId="2315" xr:uid="{00000000-0005-0000-0000-0000A60F0000}"/>
    <cellStyle name="Note 5 3" xfId="292" xr:uid="{00000000-0005-0000-0000-0000A70F0000}"/>
    <cellStyle name="Note 5 3 2" xfId="1077" xr:uid="{00000000-0005-0000-0000-0000A80F0000}"/>
    <cellStyle name="Note 5 3 2 2" xfId="2123" xr:uid="{00000000-0005-0000-0000-0000A90F0000}"/>
    <cellStyle name="Note 5 3 2 2 2" xfId="4218" xr:uid="{00000000-0005-0000-0000-0000AA0F0000}"/>
    <cellStyle name="Note 5 3 2 3" xfId="3172" xr:uid="{00000000-0005-0000-0000-0000AB0F0000}"/>
    <cellStyle name="Note 5 3 3" xfId="811" xr:uid="{00000000-0005-0000-0000-0000AC0F0000}"/>
    <cellStyle name="Note 5 3 3 2" xfId="1857" xr:uid="{00000000-0005-0000-0000-0000AD0F0000}"/>
    <cellStyle name="Note 5 3 3 2 2" xfId="3952" xr:uid="{00000000-0005-0000-0000-0000AE0F0000}"/>
    <cellStyle name="Note 5 3 3 3" xfId="2906" xr:uid="{00000000-0005-0000-0000-0000AF0F0000}"/>
    <cellStyle name="Note 5 3 4" xfId="540" xr:uid="{00000000-0005-0000-0000-0000B00F0000}"/>
    <cellStyle name="Note 5 3 4 2" xfId="1591" xr:uid="{00000000-0005-0000-0000-0000B10F0000}"/>
    <cellStyle name="Note 5 3 4 2 2" xfId="3686" xr:uid="{00000000-0005-0000-0000-0000B20F0000}"/>
    <cellStyle name="Note 5 3 4 3" xfId="2640" xr:uid="{00000000-0005-0000-0000-0000B30F0000}"/>
    <cellStyle name="Note 5 3 5" xfId="1343" xr:uid="{00000000-0005-0000-0000-0000B40F0000}"/>
    <cellStyle name="Note 5 3 5 2" xfId="3438" xr:uid="{00000000-0005-0000-0000-0000B50F0000}"/>
    <cellStyle name="Note 5 3 6" xfId="2392" xr:uid="{00000000-0005-0000-0000-0000B60F0000}"/>
    <cellStyle name="Note 5 4" xfId="953" xr:uid="{00000000-0005-0000-0000-0000B70F0000}"/>
    <cellStyle name="Note 5 4 2" xfId="1999" xr:uid="{00000000-0005-0000-0000-0000B80F0000}"/>
    <cellStyle name="Note 5 4 2 2" xfId="4094" xr:uid="{00000000-0005-0000-0000-0000B90F0000}"/>
    <cellStyle name="Note 5 4 3" xfId="3048" xr:uid="{00000000-0005-0000-0000-0000BA0F0000}"/>
    <cellStyle name="Note 5 5" xfId="687" xr:uid="{00000000-0005-0000-0000-0000BB0F0000}"/>
    <cellStyle name="Note 5 5 2" xfId="1733" xr:uid="{00000000-0005-0000-0000-0000BC0F0000}"/>
    <cellStyle name="Note 5 5 2 2" xfId="3828" xr:uid="{00000000-0005-0000-0000-0000BD0F0000}"/>
    <cellStyle name="Note 5 5 3" xfId="2782" xr:uid="{00000000-0005-0000-0000-0000BE0F0000}"/>
    <cellStyle name="Note 5 6" xfId="416" xr:uid="{00000000-0005-0000-0000-0000BF0F0000}"/>
    <cellStyle name="Note 5 6 2" xfId="1467" xr:uid="{00000000-0005-0000-0000-0000C00F0000}"/>
    <cellStyle name="Note 5 6 2 2" xfId="3562" xr:uid="{00000000-0005-0000-0000-0000C10F0000}"/>
    <cellStyle name="Note 5 6 3" xfId="2516" xr:uid="{00000000-0005-0000-0000-0000C20F0000}"/>
    <cellStyle name="Note 5 7" xfId="1219" xr:uid="{00000000-0005-0000-0000-0000C30F0000}"/>
    <cellStyle name="Note 5 7 2" xfId="3314" xr:uid="{00000000-0005-0000-0000-0000C40F0000}"/>
    <cellStyle name="Note 5 8" xfId="2268" xr:uid="{00000000-0005-0000-0000-0000C50F0000}"/>
    <cellStyle name="Note 6" xfId="243" xr:uid="{00000000-0005-0000-0000-0000C60F0000}"/>
    <cellStyle name="Note 6 2" xfId="369" xr:uid="{00000000-0005-0000-0000-0000C70F0000}"/>
    <cellStyle name="Note 6 2 2" xfId="1154" xr:uid="{00000000-0005-0000-0000-0000C80F0000}"/>
    <cellStyle name="Note 6 2 2 2" xfId="2200" xr:uid="{00000000-0005-0000-0000-0000C90F0000}"/>
    <cellStyle name="Note 6 2 2 2 2" xfId="4295" xr:uid="{00000000-0005-0000-0000-0000CA0F0000}"/>
    <cellStyle name="Note 6 2 2 3" xfId="3249" xr:uid="{00000000-0005-0000-0000-0000CB0F0000}"/>
    <cellStyle name="Note 6 2 3" xfId="888" xr:uid="{00000000-0005-0000-0000-0000CC0F0000}"/>
    <cellStyle name="Note 6 2 3 2" xfId="1934" xr:uid="{00000000-0005-0000-0000-0000CD0F0000}"/>
    <cellStyle name="Note 6 2 3 2 2" xfId="4029" xr:uid="{00000000-0005-0000-0000-0000CE0F0000}"/>
    <cellStyle name="Note 6 2 3 3" xfId="2983" xr:uid="{00000000-0005-0000-0000-0000CF0F0000}"/>
    <cellStyle name="Note 6 2 4" xfId="617" xr:uid="{00000000-0005-0000-0000-0000D00F0000}"/>
    <cellStyle name="Note 6 2 4 2" xfId="1668" xr:uid="{00000000-0005-0000-0000-0000D10F0000}"/>
    <cellStyle name="Note 6 2 4 2 2" xfId="3763" xr:uid="{00000000-0005-0000-0000-0000D20F0000}"/>
    <cellStyle name="Note 6 2 4 3" xfId="2717" xr:uid="{00000000-0005-0000-0000-0000D30F0000}"/>
    <cellStyle name="Note 6 2 5" xfId="1420" xr:uid="{00000000-0005-0000-0000-0000D40F0000}"/>
    <cellStyle name="Note 6 2 5 2" xfId="3515" xr:uid="{00000000-0005-0000-0000-0000D50F0000}"/>
    <cellStyle name="Note 6 2 6" xfId="2469" xr:uid="{00000000-0005-0000-0000-0000D60F0000}"/>
    <cellStyle name="Note 6 3" xfId="1030" xr:uid="{00000000-0005-0000-0000-0000D70F0000}"/>
    <cellStyle name="Note 6 3 2" xfId="2076" xr:uid="{00000000-0005-0000-0000-0000D80F0000}"/>
    <cellStyle name="Note 6 3 2 2" xfId="4171" xr:uid="{00000000-0005-0000-0000-0000D90F0000}"/>
    <cellStyle name="Note 6 3 3" xfId="3125" xr:uid="{00000000-0005-0000-0000-0000DA0F0000}"/>
    <cellStyle name="Note 6 4" xfId="764" xr:uid="{00000000-0005-0000-0000-0000DB0F0000}"/>
    <cellStyle name="Note 6 4 2" xfId="1810" xr:uid="{00000000-0005-0000-0000-0000DC0F0000}"/>
    <cellStyle name="Note 6 4 2 2" xfId="3905" xr:uid="{00000000-0005-0000-0000-0000DD0F0000}"/>
    <cellStyle name="Note 6 4 3" xfId="2859" xr:uid="{00000000-0005-0000-0000-0000DE0F0000}"/>
    <cellStyle name="Note 6 5" xfId="493" xr:uid="{00000000-0005-0000-0000-0000DF0F0000}"/>
    <cellStyle name="Note 6 5 2" xfId="1544" xr:uid="{00000000-0005-0000-0000-0000E00F0000}"/>
    <cellStyle name="Note 6 5 2 2" xfId="3639" xr:uid="{00000000-0005-0000-0000-0000E10F0000}"/>
    <cellStyle name="Note 6 5 3" xfId="2593" xr:uid="{00000000-0005-0000-0000-0000E20F0000}"/>
    <cellStyle name="Note 6 6" xfId="1296" xr:uid="{00000000-0005-0000-0000-0000E30F0000}"/>
    <cellStyle name="Note 6 6 2" xfId="3391" xr:uid="{00000000-0005-0000-0000-0000E40F0000}"/>
    <cellStyle name="Note 6 7" xfId="2345" xr:uid="{00000000-0005-0000-0000-0000E50F0000}"/>
    <cellStyle name="Note 7" xfId="249" xr:uid="{00000000-0005-0000-0000-0000E60F0000}"/>
    <cellStyle name="Note 7 2" xfId="373" xr:uid="{00000000-0005-0000-0000-0000E70F0000}"/>
    <cellStyle name="Note 7 2 2" xfId="1158" xr:uid="{00000000-0005-0000-0000-0000E80F0000}"/>
    <cellStyle name="Note 7 2 2 2" xfId="2204" xr:uid="{00000000-0005-0000-0000-0000E90F0000}"/>
    <cellStyle name="Note 7 2 2 2 2" xfId="4299" xr:uid="{00000000-0005-0000-0000-0000EA0F0000}"/>
    <cellStyle name="Note 7 2 2 3" xfId="3253" xr:uid="{00000000-0005-0000-0000-0000EB0F0000}"/>
    <cellStyle name="Note 7 2 3" xfId="892" xr:uid="{00000000-0005-0000-0000-0000EC0F0000}"/>
    <cellStyle name="Note 7 2 3 2" xfId="1938" xr:uid="{00000000-0005-0000-0000-0000ED0F0000}"/>
    <cellStyle name="Note 7 2 3 2 2" xfId="4033" xr:uid="{00000000-0005-0000-0000-0000EE0F0000}"/>
    <cellStyle name="Note 7 2 3 3" xfId="2987" xr:uid="{00000000-0005-0000-0000-0000EF0F0000}"/>
    <cellStyle name="Note 7 2 4" xfId="621" xr:uid="{00000000-0005-0000-0000-0000F00F0000}"/>
    <cellStyle name="Note 7 2 4 2" xfId="1672" xr:uid="{00000000-0005-0000-0000-0000F10F0000}"/>
    <cellStyle name="Note 7 2 4 2 2" xfId="3767" xr:uid="{00000000-0005-0000-0000-0000F20F0000}"/>
    <cellStyle name="Note 7 2 4 3" xfId="2721" xr:uid="{00000000-0005-0000-0000-0000F30F0000}"/>
    <cellStyle name="Note 7 2 5" xfId="1424" xr:uid="{00000000-0005-0000-0000-0000F40F0000}"/>
    <cellStyle name="Note 7 2 5 2" xfId="3519" xr:uid="{00000000-0005-0000-0000-0000F50F0000}"/>
    <cellStyle name="Note 7 2 6" xfId="2473" xr:uid="{00000000-0005-0000-0000-0000F60F0000}"/>
    <cellStyle name="Note 7 3" xfId="1034" xr:uid="{00000000-0005-0000-0000-0000F70F0000}"/>
    <cellStyle name="Note 7 3 2" xfId="2080" xr:uid="{00000000-0005-0000-0000-0000F80F0000}"/>
    <cellStyle name="Note 7 3 2 2" xfId="4175" xr:uid="{00000000-0005-0000-0000-0000F90F0000}"/>
    <cellStyle name="Note 7 3 3" xfId="3129" xr:uid="{00000000-0005-0000-0000-0000FA0F0000}"/>
    <cellStyle name="Note 7 4" xfId="768" xr:uid="{00000000-0005-0000-0000-0000FB0F0000}"/>
    <cellStyle name="Note 7 4 2" xfId="1814" xr:uid="{00000000-0005-0000-0000-0000FC0F0000}"/>
    <cellStyle name="Note 7 4 2 2" xfId="3909" xr:uid="{00000000-0005-0000-0000-0000FD0F0000}"/>
    <cellStyle name="Note 7 4 3" xfId="2863" xr:uid="{00000000-0005-0000-0000-0000FE0F0000}"/>
    <cellStyle name="Note 7 5" xfId="497" xr:uid="{00000000-0005-0000-0000-0000FF0F0000}"/>
    <cellStyle name="Note 7 5 2" xfId="1548" xr:uid="{00000000-0005-0000-0000-000000100000}"/>
    <cellStyle name="Note 7 5 2 2" xfId="3643" xr:uid="{00000000-0005-0000-0000-000001100000}"/>
    <cellStyle name="Note 7 5 3" xfId="2597" xr:uid="{00000000-0005-0000-0000-000002100000}"/>
    <cellStyle name="Note 7 6" xfId="1300" xr:uid="{00000000-0005-0000-0000-000003100000}"/>
    <cellStyle name="Note 7 6 2" xfId="3395" xr:uid="{00000000-0005-0000-0000-000004100000}"/>
    <cellStyle name="Note 7 7" xfId="2349" xr:uid="{00000000-0005-0000-0000-000005100000}"/>
    <cellStyle name="Note 8" xfId="635" xr:uid="{00000000-0005-0000-0000-000006100000}"/>
    <cellStyle name="Note 8 2" xfId="1172" xr:uid="{00000000-0005-0000-0000-000007100000}"/>
    <cellStyle name="Note 8 2 2" xfId="2218" xr:uid="{00000000-0005-0000-0000-000008100000}"/>
    <cellStyle name="Note 8 2 2 2" xfId="4313" xr:uid="{00000000-0005-0000-0000-000009100000}"/>
    <cellStyle name="Note 8 2 3" xfId="3267" xr:uid="{00000000-0005-0000-0000-00000A100000}"/>
    <cellStyle name="Note 8 3" xfId="906" xr:uid="{00000000-0005-0000-0000-00000B100000}"/>
    <cellStyle name="Note 8 3 2" xfId="1952" xr:uid="{00000000-0005-0000-0000-00000C100000}"/>
    <cellStyle name="Note 8 3 2 2" xfId="4047" xr:uid="{00000000-0005-0000-0000-00000D100000}"/>
    <cellStyle name="Note 8 3 3" xfId="3001" xr:uid="{00000000-0005-0000-0000-00000E100000}"/>
    <cellStyle name="Note 8 4" xfId="1686" xr:uid="{00000000-0005-0000-0000-00000F100000}"/>
    <cellStyle name="Note 8 4 2" xfId="3781" xr:uid="{00000000-0005-0000-0000-000010100000}"/>
    <cellStyle name="Note 8 5" xfId="2735" xr:uid="{00000000-0005-0000-0000-000011100000}"/>
    <cellStyle name="Output" xfId="211" builtinId="21" customBuiltin="1"/>
    <cellStyle name="Output 2" xfId="122" xr:uid="{00000000-0005-0000-0000-000013100000}"/>
    <cellStyle name="Percent" xfId="244" builtinId="5"/>
    <cellStyle name="Percent 2" xfId="16" xr:uid="{00000000-0005-0000-0000-000015100000}"/>
    <cellStyle name="Percent 2 2" xfId="123" xr:uid="{00000000-0005-0000-0000-000016100000}"/>
    <cellStyle name="Percent 2 3" xfId="246" xr:uid="{00000000-0005-0000-0000-000017100000}"/>
    <cellStyle name="Percent 3" xfId="124" xr:uid="{00000000-0005-0000-0000-000018100000}"/>
    <cellStyle name="Percent 3 2" xfId="125" xr:uid="{00000000-0005-0000-0000-000019100000}"/>
    <cellStyle name="Percent 3 2 2" xfId="186" xr:uid="{00000000-0005-0000-0000-00001A100000}"/>
    <cellStyle name="Percent 3 2 2 2" xfId="340" xr:uid="{00000000-0005-0000-0000-00001B100000}"/>
    <cellStyle name="Percent 3 2 2 2 2" xfId="1125" xr:uid="{00000000-0005-0000-0000-00001C100000}"/>
    <cellStyle name="Percent 3 2 2 2 2 2" xfId="2171" xr:uid="{00000000-0005-0000-0000-00001D100000}"/>
    <cellStyle name="Percent 3 2 2 2 2 2 2" xfId="4266" xr:uid="{00000000-0005-0000-0000-00001E100000}"/>
    <cellStyle name="Percent 3 2 2 2 2 3" xfId="3220" xr:uid="{00000000-0005-0000-0000-00001F100000}"/>
    <cellStyle name="Percent 3 2 2 2 3" xfId="859" xr:uid="{00000000-0005-0000-0000-000020100000}"/>
    <cellStyle name="Percent 3 2 2 2 3 2" xfId="1905" xr:uid="{00000000-0005-0000-0000-000021100000}"/>
    <cellStyle name="Percent 3 2 2 2 3 2 2" xfId="4000" xr:uid="{00000000-0005-0000-0000-000022100000}"/>
    <cellStyle name="Percent 3 2 2 2 3 3" xfId="2954" xr:uid="{00000000-0005-0000-0000-000023100000}"/>
    <cellStyle name="Percent 3 2 2 2 4" xfId="588" xr:uid="{00000000-0005-0000-0000-000024100000}"/>
    <cellStyle name="Percent 3 2 2 2 4 2" xfId="1639" xr:uid="{00000000-0005-0000-0000-000025100000}"/>
    <cellStyle name="Percent 3 2 2 2 4 2 2" xfId="3734" xr:uid="{00000000-0005-0000-0000-000026100000}"/>
    <cellStyle name="Percent 3 2 2 2 4 3" xfId="2688" xr:uid="{00000000-0005-0000-0000-000027100000}"/>
    <cellStyle name="Percent 3 2 2 2 5" xfId="1391" xr:uid="{00000000-0005-0000-0000-000028100000}"/>
    <cellStyle name="Percent 3 2 2 2 5 2" xfId="3486" xr:uid="{00000000-0005-0000-0000-000029100000}"/>
    <cellStyle name="Percent 3 2 2 2 6" xfId="2440" xr:uid="{00000000-0005-0000-0000-00002A100000}"/>
    <cellStyle name="Percent 3 2 2 3" xfId="1001" xr:uid="{00000000-0005-0000-0000-00002B100000}"/>
    <cellStyle name="Percent 3 2 2 3 2" xfId="2047" xr:uid="{00000000-0005-0000-0000-00002C100000}"/>
    <cellStyle name="Percent 3 2 2 3 2 2" xfId="4142" xr:uid="{00000000-0005-0000-0000-00002D100000}"/>
    <cellStyle name="Percent 3 2 2 3 3" xfId="3096" xr:uid="{00000000-0005-0000-0000-00002E100000}"/>
    <cellStyle name="Percent 3 2 2 4" xfId="735" xr:uid="{00000000-0005-0000-0000-00002F100000}"/>
    <cellStyle name="Percent 3 2 2 4 2" xfId="1781" xr:uid="{00000000-0005-0000-0000-000030100000}"/>
    <cellStyle name="Percent 3 2 2 4 2 2" xfId="3876" xr:uid="{00000000-0005-0000-0000-000031100000}"/>
    <cellStyle name="Percent 3 2 2 4 3" xfId="2830" xr:uid="{00000000-0005-0000-0000-000032100000}"/>
    <cellStyle name="Percent 3 2 2 5" xfId="464" xr:uid="{00000000-0005-0000-0000-000033100000}"/>
    <cellStyle name="Percent 3 2 2 5 2" xfId="1515" xr:uid="{00000000-0005-0000-0000-000034100000}"/>
    <cellStyle name="Percent 3 2 2 5 2 2" xfId="3610" xr:uid="{00000000-0005-0000-0000-000035100000}"/>
    <cellStyle name="Percent 3 2 2 5 3" xfId="2564" xr:uid="{00000000-0005-0000-0000-000036100000}"/>
    <cellStyle name="Percent 3 2 2 6" xfId="1267" xr:uid="{00000000-0005-0000-0000-000037100000}"/>
    <cellStyle name="Percent 3 2 2 6 2" xfId="3362" xr:uid="{00000000-0005-0000-0000-000038100000}"/>
    <cellStyle name="Percent 3 2 2 7" xfId="2316" xr:uid="{00000000-0005-0000-0000-000039100000}"/>
    <cellStyle name="Percent 3 2 3" xfId="293" xr:uid="{00000000-0005-0000-0000-00003A100000}"/>
    <cellStyle name="Percent 3 2 3 2" xfId="1078" xr:uid="{00000000-0005-0000-0000-00003B100000}"/>
    <cellStyle name="Percent 3 2 3 2 2" xfId="2124" xr:uid="{00000000-0005-0000-0000-00003C100000}"/>
    <cellStyle name="Percent 3 2 3 2 2 2" xfId="4219" xr:uid="{00000000-0005-0000-0000-00003D100000}"/>
    <cellStyle name="Percent 3 2 3 2 3" xfId="3173" xr:uid="{00000000-0005-0000-0000-00003E100000}"/>
    <cellStyle name="Percent 3 2 3 3" xfId="812" xr:uid="{00000000-0005-0000-0000-00003F100000}"/>
    <cellStyle name="Percent 3 2 3 3 2" xfId="1858" xr:uid="{00000000-0005-0000-0000-000040100000}"/>
    <cellStyle name="Percent 3 2 3 3 2 2" xfId="3953" xr:uid="{00000000-0005-0000-0000-000041100000}"/>
    <cellStyle name="Percent 3 2 3 3 3" xfId="2907" xr:uid="{00000000-0005-0000-0000-000042100000}"/>
    <cellStyle name="Percent 3 2 3 4" xfId="541" xr:uid="{00000000-0005-0000-0000-000043100000}"/>
    <cellStyle name="Percent 3 2 3 4 2" xfId="1592" xr:uid="{00000000-0005-0000-0000-000044100000}"/>
    <cellStyle name="Percent 3 2 3 4 2 2" xfId="3687" xr:uid="{00000000-0005-0000-0000-000045100000}"/>
    <cellStyle name="Percent 3 2 3 4 3" xfId="2641" xr:uid="{00000000-0005-0000-0000-000046100000}"/>
    <cellStyle name="Percent 3 2 3 5" xfId="1344" xr:uid="{00000000-0005-0000-0000-000047100000}"/>
    <cellStyle name="Percent 3 2 3 5 2" xfId="3439" xr:uid="{00000000-0005-0000-0000-000048100000}"/>
    <cellStyle name="Percent 3 2 3 6" xfId="2393" xr:uid="{00000000-0005-0000-0000-000049100000}"/>
    <cellStyle name="Percent 3 2 4" xfId="954" xr:uid="{00000000-0005-0000-0000-00004A100000}"/>
    <cellStyle name="Percent 3 2 4 2" xfId="2000" xr:uid="{00000000-0005-0000-0000-00004B100000}"/>
    <cellStyle name="Percent 3 2 4 2 2" xfId="4095" xr:uid="{00000000-0005-0000-0000-00004C100000}"/>
    <cellStyle name="Percent 3 2 4 3" xfId="3049" xr:uid="{00000000-0005-0000-0000-00004D100000}"/>
    <cellStyle name="Percent 3 2 5" xfId="688" xr:uid="{00000000-0005-0000-0000-00004E100000}"/>
    <cellStyle name="Percent 3 2 5 2" xfId="1734" xr:uid="{00000000-0005-0000-0000-00004F100000}"/>
    <cellStyle name="Percent 3 2 5 2 2" xfId="3829" xr:uid="{00000000-0005-0000-0000-000050100000}"/>
    <cellStyle name="Percent 3 2 5 3" xfId="2783" xr:uid="{00000000-0005-0000-0000-000051100000}"/>
    <cellStyle name="Percent 3 2 6" xfId="417" xr:uid="{00000000-0005-0000-0000-000052100000}"/>
    <cellStyle name="Percent 3 2 6 2" xfId="1468" xr:uid="{00000000-0005-0000-0000-000053100000}"/>
    <cellStyle name="Percent 3 2 6 2 2" xfId="3563" xr:uid="{00000000-0005-0000-0000-000054100000}"/>
    <cellStyle name="Percent 3 2 6 3" xfId="2517" xr:uid="{00000000-0005-0000-0000-000055100000}"/>
    <cellStyle name="Percent 3 2 7" xfId="1220" xr:uid="{00000000-0005-0000-0000-000056100000}"/>
    <cellStyle name="Percent 3 2 7 2" xfId="3315" xr:uid="{00000000-0005-0000-0000-000057100000}"/>
    <cellStyle name="Percent 3 2 8" xfId="2269" xr:uid="{00000000-0005-0000-0000-000058100000}"/>
    <cellStyle name="Percent 3 3" xfId="149" xr:uid="{00000000-0005-0000-0000-000059100000}"/>
    <cellStyle name="Percent 3 3 2" xfId="200" xr:uid="{00000000-0005-0000-0000-00005A100000}"/>
    <cellStyle name="Percent 3 3 2 2" xfId="354" xr:uid="{00000000-0005-0000-0000-00005B100000}"/>
    <cellStyle name="Percent 3 3 2 2 2" xfId="1139" xr:uid="{00000000-0005-0000-0000-00005C100000}"/>
    <cellStyle name="Percent 3 3 2 2 2 2" xfId="2185" xr:uid="{00000000-0005-0000-0000-00005D100000}"/>
    <cellStyle name="Percent 3 3 2 2 2 2 2" xfId="4280" xr:uid="{00000000-0005-0000-0000-00005E100000}"/>
    <cellStyle name="Percent 3 3 2 2 2 3" xfId="3234" xr:uid="{00000000-0005-0000-0000-00005F100000}"/>
    <cellStyle name="Percent 3 3 2 2 3" xfId="873" xr:uid="{00000000-0005-0000-0000-000060100000}"/>
    <cellStyle name="Percent 3 3 2 2 3 2" xfId="1919" xr:uid="{00000000-0005-0000-0000-000061100000}"/>
    <cellStyle name="Percent 3 3 2 2 3 2 2" xfId="4014" xr:uid="{00000000-0005-0000-0000-000062100000}"/>
    <cellStyle name="Percent 3 3 2 2 3 3" xfId="2968" xr:uid="{00000000-0005-0000-0000-000063100000}"/>
    <cellStyle name="Percent 3 3 2 2 4" xfId="602" xr:uid="{00000000-0005-0000-0000-000064100000}"/>
    <cellStyle name="Percent 3 3 2 2 4 2" xfId="1653" xr:uid="{00000000-0005-0000-0000-000065100000}"/>
    <cellStyle name="Percent 3 3 2 2 4 2 2" xfId="3748" xr:uid="{00000000-0005-0000-0000-000066100000}"/>
    <cellStyle name="Percent 3 3 2 2 4 3" xfId="2702" xr:uid="{00000000-0005-0000-0000-000067100000}"/>
    <cellStyle name="Percent 3 3 2 2 5" xfId="1405" xr:uid="{00000000-0005-0000-0000-000068100000}"/>
    <cellStyle name="Percent 3 3 2 2 5 2" xfId="3500" xr:uid="{00000000-0005-0000-0000-000069100000}"/>
    <cellStyle name="Percent 3 3 2 2 6" xfId="2454" xr:uid="{00000000-0005-0000-0000-00006A100000}"/>
    <cellStyle name="Percent 3 3 2 3" xfId="1015" xr:uid="{00000000-0005-0000-0000-00006B100000}"/>
    <cellStyle name="Percent 3 3 2 3 2" xfId="2061" xr:uid="{00000000-0005-0000-0000-00006C100000}"/>
    <cellStyle name="Percent 3 3 2 3 2 2" xfId="4156" xr:uid="{00000000-0005-0000-0000-00006D100000}"/>
    <cellStyle name="Percent 3 3 2 3 3" xfId="3110" xr:uid="{00000000-0005-0000-0000-00006E100000}"/>
    <cellStyle name="Percent 3 3 2 4" xfId="749" xr:uid="{00000000-0005-0000-0000-00006F100000}"/>
    <cellStyle name="Percent 3 3 2 4 2" xfId="1795" xr:uid="{00000000-0005-0000-0000-000070100000}"/>
    <cellStyle name="Percent 3 3 2 4 2 2" xfId="3890" xr:uid="{00000000-0005-0000-0000-000071100000}"/>
    <cellStyle name="Percent 3 3 2 4 3" xfId="2844" xr:uid="{00000000-0005-0000-0000-000072100000}"/>
    <cellStyle name="Percent 3 3 2 5" xfId="478" xr:uid="{00000000-0005-0000-0000-000073100000}"/>
    <cellStyle name="Percent 3 3 2 5 2" xfId="1529" xr:uid="{00000000-0005-0000-0000-000074100000}"/>
    <cellStyle name="Percent 3 3 2 5 2 2" xfId="3624" xr:uid="{00000000-0005-0000-0000-000075100000}"/>
    <cellStyle name="Percent 3 3 2 5 3" xfId="2578" xr:uid="{00000000-0005-0000-0000-000076100000}"/>
    <cellStyle name="Percent 3 3 2 6" xfId="1281" xr:uid="{00000000-0005-0000-0000-000077100000}"/>
    <cellStyle name="Percent 3 3 2 6 2" xfId="3376" xr:uid="{00000000-0005-0000-0000-000078100000}"/>
    <cellStyle name="Percent 3 3 2 7" xfId="2330" xr:uid="{00000000-0005-0000-0000-000079100000}"/>
    <cellStyle name="Percent 3 3 3" xfId="307" xr:uid="{00000000-0005-0000-0000-00007A100000}"/>
    <cellStyle name="Percent 3 3 3 2" xfId="1092" xr:uid="{00000000-0005-0000-0000-00007B100000}"/>
    <cellStyle name="Percent 3 3 3 2 2" xfId="2138" xr:uid="{00000000-0005-0000-0000-00007C100000}"/>
    <cellStyle name="Percent 3 3 3 2 2 2" xfId="4233" xr:uid="{00000000-0005-0000-0000-00007D100000}"/>
    <cellStyle name="Percent 3 3 3 2 3" xfId="3187" xr:uid="{00000000-0005-0000-0000-00007E100000}"/>
    <cellStyle name="Percent 3 3 3 3" xfId="826" xr:uid="{00000000-0005-0000-0000-00007F100000}"/>
    <cellStyle name="Percent 3 3 3 3 2" xfId="1872" xr:uid="{00000000-0005-0000-0000-000080100000}"/>
    <cellStyle name="Percent 3 3 3 3 2 2" xfId="3967" xr:uid="{00000000-0005-0000-0000-000081100000}"/>
    <cellStyle name="Percent 3 3 3 3 3" xfId="2921" xr:uid="{00000000-0005-0000-0000-000082100000}"/>
    <cellStyle name="Percent 3 3 3 4" xfId="555" xr:uid="{00000000-0005-0000-0000-000083100000}"/>
    <cellStyle name="Percent 3 3 3 4 2" xfId="1606" xr:uid="{00000000-0005-0000-0000-000084100000}"/>
    <cellStyle name="Percent 3 3 3 4 2 2" xfId="3701" xr:uid="{00000000-0005-0000-0000-000085100000}"/>
    <cellStyle name="Percent 3 3 3 4 3" xfId="2655" xr:uid="{00000000-0005-0000-0000-000086100000}"/>
    <cellStyle name="Percent 3 3 3 5" xfId="1358" xr:uid="{00000000-0005-0000-0000-000087100000}"/>
    <cellStyle name="Percent 3 3 3 5 2" xfId="3453" xr:uid="{00000000-0005-0000-0000-000088100000}"/>
    <cellStyle name="Percent 3 3 3 6" xfId="2407" xr:uid="{00000000-0005-0000-0000-000089100000}"/>
    <cellStyle name="Percent 3 3 4" xfId="968" xr:uid="{00000000-0005-0000-0000-00008A100000}"/>
    <cellStyle name="Percent 3 3 4 2" xfId="2014" xr:uid="{00000000-0005-0000-0000-00008B100000}"/>
    <cellStyle name="Percent 3 3 4 2 2" xfId="4109" xr:uid="{00000000-0005-0000-0000-00008C100000}"/>
    <cellStyle name="Percent 3 3 4 3" xfId="3063" xr:uid="{00000000-0005-0000-0000-00008D100000}"/>
    <cellStyle name="Percent 3 3 5" xfId="702" xr:uid="{00000000-0005-0000-0000-00008E100000}"/>
    <cellStyle name="Percent 3 3 5 2" xfId="1748" xr:uid="{00000000-0005-0000-0000-00008F100000}"/>
    <cellStyle name="Percent 3 3 5 2 2" xfId="3843" xr:uid="{00000000-0005-0000-0000-000090100000}"/>
    <cellStyle name="Percent 3 3 5 3" xfId="2797" xr:uid="{00000000-0005-0000-0000-000091100000}"/>
    <cellStyle name="Percent 3 3 6" xfId="431" xr:uid="{00000000-0005-0000-0000-000092100000}"/>
    <cellStyle name="Percent 3 3 6 2" xfId="1482" xr:uid="{00000000-0005-0000-0000-000093100000}"/>
    <cellStyle name="Percent 3 3 6 2 2" xfId="3577" xr:uid="{00000000-0005-0000-0000-000094100000}"/>
    <cellStyle name="Percent 3 3 6 3" xfId="2531" xr:uid="{00000000-0005-0000-0000-000095100000}"/>
    <cellStyle name="Percent 3 3 7" xfId="1234" xr:uid="{00000000-0005-0000-0000-000096100000}"/>
    <cellStyle name="Percent 3 3 7 2" xfId="3329" xr:uid="{00000000-0005-0000-0000-000097100000}"/>
    <cellStyle name="Percent 3 3 8" xfId="2283" xr:uid="{00000000-0005-0000-0000-000098100000}"/>
    <cellStyle name="Percent 4" xfId="126" xr:uid="{00000000-0005-0000-0000-000099100000}"/>
    <cellStyle name="Percent 5" xfId="127" xr:uid="{00000000-0005-0000-0000-00009A100000}"/>
    <cellStyle name="Percent 5 2" xfId="187" xr:uid="{00000000-0005-0000-0000-00009B100000}"/>
    <cellStyle name="Percent 5 2 2" xfId="341" xr:uid="{00000000-0005-0000-0000-00009C100000}"/>
    <cellStyle name="Percent 5 2 2 2" xfId="1126" xr:uid="{00000000-0005-0000-0000-00009D100000}"/>
    <cellStyle name="Percent 5 2 2 2 2" xfId="2172" xr:uid="{00000000-0005-0000-0000-00009E100000}"/>
    <cellStyle name="Percent 5 2 2 2 2 2" xfId="4267" xr:uid="{00000000-0005-0000-0000-00009F100000}"/>
    <cellStyle name="Percent 5 2 2 2 3" xfId="3221" xr:uid="{00000000-0005-0000-0000-0000A0100000}"/>
    <cellStyle name="Percent 5 2 2 3" xfId="860" xr:uid="{00000000-0005-0000-0000-0000A1100000}"/>
    <cellStyle name="Percent 5 2 2 3 2" xfId="1906" xr:uid="{00000000-0005-0000-0000-0000A2100000}"/>
    <cellStyle name="Percent 5 2 2 3 2 2" xfId="4001" xr:uid="{00000000-0005-0000-0000-0000A3100000}"/>
    <cellStyle name="Percent 5 2 2 3 3" xfId="2955" xr:uid="{00000000-0005-0000-0000-0000A4100000}"/>
    <cellStyle name="Percent 5 2 2 4" xfId="589" xr:uid="{00000000-0005-0000-0000-0000A5100000}"/>
    <cellStyle name="Percent 5 2 2 4 2" xfId="1640" xr:uid="{00000000-0005-0000-0000-0000A6100000}"/>
    <cellStyle name="Percent 5 2 2 4 2 2" xfId="3735" xr:uid="{00000000-0005-0000-0000-0000A7100000}"/>
    <cellStyle name="Percent 5 2 2 4 3" xfId="2689" xr:uid="{00000000-0005-0000-0000-0000A8100000}"/>
    <cellStyle name="Percent 5 2 2 5" xfId="1392" xr:uid="{00000000-0005-0000-0000-0000A9100000}"/>
    <cellStyle name="Percent 5 2 2 5 2" xfId="3487" xr:uid="{00000000-0005-0000-0000-0000AA100000}"/>
    <cellStyle name="Percent 5 2 2 6" xfId="2441" xr:uid="{00000000-0005-0000-0000-0000AB100000}"/>
    <cellStyle name="Percent 5 2 3" xfId="1002" xr:uid="{00000000-0005-0000-0000-0000AC100000}"/>
    <cellStyle name="Percent 5 2 3 2" xfId="2048" xr:uid="{00000000-0005-0000-0000-0000AD100000}"/>
    <cellStyle name="Percent 5 2 3 2 2" xfId="4143" xr:uid="{00000000-0005-0000-0000-0000AE100000}"/>
    <cellStyle name="Percent 5 2 3 3" xfId="3097" xr:uid="{00000000-0005-0000-0000-0000AF100000}"/>
    <cellStyle name="Percent 5 2 4" xfId="736" xr:uid="{00000000-0005-0000-0000-0000B0100000}"/>
    <cellStyle name="Percent 5 2 4 2" xfId="1782" xr:uid="{00000000-0005-0000-0000-0000B1100000}"/>
    <cellStyle name="Percent 5 2 4 2 2" xfId="3877" xr:uid="{00000000-0005-0000-0000-0000B2100000}"/>
    <cellStyle name="Percent 5 2 4 3" xfId="2831" xr:uid="{00000000-0005-0000-0000-0000B3100000}"/>
    <cellStyle name="Percent 5 2 5" xfId="465" xr:uid="{00000000-0005-0000-0000-0000B4100000}"/>
    <cellStyle name="Percent 5 2 5 2" xfId="1516" xr:uid="{00000000-0005-0000-0000-0000B5100000}"/>
    <cellStyle name="Percent 5 2 5 2 2" xfId="3611" xr:uid="{00000000-0005-0000-0000-0000B6100000}"/>
    <cellStyle name="Percent 5 2 5 3" xfId="2565" xr:uid="{00000000-0005-0000-0000-0000B7100000}"/>
    <cellStyle name="Percent 5 2 6" xfId="1268" xr:uid="{00000000-0005-0000-0000-0000B8100000}"/>
    <cellStyle name="Percent 5 2 6 2" xfId="3363" xr:uid="{00000000-0005-0000-0000-0000B9100000}"/>
    <cellStyle name="Percent 5 2 7" xfId="2317" xr:uid="{00000000-0005-0000-0000-0000BA100000}"/>
    <cellStyle name="Percent 5 3" xfId="294" xr:uid="{00000000-0005-0000-0000-0000BB100000}"/>
    <cellStyle name="Percent 5 3 2" xfId="1079" xr:uid="{00000000-0005-0000-0000-0000BC100000}"/>
    <cellStyle name="Percent 5 3 2 2" xfId="2125" xr:uid="{00000000-0005-0000-0000-0000BD100000}"/>
    <cellStyle name="Percent 5 3 2 2 2" xfId="4220" xr:uid="{00000000-0005-0000-0000-0000BE100000}"/>
    <cellStyle name="Percent 5 3 2 3" xfId="3174" xr:uid="{00000000-0005-0000-0000-0000BF100000}"/>
    <cellStyle name="Percent 5 3 3" xfId="813" xr:uid="{00000000-0005-0000-0000-0000C0100000}"/>
    <cellStyle name="Percent 5 3 3 2" xfId="1859" xr:uid="{00000000-0005-0000-0000-0000C1100000}"/>
    <cellStyle name="Percent 5 3 3 2 2" xfId="3954" xr:uid="{00000000-0005-0000-0000-0000C2100000}"/>
    <cellStyle name="Percent 5 3 3 3" xfId="2908" xr:uid="{00000000-0005-0000-0000-0000C3100000}"/>
    <cellStyle name="Percent 5 3 4" xfId="542" xr:uid="{00000000-0005-0000-0000-0000C4100000}"/>
    <cellStyle name="Percent 5 3 4 2" xfId="1593" xr:uid="{00000000-0005-0000-0000-0000C5100000}"/>
    <cellStyle name="Percent 5 3 4 2 2" xfId="3688" xr:uid="{00000000-0005-0000-0000-0000C6100000}"/>
    <cellStyle name="Percent 5 3 4 3" xfId="2642" xr:uid="{00000000-0005-0000-0000-0000C7100000}"/>
    <cellStyle name="Percent 5 3 5" xfId="1345" xr:uid="{00000000-0005-0000-0000-0000C8100000}"/>
    <cellStyle name="Percent 5 3 5 2" xfId="3440" xr:uid="{00000000-0005-0000-0000-0000C9100000}"/>
    <cellStyle name="Percent 5 3 6" xfId="2394" xr:uid="{00000000-0005-0000-0000-0000CA100000}"/>
    <cellStyle name="Percent 5 4" xfId="955" xr:uid="{00000000-0005-0000-0000-0000CB100000}"/>
    <cellStyle name="Percent 5 4 2" xfId="2001" xr:uid="{00000000-0005-0000-0000-0000CC100000}"/>
    <cellStyle name="Percent 5 4 2 2" xfId="4096" xr:uid="{00000000-0005-0000-0000-0000CD100000}"/>
    <cellStyle name="Percent 5 4 3" xfId="3050" xr:uid="{00000000-0005-0000-0000-0000CE100000}"/>
    <cellStyle name="Percent 5 5" xfId="689" xr:uid="{00000000-0005-0000-0000-0000CF100000}"/>
    <cellStyle name="Percent 5 5 2" xfId="1735" xr:uid="{00000000-0005-0000-0000-0000D0100000}"/>
    <cellStyle name="Percent 5 5 2 2" xfId="3830" xr:uid="{00000000-0005-0000-0000-0000D1100000}"/>
    <cellStyle name="Percent 5 5 3" xfId="2784" xr:uid="{00000000-0005-0000-0000-0000D2100000}"/>
    <cellStyle name="Percent 5 6" xfId="418" xr:uid="{00000000-0005-0000-0000-0000D3100000}"/>
    <cellStyle name="Percent 5 6 2" xfId="1469" xr:uid="{00000000-0005-0000-0000-0000D4100000}"/>
    <cellStyle name="Percent 5 6 2 2" xfId="3564" xr:uid="{00000000-0005-0000-0000-0000D5100000}"/>
    <cellStyle name="Percent 5 6 3" xfId="2518" xr:uid="{00000000-0005-0000-0000-0000D6100000}"/>
    <cellStyle name="Percent 5 7" xfId="1221" xr:uid="{00000000-0005-0000-0000-0000D7100000}"/>
    <cellStyle name="Percent 5 7 2" xfId="3316" xr:uid="{00000000-0005-0000-0000-0000D8100000}"/>
    <cellStyle name="Percent 5 8" xfId="2270" xr:uid="{00000000-0005-0000-0000-0000D9100000}"/>
    <cellStyle name="Percent 6" xfId="653" xr:uid="{00000000-0005-0000-0000-0000DA100000}"/>
    <cellStyle name="Percent 6 2" xfId="1187" xr:uid="{00000000-0005-0000-0000-0000DB100000}"/>
    <cellStyle name="Percent 6 2 2" xfId="2233" xr:uid="{00000000-0005-0000-0000-0000DC100000}"/>
    <cellStyle name="Percent 6 2 2 2" xfId="4328" xr:uid="{00000000-0005-0000-0000-0000DD100000}"/>
    <cellStyle name="Percent 6 2 3" xfId="3282" xr:uid="{00000000-0005-0000-0000-0000DE100000}"/>
    <cellStyle name="Percent 6 3" xfId="921" xr:uid="{00000000-0005-0000-0000-0000DF100000}"/>
    <cellStyle name="Percent 6 3 2" xfId="1967" xr:uid="{00000000-0005-0000-0000-0000E0100000}"/>
    <cellStyle name="Percent 6 3 2 2" xfId="4062" xr:uid="{00000000-0005-0000-0000-0000E1100000}"/>
    <cellStyle name="Percent 6 3 3" xfId="3016" xr:uid="{00000000-0005-0000-0000-0000E2100000}"/>
    <cellStyle name="Percent 6 4" xfId="1701" xr:uid="{00000000-0005-0000-0000-0000E3100000}"/>
    <cellStyle name="Percent 6 4 2" xfId="3796" xr:uid="{00000000-0005-0000-0000-0000E4100000}"/>
    <cellStyle name="Percent 6 5" xfId="2750" xr:uid="{00000000-0005-0000-0000-0000E5100000}"/>
    <cellStyle name="Style 1" xfId="128" xr:uid="{00000000-0005-0000-0000-0000E6100000}"/>
    <cellStyle name="Style 1 2" xfId="651" xr:uid="{00000000-0005-0000-0000-0000E7100000}"/>
    <cellStyle name="Title" xfId="202" builtinId="15" customBuiltin="1"/>
    <cellStyle name="Title 2" xfId="129" xr:uid="{00000000-0005-0000-0000-0000E9100000}"/>
    <cellStyle name="Total" xfId="217" builtinId="25" customBuiltin="1"/>
    <cellStyle name="Total 2" xfId="130" xr:uid="{00000000-0005-0000-0000-0000EB100000}"/>
    <cellStyle name="Warning Text" xfId="215" builtinId="11" customBuiltin="1"/>
    <cellStyle name="Warning Text 2" xfId="131" xr:uid="{00000000-0005-0000-0000-0000ED100000}"/>
  </cellStyles>
  <dxfs count="10">
    <dxf>
      <font>
        <color auto="1"/>
      </font>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auto="1"/>
      </font>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border>
    </dxf>
    <dxf>
      <fill>
        <patternFill>
          <bgColor theme="6" tint="0.39994506668294322"/>
        </patternFill>
      </fill>
      <border>
        <left style="thin">
          <color auto="1"/>
        </left>
        <right style="thin">
          <color auto="1"/>
        </right>
        <top style="thin">
          <color auto="1"/>
        </top>
        <bottom style="thin">
          <color auto="1"/>
        </bottom>
      </border>
    </dxf>
    <dxf>
      <font>
        <b/>
        <i val="0"/>
        <color rgb="FFFF0000"/>
      </font>
    </dxf>
    <dxf>
      <font>
        <condense val="0"/>
        <extend val="0"/>
        <color rgb="FF9C0006"/>
      </font>
      <fill>
        <patternFill>
          <bgColor rgb="FFFFC7CE"/>
        </patternFill>
      </fill>
    </dxf>
    <dxf>
      <font>
        <color theme="0" tint="-0.14996795556505021"/>
      </font>
      <fill>
        <patternFill>
          <bgColor theme="0" tint="-0.14996795556505021"/>
        </patternFill>
      </fill>
      <border>
        <left/>
        <right/>
        <top/>
        <bottom/>
      </border>
    </dxf>
    <dxf>
      <font>
        <color theme="0" tint="-0.14996795556505021"/>
      </font>
      <fill>
        <patternFill>
          <bgColor theme="0" tint="-0.14996795556505021"/>
        </patternFill>
      </fill>
      <border>
        <left/>
        <right/>
        <top/>
        <bottom/>
        <vertical/>
        <horizontal/>
      </border>
    </dxf>
    <dxf>
      <font>
        <color rgb="FFFF0000"/>
      </font>
    </dxf>
  </dxfs>
  <tableStyles count="0" defaultTableStyle="TableStyleMedium9" defaultPivotStyle="PivotStyleLight16"/>
  <colors>
    <mruColors>
      <color rgb="FF0000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jpe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3.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3.jpeg"/></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10.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2.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3.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4.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6.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7.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_rels/vmlDrawing8.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161924</xdr:rowOff>
    </xdr:from>
    <xdr:to>
      <xdr:col>19</xdr:col>
      <xdr:colOff>0</xdr:colOff>
      <xdr:row>42</xdr:row>
      <xdr:rowOff>85725</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0" y="3076574"/>
          <a:ext cx="11582400" cy="6238876"/>
        </a:xfrm>
        <a:prstGeom prst="rect">
          <a:avLst/>
        </a:prstGeom>
        <a:solidFill>
          <a:schemeClr val="lt1"/>
        </a:solidFill>
        <a:ln w="9525" cmpd="sng">
          <a:solidFill>
            <a:schemeClr val="tx1">
              <a:lumMod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AU" sz="1000">
              <a:solidFill>
                <a:schemeClr val="dk1"/>
              </a:solidFill>
              <a:effectLst/>
              <a:latin typeface="+mn-lt"/>
              <a:ea typeface="+mn-ea"/>
              <a:cs typeface="+mn-cs"/>
            </a:rPr>
            <a:t>The Green Star environmental rating system for buildings (“Green Star”) and the Green Star – Performance rating tool (“Green Star – Performance") have been developed by the Green Building Council of Australia (“GBCA”). Green Star – Performance evaluates the operational performance of all types of existing buildings (with the exception of single detached dwellings). It is intended for use by stakeholders including project team members as a guide for sustainable existing building operations. As with all Green Star rating tools, Green Star – Performance may be subject to further development in the future. </a:t>
          </a:r>
        </a:p>
        <a:p>
          <a:endParaRPr lang="en-AU" sz="1000">
            <a:effectLst/>
          </a:endParaRPr>
        </a:p>
        <a:p>
          <a:r>
            <a:rPr lang="en-AU" sz="1000">
              <a:solidFill>
                <a:schemeClr val="dk1"/>
              </a:solidFill>
              <a:effectLst/>
              <a:latin typeface="+mn-lt"/>
              <a:ea typeface="+mn-ea"/>
              <a:cs typeface="+mn-cs"/>
            </a:rPr>
            <a:t>The Australian Government’s National Carbon Offset Standard for Buildings (the standard) was developed by the Department of the Environment and Energy with input from GBCA and the National Australian Built Environment Rating Scheme Administrator. It provides a credible framework for managing emissions and achieving carbon neutrality. The standard has been designed to accommodate a wide variety of building types in Australia. The standard may be subject to further development in the future. The standard is a process document only and not to be relied upon to assert any legal or contractual relationship with the Australian Government.</a:t>
          </a:r>
        </a:p>
        <a:p>
          <a:r>
            <a:rPr lang="en-AU" sz="1000">
              <a:solidFill>
                <a:schemeClr val="dk1"/>
              </a:solidFill>
              <a:effectLst/>
              <a:latin typeface="+mn-lt"/>
              <a:ea typeface="+mn-ea"/>
              <a:cs typeface="+mn-cs"/>
            </a:rPr>
            <a:t> </a:t>
          </a:r>
          <a:endParaRPr lang="en-AU" sz="1000">
            <a:effectLst/>
          </a:endParaRPr>
        </a:p>
        <a:p>
          <a:r>
            <a:rPr lang="en-AU" sz="1000">
              <a:solidFill>
                <a:schemeClr val="dk1"/>
              </a:solidFill>
              <a:effectLst/>
              <a:latin typeface="+mn-lt"/>
              <a:ea typeface="+mn-ea"/>
              <a:cs typeface="+mn-cs"/>
            </a:rPr>
            <a:t>The Australian Government has registered the National Carbon Offset Standard Certification Trade Mark with IP Australia and the Australian Competition and Consumer Commission. All right, title and interest in the National Carbon Offset Standard Certification Trade Mark vest in the Australian Government. The National Carbon Offset Standard Certification Trade Mark is only available to buildings that are certified by approved certifiers (including GBCA) and have an agreement in place with a certifier.</a:t>
          </a:r>
        </a:p>
        <a:p>
          <a:endParaRPr lang="en-AU" sz="1000">
            <a:effectLst/>
          </a:endParaRPr>
        </a:p>
        <a:p>
          <a:r>
            <a:rPr lang="en-AU" sz="1000">
              <a:solidFill>
                <a:schemeClr val="dk1"/>
              </a:solidFill>
              <a:effectLst/>
              <a:latin typeface="+mn-lt"/>
              <a:ea typeface="+mn-ea"/>
              <a:cs typeface="+mn-cs"/>
            </a:rPr>
            <a:t>Green Star and Green Star – Performance have been developed with the assistance and participation of representatives from many organisations. The GBCA authorises you to view and use Green Star – Performance for your individual use only. In exchange for this authorisation, you agree that the GBCA retains all copyright and other proprietary rights contained in and in relation to Green Star – Performance and agree not to sell, modify, or use for another purpose all or any part of the tool or to reproduce, display or distribute the tool in any way for any public or commercial purpose, including display on a website or in a networked environment. Unauthorised use of Green Star, Green Star – Performance, and/or the National Carbon Offset Standard Certification Trade Mark will violate copyright and other laws, and is prohibited. All text, graphics, layout and other elements of content contained in Green Star and its rating tools are owned by the GBCA and are protected by copyright, trade mark and other laws.</a:t>
          </a:r>
        </a:p>
        <a:p>
          <a:endParaRPr lang="en-AU" sz="1000">
            <a:effectLst/>
          </a:endParaRPr>
        </a:p>
        <a:p>
          <a:r>
            <a:rPr lang="en-AU" sz="1000">
              <a:solidFill>
                <a:schemeClr val="dk1"/>
              </a:solidFill>
              <a:effectLst/>
              <a:latin typeface="+mn-lt"/>
              <a:ea typeface="+mn-ea"/>
              <a:cs typeface="+mn-cs"/>
            </a:rPr>
            <a:t>To the maximum extent permitted by law, the GBCA does not accept responsibility, including without limitation for negligence, for any inaccuracy within Green Star and/or its rating tools and makes no warranty, expressed or implied, including the warranties of merchantability and fitness for a particular purpose, nor assumes any legal liability or responsibility to you or any third parties for the accuracy, completeness, or use of, or reliance on, any information contained in Green Star and/or Green Star – Performance , or for any injuries, losses or damages (including, without limitation, equitable relief and economic loss) arising out of such use or reliance.</a:t>
          </a:r>
        </a:p>
        <a:p>
          <a:endParaRPr lang="en-AU" sz="1000">
            <a:effectLst/>
          </a:endParaRPr>
        </a:p>
        <a:p>
          <a:r>
            <a:rPr lang="en-AU" sz="1000">
              <a:solidFill>
                <a:schemeClr val="dk1"/>
              </a:solidFill>
              <a:effectLst/>
              <a:latin typeface="+mn-lt"/>
              <a:ea typeface="+mn-ea"/>
              <a:cs typeface="+mn-cs"/>
            </a:rPr>
            <a:t>Green Star and Green Star – Performance are no substitute for professional advice. You should seek your own professional and other appropriate advice on the matters addressed by them.</a:t>
          </a:r>
          <a:endParaRPr lang="en-AU" sz="1000">
            <a:effectLst/>
          </a:endParaRPr>
        </a:p>
        <a:p>
          <a:r>
            <a:rPr lang="en-AU" sz="1000">
              <a:solidFill>
                <a:schemeClr val="dk1"/>
              </a:solidFill>
              <a:effectLst/>
              <a:latin typeface="+mn-lt"/>
              <a:ea typeface="+mn-ea"/>
              <a:cs typeface="+mn-cs"/>
            </a:rPr>
            <a:t>As a condition of use, you covenant not to sue, and agree to waive and release:</a:t>
          </a:r>
          <a:endParaRPr lang="en-AU" sz="1000">
            <a:effectLst/>
          </a:endParaRPr>
        </a:p>
        <a:p>
          <a:pPr marL="171450" indent="-171450">
            <a:buFont typeface="Arial" panose="020B0604020202020204" pitchFamily="34" charset="0"/>
            <a:buChar char="•"/>
          </a:pPr>
          <a:r>
            <a:rPr lang="en-AU" sz="1000">
              <a:solidFill>
                <a:schemeClr val="dk1"/>
              </a:solidFill>
              <a:effectLst/>
              <a:latin typeface="+mn-lt"/>
              <a:ea typeface="+mn-ea"/>
              <a:cs typeface="+mn-cs"/>
            </a:rPr>
            <a:t>the GBCA, its officers, agents, employees and its members; and</a:t>
          </a:r>
          <a:endParaRPr lang="en-AU" sz="1000">
            <a:effectLst/>
          </a:endParaRPr>
        </a:p>
        <a:p>
          <a:pPr marL="171450" indent="-171450">
            <a:buFont typeface="Arial" panose="020B0604020202020204" pitchFamily="34" charset="0"/>
            <a:buChar char="•"/>
          </a:pPr>
          <a:r>
            <a:rPr lang="en-AU" sz="1000">
              <a:solidFill>
                <a:schemeClr val="dk1"/>
              </a:solidFill>
              <a:effectLst/>
              <a:latin typeface="+mn-lt"/>
              <a:ea typeface="+mn-ea"/>
              <a:cs typeface="+mn-cs"/>
            </a:rPr>
            <a:t>the Commonwealth of Australia</a:t>
          </a:r>
          <a:endParaRPr lang="en-AU" sz="1000">
            <a:effectLst/>
          </a:endParaRPr>
        </a:p>
        <a:p>
          <a:r>
            <a:rPr lang="en-AU" sz="1000">
              <a:solidFill>
                <a:schemeClr val="dk1"/>
              </a:solidFill>
              <a:effectLst/>
              <a:latin typeface="+mn-lt"/>
              <a:ea typeface="+mn-ea"/>
              <a:cs typeface="+mn-cs"/>
            </a:rPr>
            <a:t>from any and all claims, demands and causes of action for any injury, loss, destruction or damage (including, without limitation, equitable relief and economic loss) that you may now or hereafter have a right to assert against such parties as a result of your use of, or reliance on, Green Star, Green Star – Performance and/or the standard.</a:t>
          </a:r>
        </a:p>
        <a:p>
          <a:endParaRPr lang="en-AU" sz="1000">
            <a:effectLst/>
          </a:endParaRPr>
        </a:p>
        <a:p>
          <a:r>
            <a:rPr lang="en-AU" sz="1000">
              <a:solidFill>
                <a:schemeClr val="dk1"/>
              </a:solidFill>
              <a:effectLst/>
              <a:latin typeface="+mn-lt"/>
              <a:ea typeface="+mn-ea"/>
              <a:cs typeface="+mn-cs"/>
            </a:rPr>
            <a:t>The GBCA does not endorse any self-assessed Green Star rating achieved by the use of Green Star – Performance. The GBCA offers a formal certification process for 1 Star to 6 Star ratings; this service provides for independent third party review of points claimed to ensure all points can be demonstrated to be achieved by the provision of the necessary documentary evidence. The use of Green Star – Performance without formal certification by the GBCA does not entitle the user or any other party to promote the Green Star rating achieved.</a:t>
          </a:r>
        </a:p>
        <a:p>
          <a:endParaRPr lang="en-AU" sz="1000">
            <a:effectLst/>
          </a:endParaRPr>
        </a:p>
        <a:p>
          <a:r>
            <a:rPr lang="en-AU" sz="1000">
              <a:solidFill>
                <a:schemeClr val="dk1"/>
              </a:solidFill>
              <a:effectLst/>
              <a:latin typeface="+mn-lt"/>
              <a:ea typeface="+mn-ea"/>
              <a:cs typeface="+mn-cs"/>
            </a:rPr>
            <a:t>The application of Green Star – Performance to the operational performance of all types of existing buildings (with the exception of single detached dwellings) is encouraged to assess and improve their environmental performance attributes. However, formal recognition of the Green Star rating – and the right to promote same – requires undertaking the formal certification process offered by the GBCA.</a:t>
          </a:r>
          <a:endParaRPr lang="en-AU" sz="1000">
            <a:effectLst/>
          </a:endParaRPr>
        </a:p>
        <a:p>
          <a:r>
            <a:rPr lang="en-AU" sz="1000">
              <a:solidFill>
                <a:schemeClr val="dk1"/>
              </a:solidFill>
              <a:effectLst/>
              <a:latin typeface="+mn-lt"/>
              <a:ea typeface="+mn-ea"/>
              <a:cs typeface="+mn-cs"/>
            </a:rPr>
            <a:t>You are only authorised to proceed to use Green Star and Green Star – Performance on this basis.</a:t>
          </a:r>
          <a:endParaRPr lang="en-AU" sz="1000">
            <a:effectLst/>
          </a:endParaRPr>
        </a:p>
        <a:p>
          <a:endParaRPr lang="en-AU" sz="1000">
            <a:solidFill>
              <a:schemeClr val="dk1"/>
            </a:solidFill>
            <a:effectLst/>
            <a:latin typeface="+mn-lt"/>
            <a:ea typeface="+mn-ea"/>
            <a:cs typeface="+mn-cs"/>
          </a:endParaRPr>
        </a:p>
        <a:p>
          <a:r>
            <a:rPr lang="en-AU" sz="1000">
              <a:solidFill>
                <a:schemeClr val="dk1"/>
              </a:solidFill>
              <a:effectLst/>
              <a:latin typeface="+mn-lt"/>
              <a:ea typeface="+mn-ea"/>
              <a:cs typeface="+mn-cs"/>
            </a:rPr>
            <a:t>All rights reserved.</a:t>
          </a:r>
          <a:endParaRPr lang="en-AU" sz="1000">
            <a:effectLst/>
          </a:endParaRPr>
        </a:p>
        <a:p>
          <a:endParaRPr lang="en-AU" sz="1000">
            <a:solidFill>
              <a:sysClr val="windowText" lastClr="000000"/>
            </a:solidFill>
          </a:endParaRPr>
        </a:p>
      </xdr:txBody>
    </xdr:sp>
    <xdr:clientData/>
  </xdr:twoCellAnchor>
  <xdr:twoCellAnchor editAs="oneCell">
    <xdr:from>
      <xdr:col>0</xdr:col>
      <xdr:colOff>0</xdr:colOff>
      <xdr:row>0</xdr:row>
      <xdr:rowOff>0</xdr:rowOff>
    </xdr:from>
    <xdr:to>
      <xdr:col>16</xdr:col>
      <xdr:colOff>304800</xdr:colOff>
      <xdr:row>1</xdr:row>
      <xdr:rowOff>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0058400" cy="25146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xdr:colOff>
      <xdr:row>0</xdr:row>
      <xdr:rowOff>0</xdr:rowOff>
    </xdr:from>
    <xdr:to>
      <xdr:col>4</xdr:col>
      <xdr:colOff>302986</xdr:colOff>
      <xdr:row>0</xdr:row>
      <xdr:rowOff>1049909</xdr:rowOff>
    </xdr:to>
    <xdr:pic>
      <xdr:nvPicPr>
        <xdr:cNvPr id="2" name="Picture 1" descr="Rating-tool-header_No-name_revised.jpg">
          <a:extLst>
            <a:ext uri="{FF2B5EF4-FFF2-40B4-BE49-F238E27FC236}">
              <a16:creationId xmlns:a16="http://schemas.microsoft.com/office/drawing/2014/main" id="{00000000-0008-0000-0900-000002000000}"/>
            </a:ext>
          </a:extLst>
        </xdr:cNvPr>
        <xdr:cNvPicPr>
          <a:picLocks noChangeAspect="1"/>
        </xdr:cNvPicPr>
      </xdr:nvPicPr>
      <xdr:blipFill rotWithShape="1">
        <a:blip xmlns:r="http://schemas.openxmlformats.org/officeDocument/2006/relationships" r:embed="rId1" cstate="print"/>
        <a:stretch/>
      </xdr:blipFill>
      <xdr:spPr>
        <a:xfrm>
          <a:off x="1" y="0"/>
          <a:ext cx="7324271" cy="1060704"/>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2173941</xdr:colOff>
      <xdr:row>0</xdr:row>
      <xdr:rowOff>1060704</xdr:rowOff>
    </xdr:to>
    <xdr:pic>
      <xdr:nvPicPr>
        <xdr:cNvPr id="4" name="Picture 3" descr="Rating-tool-header_No-name_revised.jpg">
          <a:extLst>
            <a:ext uri="{FF2B5EF4-FFF2-40B4-BE49-F238E27FC236}">
              <a16:creationId xmlns:a16="http://schemas.microsoft.com/office/drawing/2014/main" id="{00000000-0008-0000-0A00-000004000000}"/>
            </a:ext>
          </a:extLst>
        </xdr:cNvPr>
        <xdr:cNvPicPr>
          <a:picLocks noChangeAspect="1"/>
        </xdr:cNvPicPr>
      </xdr:nvPicPr>
      <xdr:blipFill rotWithShape="1">
        <a:blip xmlns:r="http://schemas.openxmlformats.org/officeDocument/2006/relationships" r:embed="rId1" cstate="print"/>
        <a:srcRect r="70270"/>
        <a:stretch/>
      </xdr:blipFill>
      <xdr:spPr>
        <a:xfrm>
          <a:off x="0" y="0"/>
          <a:ext cx="2173941" cy="1060704"/>
        </a:xfrm>
        <a:prstGeom prst="rect">
          <a:avLst/>
        </a:prstGeom>
      </xdr:spPr>
    </xdr:pic>
    <xdr:clientData/>
  </xdr:twoCellAnchor>
  <xdr:twoCellAnchor editAs="oneCell">
    <xdr:from>
      <xdr:col>8</xdr:col>
      <xdr:colOff>582706</xdr:colOff>
      <xdr:row>0</xdr:row>
      <xdr:rowOff>11206</xdr:rowOff>
    </xdr:from>
    <xdr:to>
      <xdr:col>11</xdr:col>
      <xdr:colOff>6162</xdr:colOff>
      <xdr:row>0</xdr:row>
      <xdr:rowOff>1071910</xdr:rowOff>
    </xdr:to>
    <xdr:pic>
      <xdr:nvPicPr>
        <xdr:cNvPr id="5" name="Picture 4" descr="Rating-tool-header_No-name_revised.jpg">
          <a:extLst>
            <a:ext uri="{FF2B5EF4-FFF2-40B4-BE49-F238E27FC236}">
              <a16:creationId xmlns:a16="http://schemas.microsoft.com/office/drawing/2014/main" id="{00000000-0008-0000-0A00-000005000000}"/>
            </a:ext>
          </a:extLst>
        </xdr:cNvPr>
        <xdr:cNvPicPr>
          <a:picLocks noChangeAspect="1"/>
        </xdr:cNvPicPr>
      </xdr:nvPicPr>
      <xdr:blipFill rotWithShape="1">
        <a:blip xmlns:r="http://schemas.openxmlformats.org/officeDocument/2006/relationships" r:embed="rId1" cstate="print"/>
        <a:srcRect l="31415"/>
        <a:stretch/>
      </xdr:blipFill>
      <xdr:spPr>
        <a:xfrm>
          <a:off x="14063382" y="11206"/>
          <a:ext cx="5015192" cy="106070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9525</xdr:colOff>
      <xdr:row>0</xdr:row>
      <xdr:rowOff>9525</xdr:rowOff>
    </xdr:from>
    <xdr:to>
      <xdr:col>1</xdr:col>
      <xdr:colOff>666750</xdr:colOff>
      <xdr:row>0</xdr:row>
      <xdr:rowOff>1070229</xdr:rowOff>
    </xdr:to>
    <xdr:pic>
      <xdr:nvPicPr>
        <xdr:cNvPr id="4" name="Picture 3" descr="Rating-tool-header_No-name_revised.jpg">
          <a:extLst>
            <a:ext uri="{FF2B5EF4-FFF2-40B4-BE49-F238E27FC236}">
              <a16:creationId xmlns:a16="http://schemas.microsoft.com/office/drawing/2014/main" id="{00000000-0008-0000-0B00-000004000000}"/>
            </a:ext>
          </a:extLst>
        </xdr:cNvPr>
        <xdr:cNvPicPr>
          <a:picLocks noChangeAspect="1"/>
        </xdr:cNvPicPr>
      </xdr:nvPicPr>
      <xdr:blipFill rotWithShape="1">
        <a:blip xmlns:r="http://schemas.openxmlformats.org/officeDocument/2006/relationships" r:embed="rId1" cstate="print"/>
        <a:srcRect r="68360"/>
        <a:stretch/>
      </xdr:blipFill>
      <xdr:spPr>
        <a:xfrm>
          <a:off x="9525" y="9525"/>
          <a:ext cx="2314575" cy="1060704"/>
        </a:xfrm>
        <a:prstGeom prst="rect">
          <a:avLst/>
        </a:prstGeom>
      </xdr:spPr>
    </xdr:pic>
    <xdr:clientData/>
  </xdr:twoCellAnchor>
  <xdr:twoCellAnchor editAs="oneCell">
    <xdr:from>
      <xdr:col>5</xdr:col>
      <xdr:colOff>581024</xdr:colOff>
      <xdr:row>0</xdr:row>
      <xdr:rowOff>9525</xdr:rowOff>
    </xdr:from>
    <xdr:to>
      <xdr:col>7</xdr:col>
      <xdr:colOff>2647949</xdr:colOff>
      <xdr:row>0</xdr:row>
      <xdr:rowOff>1070229</xdr:rowOff>
    </xdr:to>
    <xdr:pic>
      <xdr:nvPicPr>
        <xdr:cNvPr id="5" name="Picture 4" descr="Rating-tool-header_No-name_revised.jpg">
          <a:extLst>
            <a:ext uri="{FF2B5EF4-FFF2-40B4-BE49-F238E27FC236}">
              <a16:creationId xmlns:a16="http://schemas.microsoft.com/office/drawing/2014/main" id="{00000000-0008-0000-0B00-000005000000}"/>
            </a:ext>
          </a:extLst>
        </xdr:cNvPr>
        <xdr:cNvPicPr>
          <a:picLocks noChangeAspect="1"/>
        </xdr:cNvPicPr>
      </xdr:nvPicPr>
      <xdr:blipFill rotWithShape="1">
        <a:blip xmlns:r="http://schemas.openxmlformats.org/officeDocument/2006/relationships" r:embed="rId1" cstate="print"/>
        <a:srcRect l="31380"/>
        <a:stretch/>
      </xdr:blipFill>
      <xdr:spPr>
        <a:xfrm>
          <a:off x="7886699" y="9525"/>
          <a:ext cx="5019675" cy="106070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285750</xdr:colOff>
      <xdr:row>1</xdr:row>
      <xdr:rowOff>3429</xdr:rowOff>
    </xdr:to>
    <xdr:pic>
      <xdr:nvPicPr>
        <xdr:cNvPr id="3" name="Picture 2" descr="Rating-tool-header_No-name_revised.jpg">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stretch>
          <a:fillRect/>
        </a:stretch>
      </xdr:blipFill>
      <xdr:spPr>
        <a:xfrm>
          <a:off x="0" y="0"/>
          <a:ext cx="7315200" cy="106070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7</xdr:col>
      <xdr:colOff>0</xdr:colOff>
      <xdr:row>0</xdr:row>
      <xdr:rowOff>1060704</xdr:rowOff>
    </xdr:to>
    <xdr:pic>
      <xdr:nvPicPr>
        <xdr:cNvPr id="4" name="Picture 3" descr="Rating-tool-header_No-name_revised.jpg">
          <a:extLst>
            <a:ext uri="{FF2B5EF4-FFF2-40B4-BE49-F238E27FC236}">
              <a16:creationId xmlns:a16="http://schemas.microsoft.com/office/drawing/2014/main" id="{00000000-0008-0000-0D00-000004000000}"/>
            </a:ext>
          </a:extLst>
        </xdr:cNvPr>
        <xdr:cNvPicPr>
          <a:picLocks noChangeAspect="1"/>
        </xdr:cNvPicPr>
      </xdr:nvPicPr>
      <xdr:blipFill>
        <a:blip xmlns:r="http://schemas.openxmlformats.org/officeDocument/2006/relationships" r:embed="rId1" cstate="print"/>
        <a:stretch>
          <a:fillRect/>
        </a:stretch>
      </xdr:blipFill>
      <xdr:spPr>
        <a:xfrm>
          <a:off x="476250" y="0"/>
          <a:ext cx="7315200" cy="10607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3</xdr:col>
      <xdr:colOff>2160173</xdr:colOff>
      <xdr:row>14</xdr:row>
      <xdr:rowOff>714375</xdr:rowOff>
    </xdr:from>
    <xdr:ext cx="2307560" cy="1667242"/>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437023" y="6029325"/>
          <a:ext cx="2307560" cy="1667242"/>
        </a:xfrm>
        <a:prstGeom prst="rect">
          <a:avLst/>
        </a:prstGeom>
      </xdr:spPr>
    </xdr:pic>
    <xdr:clientData/>
  </xdr:oneCellAnchor>
  <xdr:twoCellAnchor editAs="oneCell">
    <xdr:from>
      <xdr:col>1</xdr:col>
      <xdr:colOff>3613</xdr:colOff>
      <xdr:row>0</xdr:row>
      <xdr:rowOff>9525</xdr:rowOff>
    </xdr:from>
    <xdr:to>
      <xdr:col>3</xdr:col>
      <xdr:colOff>4143375</xdr:colOff>
      <xdr:row>0</xdr:row>
      <xdr:rowOff>1333499</xdr:rowOff>
    </xdr:to>
    <xdr:pic>
      <xdr:nvPicPr>
        <xdr:cNvPr id="5" name="Picture 4" descr="Rating-tool-header_No-name_revised.jpg">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stretch>
          <a:fillRect/>
        </a:stretch>
      </xdr:blipFill>
      <xdr:spPr>
        <a:xfrm>
          <a:off x="289363" y="9525"/>
          <a:ext cx="9130862" cy="132397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9525</xdr:rowOff>
    </xdr:from>
    <xdr:to>
      <xdr:col>8</xdr:col>
      <xdr:colOff>133010</xdr:colOff>
      <xdr:row>0</xdr:row>
      <xdr:rowOff>1200150</xdr:rowOff>
    </xdr:to>
    <xdr:pic>
      <xdr:nvPicPr>
        <xdr:cNvPr id="2" name="Picture 1" descr="Rating-tool-header_No-name_revised.jp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stretch>
          <a:fillRect/>
        </a:stretch>
      </xdr:blipFill>
      <xdr:spPr>
        <a:xfrm>
          <a:off x="1" y="9525"/>
          <a:ext cx="8499134" cy="11811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0</xdr:row>
      <xdr:rowOff>9525</xdr:rowOff>
    </xdr:from>
    <xdr:to>
      <xdr:col>1</xdr:col>
      <xdr:colOff>2187575</xdr:colOff>
      <xdr:row>1</xdr:row>
      <xdr:rowOff>3270</xdr:rowOff>
    </xdr:to>
    <xdr:pic>
      <xdr:nvPicPr>
        <xdr:cNvPr id="4" name="Picture 3" descr="Rating-tool-header_No-name_revised.jpg">
          <a:extLst>
            <a:ext uri="{FF2B5EF4-FFF2-40B4-BE49-F238E27FC236}">
              <a16:creationId xmlns:a16="http://schemas.microsoft.com/office/drawing/2014/main" id="{00000000-0008-0000-0300-000004000000}"/>
            </a:ext>
          </a:extLst>
        </xdr:cNvPr>
        <xdr:cNvPicPr>
          <a:picLocks noChangeAspect="1"/>
        </xdr:cNvPicPr>
      </xdr:nvPicPr>
      <xdr:blipFill rotWithShape="1">
        <a:blip xmlns:r="http://schemas.openxmlformats.org/officeDocument/2006/relationships" r:embed="rId1" cstate="print"/>
        <a:srcRect r="70182"/>
        <a:stretch/>
      </xdr:blipFill>
      <xdr:spPr>
        <a:xfrm>
          <a:off x="381000" y="9525"/>
          <a:ext cx="2181225" cy="1060704"/>
        </a:xfrm>
        <a:prstGeom prst="rect">
          <a:avLst/>
        </a:prstGeom>
      </xdr:spPr>
    </xdr:pic>
    <xdr:clientData/>
  </xdr:twoCellAnchor>
  <xdr:twoCellAnchor editAs="oneCell">
    <xdr:from>
      <xdr:col>7</xdr:col>
      <xdr:colOff>16674</xdr:colOff>
      <xdr:row>0</xdr:row>
      <xdr:rowOff>9525</xdr:rowOff>
    </xdr:from>
    <xdr:to>
      <xdr:col>10</xdr:col>
      <xdr:colOff>19305</xdr:colOff>
      <xdr:row>1</xdr:row>
      <xdr:rowOff>3270</xdr:rowOff>
    </xdr:to>
    <xdr:pic>
      <xdr:nvPicPr>
        <xdr:cNvPr id="6" name="Picture 5" descr="Rating-tool-header_No-name_revised.jpg">
          <a:extLst>
            <a:ext uri="{FF2B5EF4-FFF2-40B4-BE49-F238E27FC236}">
              <a16:creationId xmlns:a16="http://schemas.microsoft.com/office/drawing/2014/main" id="{00000000-0008-0000-0300-000006000000}"/>
            </a:ext>
          </a:extLst>
        </xdr:cNvPr>
        <xdr:cNvPicPr>
          <a:picLocks noChangeAspect="1"/>
        </xdr:cNvPicPr>
      </xdr:nvPicPr>
      <xdr:blipFill rotWithShape="1">
        <a:blip xmlns:r="http://schemas.openxmlformats.org/officeDocument/2006/relationships" r:embed="rId1" cstate="print"/>
        <a:srcRect l="31401"/>
        <a:stretch/>
      </xdr:blipFill>
      <xdr:spPr>
        <a:xfrm>
          <a:off x="11244268" y="9525"/>
          <a:ext cx="4635273" cy="106070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2384213</xdr:colOff>
      <xdr:row>1</xdr:row>
      <xdr:rowOff>93811</xdr:rowOff>
    </xdr:to>
    <xdr:pic>
      <xdr:nvPicPr>
        <xdr:cNvPr id="4" name="Picture 3" descr="Rating-tool-header_No-name_revised.jpg">
          <a:extLst>
            <a:ext uri="{FF2B5EF4-FFF2-40B4-BE49-F238E27FC236}">
              <a16:creationId xmlns:a16="http://schemas.microsoft.com/office/drawing/2014/main" id="{00000000-0008-0000-0400-000004000000}"/>
            </a:ext>
          </a:extLst>
        </xdr:cNvPr>
        <xdr:cNvPicPr>
          <a:picLocks noChangeAspect="1"/>
        </xdr:cNvPicPr>
      </xdr:nvPicPr>
      <xdr:blipFill rotWithShape="1">
        <a:blip xmlns:r="http://schemas.openxmlformats.org/officeDocument/2006/relationships" r:embed="rId1" cstate="print"/>
        <a:srcRect r="67303"/>
        <a:stretch/>
      </xdr:blipFill>
      <xdr:spPr>
        <a:xfrm>
          <a:off x="381000" y="0"/>
          <a:ext cx="2391833" cy="1060704"/>
        </a:xfrm>
        <a:prstGeom prst="rect">
          <a:avLst/>
        </a:prstGeom>
      </xdr:spPr>
    </xdr:pic>
    <xdr:clientData/>
  </xdr:twoCellAnchor>
  <xdr:twoCellAnchor editAs="oneCell">
    <xdr:from>
      <xdr:col>7</xdr:col>
      <xdr:colOff>1111250</xdr:colOff>
      <xdr:row>0</xdr:row>
      <xdr:rowOff>10583</xdr:rowOff>
    </xdr:from>
    <xdr:to>
      <xdr:col>11</xdr:col>
      <xdr:colOff>16507</xdr:colOff>
      <xdr:row>1</xdr:row>
      <xdr:rowOff>98044</xdr:rowOff>
    </xdr:to>
    <xdr:pic>
      <xdr:nvPicPr>
        <xdr:cNvPr id="5" name="Picture 4" descr="Rating-tool-header_No-name_revised.jpg">
          <a:extLst>
            <a:ext uri="{FF2B5EF4-FFF2-40B4-BE49-F238E27FC236}">
              <a16:creationId xmlns:a16="http://schemas.microsoft.com/office/drawing/2014/main" id="{00000000-0008-0000-0400-000005000000}"/>
            </a:ext>
          </a:extLst>
        </xdr:cNvPr>
        <xdr:cNvPicPr>
          <a:picLocks noChangeAspect="1"/>
        </xdr:cNvPicPr>
      </xdr:nvPicPr>
      <xdr:blipFill rotWithShape="1">
        <a:blip xmlns:r="http://schemas.openxmlformats.org/officeDocument/2006/relationships" r:embed="rId1" cstate="print"/>
        <a:srcRect l="30092"/>
        <a:stretch/>
      </xdr:blipFill>
      <xdr:spPr>
        <a:xfrm>
          <a:off x="12731750" y="10583"/>
          <a:ext cx="5113864" cy="106070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2278592</xdr:colOff>
      <xdr:row>1</xdr:row>
      <xdr:rowOff>55287</xdr:rowOff>
    </xdr:to>
    <xdr:pic>
      <xdr:nvPicPr>
        <xdr:cNvPr id="2" name="Picture 1" descr="Rating-tool-header_No-name_revised.jpg">
          <a:extLst>
            <a:ext uri="{FF2B5EF4-FFF2-40B4-BE49-F238E27FC236}">
              <a16:creationId xmlns:a16="http://schemas.microsoft.com/office/drawing/2014/main" id="{00000000-0008-0000-0500-000002000000}"/>
            </a:ext>
          </a:extLst>
        </xdr:cNvPr>
        <xdr:cNvPicPr>
          <a:picLocks noChangeAspect="1"/>
        </xdr:cNvPicPr>
      </xdr:nvPicPr>
      <xdr:blipFill rotWithShape="1">
        <a:blip xmlns:r="http://schemas.openxmlformats.org/officeDocument/2006/relationships" r:embed="rId1" cstate="print"/>
        <a:srcRect r="68920"/>
        <a:stretch/>
      </xdr:blipFill>
      <xdr:spPr>
        <a:xfrm>
          <a:off x="381000" y="0"/>
          <a:ext cx="2275417" cy="1060704"/>
        </a:xfrm>
        <a:prstGeom prst="rect">
          <a:avLst/>
        </a:prstGeom>
      </xdr:spPr>
    </xdr:pic>
    <xdr:clientData/>
  </xdr:twoCellAnchor>
  <xdr:twoCellAnchor editAs="oneCell">
    <xdr:from>
      <xdr:col>7</xdr:col>
      <xdr:colOff>1005417</xdr:colOff>
      <xdr:row>0</xdr:row>
      <xdr:rowOff>10583</xdr:rowOff>
    </xdr:from>
    <xdr:to>
      <xdr:col>10</xdr:col>
      <xdr:colOff>1526114</xdr:colOff>
      <xdr:row>1</xdr:row>
      <xdr:rowOff>69045</xdr:rowOff>
    </xdr:to>
    <xdr:pic>
      <xdr:nvPicPr>
        <xdr:cNvPr id="4" name="Picture 3" descr="Rating-tool-header_No-name_revised.jpg">
          <a:extLst>
            <a:ext uri="{FF2B5EF4-FFF2-40B4-BE49-F238E27FC236}">
              <a16:creationId xmlns:a16="http://schemas.microsoft.com/office/drawing/2014/main" id="{00000000-0008-0000-0500-000004000000}"/>
            </a:ext>
          </a:extLst>
        </xdr:cNvPr>
        <xdr:cNvPicPr>
          <a:picLocks noChangeAspect="1"/>
        </xdr:cNvPicPr>
      </xdr:nvPicPr>
      <xdr:blipFill rotWithShape="1">
        <a:blip xmlns:r="http://schemas.openxmlformats.org/officeDocument/2006/relationships" r:embed="rId1" cstate="print"/>
        <a:srcRect l="29803"/>
        <a:stretch/>
      </xdr:blipFill>
      <xdr:spPr>
        <a:xfrm>
          <a:off x="12625917" y="10583"/>
          <a:ext cx="5135030" cy="106070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2383678</xdr:colOff>
      <xdr:row>1</xdr:row>
      <xdr:rowOff>231469</xdr:rowOff>
    </xdr:to>
    <xdr:pic>
      <xdr:nvPicPr>
        <xdr:cNvPr id="2" name="Picture 1" descr="Rating-tool-header_No-name_revised.jpg">
          <a:extLst>
            <a:ext uri="{FF2B5EF4-FFF2-40B4-BE49-F238E27FC236}">
              <a16:creationId xmlns:a16="http://schemas.microsoft.com/office/drawing/2014/main" id="{00000000-0008-0000-0600-000002000000}"/>
            </a:ext>
          </a:extLst>
        </xdr:cNvPr>
        <xdr:cNvPicPr>
          <a:picLocks noChangeAspect="1"/>
        </xdr:cNvPicPr>
      </xdr:nvPicPr>
      <xdr:blipFill rotWithShape="1">
        <a:blip xmlns:r="http://schemas.openxmlformats.org/officeDocument/2006/relationships" r:embed="rId1" cstate="print"/>
        <a:srcRect r="67371"/>
        <a:stretch/>
      </xdr:blipFill>
      <xdr:spPr>
        <a:xfrm>
          <a:off x="0" y="0"/>
          <a:ext cx="2386853" cy="1060704"/>
        </a:xfrm>
        <a:prstGeom prst="rect">
          <a:avLst/>
        </a:prstGeom>
      </xdr:spPr>
    </xdr:pic>
    <xdr:clientData/>
  </xdr:twoCellAnchor>
  <xdr:twoCellAnchor editAs="oneCell">
    <xdr:from>
      <xdr:col>7</xdr:col>
      <xdr:colOff>1098176</xdr:colOff>
      <xdr:row>0</xdr:row>
      <xdr:rowOff>11206</xdr:rowOff>
    </xdr:from>
    <xdr:to>
      <xdr:col>10</xdr:col>
      <xdr:colOff>1507078</xdr:colOff>
      <xdr:row>2</xdr:row>
      <xdr:rowOff>1225</xdr:rowOff>
    </xdr:to>
    <xdr:pic>
      <xdr:nvPicPr>
        <xdr:cNvPr id="4" name="Picture 3" descr="Rating-tool-header_No-name_revised.jpg">
          <a:extLst>
            <a:ext uri="{FF2B5EF4-FFF2-40B4-BE49-F238E27FC236}">
              <a16:creationId xmlns:a16="http://schemas.microsoft.com/office/drawing/2014/main" id="{00000000-0008-0000-0600-000004000000}"/>
            </a:ext>
          </a:extLst>
        </xdr:cNvPr>
        <xdr:cNvPicPr>
          <a:picLocks noChangeAspect="1"/>
        </xdr:cNvPicPr>
      </xdr:nvPicPr>
      <xdr:blipFill rotWithShape="1">
        <a:blip xmlns:r="http://schemas.openxmlformats.org/officeDocument/2006/relationships" r:embed="rId1" cstate="print"/>
        <a:srcRect l="31832"/>
        <a:stretch/>
      </xdr:blipFill>
      <xdr:spPr>
        <a:xfrm>
          <a:off x="12023911" y="11206"/>
          <a:ext cx="4986617" cy="106070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6</xdr:col>
      <xdr:colOff>554641</xdr:colOff>
      <xdr:row>1</xdr:row>
      <xdr:rowOff>136144</xdr:rowOff>
    </xdr:to>
    <xdr:pic>
      <xdr:nvPicPr>
        <xdr:cNvPr id="2" name="Picture 1" descr="Rating-tool-header_No-name_revised.jpg">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stretch>
          <a:fillRect/>
        </a:stretch>
      </xdr:blipFill>
      <xdr:spPr>
        <a:xfrm>
          <a:off x="533400" y="0"/>
          <a:ext cx="7315200" cy="106070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2178844</xdr:colOff>
      <xdr:row>1</xdr:row>
      <xdr:rowOff>12954</xdr:rowOff>
    </xdr:to>
    <xdr:pic>
      <xdr:nvPicPr>
        <xdr:cNvPr id="2" name="Picture 1" descr="Rating-tool-header_No-name_revised.jpg">
          <a:extLst>
            <a:ext uri="{FF2B5EF4-FFF2-40B4-BE49-F238E27FC236}">
              <a16:creationId xmlns:a16="http://schemas.microsoft.com/office/drawing/2014/main" id="{00000000-0008-0000-0800-000002000000}"/>
            </a:ext>
          </a:extLst>
        </xdr:cNvPr>
        <xdr:cNvPicPr>
          <a:picLocks noChangeAspect="1"/>
        </xdr:cNvPicPr>
      </xdr:nvPicPr>
      <xdr:blipFill rotWithShape="1">
        <a:blip xmlns:r="http://schemas.openxmlformats.org/officeDocument/2006/relationships" r:embed="rId1" cstate="print"/>
        <a:srcRect r="70215"/>
        <a:stretch/>
      </xdr:blipFill>
      <xdr:spPr>
        <a:xfrm>
          <a:off x="381000" y="0"/>
          <a:ext cx="2178844" cy="1060704"/>
        </a:xfrm>
        <a:prstGeom prst="rect">
          <a:avLst/>
        </a:prstGeom>
      </xdr:spPr>
    </xdr:pic>
    <xdr:clientData/>
  </xdr:twoCellAnchor>
  <xdr:twoCellAnchor editAs="oneCell">
    <xdr:from>
      <xdr:col>7</xdr:col>
      <xdr:colOff>1190625</xdr:colOff>
      <xdr:row>0</xdr:row>
      <xdr:rowOff>11906</xdr:rowOff>
    </xdr:from>
    <xdr:to>
      <xdr:col>11</xdr:col>
      <xdr:colOff>0</xdr:colOff>
      <xdr:row>1</xdr:row>
      <xdr:rowOff>24860</xdr:rowOff>
    </xdr:to>
    <xdr:pic>
      <xdr:nvPicPr>
        <xdr:cNvPr id="3" name="Picture 2" descr="Rating-tool-header_No-name_revised.jpg">
          <a:extLst>
            <a:ext uri="{FF2B5EF4-FFF2-40B4-BE49-F238E27FC236}">
              <a16:creationId xmlns:a16="http://schemas.microsoft.com/office/drawing/2014/main" id="{00000000-0008-0000-0800-000003000000}"/>
            </a:ext>
          </a:extLst>
        </xdr:cNvPr>
        <xdr:cNvPicPr>
          <a:picLocks noChangeAspect="1"/>
        </xdr:cNvPicPr>
      </xdr:nvPicPr>
      <xdr:blipFill rotWithShape="1">
        <a:blip xmlns:r="http://schemas.openxmlformats.org/officeDocument/2006/relationships" r:embed="rId1" cstate="print"/>
        <a:srcRect l="32292"/>
        <a:stretch/>
      </xdr:blipFill>
      <xdr:spPr>
        <a:xfrm>
          <a:off x="13239750" y="11906"/>
          <a:ext cx="4933950" cy="1060704"/>
        </a:xfrm>
        <a:prstGeom prst="rect">
          <a:avLst/>
        </a:prstGeom>
      </xdr:spPr>
    </xdr:pic>
    <xdr:clientData/>
  </xdr:twoCellAnchor>
  <xdr:twoCellAnchor editAs="oneCell">
    <xdr:from>
      <xdr:col>1</xdr:col>
      <xdr:colOff>2202657</xdr:colOff>
      <xdr:row>0</xdr:row>
      <xdr:rowOff>214313</xdr:rowOff>
    </xdr:from>
    <xdr:to>
      <xdr:col>2</xdr:col>
      <xdr:colOff>838013</xdr:colOff>
      <xdr:row>0</xdr:row>
      <xdr:rowOff>723330</xdr:rowOff>
    </xdr:to>
    <xdr:pic>
      <xdr:nvPicPr>
        <xdr:cNvPr id="4" name="Picture 3">
          <a:extLst>
            <a:ext uri="{FF2B5EF4-FFF2-40B4-BE49-F238E27FC236}">
              <a16:creationId xmlns:a16="http://schemas.microsoft.com/office/drawing/2014/main" id="{00000000-0008-0000-08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83657" y="214313"/>
          <a:ext cx="1338075" cy="509017"/>
        </a:xfrm>
        <a:prstGeom prst="rect">
          <a:avLst/>
        </a:prstGeom>
      </xdr:spPr>
    </xdr:pic>
    <xdr:clientData/>
  </xdr:twoCellAnchor>
</xdr:wsDr>
</file>

<file path=xl/theme/theme1.xml><?xml version="1.0" encoding="utf-8"?>
<a:theme xmlns:a="http://schemas.openxmlformats.org/drawingml/2006/main" name="Office Theme">
  <a:themeElements>
    <a:clrScheme name="Performance">
      <a:dk1>
        <a:srgbClr val="3F4450"/>
      </a:dk1>
      <a:lt1>
        <a:srgbClr val="FFFFFF"/>
      </a:lt1>
      <a:dk2>
        <a:srgbClr val="56B3D0"/>
      </a:dk2>
      <a:lt2>
        <a:srgbClr val="FFFFFF"/>
      </a:lt2>
      <a:accent1>
        <a:srgbClr val="56B3D0"/>
      </a:accent1>
      <a:accent2>
        <a:srgbClr val="78C2D9"/>
      </a:accent2>
      <a:accent3>
        <a:srgbClr val="AAD9E7"/>
      </a:accent3>
      <a:accent4>
        <a:srgbClr val="CCE8F1"/>
      </a:accent4>
      <a:accent5>
        <a:srgbClr val="3F4450"/>
      </a:accent5>
      <a:accent6>
        <a:srgbClr val="9FA2A7"/>
      </a:accent6>
      <a:hlink>
        <a:srgbClr val="56B3D0"/>
      </a:hlink>
      <a:folHlink>
        <a:srgbClr val="C5C7CA"/>
      </a:folHlink>
    </a:clrScheme>
    <a:fontScheme name="Green Star Corporate">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 Id="rId6" Type="http://schemas.openxmlformats.org/officeDocument/2006/relationships/drawing" Target="../drawings/drawing10.xml"/><Relationship Id="rId5" Type="http://schemas.openxmlformats.org/officeDocument/2006/relationships/printerSettings" Target="../printerSettings/printerSettings50.bin"/><Relationship Id="rId4" Type="http://schemas.openxmlformats.org/officeDocument/2006/relationships/printerSettings" Target="../printerSettings/printerSettings49.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53.bin"/><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6" Type="http://schemas.openxmlformats.org/officeDocument/2006/relationships/drawing" Target="../drawings/drawing11.xml"/><Relationship Id="rId5" Type="http://schemas.openxmlformats.org/officeDocument/2006/relationships/printerSettings" Target="../printerSettings/printerSettings55.bin"/><Relationship Id="rId4" Type="http://schemas.openxmlformats.org/officeDocument/2006/relationships/printerSettings" Target="../printerSettings/printerSettings54.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climatechange.gov.au/en/publications/greenhouse-acctg/national-greenhouse-factors.aspx" TargetMode="External"/><Relationship Id="rId13" Type="http://schemas.openxmlformats.org/officeDocument/2006/relationships/hyperlink" Target="http://www.mfe.govt.nz/publications/climate-change/guidance-voluntary-greenhouse-gas-reporting-2016-data-and-methods-2014" TargetMode="External"/><Relationship Id="rId3" Type="http://schemas.openxmlformats.org/officeDocument/2006/relationships/printerSettings" Target="../printerSettings/printerSettings58.bin"/><Relationship Id="rId7" Type="http://schemas.openxmlformats.org/officeDocument/2006/relationships/hyperlink" Target="http://www.climatechange.gov.au/en/publications/greenhouse-acctg/national-greenhouse-factors.aspx" TargetMode="External"/><Relationship Id="rId12" Type="http://schemas.openxmlformats.org/officeDocument/2006/relationships/hyperlink" Target="http://www.mfe.govt.nz/publications/climate-change/guidance-voluntary-greenhouse-gas-reporting-2016-data-and-methods-2014" TargetMode="External"/><Relationship Id="rId2" Type="http://schemas.openxmlformats.org/officeDocument/2006/relationships/printerSettings" Target="../printerSettings/printerSettings57.bin"/><Relationship Id="rId16" Type="http://schemas.openxmlformats.org/officeDocument/2006/relationships/drawing" Target="../drawings/drawing12.xml"/><Relationship Id="rId1" Type="http://schemas.openxmlformats.org/officeDocument/2006/relationships/printerSettings" Target="../printerSettings/printerSettings56.bin"/><Relationship Id="rId6" Type="http://schemas.openxmlformats.org/officeDocument/2006/relationships/hyperlink" Target="http://www.climatechange.gov.au/en/publications/greenhouse-acctg/national-greenhouse-factors.aspx" TargetMode="External"/><Relationship Id="rId11" Type="http://schemas.openxmlformats.org/officeDocument/2006/relationships/hyperlink" Target="http://www.mfe.govt.nz/publications/climate-change/guidance-voluntary-greenhouse-gas-reporting-2016-data-and-methods-2014" TargetMode="External"/><Relationship Id="rId5" Type="http://schemas.openxmlformats.org/officeDocument/2006/relationships/hyperlink" Target="http://www.climatechange.gov.au/en/publications/greenhouse-acctg/national-greenhouse-factors.aspx" TargetMode="External"/><Relationship Id="rId15" Type="http://schemas.openxmlformats.org/officeDocument/2006/relationships/printerSettings" Target="../printerSettings/printerSettings60.bin"/><Relationship Id="rId10" Type="http://schemas.openxmlformats.org/officeDocument/2006/relationships/hyperlink" Target="http://www.mfe.govt.nz/publications/climate-change/guidance-voluntary-greenhouse-gas-reporting-2016-data-and-methods-2014" TargetMode="External"/><Relationship Id="rId4" Type="http://schemas.openxmlformats.org/officeDocument/2006/relationships/printerSettings" Target="../printerSettings/printerSettings59.bin"/><Relationship Id="rId9" Type="http://schemas.openxmlformats.org/officeDocument/2006/relationships/hyperlink" Target="http://www.climatechange.gov.au/en/publications/greenhouse-acctg/national-greenhouse-factors.aspx" TargetMode="External"/><Relationship Id="rId14" Type="http://schemas.openxmlformats.org/officeDocument/2006/relationships/hyperlink" Target="http://www.mfe.govt.nz/publications/climate-change/guidance-voluntary-greenhouse-gas-reporting-2016-data-and-methods-2014"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63.bin"/><Relationship Id="rId7" Type="http://schemas.openxmlformats.org/officeDocument/2006/relationships/vmlDrawing" Target="../drawings/vmlDrawing8.vml"/><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6" Type="http://schemas.openxmlformats.org/officeDocument/2006/relationships/drawing" Target="../drawings/drawing13.xml"/><Relationship Id="rId5" Type="http://schemas.openxmlformats.org/officeDocument/2006/relationships/printerSettings" Target="../printerSettings/printerSettings65.bin"/><Relationship Id="rId4" Type="http://schemas.openxmlformats.org/officeDocument/2006/relationships/printerSettings" Target="../printerSettings/printerSettings64.bin"/></Relationships>
</file>

<file path=xl/worksheets/_rels/sheet14.xml.rels><?xml version="1.0" encoding="UTF-8" standalone="yes"?>
<Relationships xmlns="http://schemas.openxmlformats.org/package/2006/relationships"><Relationship Id="rId8" Type="http://schemas.openxmlformats.org/officeDocument/2006/relationships/vmlDrawing" Target="../drawings/vmlDrawing10.vml"/><Relationship Id="rId3" Type="http://schemas.openxmlformats.org/officeDocument/2006/relationships/printerSettings" Target="../printerSettings/printerSettings68.bin"/><Relationship Id="rId7" Type="http://schemas.openxmlformats.org/officeDocument/2006/relationships/vmlDrawing" Target="../drawings/vmlDrawing9.vml"/><Relationship Id="rId2" Type="http://schemas.openxmlformats.org/officeDocument/2006/relationships/printerSettings" Target="../printerSettings/printerSettings67.bin"/><Relationship Id="rId1" Type="http://schemas.openxmlformats.org/officeDocument/2006/relationships/printerSettings" Target="../printerSettings/printerSettings66.bin"/><Relationship Id="rId6" Type="http://schemas.openxmlformats.org/officeDocument/2006/relationships/drawing" Target="../drawings/drawing14.xml"/><Relationship Id="rId5" Type="http://schemas.openxmlformats.org/officeDocument/2006/relationships/printerSettings" Target="../printerSettings/printerSettings70.bin"/><Relationship Id="rId4" Type="http://schemas.openxmlformats.org/officeDocument/2006/relationships/printerSettings" Target="../printerSettings/printerSettings69.bin"/><Relationship Id="rId9" Type="http://schemas.openxmlformats.org/officeDocument/2006/relationships/comments" Target="../comments2.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 Id="rId6" Type="http://schemas.openxmlformats.org/officeDocument/2006/relationships/drawing" Target="../drawings/drawing2.xml"/><Relationship Id="rId5" Type="http://schemas.openxmlformats.org/officeDocument/2006/relationships/printerSettings" Target="../printerSettings/printerSettings10.bin"/><Relationship Id="rId4"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drawing" Target="../drawings/drawing3.xml"/><Relationship Id="rId5" Type="http://schemas.openxmlformats.org/officeDocument/2006/relationships/printerSettings" Target="../printerSettings/printerSettings15.bin"/><Relationship Id="rId4" Type="http://schemas.openxmlformats.org/officeDocument/2006/relationships/printerSettings" Target="../printerSettings/printerSettings14.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8.bin"/><Relationship Id="rId7" Type="http://schemas.openxmlformats.org/officeDocument/2006/relationships/vmlDrawing" Target="../drawings/vmlDrawing1.vml"/><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 Id="rId6" Type="http://schemas.openxmlformats.org/officeDocument/2006/relationships/drawing" Target="../drawings/drawing4.xml"/><Relationship Id="rId5" Type="http://schemas.openxmlformats.org/officeDocument/2006/relationships/printerSettings" Target="../printerSettings/printerSettings20.bin"/><Relationship Id="rId4" Type="http://schemas.openxmlformats.org/officeDocument/2006/relationships/printerSettings" Target="../printerSettings/printerSettings19.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3.bin"/><Relationship Id="rId7" Type="http://schemas.openxmlformats.org/officeDocument/2006/relationships/vmlDrawing" Target="../drawings/vmlDrawing2.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drawing" Target="../drawings/drawing5.xml"/><Relationship Id="rId5" Type="http://schemas.openxmlformats.org/officeDocument/2006/relationships/printerSettings" Target="../printerSettings/printerSettings25.bin"/><Relationship Id="rId4" Type="http://schemas.openxmlformats.org/officeDocument/2006/relationships/printerSettings" Target="../printerSettings/printerSettings24.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8.bin"/><Relationship Id="rId7" Type="http://schemas.openxmlformats.org/officeDocument/2006/relationships/vmlDrawing" Target="../drawings/vmlDrawing3.vml"/><Relationship Id="rId2" Type="http://schemas.openxmlformats.org/officeDocument/2006/relationships/printerSettings" Target="../printerSettings/printerSettings27.bin"/><Relationship Id="rId1" Type="http://schemas.openxmlformats.org/officeDocument/2006/relationships/printerSettings" Target="../printerSettings/printerSettings26.bin"/><Relationship Id="rId6" Type="http://schemas.openxmlformats.org/officeDocument/2006/relationships/drawing" Target="../drawings/drawing6.xml"/><Relationship Id="rId5" Type="http://schemas.openxmlformats.org/officeDocument/2006/relationships/printerSettings" Target="../printerSettings/printerSettings30.bin"/><Relationship Id="rId4" Type="http://schemas.openxmlformats.org/officeDocument/2006/relationships/printerSettings" Target="../printerSettings/printerSettings29.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33.bin"/><Relationship Id="rId7" Type="http://schemas.openxmlformats.org/officeDocument/2006/relationships/vmlDrawing" Target="../drawings/vmlDrawing4.vml"/><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 Id="rId6" Type="http://schemas.openxmlformats.org/officeDocument/2006/relationships/drawing" Target="../drawings/drawing7.xml"/><Relationship Id="rId5" Type="http://schemas.openxmlformats.org/officeDocument/2006/relationships/printerSettings" Target="../printerSettings/printerSettings35.bin"/><Relationship Id="rId4" Type="http://schemas.openxmlformats.org/officeDocument/2006/relationships/printerSettings" Target="../printerSettings/printerSettings34.bin"/></Relationships>
</file>

<file path=xl/worksheets/_rels/sheet8.xml.rels><?xml version="1.0" encoding="UTF-8" standalone="yes"?>
<Relationships xmlns="http://schemas.openxmlformats.org/package/2006/relationships"><Relationship Id="rId8" Type="http://schemas.openxmlformats.org/officeDocument/2006/relationships/vmlDrawing" Target="../drawings/vmlDrawing6.vml"/><Relationship Id="rId3" Type="http://schemas.openxmlformats.org/officeDocument/2006/relationships/printerSettings" Target="../printerSettings/printerSettings38.bin"/><Relationship Id="rId7" Type="http://schemas.openxmlformats.org/officeDocument/2006/relationships/vmlDrawing" Target="../drawings/vmlDrawing5.vml"/><Relationship Id="rId2" Type="http://schemas.openxmlformats.org/officeDocument/2006/relationships/printerSettings" Target="../printerSettings/printerSettings37.bin"/><Relationship Id="rId1" Type="http://schemas.openxmlformats.org/officeDocument/2006/relationships/printerSettings" Target="../printerSettings/printerSettings36.bin"/><Relationship Id="rId6" Type="http://schemas.openxmlformats.org/officeDocument/2006/relationships/drawing" Target="../drawings/drawing8.xml"/><Relationship Id="rId5" Type="http://schemas.openxmlformats.org/officeDocument/2006/relationships/printerSettings" Target="../printerSettings/printerSettings40.bin"/><Relationship Id="rId4" Type="http://schemas.openxmlformats.org/officeDocument/2006/relationships/printerSettings" Target="../printerSettings/printerSettings39.bin"/><Relationship Id="rId9"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43.bin"/><Relationship Id="rId7" Type="http://schemas.openxmlformats.org/officeDocument/2006/relationships/vmlDrawing" Target="../drawings/vmlDrawing7.vml"/><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6" Type="http://schemas.openxmlformats.org/officeDocument/2006/relationships/drawing" Target="../drawings/drawing9.xml"/><Relationship Id="rId5" Type="http://schemas.openxmlformats.org/officeDocument/2006/relationships/printerSettings" Target="../printerSettings/printerSettings45.bin"/><Relationship Id="rId4" Type="http://schemas.openxmlformats.org/officeDocument/2006/relationships/printerSettings" Target="../printerSettings/printerSettings4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
    <pageSetUpPr fitToPage="1"/>
  </sheetPr>
  <dimension ref="A1:S3"/>
  <sheetViews>
    <sheetView showGridLines="0" showRowColHeaders="0" workbookViewId="0">
      <selection activeCell="A3" sqref="A3:S3"/>
    </sheetView>
  </sheetViews>
  <sheetFormatPr defaultColWidth="9.33203125" defaultRowHeight="13.2"/>
  <sheetData>
    <row r="1" spans="1:19" ht="198" customHeight="1"/>
    <row r="2" spans="1:19" ht="15.75" customHeight="1"/>
    <row r="3" spans="1:19" ht="15.6">
      <c r="A3" s="517" t="s">
        <v>0</v>
      </c>
      <c r="B3" s="517"/>
      <c r="C3" s="517"/>
      <c r="D3" s="517"/>
      <c r="E3" s="517"/>
      <c r="F3" s="517"/>
      <c r="G3" s="517"/>
      <c r="H3" s="517"/>
      <c r="I3" s="517"/>
      <c r="J3" s="517"/>
      <c r="K3" s="517"/>
      <c r="L3" s="517"/>
      <c r="M3" s="517"/>
      <c r="N3" s="517"/>
      <c r="O3" s="517"/>
      <c r="P3" s="517"/>
      <c r="Q3" s="517"/>
      <c r="R3" s="517"/>
      <c r="S3" s="517"/>
    </row>
  </sheetData>
  <sheetProtection algorithmName="SHA-512" hashValue="qoGpl4M6Y7FNTlCvh+7N4IV+PprKsOpdX5BRXatQ+0CMH3X3yAYYvwlnF37ml9HiIKqQrfCuBVLWiku+9IW49Q==" saltValue="TBPHXb7hZiAhUH5vT+wvvg==" spinCount="100000" sheet="1" objects="1" scenarios="1" selectLockedCells="1" selectUnlockedCells="1"/>
  <customSheetViews>
    <customSheetView guid="{BA12A2B5-8B2E-47CE-85C5-00A71CD7042B}" showGridLines="0" showRowCol="0" fitToPage="1">
      <selection activeCell="W15" sqref="W15"/>
      <pageMargins left="0" right="0" top="0" bottom="0" header="0" footer="0"/>
      <pageSetup paperSize="9" scale="48" orientation="portrait" r:id="rId1"/>
    </customSheetView>
    <customSheetView guid="{6E4579C3-98CA-4325-AF39-19A629870080}" showGridLines="0" showRowCol="0" fitToPage="1">
      <selection activeCell="W15" sqref="W15"/>
      <pageMargins left="0" right="0" top="0" bottom="0" header="0" footer="0"/>
      <pageSetup paperSize="9" scale="48" orientation="portrait" r:id="rId2"/>
    </customSheetView>
    <customSheetView guid="{BC75B7F8-7A05-4F92-B953-0DB7EDA000F8}" showGridLines="0" showRowCol="0" fitToPage="1">
      <selection activeCell="I47" sqref="I47"/>
      <pageMargins left="0" right="0" top="0" bottom="0" header="0" footer="0"/>
      <pageSetup paperSize="9" scale="48" orientation="portrait" r:id="rId3"/>
    </customSheetView>
    <customSheetView guid="{BF159B5C-C230-4B3A-8DDE-333808894C93}" showGridLines="0" showRowCol="0" fitToPage="1">
      <selection activeCell="I47" sqref="I47"/>
      <pageMargins left="0" right="0" top="0" bottom="0" header="0" footer="0"/>
      <pageSetup paperSize="9" scale="48" orientation="portrait" r:id="rId4"/>
    </customSheetView>
  </customSheetViews>
  <mergeCells count="1">
    <mergeCell ref="A3:S3"/>
  </mergeCells>
  <pageMargins left="0.70866141732283472" right="0.70866141732283472" top="0.74803149606299213" bottom="0.74803149606299213" header="0.31496062992125984" footer="0.31496062992125984"/>
  <pageSetup paperSize="9" scale="48"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N202"/>
  <sheetViews>
    <sheetView showGridLines="0" topLeftCell="A81" zoomScale="70" zoomScaleNormal="70" workbookViewId="0">
      <selection activeCell="D84" sqref="D84:D128"/>
    </sheetView>
  </sheetViews>
  <sheetFormatPr defaultColWidth="9.33203125" defaultRowHeight="15"/>
  <cols>
    <col min="1" max="1" width="2.6640625" style="267" customWidth="1"/>
    <col min="2" max="2" width="75.6640625" style="265" customWidth="1"/>
    <col min="3" max="3" width="10.6640625" style="266" customWidth="1"/>
    <col min="4" max="4" width="18.6640625" style="266" customWidth="1"/>
    <col min="5" max="5" width="18.6640625" style="265" customWidth="1"/>
    <col min="6" max="7" width="18.6640625" style="266" customWidth="1"/>
    <col min="8" max="8" width="68.6640625" style="266" bestFit="1" customWidth="1"/>
    <col min="9" max="9" width="18.6640625" style="266" customWidth="1"/>
    <col min="10" max="10" width="50.6640625" style="266" customWidth="1"/>
    <col min="11" max="11" width="20.6640625" style="266" customWidth="1"/>
    <col min="12" max="12" width="60.6640625" style="265" customWidth="1"/>
    <col min="13" max="13" width="20.6640625" style="266" customWidth="1"/>
    <col min="14" max="14" width="40.6640625" style="265" customWidth="1"/>
    <col min="15" max="16384" width="9.33203125" style="267"/>
  </cols>
  <sheetData>
    <row r="1" spans="2:14" ht="90" customHeight="1"/>
    <row r="2" spans="2:14" ht="20.100000000000001" customHeight="1">
      <c r="B2" s="257" t="s">
        <v>1412</v>
      </c>
      <c r="C2" s="258"/>
      <c r="D2" s="259"/>
      <c r="E2" s="259"/>
      <c r="F2" s="259"/>
      <c r="G2" s="259"/>
      <c r="H2" s="259"/>
      <c r="I2" s="259"/>
      <c r="J2" s="261"/>
      <c r="K2"/>
      <c r="L2"/>
      <c r="M2"/>
      <c r="N2"/>
    </row>
    <row r="3" spans="2:14" ht="54.75" customHeight="1">
      <c r="B3" s="660" t="s">
        <v>1413</v>
      </c>
      <c r="C3" s="662" t="s">
        <v>1414</v>
      </c>
      <c r="D3" s="664" t="s">
        <v>1415</v>
      </c>
      <c r="E3" s="665"/>
      <c r="F3" s="666"/>
      <c r="G3" s="662" t="s">
        <v>1416</v>
      </c>
      <c r="H3" s="660" t="s">
        <v>1417</v>
      </c>
      <c r="I3" s="667" t="s">
        <v>1418</v>
      </c>
      <c r="J3" s="669" t="s">
        <v>1417</v>
      </c>
    </row>
    <row r="4" spans="2:14" ht="18">
      <c r="B4" s="661"/>
      <c r="C4" s="663"/>
      <c r="D4" s="256" t="s">
        <v>1419</v>
      </c>
      <c r="E4" s="256" t="s">
        <v>1420</v>
      </c>
      <c r="F4" s="256" t="s">
        <v>1421</v>
      </c>
      <c r="G4" s="663"/>
      <c r="H4" s="661"/>
      <c r="I4" s="668"/>
      <c r="J4" s="670"/>
    </row>
    <row r="5" spans="2:14">
      <c r="B5" s="442" t="s">
        <v>1231</v>
      </c>
      <c r="C5" s="443">
        <v>2019</v>
      </c>
      <c r="D5" s="444">
        <v>90</v>
      </c>
      <c r="E5" s="444">
        <v>0.03</v>
      </c>
      <c r="F5" s="444">
        <v>0.2</v>
      </c>
      <c r="G5" s="445">
        <f>SUM(D5:F5)</f>
        <v>90.23</v>
      </c>
      <c r="H5" s="446" t="s">
        <v>996</v>
      </c>
      <c r="I5" s="444">
        <v>3</v>
      </c>
      <c r="J5" s="459" t="s">
        <v>1006</v>
      </c>
    </row>
    <row r="6" spans="2:14" ht="15" customHeight="1">
      <c r="B6" s="447" t="s">
        <v>1422</v>
      </c>
      <c r="C6" s="448">
        <v>2019</v>
      </c>
      <c r="D6" s="449">
        <v>90</v>
      </c>
      <c r="E6" s="449">
        <v>0.03</v>
      </c>
      <c r="F6" s="449">
        <v>0.2</v>
      </c>
      <c r="G6" s="450">
        <f>SUM(D6:F6)</f>
        <v>90.23</v>
      </c>
      <c r="H6" s="451" t="s">
        <v>996</v>
      </c>
      <c r="I6" s="449">
        <v>2.5</v>
      </c>
      <c r="J6" s="452" t="s">
        <v>1006</v>
      </c>
    </row>
    <row r="7" spans="2:14" ht="15" customHeight="1">
      <c r="B7" s="447" t="s">
        <v>1225</v>
      </c>
      <c r="C7" s="448">
        <v>2019</v>
      </c>
      <c r="D7" s="449">
        <v>51.4</v>
      </c>
      <c r="E7" s="449">
        <v>0.1</v>
      </c>
      <c r="F7" s="449">
        <v>0.03</v>
      </c>
      <c r="G7" s="450">
        <f t="shared" ref="G7:G10" si="0">SUM(D7:F7)</f>
        <v>51.53</v>
      </c>
      <c r="H7" s="451" t="s">
        <v>985</v>
      </c>
      <c r="I7" s="449" t="s">
        <v>1423</v>
      </c>
      <c r="J7" s="451" t="s">
        <v>921</v>
      </c>
    </row>
    <row r="8" spans="2:14" ht="15" customHeight="1">
      <c r="B8" s="447" t="s">
        <v>1424</v>
      </c>
      <c r="C8" s="448">
        <v>2019</v>
      </c>
      <c r="D8" s="449">
        <v>69.900000000000006</v>
      </c>
      <c r="E8" s="449">
        <v>0.2</v>
      </c>
      <c r="F8" s="449">
        <v>0.2</v>
      </c>
      <c r="G8" s="450">
        <f t="shared" si="0"/>
        <v>70.300000000000011</v>
      </c>
      <c r="H8" s="451" t="s">
        <v>990</v>
      </c>
      <c r="I8" s="449">
        <v>3.6</v>
      </c>
      <c r="J8" s="452" t="s">
        <v>1000</v>
      </c>
    </row>
    <row r="9" spans="2:14" ht="15" customHeight="1">
      <c r="B9" s="447" t="s">
        <v>1425</v>
      </c>
      <c r="C9" s="448">
        <v>2019</v>
      </c>
      <c r="D9" s="449">
        <v>67.400000000000006</v>
      </c>
      <c r="E9" s="449">
        <v>0.2</v>
      </c>
      <c r="F9" s="449">
        <v>0.2</v>
      </c>
      <c r="G9" s="450">
        <f t="shared" si="0"/>
        <v>67.800000000000011</v>
      </c>
      <c r="H9" s="451" t="s">
        <v>990</v>
      </c>
      <c r="I9" s="449">
        <v>3.6</v>
      </c>
      <c r="J9" s="452" t="s">
        <v>1000</v>
      </c>
    </row>
    <row r="10" spans="2:14" ht="15" customHeight="1">
      <c r="B10" s="460" t="s">
        <v>1227</v>
      </c>
      <c r="C10" s="461">
        <v>2019</v>
      </c>
      <c r="D10" s="462">
        <v>60.2</v>
      </c>
      <c r="E10" s="462">
        <v>0.2</v>
      </c>
      <c r="F10" s="462">
        <v>0.2</v>
      </c>
      <c r="G10" s="463">
        <f t="shared" si="0"/>
        <v>60.600000000000009</v>
      </c>
      <c r="H10" s="464" t="s">
        <v>990</v>
      </c>
      <c r="I10" s="462">
        <v>3.6</v>
      </c>
      <c r="J10" s="465" t="s">
        <v>1000</v>
      </c>
    </row>
    <row r="11" spans="2:14" ht="15" customHeight="1">
      <c r="B11" s="442" t="s">
        <v>1231</v>
      </c>
      <c r="C11" s="443">
        <v>2020</v>
      </c>
      <c r="D11" s="444">
        <v>90</v>
      </c>
      <c r="E11" s="444">
        <v>0.04</v>
      </c>
      <c r="F11" s="444">
        <v>0.2</v>
      </c>
      <c r="G11" s="445">
        <v>90.240000000000009</v>
      </c>
      <c r="H11" s="446" t="s">
        <v>1070</v>
      </c>
      <c r="I11" s="444">
        <v>3</v>
      </c>
      <c r="J11" s="459" t="s">
        <v>1076</v>
      </c>
    </row>
    <row r="12" spans="2:14" ht="15" customHeight="1">
      <c r="B12" s="447" t="s">
        <v>1422</v>
      </c>
      <c r="C12" s="448">
        <v>2020</v>
      </c>
      <c r="D12" s="449">
        <v>90</v>
      </c>
      <c r="E12" s="449">
        <v>0.04</v>
      </c>
      <c r="F12" s="449">
        <v>0.2</v>
      </c>
      <c r="G12" s="450">
        <v>90.240000000000009</v>
      </c>
      <c r="H12" s="451" t="s">
        <v>1070</v>
      </c>
      <c r="I12" s="449">
        <v>2.5</v>
      </c>
      <c r="J12" s="452" t="s">
        <v>1076</v>
      </c>
    </row>
    <row r="13" spans="2:14" ht="15" customHeight="1">
      <c r="B13" s="447" t="s">
        <v>1225</v>
      </c>
      <c r="C13" s="448">
        <v>2020</v>
      </c>
      <c r="D13" s="449">
        <v>51.4</v>
      </c>
      <c r="E13" s="449">
        <v>0.1</v>
      </c>
      <c r="F13" s="449">
        <v>0.03</v>
      </c>
      <c r="G13" s="450">
        <v>51.53</v>
      </c>
      <c r="H13" s="451" t="s">
        <v>1061</v>
      </c>
      <c r="I13" s="449" t="s">
        <v>1423</v>
      </c>
      <c r="J13" s="451" t="s">
        <v>921</v>
      </c>
    </row>
    <row r="14" spans="2:14" ht="15" customHeight="1">
      <c r="B14" s="447" t="s">
        <v>1424</v>
      </c>
      <c r="C14" s="448">
        <v>2020</v>
      </c>
      <c r="D14" s="449">
        <v>69.900000000000006</v>
      </c>
      <c r="E14" s="449">
        <v>0.1</v>
      </c>
      <c r="F14" s="449">
        <v>0.2</v>
      </c>
      <c r="G14" s="450">
        <v>70.2</v>
      </c>
      <c r="H14" s="451" t="s">
        <v>1065</v>
      </c>
      <c r="I14" s="449">
        <v>3.6</v>
      </c>
      <c r="J14" s="452" t="s">
        <v>1074</v>
      </c>
    </row>
    <row r="15" spans="2:14" ht="15" customHeight="1">
      <c r="B15" s="447" t="s">
        <v>1425</v>
      </c>
      <c r="C15" s="448">
        <v>2020</v>
      </c>
      <c r="D15" s="449">
        <v>67.400000000000006</v>
      </c>
      <c r="E15" s="449">
        <v>0.2</v>
      </c>
      <c r="F15" s="449">
        <v>0.2</v>
      </c>
      <c r="G15" s="450">
        <v>67.800000000000011</v>
      </c>
      <c r="H15" s="451" t="s">
        <v>1065</v>
      </c>
      <c r="I15" s="449">
        <v>3.6</v>
      </c>
      <c r="J15" s="452" t="s">
        <v>1074</v>
      </c>
    </row>
    <row r="16" spans="2:14" ht="15" customHeight="1">
      <c r="B16" s="453" t="s">
        <v>1227</v>
      </c>
      <c r="C16" s="454">
        <v>2020</v>
      </c>
      <c r="D16" s="455">
        <v>60.2</v>
      </c>
      <c r="E16" s="455">
        <v>0.2</v>
      </c>
      <c r="F16" s="455">
        <v>0.2</v>
      </c>
      <c r="G16" s="456">
        <v>60.600000000000009</v>
      </c>
      <c r="H16" s="457" t="s">
        <v>1065</v>
      </c>
      <c r="I16" s="455">
        <v>3.6</v>
      </c>
      <c r="J16" s="458" t="s">
        <v>1074</v>
      </c>
    </row>
    <row r="17" spans="1:14">
      <c r="B17" s="442" t="s">
        <v>1231</v>
      </c>
      <c r="C17" s="443">
        <v>2021</v>
      </c>
      <c r="D17" s="444">
        <v>90</v>
      </c>
      <c r="E17" s="444">
        <v>0.04</v>
      </c>
      <c r="F17" s="444">
        <v>0.2</v>
      </c>
      <c r="G17" s="445">
        <v>90.240000000000009</v>
      </c>
      <c r="H17" s="446" t="s">
        <v>1426</v>
      </c>
      <c r="I17" s="444">
        <v>3</v>
      </c>
      <c r="J17" s="459" t="s">
        <v>1427</v>
      </c>
      <c r="K17" s="267"/>
      <c r="L17" s="267"/>
      <c r="M17" s="267"/>
      <c r="N17" s="267"/>
    </row>
    <row r="18" spans="1:14">
      <c r="B18" s="447" t="s">
        <v>1422</v>
      </c>
      <c r="C18" s="448">
        <v>2021</v>
      </c>
      <c r="D18" s="449">
        <v>90</v>
      </c>
      <c r="E18" s="449">
        <v>0.04</v>
      </c>
      <c r="F18" s="449">
        <v>0.2</v>
      </c>
      <c r="G18" s="450">
        <v>90.240000000000009</v>
      </c>
      <c r="H18" s="451" t="s">
        <v>1426</v>
      </c>
      <c r="I18" s="449">
        <v>2.5</v>
      </c>
      <c r="J18" s="452" t="s">
        <v>1427</v>
      </c>
      <c r="K18" s="267"/>
      <c r="L18" s="267"/>
      <c r="M18" s="267"/>
      <c r="N18" s="267"/>
    </row>
    <row r="19" spans="1:14">
      <c r="B19" s="447" t="s">
        <v>1225</v>
      </c>
      <c r="C19" s="448">
        <v>2021</v>
      </c>
      <c r="D19" s="449">
        <v>51.4</v>
      </c>
      <c r="E19" s="449">
        <v>0.1</v>
      </c>
      <c r="F19" s="449">
        <v>0.03</v>
      </c>
      <c r="G19" s="450">
        <v>51.53</v>
      </c>
      <c r="H19" s="451" t="s">
        <v>1428</v>
      </c>
      <c r="I19" s="449" t="s">
        <v>1423</v>
      </c>
      <c r="J19" s="452" t="s">
        <v>921</v>
      </c>
      <c r="K19" s="267"/>
      <c r="L19" s="267"/>
      <c r="M19" s="267"/>
      <c r="N19" s="267"/>
    </row>
    <row r="20" spans="1:14">
      <c r="B20" s="447" t="s">
        <v>1424</v>
      </c>
      <c r="C20" s="448">
        <v>2021</v>
      </c>
      <c r="D20" s="449">
        <v>69.900000000000006</v>
      </c>
      <c r="E20" s="449">
        <v>0.1</v>
      </c>
      <c r="F20" s="449">
        <v>0.2</v>
      </c>
      <c r="G20" s="450">
        <v>70.2</v>
      </c>
      <c r="H20" s="451" t="s">
        <v>1429</v>
      </c>
      <c r="I20" s="449">
        <v>3.6</v>
      </c>
      <c r="J20" s="452" t="s">
        <v>1430</v>
      </c>
      <c r="K20" s="267"/>
      <c r="L20" s="267"/>
      <c r="M20" s="267"/>
      <c r="N20" s="267"/>
    </row>
    <row r="21" spans="1:14">
      <c r="B21" s="447" t="s">
        <v>1425</v>
      </c>
      <c r="C21" s="448">
        <v>2021</v>
      </c>
      <c r="D21" s="449">
        <v>67.400000000000006</v>
      </c>
      <c r="E21" s="449">
        <v>0.2</v>
      </c>
      <c r="F21" s="449">
        <v>0.2</v>
      </c>
      <c r="G21" s="450">
        <v>67.800000000000011</v>
      </c>
      <c r="H21" s="451" t="s">
        <v>1429</v>
      </c>
      <c r="I21" s="449">
        <v>3.6</v>
      </c>
      <c r="J21" s="452" t="s">
        <v>1430</v>
      </c>
      <c r="K21" s="267"/>
      <c r="L21" s="267"/>
      <c r="M21" s="267"/>
      <c r="N21" s="267"/>
    </row>
    <row r="22" spans="1:14">
      <c r="B22" s="453" t="s">
        <v>1227</v>
      </c>
      <c r="C22" s="454">
        <v>2021</v>
      </c>
      <c r="D22" s="455">
        <v>60.2</v>
      </c>
      <c r="E22" s="455">
        <v>0.2</v>
      </c>
      <c r="F22" s="455">
        <v>0.2</v>
      </c>
      <c r="G22" s="456">
        <v>60.600000000000009</v>
      </c>
      <c r="H22" s="457" t="s">
        <v>1429</v>
      </c>
      <c r="I22" s="455">
        <v>3.6</v>
      </c>
      <c r="J22" s="458" t="s">
        <v>1430</v>
      </c>
      <c r="K22" s="267"/>
      <c r="L22" s="267"/>
      <c r="M22" s="267"/>
      <c r="N22" s="267"/>
    </row>
    <row r="23" spans="1:14">
      <c r="B23" s="466" t="s">
        <v>1231</v>
      </c>
      <c r="C23" s="467">
        <v>2022</v>
      </c>
      <c r="D23" s="468">
        <v>90</v>
      </c>
      <c r="E23" s="468">
        <v>0.04</v>
      </c>
      <c r="F23" s="468">
        <v>0.2</v>
      </c>
      <c r="G23" s="469">
        <v>90.240000000000009</v>
      </c>
      <c r="H23" s="470" t="s">
        <v>1431</v>
      </c>
      <c r="I23" s="468">
        <v>3</v>
      </c>
      <c r="J23" s="471" t="s">
        <v>1431</v>
      </c>
      <c r="K23" s="267"/>
      <c r="L23" s="267"/>
      <c r="M23" s="267"/>
      <c r="N23" s="267"/>
    </row>
    <row r="24" spans="1:14">
      <c r="B24" s="447" t="s">
        <v>1422</v>
      </c>
      <c r="C24" s="448">
        <v>2022</v>
      </c>
      <c r="D24" s="449">
        <v>90</v>
      </c>
      <c r="E24" s="449">
        <v>0.04</v>
      </c>
      <c r="F24" s="449">
        <v>0.2</v>
      </c>
      <c r="G24" s="450">
        <v>90.240000000000009</v>
      </c>
      <c r="H24" s="451" t="s">
        <v>1431</v>
      </c>
      <c r="I24" s="449">
        <v>2.5</v>
      </c>
      <c r="J24" s="452" t="s">
        <v>1431</v>
      </c>
      <c r="K24" s="267"/>
      <c r="L24" s="267"/>
      <c r="M24" s="267"/>
      <c r="N24" s="267"/>
    </row>
    <row r="25" spans="1:14">
      <c r="B25" s="447" t="s">
        <v>1225</v>
      </c>
      <c r="C25" s="448">
        <v>2022</v>
      </c>
      <c r="D25" s="449">
        <v>51.4</v>
      </c>
      <c r="E25" s="449">
        <v>0.1</v>
      </c>
      <c r="F25" s="449">
        <v>0.03</v>
      </c>
      <c r="G25" s="450">
        <v>51.53</v>
      </c>
      <c r="H25" s="451" t="s">
        <v>1432</v>
      </c>
      <c r="I25" s="449" t="s">
        <v>1423</v>
      </c>
      <c r="J25" s="452" t="s">
        <v>921</v>
      </c>
      <c r="K25" s="267"/>
      <c r="L25" s="267"/>
      <c r="M25" s="267"/>
      <c r="N25" s="267"/>
    </row>
    <row r="26" spans="1:14">
      <c r="B26" s="447" t="s">
        <v>1424</v>
      </c>
      <c r="C26" s="448">
        <v>2022</v>
      </c>
      <c r="D26" s="449">
        <v>69.900000000000006</v>
      </c>
      <c r="E26" s="449">
        <v>0.1</v>
      </c>
      <c r="F26" s="449">
        <v>0.2</v>
      </c>
      <c r="G26" s="450">
        <v>70.2</v>
      </c>
      <c r="H26" s="451" t="s">
        <v>1433</v>
      </c>
      <c r="I26" s="449">
        <v>17.3</v>
      </c>
      <c r="J26" s="452" t="s">
        <v>1433</v>
      </c>
      <c r="K26" s="267"/>
      <c r="L26" s="267"/>
      <c r="M26" s="267"/>
      <c r="N26" s="267"/>
    </row>
    <row r="27" spans="1:14">
      <c r="B27" s="447" t="s">
        <v>1425</v>
      </c>
      <c r="C27" s="448">
        <v>2022</v>
      </c>
      <c r="D27" s="449">
        <v>67.400000000000006</v>
      </c>
      <c r="E27" s="449">
        <v>0.2</v>
      </c>
      <c r="F27" s="449">
        <v>0.2</v>
      </c>
      <c r="G27" s="450">
        <v>67.800000000000011</v>
      </c>
      <c r="H27" s="451" t="s">
        <v>1433</v>
      </c>
      <c r="I27" s="449">
        <v>17.2</v>
      </c>
      <c r="J27" s="452" t="s">
        <v>1433</v>
      </c>
      <c r="K27" s="267"/>
      <c r="L27" s="267"/>
      <c r="M27" s="267"/>
      <c r="N27" s="267"/>
    </row>
    <row r="28" spans="1:14">
      <c r="B28" s="453" t="s">
        <v>1227</v>
      </c>
      <c r="C28" s="454">
        <v>2022</v>
      </c>
      <c r="D28" s="455">
        <v>60.2</v>
      </c>
      <c r="E28" s="455">
        <v>0.2</v>
      </c>
      <c r="F28" s="455">
        <v>0.2</v>
      </c>
      <c r="G28" s="456">
        <v>60.600000000000009</v>
      </c>
      <c r="H28" s="457" t="s">
        <v>1433</v>
      </c>
      <c r="I28" s="455">
        <v>20.2</v>
      </c>
      <c r="J28" s="458" t="s">
        <v>1433</v>
      </c>
      <c r="K28" s="267"/>
      <c r="L28" s="267"/>
      <c r="M28" s="267"/>
      <c r="N28" s="267"/>
    </row>
    <row r="29" spans="1:14" ht="15" customHeight="1">
      <c r="D29" s="270"/>
      <c r="E29" s="270"/>
      <c r="F29" s="270"/>
      <c r="G29" s="441"/>
      <c r="H29" s="271"/>
      <c r="I29"/>
      <c r="J29"/>
      <c r="K29"/>
      <c r="L29"/>
      <c r="M29"/>
      <c r="N29"/>
    </row>
    <row r="30" spans="1:14" s="272" customFormat="1" ht="15.6">
      <c r="A30" s="272" t="s">
        <v>44</v>
      </c>
      <c r="B30" s="440" t="s">
        <v>1434</v>
      </c>
      <c r="C30" s="258"/>
      <c r="D30" s="258"/>
      <c r="E30" s="259"/>
      <c r="F30" s="258"/>
      <c r="G30" s="258"/>
      <c r="H30" s="437"/>
      <c r="I30"/>
      <c r="J30"/>
      <c r="K30"/>
      <c r="L30"/>
      <c r="M30"/>
      <c r="N30"/>
    </row>
    <row r="31" spans="1:14" s="272" customFormat="1" ht="15.6">
      <c r="A31" s="272" t="s">
        <v>44</v>
      </c>
      <c r="B31" s="660" t="s">
        <v>1413</v>
      </c>
      <c r="C31" s="662" t="s">
        <v>1414</v>
      </c>
      <c r="D31" s="664" t="s">
        <v>1435</v>
      </c>
      <c r="E31" s="665"/>
      <c r="F31" s="666"/>
      <c r="G31" s="662" t="s">
        <v>1436</v>
      </c>
      <c r="H31" s="660" t="s">
        <v>1417</v>
      </c>
      <c r="I31"/>
      <c r="J31"/>
      <c r="K31"/>
      <c r="L31"/>
      <c r="M31"/>
      <c r="N31"/>
    </row>
    <row r="32" spans="1:14" s="272" customFormat="1" ht="18">
      <c r="A32" s="272" t="s">
        <v>44</v>
      </c>
      <c r="B32" s="661"/>
      <c r="C32" s="663"/>
      <c r="D32" s="256" t="s">
        <v>1419</v>
      </c>
      <c r="E32" s="256" t="s">
        <v>1420</v>
      </c>
      <c r="F32" s="256" t="s">
        <v>1421</v>
      </c>
      <c r="G32" s="663"/>
      <c r="H32" s="661"/>
      <c r="I32"/>
      <c r="J32"/>
      <c r="K32"/>
      <c r="L32"/>
      <c r="M32"/>
      <c r="N32"/>
    </row>
    <row r="33" spans="1:14" s="272" customFormat="1">
      <c r="A33" s="272" t="s">
        <v>44</v>
      </c>
      <c r="B33" s="446" t="s">
        <v>1231</v>
      </c>
      <c r="C33" s="444">
        <v>2018</v>
      </c>
      <c r="D33" s="445">
        <v>87.6</v>
      </c>
      <c r="E33" s="445">
        <v>0.2</v>
      </c>
      <c r="F33" s="445">
        <v>0.4</v>
      </c>
      <c r="G33" s="445">
        <f t="shared" ref="G33:G38" si="1">SUM(D33:F33)</f>
        <v>88.2</v>
      </c>
      <c r="H33" s="446" t="s">
        <v>1437</v>
      </c>
      <c r="I33"/>
      <c r="J33"/>
      <c r="K33"/>
      <c r="L33"/>
      <c r="M33"/>
      <c r="N33"/>
    </row>
    <row r="34" spans="1:14" s="272" customFormat="1">
      <c r="A34" s="272" t="s">
        <v>44</v>
      </c>
      <c r="B34" s="451" t="s">
        <v>1422</v>
      </c>
      <c r="C34" s="449">
        <v>2018</v>
      </c>
      <c r="D34" s="450">
        <v>89.9</v>
      </c>
      <c r="E34" s="450">
        <v>0.2</v>
      </c>
      <c r="F34" s="450">
        <v>0.4</v>
      </c>
      <c r="G34" s="450">
        <f t="shared" si="1"/>
        <v>90.500000000000014</v>
      </c>
      <c r="H34" s="451" t="s">
        <v>1437</v>
      </c>
      <c r="I34"/>
      <c r="J34"/>
      <c r="K34"/>
      <c r="L34"/>
      <c r="M34"/>
      <c r="N34"/>
    </row>
    <row r="35" spans="1:14" s="272" customFormat="1">
      <c r="A35" s="272" t="s">
        <v>44</v>
      </c>
      <c r="B35" s="451" t="s">
        <v>1225</v>
      </c>
      <c r="C35" s="449">
        <v>2018</v>
      </c>
      <c r="D35" s="450">
        <v>53.8</v>
      </c>
      <c r="E35" s="472">
        <v>0.1</v>
      </c>
      <c r="F35" s="472">
        <v>0</v>
      </c>
      <c r="G35" s="450">
        <f t="shared" si="1"/>
        <v>53.9</v>
      </c>
      <c r="H35" s="451" t="s">
        <v>1437</v>
      </c>
      <c r="I35"/>
      <c r="J35"/>
      <c r="K35"/>
      <c r="L35"/>
      <c r="M35"/>
      <c r="N35"/>
    </row>
    <row r="36" spans="1:14" s="272" customFormat="1">
      <c r="A36" s="272" t="s">
        <v>44</v>
      </c>
      <c r="B36" s="451" t="s">
        <v>1424</v>
      </c>
      <c r="C36" s="449">
        <v>2018</v>
      </c>
      <c r="D36" s="450">
        <v>69.2</v>
      </c>
      <c r="E36" s="450">
        <v>0.2</v>
      </c>
      <c r="F36" s="450">
        <v>0.2</v>
      </c>
      <c r="G36" s="450">
        <f t="shared" si="1"/>
        <v>69.600000000000009</v>
      </c>
      <c r="H36" s="451" t="s">
        <v>1437</v>
      </c>
      <c r="I36"/>
      <c r="J36"/>
      <c r="K36"/>
      <c r="L36"/>
      <c r="M36"/>
      <c r="N36"/>
    </row>
    <row r="37" spans="1:14" s="272" customFormat="1">
      <c r="A37" s="272" t="s">
        <v>44</v>
      </c>
      <c r="B37" s="451" t="s">
        <v>1425</v>
      </c>
      <c r="C37" s="449">
        <v>2018</v>
      </c>
      <c r="D37" s="450">
        <v>76.3</v>
      </c>
      <c r="E37" s="450">
        <v>0.2</v>
      </c>
      <c r="F37" s="450">
        <v>0.2</v>
      </c>
      <c r="G37" s="450">
        <f t="shared" si="1"/>
        <v>76.7</v>
      </c>
      <c r="H37" s="451" t="s">
        <v>1437</v>
      </c>
      <c r="I37"/>
      <c r="J37"/>
      <c r="K37"/>
      <c r="L37"/>
      <c r="M37"/>
      <c r="N37"/>
    </row>
    <row r="38" spans="1:14" s="272" customFormat="1">
      <c r="A38" s="272" t="s">
        <v>44</v>
      </c>
      <c r="B38" s="457" t="s">
        <v>1227</v>
      </c>
      <c r="C38" s="455">
        <v>2018</v>
      </c>
      <c r="D38" s="456">
        <v>63</v>
      </c>
      <c r="E38" s="456">
        <v>0.1</v>
      </c>
      <c r="F38" s="456">
        <v>0</v>
      </c>
      <c r="G38" s="456">
        <f t="shared" si="1"/>
        <v>63.1</v>
      </c>
      <c r="H38" s="457" t="s">
        <v>1437</v>
      </c>
      <c r="I38"/>
      <c r="J38"/>
      <c r="K38"/>
      <c r="L38"/>
      <c r="M38"/>
      <c r="N38"/>
    </row>
    <row r="39" spans="1:14" s="272" customFormat="1">
      <c r="A39" s="272" t="s">
        <v>44</v>
      </c>
      <c r="B39" s="446" t="s">
        <v>1231</v>
      </c>
      <c r="C39" s="444">
        <v>2019</v>
      </c>
      <c r="D39" s="445">
        <v>87.6</v>
      </c>
      <c r="E39" s="445">
        <v>0.2</v>
      </c>
      <c r="F39" s="445">
        <v>0.4</v>
      </c>
      <c r="G39" s="445">
        <f t="shared" ref="G39:G62" si="2">SUM(D39:F39)</f>
        <v>88.2</v>
      </c>
      <c r="H39" s="446" t="s">
        <v>1437</v>
      </c>
      <c r="I39"/>
      <c r="J39"/>
      <c r="K39"/>
      <c r="L39"/>
      <c r="M39"/>
      <c r="N39"/>
    </row>
    <row r="40" spans="1:14" s="272" customFormat="1">
      <c r="A40" s="272" t="s">
        <v>44</v>
      </c>
      <c r="B40" s="451" t="s">
        <v>1422</v>
      </c>
      <c r="C40" s="449">
        <v>2019</v>
      </c>
      <c r="D40" s="450">
        <v>89.9</v>
      </c>
      <c r="E40" s="450">
        <v>0.2</v>
      </c>
      <c r="F40" s="450">
        <v>0.4</v>
      </c>
      <c r="G40" s="450">
        <f t="shared" si="2"/>
        <v>90.500000000000014</v>
      </c>
      <c r="H40" s="451" t="s">
        <v>1437</v>
      </c>
      <c r="I40"/>
      <c r="J40"/>
      <c r="K40"/>
      <c r="L40"/>
      <c r="M40"/>
      <c r="N40"/>
    </row>
    <row r="41" spans="1:14" s="272" customFormat="1">
      <c r="A41" s="272" t="s">
        <v>44</v>
      </c>
      <c r="B41" s="451" t="s">
        <v>1225</v>
      </c>
      <c r="C41" s="449">
        <v>2019</v>
      </c>
      <c r="D41" s="450">
        <v>53.8</v>
      </c>
      <c r="E41" s="472">
        <v>0.1</v>
      </c>
      <c r="F41" s="472">
        <v>0</v>
      </c>
      <c r="G41" s="450">
        <f t="shared" si="2"/>
        <v>53.9</v>
      </c>
      <c r="H41" s="451" t="s">
        <v>1437</v>
      </c>
      <c r="I41"/>
      <c r="J41"/>
      <c r="K41"/>
      <c r="L41"/>
      <c r="M41"/>
      <c r="N41"/>
    </row>
    <row r="42" spans="1:14" s="272" customFormat="1">
      <c r="A42" s="272" t="s">
        <v>44</v>
      </c>
      <c r="B42" s="451" t="s">
        <v>1424</v>
      </c>
      <c r="C42" s="449">
        <v>2019</v>
      </c>
      <c r="D42" s="450">
        <v>69.2</v>
      </c>
      <c r="E42" s="450">
        <v>0.2</v>
      </c>
      <c r="F42" s="450">
        <v>0.2</v>
      </c>
      <c r="G42" s="450">
        <f t="shared" si="2"/>
        <v>69.600000000000009</v>
      </c>
      <c r="H42" s="451" t="s">
        <v>1437</v>
      </c>
      <c r="I42"/>
      <c r="J42"/>
      <c r="K42"/>
      <c r="L42"/>
      <c r="M42"/>
      <c r="N42"/>
    </row>
    <row r="43" spans="1:14" s="272" customFormat="1">
      <c r="A43" s="272" t="s">
        <v>44</v>
      </c>
      <c r="B43" s="451" t="s">
        <v>1425</v>
      </c>
      <c r="C43" s="449">
        <v>2019</v>
      </c>
      <c r="D43" s="450">
        <v>76.3</v>
      </c>
      <c r="E43" s="450">
        <v>0.2</v>
      </c>
      <c r="F43" s="450">
        <v>0.2</v>
      </c>
      <c r="G43" s="450">
        <f t="shared" si="2"/>
        <v>76.7</v>
      </c>
      <c r="H43" s="451" t="s">
        <v>1437</v>
      </c>
      <c r="I43"/>
      <c r="J43"/>
      <c r="K43"/>
      <c r="L43"/>
      <c r="M43"/>
      <c r="N43"/>
    </row>
    <row r="44" spans="1:14" s="272" customFormat="1">
      <c r="A44" s="272" t="s">
        <v>44</v>
      </c>
      <c r="B44" s="457" t="s">
        <v>1227</v>
      </c>
      <c r="C44" s="455">
        <v>2019</v>
      </c>
      <c r="D44" s="456">
        <v>63</v>
      </c>
      <c r="E44" s="456">
        <v>0.1</v>
      </c>
      <c r="F44" s="456">
        <v>0</v>
      </c>
      <c r="G44" s="456">
        <f t="shared" si="2"/>
        <v>63.1</v>
      </c>
      <c r="H44" s="457" t="s">
        <v>1437</v>
      </c>
      <c r="I44"/>
      <c r="J44"/>
      <c r="K44"/>
      <c r="L44"/>
      <c r="M44"/>
      <c r="N44"/>
    </row>
    <row r="45" spans="1:14" s="272" customFormat="1">
      <c r="A45" s="272" t="s">
        <v>44</v>
      </c>
      <c r="B45" s="446" t="s">
        <v>1231</v>
      </c>
      <c r="C45" s="444">
        <v>2020</v>
      </c>
      <c r="D45" s="445">
        <v>87.6</v>
      </c>
      <c r="E45" s="445">
        <v>0.2</v>
      </c>
      <c r="F45" s="445">
        <v>0.4</v>
      </c>
      <c r="G45" s="445">
        <f t="shared" si="2"/>
        <v>88.2</v>
      </c>
      <c r="H45" s="446" t="s">
        <v>1437</v>
      </c>
      <c r="I45"/>
      <c r="J45"/>
      <c r="K45"/>
      <c r="L45"/>
      <c r="M45"/>
      <c r="N45"/>
    </row>
    <row r="46" spans="1:14" s="272" customFormat="1">
      <c r="A46" s="272" t="s">
        <v>44</v>
      </c>
      <c r="B46" s="451" t="s">
        <v>1422</v>
      </c>
      <c r="C46" s="449">
        <v>2020</v>
      </c>
      <c r="D46" s="450">
        <v>89.9</v>
      </c>
      <c r="E46" s="450">
        <v>0.2</v>
      </c>
      <c r="F46" s="450">
        <v>0.4</v>
      </c>
      <c r="G46" s="450">
        <f t="shared" si="2"/>
        <v>90.500000000000014</v>
      </c>
      <c r="H46" s="451" t="s">
        <v>1437</v>
      </c>
      <c r="I46"/>
      <c r="J46"/>
      <c r="K46"/>
      <c r="L46"/>
      <c r="M46"/>
      <c r="N46"/>
    </row>
    <row r="47" spans="1:14" s="272" customFormat="1">
      <c r="A47" s="272" t="s">
        <v>44</v>
      </c>
      <c r="B47" s="451" t="s">
        <v>1225</v>
      </c>
      <c r="C47" s="449">
        <v>2020</v>
      </c>
      <c r="D47" s="450">
        <v>53.8</v>
      </c>
      <c r="E47" s="472">
        <v>0.1</v>
      </c>
      <c r="F47" s="472">
        <v>0</v>
      </c>
      <c r="G47" s="450">
        <f t="shared" si="2"/>
        <v>53.9</v>
      </c>
      <c r="H47" s="451" t="s">
        <v>1437</v>
      </c>
      <c r="I47"/>
      <c r="J47"/>
      <c r="K47"/>
      <c r="L47"/>
      <c r="M47"/>
      <c r="N47"/>
    </row>
    <row r="48" spans="1:14" s="272" customFormat="1">
      <c r="A48" s="272" t="s">
        <v>44</v>
      </c>
      <c r="B48" s="451" t="s">
        <v>1424</v>
      </c>
      <c r="C48" s="449">
        <v>2020</v>
      </c>
      <c r="D48" s="450">
        <v>69.2</v>
      </c>
      <c r="E48" s="450">
        <v>0.2</v>
      </c>
      <c r="F48" s="450">
        <v>0.2</v>
      </c>
      <c r="G48" s="450">
        <f t="shared" si="2"/>
        <v>69.600000000000009</v>
      </c>
      <c r="H48" s="451" t="s">
        <v>1437</v>
      </c>
      <c r="I48"/>
      <c r="J48"/>
      <c r="K48"/>
      <c r="L48"/>
      <c r="M48"/>
      <c r="N48"/>
    </row>
    <row r="49" spans="1:14" s="272" customFormat="1">
      <c r="A49" s="272" t="s">
        <v>44</v>
      </c>
      <c r="B49" s="451" t="s">
        <v>1425</v>
      </c>
      <c r="C49" s="449">
        <v>2020</v>
      </c>
      <c r="D49" s="450">
        <v>76.3</v>
      </c>
      <c r="E49" s="450">
        <v>0.2</v>
      </c>
      <c r="F49" s="450">
        <v>0.2</v>
      </c>
      <c r="G49" s="450">
        <f t="shared" si="2"/>
        <v>76.7</v>
      </c>
      <c r="H49" s="451" t="s">
        <v>1437</v>
      </c>
      <c r="I49"/>
      <c r="J49"/>
      <c r="K49"/>
      <c r="L49"/>
      <c r="M49"/>
      <c r="N49"/>
    </row>
    <row r="50" spans="1:14" s="272" customFormat="1">
      <c r="A50" s="272" t="s">
        <v>44</v>
      </c>
      <c r="B50" s="457" t="s">
        <v>1227</v>
      </c>
      <c r="C50" s="455">
        <v>2020</v>
      </c>
      <c r="D50" s="456">
        <v>63</v>
      </c>
      <c r="E50" s="456">
        <v>0.1</v>
      </c>
      <c r="F50" s="456">
        <v>0</v>
      </c>
      <c r="G50" s="456">
        <f t="shared" si="2"/>
        <v>63.1</v>
      </c>
      <c r="H50" s="457" t="s">
        <v>1437</v>
      </c>
      <c r="I50"/>
      <c r="J50"/>
      <c r="K50"/>
      <c r="L50"/>
      <c r="M50"/>
      <c r="N50"/>
    </row>
    <row r="51" spans="1:14" s="272" customFormat="1">
      <c r="A51" s="272" t="s">
        <v>44</v>
      </c>
      <c r="B51" s="446" t="s">
        <v>1231</v>
      </c>
      <c r="C51" s="444">
        <v>2021</v>
      </c>
      <c r="D51" s="445">
        <v>87.6</v>
      </c>
      <c r="E51" s="445">
        <v>0.2</v>
      </c>
      <c r="F51" s="445">
        <v>0.4</v>
      </c>
      <c r="G51" s="445">
        <f t="shared" si="2"/>
        <v>88.2</v>
      </c>
      <c r="H51" s="446" t="s">
        <v>1437</v>
      </c>
      <c r="I51"/>
      <c r="J51"/>
      <c r="K51"/>
      <c r="L51"/>
      <c r="M51"/>
      <c r="N51"/>
    </row>
    <row r="52" spans="1:14" s="272" customFormat="1">
      <c r="A52" s="272" t="s">
        <v>44</v>
      </c>
      <c r="B52" s="451" t="s">
        <v>1422</v>
      </c>
      <c r="C52" s="449">
        <v>2021</v>
      </c>
      <c r="D52" s="450">
        <v>89.9</v>
      </c>
      <c r="E52" s="450">
        <v>0.2</v>
      </c>
      <c r="F52" s="450">
        <v>0.4</v>
      </c>
      <c r="G52" s="450">
        <f t="shared" si="2"/>
        <v>90.500000000000014</v>
      </c>
      <c r="H52" s="451" t="s">
        <v>1437</v>
      </c>
      <c r="I52"/>
      <c r="J52"/>
      <c r="K52"/>
      <c r="L52"/>
      <c r="M52"/>
      <c r="N52"/>
    </row>
    <row r="53" spans="1:14" s="272" customFormat="1">
      <c r="A53" s="272" t="s">
        <v>44</v>
      </c>
      <c r="B53" s="451" t="s">
        <v>1225</v>
      </c>
      <c r="C53" s="449">
        <v>2021</v>
      </c>
      <c r="D53" s="450">
        <v>53.8</v>
      </c>
      <c r="E53" s="472">
        <v>0.1</v>
      </c>
      <c r="F53" s="472">
        <v>0</v>
      </c>
      <c r="G53" s="450">
        <f t="shared" si="2"/>
        <v>53.9</v>
      </c>
      <c r="H53" s="451" t="s">
        <v>1437</v>
      </c>
      <c r="I53"/>
      <c r="J53"/>
      <c r="K53"/>
      <c r="L53"/>
      <c r="M53"/>
      <c r="N53"/>
    </row>
    <row r="54" spans="1:14" s="272" customFormat="1">
      <c r="A54" s="272" t="s">
        <v>44</v>
      </c>
      <c r="B54" s="451" t="s">
        <v>1424</v>
      </c>
      <c r="C54" s="449">
        <v>2021</v>
      </c>
      <c r="D54" s="450">
        <v>69.2</v>
      </c>
      <c r="E54" s="450">
        <v>0.2</v>
      </c>
      <c r="F54" s="450">
        <v>0.2</v>
      </c>
      <c r="G54" s="450">
        <f t="shared" si="2"/>
        <v>69.600000000000009</v>
      </c>
      <c r="H54" s="451" t="s">
        <v>1437</v>
      </c>
      <c r="I54"/>
      <c r="J54"/>
      <c r="K54"/>
      <c r="L54"/>
      <c r="M54"/>
      <c r="N54"/>
    </row>
    <row r="55" spans="1:14" s="272" customFormat="1">
      <c r="A55" s="272" t="s">
        <v>44</v>
      </c>
      <c r="B55" s="451" t="s">
        <v>1425</v>
      </c>
      <c r="C55" s="449">
        <v>2021</v>
      </c>
      <c r="D55" s="450">
        <v>76.3</v>
      </c>
      <c r="E55" s="450">
        <v>0.2</v>
      </c>
      <c r="F55" s="450">
        <v>0.2</v>
      </c>
      <c r="G55" s="450">
        <f t="shared" si="2"/>
        <v>76.7</v>
      </c>
      <c r="H55" s="451" t="s">
        <v>1437</v>
      </c>
      <c r="I55"/>
      <c r="J55"/>
      <c r="K55"/>
      <c r="L55"/>
      <c r="M55"/>
      <c r="N55"/>
    </row>
    <row r="56" spans="1:14" s="272" customFormat="1">
      <c r="A56" s="272" t="s">
        <v>44</v>
      </c>
      <c r="B56" s="457" t="s">
        <v>1227</v>
      </c>
      <c r="C56" s="455">
        <v>2021</v>
      </c>
      <c r="D56" s="456">
        <v>63</v>
      </c>
      <c r="E56" s="456">
        <v>0.1</v>
      </c>
      <c r="F56" s="456">
        <v>0</v>
      </c>
      <c r="G56" s="456">
        <f t="shared" si="2"/>
        <v>63.1</v>
      </c>
      <c r="H56" s="457" t="s">
        <v>1437</v>
      </c>
      <c r="I56"/>
      <c r="J56"/>
      <c r="K56"/>
      <c r="L56"/>
      <c r="M56"/>
      <c r="N56"/>
    </row>
    <row r="57" spans="1:14" s="272" customFormat="1">
      <c r="A57" s="272" t="s">
        <v>44</v>
      </c>
      <c r="B57" s="446" t="s">
        <v>1231</v>
      </c>
      <c r="C57" s="444">
        <v>2022</v>
      </c>
      <c r="D57" s="445">
        <v>87.6</v>
      </c>
      <c r="E57" s="445">
        <v>0.2</v>
      </c>
      <c r="F57" s="445">
        <v>0.4</v>
      </c>
      <c r="G57" s="445">
        <f t="shared" si="2"/>
        <v>88.2</v>
      </c>
      <c r="H57" s="446" t="s">
        <v>1437</v>
      </c>
      <c r="I57"/>
      <c r="J57"/>
      <c r="K57"/>
      <c r="L57"/>
      <c r="M57"/>
      <c r="N57"/>
    </row>
    <row r="58" spans="1:14" s="272" customFormat="1">
      <c r="A58" s="272" t="s">
        <v>44</v>
      </c>
      <c r="B58" s="451" t="s">
        <v>1422</v>
      </c>
      <c r="C58" s="449">
        <v>2022</v>
      </c>
      <c r="D58" s="450">
        <v>89.9</v>
      </c>
      <c r="E58" s="450">
        <v>0.2</v>
      </c>
      <c r="F58" s="450">
        <v>0.4</v>
      </c>
      <c r="G58" s="450">
        <f t="shared" si="2"/>
        <v>90.500000000000014</v>
      </c>
      <c r="H58" s="451" t="s">
        <v>1437</v>
      </c>
      <c r="I58"/>
      <c r="J58"/>
      <c r="K58"/>
      <c r="L58"/>
      <c r="M58"/>
      <c r="N58"/>
    </row>
    <row r="59" spans="1:14" s="272" customFormat="1">
      <c r="A59" s="272" t="s">
        <v>44</v>
      </c>
      <c r="B59" s="451" t="s">
        <v>1225</v>
      </c>
      <c r="C59" s="449">
        <v>2022</v>
      </c>
      <c r="D59" s="450">
        <v>53.8</v>
      </c>
      <c r="E59" s="472">
        <v>0.1</v>
      </c>
      <c r="F59" s="472">
        <v>0</v>
      </c>
      <c r="G59" s="450">
        <f t="shared" si="2"/>
        <v>53.9</v>
      </c>
      <c r="H59" s="451" t="s">
        <v>1437</v>
      </c>
      <c r="I59"/>
      <c r="J59"/>
      <c r="K59"/>
      <c r="L59"/>
      <c r="M59"/>
      <c r="N59"/>
    </row>
    <row r="60" spans="1:14" s="272" customFormat="1">
      <c r="A60" s="272" t="s">
        <v>44</v>
      </c>
      <c r="B60" s="451" t="s">
        <v>1424</v>
      </c>
      <c r="C60" s="449">
        <v>2022</v>
      </c>
      <c r="D60" s="450">
        <v>69.2</v>
      </c>
      <c r="E60" s="450">
        <v>0.2</v>
      </c>
      <c r="F60" s="450">
        <v>0.2</v>
      </c>
      <c r="G60" s="450">
        <f t="shared" si="2"/>
        <v>69.600000000000009</v>
      </c>
      <c r="H60" s="451" t="s">
        <v>1437</v>
      </c>
      <c r="I60"/>
      <c r="J60"/>
      <c r="K60"/>
      <c r="L60"/>
      <c r="M60"/>
      <c r="N60"/>
    </row>
    <row r="61" spans="1:14" s="272" customFormat="1">
      <c r="A61" s="272" t="s">
        <v>44</v>
      </c>
      <c r="B61" s="451" t="s">
        <v>1425</v>
      </c>
      <c r="C61" s="449">
        <v>2022</v>
      </c>
      <c r="D61" s="450">
        <v>76.3</v>
      </c>
      <c r="E61" s="450">
        <v>0.2</v>
      </c>
      <c r="F61" s="450">
        <v>0.2</v>
      </c>
      <c r="G61" s="450">
        <f t="shared" si="2"/>
        <v>76.7</v>
      </c>
      <c r="H61" s="451" t="s">
        <v>1437</v>
      </c>
      <c r="I61"/>
      <c r="J61"/>
      <c r="K61"/>
      <c r="L61"/>
      <c r="M61"/>
      <c r="N61"/>
    </row>
    <row r="62" spans="1:14" s="272" customFormat="1">
      <c r="A62" s="272" t="s">
        <v>44</v>
      </c>
      <c r="B62" s="457" t="s">
        <v>1227</v>
      </c>
      <c r="C62" s="455">
        <v>2022</v>
      </c>
      <c r="D62" s="456">
        <v>63</v>
      </c>
      <c r="E62" s="456">
        <v>0.1</v>
      </c>
      <c r="F62" s="456">
        <v>0</v>
      </c>
      <c r="G62" s="456">
        <f t="shared" si="2"/>
        <v>63.1</v>
      </c>
      <c r="H62" s="457" t="s">
        <v>1437</v>
      </c>
      <c r="I62"/>
      <c r="J62"/>
      <c r="K62"/>
      <c r="L62"/>
      <c r="M62"/>
      <c r="N62"/>
    </row>
    <row r="63" spans="1:14" s="272" customFormat="1" ht="15.6">
      <c r="A63" s="272" t="s">
        <v>44</v>
      </c>
      <c r="B63" s="446" t="s">
        <v>1231</v>
      </c>
      <c r="C63" s="444">
        <v>2023</v>
      </c>
      <c r="D63" s="445">
        <f>2.6373603787/0.0221</f>
        <v>119.33757369683256</v>
      </c>
      <c r="E63" s="445">
        <f>0.007870951/0.0221</f>
        <v>0.35615162895927593</v>
      </c>
      <c r="F63" s="445">
        <f>0.0111739393/0.0221</f>
        <v>0.50560811312217191</v>
      </c>
      <c r="G63" s="504">
        <f t="shared" ref="G63:G80" si="3">SUM(D63:F63)</f>
        <v>120.19933343891402</v>
      </c>
      <c r="H63" s="446" t="s">
        <v>2027</v>
      </c>
      <c r="I63"/>
      <c r="J63"/>
      <c r="K63"/>
      <c r="L63"/>
      <c r="M63"/>
      <c r="N63"/>
    </row>
    <row r="64" spans="1:14" s="272" customFormat="1" ht="15.6">
      <c r="A64" s="272" t="s">
        <v>44</v>
      </c>
      <c r="B64" s="451" t="s">
        <v>1422</v>
      </c>
      <c r="C64" s="449">
        <v>2023</v>
      </c>
      <c r="D64" s="450">
        <f>1.9910094769/0.0221</f>
        <v>90.090926556561072</v>
      </c>
      <c r="E64" s="450">
        <f>0.0057572401/0.0221</f>
        <v>0.26050860180995472</v>
      </c>
      <c r="F64" s="450">
        <f>0.0081732248/0.0221</f>
        <v>0.36982917647058822</v>
      </c>
      <c r="G64" s="505">
        <f t="shared" si="3"/>
        <v>90.721264334841621</v>
      </c>
      <c r="H64" s="451" t="s">
        <v>2027</v>
      </c>
      <c r="I64"/>
      <c r="J64"/>
      <c r="K64"/>
      <c r="L64"/>
      <c r="M64"/>
      <c r="N64"/>
    </row>
    <row r="65" spans="1:14" s="272" customFormat="1" ht="15.6">
      <c r="A65" s="272" t="s">
        <v>44</v>
      </c>
      <c r="B65" s="451" t="s">
        <v>1225</v>
      </c>
      <c r="C65" s="449">
        <v>2023</v>
      </c>
      <c r="D65" s="450">
        <v>53.6088765529</v>
      </c>
      <c r="E65" s="472">
        <v>0.126</v>
      </c>
      <c r="F65" s="472">
        <v>2.385E-2</v>
      </c>
      <c r="G65" s="505">
        <f t="shared" si="3"/>
        <v>53.758726552900001</v>
      </c>
      <c r="H65" s="451" t="s">
        <v>2027</v>
      </c>
      <c r="I65"/>
      <c r="J65"/>
      <c r="K65"/>
      <c r="L65"/>
      <c r="M65"/>
      <c r="N65"/>
    </row>
    <row r="66" spans="1:14" s="272" customFormat="1" ht="15.6">
      <c r="A66" s="272" t="s">
        <v>44</v>
      </c>
      <c r="B66" s="451" t="s">
        <v>1424</v>
      </c>
      <c r="C66" s="449">
        <v>2023</v>
      </c>
      <c r="D66" s="450">
        <f>2.6730865704/40*1000</f>
        <v>66.827164260000004</v>
      </c>
      <c r="E66" s="450">
        <f>0.0102388965/40*1000</f>
        <v>0.25597241250000002</v>
      </c>
      <c r="F66" s="450">
        <f>0.0058142305/40*1000</f>
        <v>0.14535576249999999</v>
      </c>
      <c r="G66" s="505">
        <f t="shared" si="3"/>
        <v>67.228492435000007</v>
      </c>
      <c r="H66" s="451" t="s">
        <v>2027</v>
      </c>
      <c r="I66"/>
      <c r="J66"/>
      <c r="K66"/>
      <c r="L66"/>
      <c r="M66"/>
      <c r="N66"/>
    </row>
    <row r="67" spans="1:14" s="272" customFormat="1" ht="15.6">
      <c r="A67" s="272" t="s">
        <v>44</v>
      </c>
      <c r="B67" s="451" t="s">
        <v>1425</v>
      </c>
      <c r="C67" s="449">
        <v>2023</v>
      </c>
      <c r="D67" s="450">
        <f>2.9540095902/0.0342</f>
        <v>86.374549421052635</v>
      </c>
      <c r="E67" s="450">
        <f>0.010760775/0.0342</f>
        <v>0.31464254385964913</v>
      </c>
      <c r="F67" s="450">
        <f>0.0061105829/0.0342</f>
        <v>0.17867201461988302</v>
      </c>
      <c r="G67" s="505">
        <f t="shared" si="3"/>
        <v>86.86786397953216</v>
      </c>
      <c r="H67" s="451" t="s">
        <v>2027</v>
      </c>
      <c r="I67"/>
      <c r="J67"/>
      <c r="K67"/>
      <c r="L67"/>
      <c r="M67"/>
      <c r="N67"/>
    </row>
    <row r="68" spans="1:14" s="272" customFormat="1" ht="15.6">
      <c r="A68" s="272" t="s">
        <v>44</v>
      </c>
      <c r="B68" s="457" t="s">
        <v>1227</v>
      </c>
      <c r="C68" s="455">
        <v>2023</v>
      </c>
      <c r="D68" s="456">
        <f>2.971635097/49*1000</f>
        <v>60.645614224489798</v>
      </c>
      <c r="E68" s="456">
        <v>0</v>
      </c>
      <c r="F68" s="456">
        <v>0</v>
      </c>
      <c r="G68" s="506">
        <f t="shared" si="3"/>
        <v>60.645614224489798</v>
      </c>
      <c r="H68" s="457" t="s">
        <v>2027</v>
      </c>
      <c r="I68"/>
      <c r="J68"/>
      <c r="K68"/>
      <c r="L68"/>
      <c r="M68"/>
      <c r="N68"/>
    </row>
    <row r="69" spans="1:14" s="272" customFormat="1" ht="15.6">
      <c r="A69" s="272" t="s">
        <v>44</v>
      </c>
      <c r="B69" s="446" t="s">
        <v>1231</v>
      </c>
      <c r="C69" s="444">
        <v>2024</v>
      </c>
      <c r="D69" s="445">
        <f>2.6373603787/0.0221</f>
        <v>119.33757369683256</v>
      </c>
      <c r="E69" s="445">
        <f>0.007870951/0.0221</f>
        <v>0.35615162895927593</v>
      </c>
      <c r="F69" s="445">
        <f>0.0086748766/0.0221</f>
        <v>0.39252835294117649</v>
      </c>
      <c r="G69" s="504">
        <f t="shared" ref="G69:G74" si="4">SUM(D69:F69)</f>
        <v>120.08625367873302</v>
      </c>
      <c r="H69" s="446" t="s">
        <v>2028</v>
      </c>
      <c r="I69"/>
      <c r="J69"/>
      <c r="K69"/>
      <c r="L69"/>
      <c r="M69"/>
      <c r="N69"/>
    </row>
    <row r="70" spans="1:14" s="272" customFormat="1" ht="15.6">
      <c r="A70" s="272" t="s">
        <v>44</v>
      </c>
      <c r="B70" s="451" t="s">
        <v>1422</v>
      </c>
      <c r="C70" s="449">
        <v>2024</v>
      </c>
      <c r="D70" s="450">
        <f>1.9910094769/0.0221</f>
        <v>90.090926556561072</v>
      </c>
      <c r="E70" s="450">
        <f>0.0057572401/0.0221</f>
        <v>0.26050860180995472</v>
      </c>
      <c r="F70" s="450">
        <f>0.0081732248/0.0221</f>
        <v>0.36982917647058822</v>
      </c>
      <c r="G70" s="505">
        <f t="shared" si="4"/>
        <v>90.721264334841621</v>
      </c>
      <c r="H70" s="451" t="s">
        <v>2028</v>
      </c>
      <c r="I70"/>
      <c r="J70"/>
      <c r="K70"/>
      <c r="L70"/>
      <c r="M70"/>
      <c r="N70"/>
    </row>
    <row r="71" spans="1:14" s="272" customFormat="1" ht="15.6">
      <c r="A71" s="272" t="s">
        <v>44</v>
      </c>
      <c r="B71" s="451" t="s">
        <v>1225</v>
      </c>
      <c r="C71" s="449">
        <v>2024</v>
      </c>
      <c r="D71" s="450">
        <v>53.986069449299997</v>
      </c>
      <c r="E71" s="472">
        <v>0.126</v>
      </c>
      <c r="F71" s="472">
        <v>2.385E-2</v>
      </c>
      <c r="G71" s="505">
        <f t="shared" si="4"/>
        <v>54.135919449299998</v>
      </c>
      <c r="H71" s="451" t="s">
        <v>2028</v>
      </c>
      <c r="I71"/>
      <c r="J71"/>
      <c r="K71"/>
      <c r="L71"/>
      <c r="M71"/>
      <c r="N71"/>
    </row>
    <row r="72" spans="1:14" s="272" customFormat="1" ht="15.6">
      <c r="A72" s="272" t="s">
        <v>44</v>
      </c>
      <c r="B72" s="451" t="s">
        <v>1424</v>
      </c>
      <c r="C72" s="449">
        <v>2024</v>
      </c>
      <c r="D72" s="450">
        <f>2.6624403121/40*1000</f>
        <v>66.561007802500001</v>
      </c>
      <c r="E72" s="450">
        <f>0.0102388965/40*1000</f>
        <v>0.25597241250000002</v>
      </c>
      <c r="F72" s="450">
        <f>0.0058142305/40*1000</f>
        <v>0.14535576249999999</v>
      </c>
      <c r="G72" s="505">
        <f t="shared" si="4"/>
        <v>66.962335977500004</v>
      </c>
      <c r="H72" s="451" t="s">
        <v>2028</v>
      </c>
      <c r="I72"/>
      <c r="J72"/>
      <c r="K72"/>
      <c r="L72"/>
      <c r="M72"/>
      <c r="N72"/>
    </row>
    <row r="73" spans="1:14" s="272" customFormat="1" ht="15.6">
      <c r="A73" s="272" t="s">
        <v>44</v>
      </c>
      <c r="B73" s="451" t="s">
        <v>1425</v>
      </c>
      <c r="C73" s="449">
        <v>2024</v>
      </c>
      <c r="D73" s="450">
        <f>2.9540095902/0.0342</f>
        <v>86.374549421052635</v>
      </c>
      <c r="E73" s="450">
        <f>0.010760775/0.0342</f>
        <v>0.31464254385964913</v>
      </c>
      <c r="F73" s="450">
        <f>0.0061105829/0.0342</f>
        <v>0.17867201461988302</v>
      </c>
      <c r="G73" s="505">
        <f t="shared" si="4"/>
        <v>86.86786397953216</v>
      </c>
      <c r="H73" s="451" t="s">
        <v>2028</v>
      </c>
      <c r="I73"/>
      <c r="J73"/>
      <c r="K73"/>
      <c r="L73"/>
      <c r="M73"/>
      <c r="N73"/>
    </row>
    <row r="74" spans="1:14" s="272" customFormat="1" ht="15.6">
      <c r="A74" s="272" t="s">
        <v>44</v>
      </c>
      <c r="B74" s="457" t="s">
        <v>1227</v>
      </c>
      <c r="C74" s="455">
        <v>2024</v>
      </c>
      <c r="D74" s="456">
        <f>2.971635097/49*1000</f>
        <v>60.645614224489798</v>
      </c>
      <c r="E74" s="456">
        <v>0</v>
      </c>
      <c r="F74" s="456">
        <v>0</v>
      </c>
      <c r="G74" s="506">
        <f t="shared" si="4"/>
        <v>60.645614224489798</v>
      </c>
      <c r="H74" s="457" t="s">
        <v>2028</v>
      </c>
      <c r="I74"/>
      <c r="J74"/>
      <c r="K74"/>
      <c r="L74"/>
      <c r="M74"/>
      <c r="N74"/>
    </row>
    <row r="75" spans="1:14" s="272" customFormat="1" ht="15.6">
      <c r="A75" s="272" t="s">
        <v>44</v>
      </c>
      <c r="B75" s="446" t="s">
        <v>1231</v>
      </c>
      <c r="C75" s="444">
        <v>2025</v>
      </c>
      <c r="D75" s="445">
        <f>2.656405269/0.0221</f>
        <v>120.19933343891401</v>
      </c>
      <c r="E75" s="445">
        <f>0.007870951/0.0221</f>
        <v>0.35615162895927593</v>
      </c>
      <c r="F75" s="445">
        <f>0.0086748766/0.0221</f>
        <v>0.39252835294117649</v>
      </c>
      <c r="G75" s="504">
        <f t="shared" si="3"/>
        <v>120.94801342081446</v>
      </c>
      <c r="H75" s="446" t="s">
        <v>2030</v>
      </c>
      <c r="I75"/>
      <c r="J75"/>
      <c r="K75"/>
      <c r="L75"/>
      <c r="M75"/>
      <c r="N75"/>
    </row>
    <row r="76" spans="1:14" s="272" customFormat="1" ht="15.6">
      <c r="A76" s="272" t="s">
        <v>44</v>
      </c>
      <c r="B76" s="451" t="s">
        <v>1422</v>
      </c>
      <c r="C76" s="449">
        <v>2025</v>
      </c>
      <c r="D76" s="450">
        <f>2.0049399419/0.0221</f>
        <v>90.721264339366513</v>
      </c>
      <c r="E76" s="450">
        <f>0.0057572401/0.0221</f>
        <v>0.26050860180995472</v>
      </c>
      <c r="F76" s="450">
        <f>0.0081732248/0.0221</f>
        <v>0.36982917647058822</v>
      </c>
      <c r="G76" s="505">
        <f t="shared" si="3"/>
        <v>91.351602117647062</v>
      </c>
      <c r="H76" s="451" t="s">
        <v>2030</v>
      </c>
      <c r="I76"/>
      <c r="J76"/>
      <c r="K76"/>
      <c r="L76"/>
      <c r="M76"/>
      <c r="N76"/>
    </row>
    <row r="77" spans="1:14" s="272" customFormat="1" ht="15.6">
      <c r="A77" s="272" t="s">
        <v>44</v>
      </c>
      <c r="B77" s="451" t="s">
        <v>1225</v>
      </c>
      <c r="C77" s="449">
        <v>2025</v>
      </c>
      <c r="D77" s="450">
        <v>54.2077587936</v>
      </c>
      <c r="E77" s="472">
        <v>0.126</v>
      </c>
      <c r="F77" s="472">
        <v>2.385E-2</v>
      </c>
      <c r="G77" s="505">
        <f t="shared" si="3"/>
        <v>54.357608793600001</v>
      </c>
      <c r="H77" s="451" t="s">
        <v>2030</v>
      </c>
      <c r="I77"/>
      <c r="J77"/>
      <c r="K77"/>
      <c r="L77"/>
      <c r="M77"/>
      <c r="N77"/>
    </row>
    <row r="78" spans="1:14" s="272" customFormat="1" ht="15.6">
      <c r="A78" s="272" t="s">
        <v>44</v>
      </c>
      <c r="B78" s="451" t="s">
        <v>1424</v>
      </c>
      <c r="C78" s="449">
        <v>2025</v>
      </c>
      <c r="D78" s="450">
        <f>3.0535917266/40*1000</f>
        <v>76.339793165000003</v>
      </c>
      <c r="E78" s="450">
        <f>0.0102388965/40*1000</f>
        <v>0.25597241250000002</v>
      </c>
      <c r="F78" s="450">
        <f>0.0058142305/40*1000</f>
        <v>0.14535576249999999</v>
      </c>
      <c r="G78" s="505">
        <f t="shared" si="3"/>
        <v>76.741121340000007</v>
      </c>
      <c r="H78" s="451" t="s">
        <v>2030</v>
      </c>
      <c r="I78"/>
      <c r="J78"/>
      <c r="K78"/>
      <c r="L78"/>
      <c r="M78"/>
      <c r="N78"/>
    </row>
    <row r="79" spans="1:14" s="272" customFormat="1" ht="15.6">
      <c r="A79" s="272" t="s">
        <v>44</v>
      </c>
      <c r="B79" s="451" t="s">
        <v>1425</v>
      </c>
      <c r="C79" s="449">
        <v>2025</v>
      </c>
      <c r="D79" s="450">
        <f>2.9540095902/0.0342</f>
        <v>86.374549421052635</v>
      </c>
      <c r="E79" s="450">
        <f>0.010760775/0.0342</f>
        <v>0.31464254385964913</v>
      </c>
      <c r="F79" s="450">
        <f>0.0061105829/0.0342</f>
        <v>0.17867201461988302</v>
      </c>
      <c r="G79" s="505">
        <f t="shared" si="3"/>
        <v>86.86786397953216</v>
      </c>
      <c r="H79" s="451" t="s">
        <v>2030</v>
      </c>
      <c r="I79"/>
      <c r="J79"/>
      <c r="K79"/>
      <c r="L79"/>
      <c r="M79"/>
      <c r="N79"/>
    </row>
    <row r="80" spans="1:14" s="272" customFormat="1" ht="15.6">
      <c r="A80" s="272" t="s">
        <v>44</v>
      </c>
      <c r="B80" s="457" t="s">
        <v>1227</v>
      </c>
      <c r="C80" s="455">
        <v>2025</v>
      </c>
      <c r="D80" s="456">
        <f>2.971635097/49*1000</f>
        <v>60.645614224489798</v>
      </c>
      <c r="E80" s="456">
        <v>0</v>
      </c>
      <c r="F80" s="456">
        <v>0</v>
      </c>
      <c r="G80" s="506">
        <f t="shared" si="3"/>
        <v>60.645614224489798</v>
      </c>
      <c r="H80" s="457" t="s">
        <v>2030</v>
      </c>
      <c r="I80"/>
      <c r="J80"/>
      <c r="K80"/>
      <c r="L80"/>
      <c r="M80"/>
      <c r="N80"/>
    </row>
    <row r="81" spans="1:14">
      <c r="A81" s="272" t="s">
        <v>44</v>
      </c>
      <c r="I81"/>
      <c r="J81"/>
      <c r="K81"/>
      <c r="L81"/>
      <c r="M81"/>
      <c r="N81"/>
    </row>
    <row r="82" spans="1:14" ht="20.100000000000001" customHeight="1">
      <c r="B82" s="257" t="s">
        <v>1438</v>
      </c>
      <c r="C82" s="258"/>
      <c r="D82" s="258"/>
      <c r="E82" s="259"/>
      <c r="F82" s="258"/>
      <c r="G82" s="258"/>
      <c r="H82" s="437"/>
      <c r="I82"/>
      <c r="J82"/>
      <c r="K82"/>
      <c r="L82"/>
      <c r="M82"/>
      <c r="N82"/>
    </row>
    <row r="83" spans="1:14" ht="33.6">
      <c r="B83" s="438" t="s">
        <v>1439</v>
      </c>
      <c r="C83" s="439" t="s">
        <v>1414</v>
      </c>
      <c r="D83" s="439" t="s">
        <v>1440</v>
      </c>
      <c r="E83" s="439" t="s">
        <v>1441</v>
      </c>
      <c r="F83" s="439" t="s">
        <v>1442</v>
      </c>
      <c r="G83" s="439" t="s">
        <v>1443</v>
      </c>
      <c r="H83" s="438" t="s">
        <v>1417</v>
      </c>
      <c r="I83"/>
      <c r="J83"/>
    </row>
    <row r="84" spans="1:14">
      <c r="A84" s="267" t="s">
        <v>44</v>
      </c>
      <c r="B84" s="269" t="s">
        <v>1183</v>
      </c>
      <c r="C84" s="268">
        <v>2021</v>
      </c>
      <c r="D84" s="507">
        <v>0.122</v>
      </c>
      <c r="E84" s="486">
        <f>D84/0.0036</f>
        <v>33.888888888888886</v>
      </c>
      <c r="F84" s="268" t="s">
        <v>921</v>
      </c>
      <c r="G84" s="487" t="s">
        <v>921</v>
      </c>
      <c r="H84" s="269" t="s">
        <v>1437</v>
      </c>
      <c r="I84"/>
      <c r="J84"/>
    </row>
    <row r="85" spans="1:14">
      <c r="B85" s="446" t="s">
        <v>1444</v>
      </c>
      <c r="C85" s="444">
        <v>2019</v>
      </c>
      <c r="D85" s="473">
        <v>0.81</v>
      </c>
      <c r="E85" s="474">
        <f t="shared" ref="E85:G127" si="5">D85/0.0036</f>
        <v>225.00000000000003</v>
      </c>
      <c r="F85" s="473">
        <v>0.09</v>
      </c>
      <c r="G85" s="492">
        <f t="shared" si="5"/>
        <v>25</v>
      </c>
      <c r="H85" s="446" t="s">
        <v>1035</v>
      </c>
      <c r="I85"/>
      <c r="J85"/>
    </row>
    <row r="86" spans="1:14">
      <c r="B86" s="451" t="s">
        <v>1445</v>
      </c>
      <c r="C86" s="449">
        <v>2019</v>
      </c>
      <c r="D86" s="472">
        <v>0.81</v>
      </c>
      <c r="E86" s="475">
        <f t="shared" si="5"/>
        <v>225.00000000000003</v>
      </c>
      <c r="F86" s="472">
        <v>0.09</v>
      </c>
      <c r="G86" s="493">
        <f t="shared" si="5"/>
        <v>25</v>
      </c>
      <c r="H86" s="451" t="s">
        <v>1035</v>
      </c>
      <c r="I86"/>
      <c r="J86"/>
    </row>
    <row r="87" spans="1:14">
      <c r="B87" s="451" t="s">
        <v>1446</v>
      </c>
      <c r="C87" s="449">
        <v>2019</v>
      </c>
      <c r="D87" s="472">
        <v>1.02</v>
      </c>
      <c r="E87" s="475">
        <f t="shared" si="5"/>
        <v>283.33333333333337</v>
      </c>
      <c r="F87" s="472">
        <v>0.1</v>
      </c>
      <c r="G87" s="493">
        <f t="shared" si="5"/>
        <v>27.777777777777779</v>
      </c>
      <c r="H87" s="451" t="s">
        <v>1035</v>
      </c>
      <c r="I87"/>
      <c r="J87"/>
    </row>
    <row r="88" spans="1:14">
      <c r="B88" s="451" t="s">
        <v>1447</v>
      </c>
      <c r="C88" s="449">
        <v>2019</v>
      </c>
      <c r="D88" s="472">
        <v>0.81</v>
      </c>
      <c r="E88" s="475">
        <f t="shared" si="5"/>
        <v>225.00000000000003</v>
      </c>
      <c r="F88" s="472">
        <v>0.12</v>
      </c>
      <c r="G88" s="493">
        <f t="shared" si="5"/>
        <v>33.333333333333336</v>
      </c>
      <c r="H88" s="451" t="s">
        <v>1035</v>
      </c>
      <c r="I88"/>
      <c r="J88"/>
    </row>
    <row r="89" spans="1:14">
      <c r="B89" s="451" t="s">
        <v>1448</v>
      </c>
      <c r="C89" s="449">
        <v>2019</v>
      </c>
      <c r="D89" s="472">
        <v>0.44</v>
      </c>
      <c r="E89" s="475">
        <f t="shared" si="5"/>
        <v>122.22222222222223</v>
      </c>
      <c r="F89" s="472">
        <v>0.1</v>
      </c>
      <c r="G89" s="493">
        <f t="shared" si="5"/>
        <v>27.777777777777779</v>
      </c>
      <c r="H89" s="451" t="s">
        <v>1035</v>
      </c>
      <c r="I89"/>
      <c r="J89"/>
    </row>
    <row r="90" spans="1:14">
      <c r="B90" s="451" t="s">
        <v>1449</v>
      </c>
      <c r="C90" s="449">
        <v>2019</v>
      </c>
      <c r="D90" s="472">
        <v>0.69</v>
      </c>
      <c r="E90" s="475">
        <f t="shared" si="5"/>
        <v>191.66666666666666</v>
      </c>
      <c r="F90" s="472">
        <v>0.04</v>
      </c>
      <c r="G90" s="493">
        <f t="shared" si="5"/>
        <v>11.111111111111112</v>
      </c>
      <c r="H90" s="451" t="s">
        <v>1035</v>
      </c>
      <c r="I90"/>
      <c r="J90"/>
    </row>
    <row r="91" spans="1:14">
      <c r="B91" s="451" t="s">
        <v>1450</v>
      </c>
      <c r="C91" s="449">
        <v>2019</v>
      </c>
      <c r="D91" s="472">
        <v>0.59</v>
      </c>
      <c r="E91" s="475">
        <f t="shared" si="5"/>
        <v>163.88888888888889</v>
      </c>
      <c r="F91" s="472" t="s">
        <v>921</v>
      </c>
      <c r="G91" s="493" t="s">
        <v>921</v>
      </c>
      <c r="H91" s="451" t="s">
        <v>1012</v>
      </c>
      <c r="I91"/>
      <c r="J91"/>
    </row>
    <row r="92" spans="1:14">
      <c r="B92" s="451" t="s">
        <v>1451</v>
      </c>
      <c r="C92" s="449">
        <v>2019</v>
      </c>
      <c r="D92" s="472">
        <v>0.55000000000000004</v>
      </c>
      <c r="E92" s="475">
        <f t="shared" si="5"/>
        <v>152.7777777777778</v>
      </c>
      <c r="F92" s="472" t="s">
        <v>921</v>
      </c>
      <c r="G92" s="493" t="s">
        <v>921</v>
      </c>
      <c r="H92" s="451" t="s">
        <v>1012</v>
      </c>
      <c r="I92"/>
      <c r="J92"/>
    </row>
    <row r="93" spans="1:14">
      <c r="B93" s="451" t="s">
        <v>1452</v>
      </c>
      <c r="C93" s="449">
        <v>2019</v>
      </c>
      <c r="D93" s="472">
        <v>0.15</v>
      </c>
      <c r="E93" s="475">
        <f t="shared" si="5"/>
        <v>41.666666666666664</v>
      </c>
      <c r="F93" s="472">
        <v>0.02</v>
      </c>
      <c r="G93" s="493">
        <f t="shared" si="5"/>
        <v>5.5555555555555562</v>
      </c>
      <c r="H93" s="451" t="s">
        <v>1035</v>
      </c>
      <c r="I93"/>
      <c r="J93"/>
    </row>
    <row r="94" spans="1:14">
      <c r="B94" s="457" t="s">
        <v>1453</v>
      </c>
      <c r="C94" s="455">
        <v>2019</v>
      </c>
      <c r="D94" s="478">
        <v>0.63</v>
      </c>
      <c r="E94" s="479">
        <f t="shared" si="5"/>
        <v>175</v>
      </c>
      <c r="F94" s="478">
        <v>0.08</v>
      </c>
      <c r="G94" s="494">
        <f t="shared" si="5"/>
        <v>22.222222222222225</v>
      </c>
      <c r="H94" s="457" t="s">
        <v>1035</v>
      </c>
      <c r="I94"/>
      <c r="J94"/>
    </row>
    <row r="95" spans="1:14">
      <c r="B95" s="470" t="s">
        <v>1444</v>
      </c>
      <c r="C95" s="468">
        <v>2020</v>
      </c>
      <c r="D95" s="482">
        <v>0.81</v>
      </c>
      <c r="E95" s="483">
        <f t="shared" si="5"/>
        <v>225.00000000000003</v>
      </c>
      <c r="F95" s="484">
        <v>0.09</v>
      </c>
      <c r="G95" s="485">
        <f t="shared" si="5"/>
        <v>25</v>
      </c>
      <c r="H95" s="470" t="s">
        <v>1098</v>
      </c>
      <c r="I95"/>
      <c r="J95"/>
    </row>
    <row r="96" spans="1:14">
      <c r="B96" s="451" t="s">
        <v>1445</v>
      </c>
      <c r="C96" s="449">
        <v>2020</v>
      </c>
      <c r="D96" s="472">
        <v>0.81</v>
      </c>
      <c r="E96" s="475">
        <f t="shared" si="5"/>
        <v>225.00000000000003</v>
      </c>
      <c r="F96" s="476">
        <v>0.09</v>
      </c>
      <c r="G96" s="477">
        <f t="shared" si="5"/>
        <v>25</v>
      </c>
      <c r="H96" s="451" t="s">
        <v>1098</v>
      </c>
      <c r="I96"/>
      <c r="J96"/>
    </row>
    <row r="97" spans="2:14">
      <c r="B97" s="451" t="s">
        <v>1446</v>
      </c>
      <c r="C97" s="449">
        <v>2020</v>
      </c>
      <c r="D97" s="472">
        <v>0.98</v>
      </c>
      <c r="E97" s="475">
        <f t="shared" si="5"/>
        <v>272.22222222222223</v>
      </c>
      <c r="F97" s="476">
        <v>0.11</v>
      </c>
      <c r="G97" s="477">
        <f t="shared" si="5"/>
        <v>30.555555555555557</v>
      </c>
      <c r="H97" s="451" t="s">
        <v>1098</v>
      </c>
      <c r="I97"/>
      <c r="J97"/>
    </row>
    <row r="98" spans="2:14">
      <c r="B98" s="451" t="s">
        <v>1447</v>
      </c>
      <c r="C98" s="449">
        <v>2020</v>
      </c>
      <c r="D98" s="472">
        <v>0.81</v>
      </c>
      <c r="E98" s="475">
        <f t="shared" si="5"/>
        <v>225.00000000000003</v>
      </c>
      <c r="F98" s="476">
        <v>0.12</v>
      </c>
      <c r="G98" s="477">
        <f t="shared" si="5"/>
        <v>33.333333333333336</v>
      </c>
      <c r="H98" s="451" t="s">
        <v>1098</v>
      </c>
      <c r="I98"/>
      <c r="J98"/>
    </row>
    <row r="99" spans="2:14">
      <c r="B99" s="451" t="s">
        <v>1448</v>
      </c>
      <c r="C99" s="449">
        <v>2020</v>
      </c>
      <c r="D99" s="472">
        <v>0.43</v>
      </c>
      <c r="E99" s="475">
        <f t="shared" si="5"/>
        <v>119.44444444444444</v>
      </c>
      <c r="F99" s="476">
        <v>0.09</v>
      </c>
      <c r="G99" s="477">
        <f t="shared" si="5"/>
        <v>25</v>
      </c>
      <c r="H99" s="451" t="s">
        <v>1098</v>
      </c>
      <c r="I99"/>
      <c r="J99"/>
    </row>
    <row r="100" spans="2:14">
      <c r="B100" s="451" t="s">
        <v>1449</v>
      </c>
      <c r="C100" s="449">
        <v>2020</v>
      </c>
      <c r="D100" s="472">
        <v>0.68</v>
      </c>
      <c r="E100" s="475">
        <f t="shared" si="5"/>
        <v>188.88888888888891</v>
      </c>
      <c r="F100" s="476">
        <v>0.02</v>
      </c>
      <c r="G100" s="477">
        <f t="shared" si="5"/>
        <v>5.5555555555555562</v>
      </c>
      <c r="H100" s="451" t="s">
        <v>1098</v>
      </c>
      <c r="I100"/>
      <c r="J100"/>
    </row>
    <row r="101" spans="2:14">
      <c r="B101" s="451" t="s">
        <v>1450</v>
      </c>
      <c r="C101" s="449">
        <v>2020</v>
      </c>
      <c r="D101" s="472">
        <v>0.57999999999999996</v>
      </c>
      <c r="E101" s="475">
        <f t="shared" si="5"/>
        <v>161.11111111111111</v>
      </c>
      <c r="F101" s="476" t="s">
        <v>921</v>
      </c>
      <c r="G101" s="477" t="s">
        <v>921</v>
      </c>
      <c r="H101" s="451" t="s">
        <v>1078</v>
      </c>
      <c r="I101"/>
      <c r="J101"/>
    </row>
    <row r="102" spans="2:14">
      <c r="B102" s="451" t="s">
        <v>1451</v>
      </c>
      <c r="C102" s="449">
        <v>2020</v>
      </c>
      <c r="D102" s="472">
        <v>0.53</v>
      </c>
      <c r="E102" s="475">
        <f t="shared" si="5"/>
        <v>147.22222222222223</v>
      </c>
      <c r="F102" s="476" t="s">
        <v>921</v>
      </c>
      <c r="G102" s="477" t="s">
        <v>921</v>
      </c>
      <c r="H102" s="451" t="s">
        <v>1078</v>
      </c>
      <c r="I102"/>
      <c r="J102"/>
    </row>
    <row r="103" spans="2:14">
      <c r="B103" s="451" t="s">
        <v>1452</v>
      </c>
      <c r="C103" s="449">
        <v>2020</v>
      </c>
      <c r="D103" s="472">
        <v>0.15</v>
      </c>
      <c r="E103" s="475">
        <f t="shared" si="5"/>
        <v>41.666666666666664</v>
      </c>
      <c r="F103" s="476">
        <v>0.02</v>
      </c>
      <c r="G103" s="477">
        <f t="shared" si="5"/>
        <v>5.5555555555555562</v>
      </c>
      <c r="H103" s="451" t="s">
        <v>1098</v>
      </c>
      <c r="I103"/>
      <c r="J103"/>
    </row>
    <row r="104" spans="2:14">
      <c r="B104" s="457" t="s">
        <v>1453</v>
      </c>
      <c r="C104" s="455">
        <v>2020</v>
      </c>
      <c r="D104" s="478">
        <v>0.62</v>
      </c>
      <c r="E104" s="479">
        <f t="shared" si="5"/>
        <v>172.22222222222223</v>
      </c>
      <c r="F104" s="480">
        <v>7.0000000000000007E-2</v>
      </c>
      <c r="G104" s="481">
        <f t="shared" si="5"/>
        <v>19.444444444444446</v>
      </c>
      <c r="H104" s="457" t="s">
        <v>1098</v>
      </c>
      <c r="I104"/>
      <c r="J104"/>
      <c r="K104" s="267"/>
      <c r="L104" s="267"/>
      <c r="M104" s="267"/>
      <c r="N104" s="267"/>
    </row>
    <row r="105" spans="2:14">
      <c r="B105" s="446" t="s">
        <v>1444</v>
      </c>
      <c r="C105" s="444">
        <v>2021</v>
      </c>
      <c r="D105" s="473">
        <v>0.78</v>
      </c>
      <c r="E105" s="474">
        <f t="shared" si="5"/>
        <v>216.66666666666669</v>
      </c>
      <c r="F105" s="473">
        <v>7.0000000000000007E-2</v>
      </c>
      <c r="G105" s="474">
        <f t="shared" si="5"/>
        <v>19.444444444444446</v>
      </c>
      <c r="H105" s="446" t="s">
        <v>1454</v>
      </c>
      <c r="I105"/>
      <c r="J105"/>
      <c r="K105" s="267"/>
      <c r="L105" s="267"/>
      <c r="M105" s="267"/>
      <c r="N105" s="267"/>
    </row>
    <row r="106" spans="2:14">
      <c r="B106" s="451" t="s">
        <v>1445</v>
      </c>
      <c r="C106" s="449">
        <v>2021</v>
      </c>
      <c r="D106" s="472">
        <v>0.78</v>
      </c>
      <c r="E106" s="475">
        <f t="shared" si="5"/>
        <v>216.66666666666669</v>
      </c>
      <c r="F106" s="472">
        <v>7.0000000000000007E-2</v>
      </c>
      <c r="G106" s="475">
        <f t="shared" si="5"/>
        <v>19.444444444444446</v>
      </c>
      <c r="H106" s="451" t="s">
        <v>1454</v>
      </c>
      <c r="I106"/>
      <c r="J106"/>
      <c r="K106" s="267"/>
      <c r="L106" s="267"/>
      <c r="M106" s="267"/>
      <c r="N106" s="267"/>
    </row>
    <row r="107" spans="2:14">
      <c r="B107" s="451" t="s">
        <v>1446</v>
      </c>
      <c r="C107" s="449">
        <v>2021</v>
      </c>
      <c r="D107" s="472">
        <v>0.91</v>
      </c>
      <c r="E107" s="475">
        <f t="shared" si="5"/>
        <v>252.7777777777778</v>
      </c>
      <c r="F107" s="472">
        <v>0.1</v>
      </c>
      <c r="G107" s="475">
        <f t="shared" si="5"/>
        <v>27.777777777777779</v>
      </c>
      <c r="H107" s="451" t="s">
        <v>1454</v>
      </c>
      <c r="I107"/>
      <c r="J107"/>
      <c r="K107" s="267"/>
      <c r="L107" s="267"/>
      <c r="M107" s="267"/>
      <c r="N107" s="267"/>
    </row>
    <row r="108" spans="2:14">
      <c r="B108" s="451" t="s">
        <v>1447</v>
      </c>
      <c r="C108" s="449">
        <v>2021</v>
      </c>
      <c r="D108" s="472">
        <v>0.8</v>
      </c>
      <c r="E108" s="475">
        <f t="shared" si="5"/>
        <v>222.22222222222223</v>
      </c>
      <c r="F108" s="472">
        <v>0.12</v>
      </c>
      <c r="G108" s="475">
        <f t="shared" si="5"/>
        <v>33.333333333333336</v>
      </c>
      <c r="H108" s="451" t="s">
        <v>1454</v>
      </c>
      <c r="I108"/>
      <c r="J108"/>
      <c r="K108" s="267"/>
      <c r="L108" s="267"/>
      <c r="M108" s="267"/>
      <c r="N108" s="267"/>
    </row>
    <row r="109" spans="2:14">
      <c r="B109" s="451" t="s">
        <v>1448</v>
      </c>
      <c r="C109" s="449">
        <v>2021</v>
      </c>
      <c r="D109" s="472">
        <v>0.3</v>
      </c>
      <c r="E109" s="475">
        <f t="shared" si="5"/>
        <v>83.333333333333329</v>
      </c>
      <c r="F109" s="472">
        <v>7.0000000000000007E-2</v>
      </c>
      <c r="G109" s="475">
        <f t="shared" si="5"/>
        <v>19.444444444444446</v>
      </c>
      <c r="H109" s="451" t="s">
        <v>1454</v>
      </c>
      <c r="I109"/>
      <c r="J109"/>
      <c r="K109" s="267"/>
      <c r="L109" s="267"/>
      <c r="M109" s="267"/>
      <c r="N109" s="267"/>
    </row>
    <row r="110" spans="2:14">
      <c r="B110" s="451" t="s">
        <v>1449</v>
      </c>
      <c r="C110" s="449">
        <v>2021</v>
      </c>
      <c r="D110" s="472">
        <v>0.67</v>
      </c>
      <c r="E110" s="475">
        <f t="shared" si="5"/>
        <v>186.11111111111111</v>
      </c>
      <c r="F110" s="472">
        <v>0.01</v>
      </c>
      <c r="G110" s="475">
        <f t="shared" si="5"/>
        <v>2.7777777777777781</v>
      </c>
      <c r="H110" s="451" t="s">
        <v>1454</v>
      </c>
      <c r="I110"/>
      <c r="J110"/>
      <c r="K110" s="267"/>
      <c r="L110" s="267"/>
      <c r="M110" s="267"/>
      <c r="N110" s="267"/>
    </row>
    <row r="111" spans="2:14">
      <c r="B111" s="451" t="s">
        <v>1450</v>
      </c>
      <c r="C111" s="449">
        <v>2021</v>
      </c>
      <c r="D111" s="472">
        <v>0.57999999999999996</v>
      </c>
      <c r="E111" s="475">
        <f t="shared" si="5"/>
        <v>161.11111111111111</v>
      </c>
      <c r="F111" s="472" t="s">
        <v>921</v>
      </c>
      <c r="G111" s="475" t="s">
        <v>921</v>
      </c>
      <c r="H111" s="451" t="s">
        <v>1455</v>
      </c>
      <c r="I111"/>
      <c r="J111"/>
      <c r="K111" s="267"/>
      <c r="L111" s="267"/>
      <c r="M111" s="267"/>
      <c r="N111" s="267"/>
    </row>
    <row r="112" spans="2:14">
      <c r="B112" s="451" t="s">
        <v>1451</v>
      </c>
      <c r="C112" s="449">
        <v>2021</v>
      </c>
      <c r="D112" s="472">
        <v>0.54</v>
      </c>
      <c r="E112" s="475">
        <f t="shared" si="5"/>
        <v>150</v>
      </c>
      <c r="F112" s="472" t="s">
        <v>921</v>
      </c>
      <c r="G112" s="475" t="s">
        <v>921</v>
      </c>
      <c r="H112" s="451" t="s">
        <v>1455</v>
      </c>
      <c r="I112"/>
      <c r="J112"/>
      <c r="K112" s="267"/>
      <c r="L112" s="267"/>
      <c r="M112" s="267"/>
      <c r="N112" s="267"/>
    </row>
    <row r="113" spans="2:14">
      <c r="B113" s="451" t="s">
        <v>1452</v>
      </c>
      <c r="C113" s="449">
        <v>2021</v>
      </c>
      <c r="D113" s="472">
        <v>0.14000000000000001</v>
      </c>
      <c r="E113" s="475">
        <f t="shared" si="5"/>
        <v>38.888888888888893</v>
      </c>
      <c r="F113" s="472">
        <v>0.02</v>
      </c>
      <c r="G113" s="475">
        <f t="shared" si="5"/>
        <v>5.5555555555555562</v>
      </c>
      <c r="H113" s="451" t="s">
        <v>1454</v>
      </c>
      <c r="I113"/>
      <c r="J113"/>
      <c r="K113" s="267"/>
      <c r="L113" s="267"/>
      <c r="M113" s="267"/>
      <c r="N113" s="267"/>
    </row>
    <row r="114" spans="2:14">
      <c r="B114" s="457" t="s">
        <v>1453</v>
      </c>
      <c r="C114" s="455">
        <v>2021</v>
      </c>
      <c r="D114" s="478">
        <v>0.54</v>
      </c>
      <c r="E114" s="479">
        <f t="shared" si="5"/>
        <v>150</v>
      </c>
      <c r="F114" s="478">
        <v>0.04</v>
      </c>
      <c r="G114" s="479">
        <f t="shared" si="5"/>
        <v>11.111111111111112</v>
      </c>
      <c r="H114" s="457" t="s">
        <v>1454</v>
      </c>
      <c r="I114"/>
      <c r="J114"/>
      <c r="K114" s="267"/>
      <c r="L114" s="267"/>
      <c r="M114" s="267"/>
      <c r="N114" s="267"/>
    </row>
    <row r="115" spans="2:14">
      <c r="B115" s="269" t="s">
        <v>1183</v>
      </c>
      <c r="C115" s="268">
        <v>2022</v>
      </c>
      <c r="D115" s="273">
        <v>0.11899999999999999</v>
      </c>
      <c r="E115" s="486">
        <f>D115/0.0036</f>
        <v>33.055555555555557</v>
      </c>
      <c r="F115" s="268" t="s">
        <v>921</v>
      </c>
      <c r="G115" s="487" t="s">
        <v>921</v>
      </c>
      <c r="H115" s="269" t="s">
        <v>1437</v>
      </c>
      <c r="I115"/>
      <c r="J115"/>
    </row>
    <row r="116" spans="2:14">
      <c r="B116" s="446" t="s">
        <v>1444</v>
      </c>
      <c r="C116" s="444">
        <v>2022</v>
      </c>
      <c r="D116" s="473">
        <v>0.73</v>
      </c>
      <c r="E116" s="474">
        <f t="shared" si="5"/>
        <v>202.77777777777777</v>
      </c>
      <c r="F116" s="473">
        <v>0.06</v>
      </c>
      <c r="G116" s="474">
        <f t="shared" si="5"/>
        <v>16.666666666666668</v>
      </c>
      <c r="H116" s="446" t="s">
        <v>1456</v>
      </c>
      <c r="I116"/>
      <c r="J116"/>
      <c r="K116" s="267"/>
      <c r="L116" s="267"/>
      <c r="M116" s="267"/>
      <c r="N116" s="267"/>
    </row>
    <row r="117" spans="2:14">
      <c r="B117" s="451" t="s">
        <v>1445</v>
      </c>
      <c r="C117" s="449">
        <v>2022</v>
      </c>
      <c r="D117" s="472">
        <v>0.73</v>
      </c>
      <c r="E117" s="475">
        <f t="shared" si="5"/>
        <v>202.77777777777777</v>
      </c>
      <c r="F117" s="472">
        <v>0.06</v>
      </c>
      <c r="G117" s="475">
        <f t="shared" si="5"/>
        <v>16.666666666666668</v>
      </c>
      <c r="H117" s="451" t="s">
        <v>1456</v>
      </c>
      <c r="I117"/>
      <c r="J117"/>
      <c r="K117" s="267"/>
      <c r="L117" s="267"/>
      <c r="M117" s="267"/>
      <c r="N117" s="267"/>
    </row>
    <row r="118" spans="2:14">
      <c r="B118" s="451" t="s">
        <v>1446</v>
      </c>
      <c r="C118" s="449">
        <v>2022</v>
      </c>
      <c r="D118" s="472">
        <v>0.85</v>
      </c>
      <c r="E118" s="475">
        <f t="shared" si="5"/>
        <v>236.11111111111111</v>
      </c>
      <c r="F118" s="472">
        <v>7.0000000000000007E-2</v>
      </c>
      <c r="G118" s="475">
        <f t="shared" si="5"/>
        <v>19.444444444444446</v>
      </c>
      <c r="H118" s="451" t="s">
        <v>1456</v>
      </c>
      <c r="I118"/>
      <c r="J118"/>
      <c r="K118" s="267"/>
      <c r="L118" s="267"/>
      <c r="M118" s="267"/>
      <c r="N118" s="267"/>
    </row>
    <row r="119" spans="2:14">
      <c r="B119" s="451" t="s">
        <v>1447</v>
      </c>
      <c r="C119" s="449">
        <v>2022</v>
      </c>
      <c r="D119" s="472">
        <v>0.73</v>
      </c>
      <c r="E119" s="475">
        <f t="shared" si="5"/>
        <v>202.77777777777777</v>
      </c>
      <c r="F119" s="472">
        <v>0.15</v>
      </c>
      <c r="G119" s="475">
        <f t="shared" si="5"/>
        <v>41.666666666666664</v>
      </c>
      <c r="H119" s="451" t="s">
        <v>1456</v>
      </c>
      <c r="I119"/>
      <c r="J119"/>
      <c r="K119" s="267"/>
      <c r="L119" s="267"/>
      <c r="M119" s="267"/>
      <c r="N119" s="267"/>
    </row>
    <row r="120" spans="2:14">
      <c r="B120" s="451" t="s">
        <v>1448</v>
      </c>
      <c r="C120" s="449">
        <v>2022</v>
      </c>
      <c r="D120" s="472">
        <v>0.25</v>
      </c>
      <c r="E120" s="475">
        <f t="shared" si="5"/>
        <v>69.444444444444443</v>
      </c>
      <c r="F120" s="472">
        <v>0.08</v>
      </c>
      <c r="G120" s="475">
        <f t="shared" si="5"/>
        <v>22.222222222222225</v>
      </c>
      <c r="H120" s="451" t="s">
        <v>1456</v>
      </c>
      <c r="I120"/>
      <c r="J120"/>
      <c r="K120" s="267"/>
      <c r="L120" s="267"/>
      <c r="M120" s="267"/>
      <c r="N120" s="267"/>
    </row>
    <row r="121" spans="2:14">
      <c r="B121" s="451" t="s">
        <v>1449</v>
      </c>
      <c r="C121" s="449">
        <v>2022</v>
      </c>
      <c r="D121" s="472">
        <v>0.51</v>
      </c>
      <c r="E121" s="475">
        <f t="shared" si="5"/>
        <v>141.66666666666669</v>
      </c>
      <c r="F121" s="472">
        <v>0.04</v>
      </c>
      <c r="G121" s="475">
        <f t="shared" si="5"/>
        <v>11.111111111111112</v>
      </c>
      <c r="H121" s="451" t="s">
        <v>1456</v>
      </c>
      <c r="I121"/>
      <c r="J121"/>
      <c r="K121" s="267"/>
      <c r="L121" s="267"/>
      <c r="M121" s="267"/>
      <c r="N121" s="267"/>
    </row>
    <row r="122" spans="2:14">
      <c r="B122" s="451" t="s">
        <v>1450</v>
      </c>
      <c r="C122" s="449">
        <v>2022</v>
      </c>
      <c r="D122" s="472">
        <v>0.57999999999999996</v>
      </c>
      <c r="E122" s="475">
        <f t="shared" si="5"/>
        <v>161.11111111111111</v>
      </c>
      <c r="F122" s="472" t="s">
        <v>921</v>
      </c>
      <c r="G122" s="475" t="s">
        <v>921</v>
      </c>
      <c r="H122" s="451" t="s">
        <v>1456</v>
      </c>
      <c r="I122"/>
      <c r="J122"/>
      <c r="K122" s="267"/>
      <c r="L122" s="267"/>
      <c r="M122" s="267"/>
      <c r="N122" s="267"/>
    </row>
    <row r="123" spans="2:14">
      <c r="B123" s="451" t="s">
        <v>1451</v>
      </c>
      <c r="C123" s="449">
        <v>2022</v>
      </c>
      <c r="D123" s="472">
        <v>0.54</v>
      </c>
      <c r="E123" s="475">
        <f t="shared" si="5"/>
        <v>150</v>
      </c>
      <c r="F123" s="472">
        <v>7.0000000000000007E-2</v>
      </c>
      <c r="G123" s="475">
        <f t="shared" si="5"/>
        <v>19.444444444444446</v>
      </c>
      <c r="H123" s="451" t="s">
        <v>1456</v>
      </c>
      <c r="I123"/>
      <c r="J123"/>
      <c r="K123" s="267"/>
      <c r="L123" s="267"/>
      <c r="M123" s="267"/>
      <c r="N123" s="267"/>
    </row>
    <row r="124" spans="2:14">
      <c r="B124" s="464" t="s">
        <v>1183</v>
      </c>
      <c r="C124" s="512">
        <v>2025</v>
      </c>
      <c r="D124" s="515">
        <v>0.10100000000000001</v>
      </c>
      <c r="E124" s="514">
        <f t="shared" si="5"/>
        <v>28.055555555555557</v>
      </c>
      <c r="F124" s="513"/>
      <c r="G124" s="514"/>
      <c r="H124" s="269" t="s">
        <v>2031</v>
      </c>
      <c r="I124"/>
      <c r="J124"/>
      <c r="K124" s="267"/>
      <c r="L124" s="267"/>
      <c r="M124" s="267"/>
      <c r="N124" s="267"/>
    </row>
    <row r="125" spans="2:14">
      <c r="B125" s="464" t="s">
        <v>1183</v>
      </c>
      <c r="C125" s="268">
        <v>2024</v>
      </c>
      <c r="D125" s="507">
        <v>7.6999999999999999E-2</v>
      </c>
      <c r="E125" s="486">
        <f>D125/0.0036</f>
        <v>21.388888888888889</v>
      </c>
      <c r="F125" s="268" t="s">
        <v>921</v>
      </c>
      <c r="G125" s="487" t="s">
        <v>921</v>
      </c>
      <c r="H125" s="269" t="s">
        <v>2029</v>
      </c>
      <c r="I125"/>
      <c r="J125"/>
      <c r="K125" s="267"/>
      <c r="L125" s="267"/>
      <c r="M125" s="267"/>
      <c r="N125" s="267"/>
    </row>
    <row r="126" spans="2:14">
      <c r="B126" s="464" t="s">
        <v>1183</v>
      </c>
      <c r="C126" s="508">
        <v>2023</v>
      </c>
      <c r="D126" s="509">
        <v>8.2000000000000003E-2</v>
      </c>
      <c r="E126" s="486">
        <f>D126/0.0036</f>
        <v>22.777777777777779</v>
      </c>
      <c r="F126" s="268" t="s">
        <v>921</v>
      </c>
      <c r="G126" s="487" t="s">
        <v>921</v>
      </c>
      <c r="H126" s="510" t="s">
        <v>2027</v>
      </c>
      <c r="I126"/>
      <c r="J126"/>
      <c r="K126" s="267"/>
      <c r="L126" s="267"/>
      <c r="M126" s="267"/>
      <c r="N126" s="267"/>
    </row>
    <row r="127" spans="2:14">
      <c r="B127" s="457" t="s">
        <v>1452</v>
      </c>
      <c r="C127" s="455">
        <v>2022</v>
      </c>
      <c r="D127" s="516">
        <v>0.123</v>
      </c>
      <c r="E127" s="479">
        <f t="shared" si="5"/>
        <v>34.166666666666664</v>
      </c>
      <c r="F127" s="478">
        <v>0.01</v>
      </c>
      <c r="G127" s="479">
        <f t="shared" si="5"/>
        <v>2.7777777777777781</v>
      </c>
      <c r="H127" s="457" t="s">
        <v>1456</v>
      </c>
      <c r="I127"/>
      <c r="J127"/>
      <c r="K127" s="267"/>
      <c r="L127" s="267"/>
      <c r="M127" s="267"/>
      <c r="N127" s="267"/>
    </row>
    <row r="128" spans="2:14">
      <c r="B128" s="271"/>
      <c r="C128" s="270"/>
      <c r="D128" s="488"/>
      <c r="E128" s="489"/>
      <c r="F128" s="490"/>
      <c r="G128" s="491"/>
      <c r="H128" s="271"/>
      <c r="I128"/>
      <c r="J128"/>
      <c r="K128" s="267"/>
      <c r="L128" s="267"/>
      <c r="M128" s="267"/>
      <c r="N128" s="267"/>
    </row>
    <row r="129" spans="1:14" customFormat="1" ht="15.6" hidden="1">
      <c r="A129" t="s">
        <v>44</v>
      </c>
      <c r="B129" s="257" t="s">
        <v>1457</v>
      </c>
      <c r="C129" s="258"/>
      <c r="D129" s="258"/>
      <c r="E129" s="259"/>
      <c r="F129" s="258"/>
      <c r="G129" s="258"/>
      <c r="H129" s="437"/>
    </row>
    <row r="130" spans="1:14" customFormat="1" ht="33.6" hidden="1">
      <c r="A130" t="s">
        <v>44</v>
      </c>
      <c r="B130" s="260" t="s">
        <v>1458</v>
      </c>
      <c r="C130" s="256" t="s">
        <v>1414</v>
      </c>
      <c r="D130" s="256" t="s">
        <v>1440</v>
      </c>
      <c r="E130" s="256" t="s">
        <v>1441</v>
      </c>
      <c r="F130" s="256" t="s">
        <v>1442</v>
      </c>
      <c r="G130" s="256" t="s">
        <v>1443</v>
      </c>
      <c r="H130" s="260" t="s">
        <v>1417</v>
      </c>
    </row>
    <row r="131" spans="1:14" hidden="1">
      <c r="A131" t="s">
        <v>44</v>
      </c>
      <c r="B131" s="269" t="s">
        <v>1459</v>
      </c>
      <c r="C131" s="268"/>
      <c r="D131" s="268">
        <v>0</v>
      </c>
      <c r="E131" s="268"/>
      <c r="F131" s="268"/>
      <c r="G131" s="268"/>
      <c r="H131" s="269"/>
      <c r="I131"/>
      <c r="J131"/>
      <c r="K131"/>
      <c r="L131"/>
      <c r="M131"/>
      <c r="N131"/>
    </row>
    <row r="132" spans="1:14" hidden="1">
      <c r="A132" t="s">
        <v>44</v>
      </c>
      <c r="B132" s="269" t="s">
        <v>1460</v>
      </c>
      <c r="C132" s="268"/>
      <c r="D132" s="268">
        <v>0</v>
      </c>
      <c r="E132" s="268"/>
      <c r="F132" s="268"/>
      <c r="G132" s="268"/>
      <c r="H132" s="269"/>
      <c r="I132"/>
      <c r="J132"/>
      <c r="K132"/>
      <c r="L132"/>
      <c r="M132"/>
      <c r="N132"/>
    </row>
    <row r="133" spans="1:14" hidden="1">
      <c r="A133" t="s">
        <v>44</v>
      </c>
      <c r="B133" s="269" t="s">
        <v>1461</v>
      </c>
      <c r="C133" s="268"/>
      <c r="D133" s="268">
        <v>0</v>
      </c>
      <c r="E133" s="268"/>
      <c r="F133" s="268"/>
      <c r="G133" s="268"/>
      <c r="H133" s="269"/>
      <c r="I133"/>
      <c r="J133"/>
      <c r="K133"/>
      <c r="L133"/>
      <c r="M133"/>
      <c r="N133"/>
    </row>
    <row r="134" spans="1:14" hidden="1">
      <c r="A134" t="s">
        <v>44</v>
      </c>
      <c r="B134" s="269" t="s">
        <v>1462</v>
      </c>
      <c r="C134" s="268"/>
      <c r="D134" s="268">
        <v>0</v>
      </c>
      <c r="E134" s="268"/>
      <c r="F134" s="268"/>
      <c r="G134" s="268"/>
      <c r="H134" s="269"/>
      <c r="I134"/>
      <c r="J134"/>
      <c r="K134"/>
      <c r="L134"/>
      <c r="M134"/>
      <c r="N134"/>
    </row>
    <row r="135" spans="1:14" hidden="1">
      <c r="A135" t="s">
        <v>44</v>
      </c>
      <c r="B135" s="269" t="s">
        <v>1463</v>
      </c>
      <c r="C135" s="268"/>
      <c r="D135" s="268">
        <v>0</v>
      </c>
      <c r="E135" s="268"/>
      <c r="F135" s="268"/>
      <c r="G135" s="268"/>
      <c r="H135" s="269" t="s">
        <v>1464</v>
      </c>
      <c r="I135"/>
      <c r="J135"/>
      <c r="K135"/>
      <c r="L135"/>
      <c r="M135"/>
      <c r="N135"/>
    </row>
    <row r="136" spans="1:14" hidden="1">
      <c r="A136" t="s">
        <v>44</v>
      </c>
      <c r="H136" s="270"/>
      <c r="I136" s="270"/>
      <c r="J136" s="270"/>
      <c r="M136" s="270"/>
      <c r="N136" s="271"/>
    </row>
    <row r="137" spans="1:14" ht="20.100000000000001" customHeight="1">
      <c r="B137" s="283" t="s">
        <v>1465</v>
      </c>
      <c r="C137" s="284"/>
      <c r="D137" s="284"/>
      <c r="E137" s="285"/>
      <c r="H137" s="270"/>
      <c r="I137" s="270"/>
      <c r="J137" s="270"/>
      <c r="M137" s="270"/>
      <c r="N137" s="271"/>
    </row>
    <row r="138" spans="1:14" ht="33.6">
      <c r="B138" s="262" t="s">
        <v>1466</v>
      </c>
      <c r="C138" s="263" t="s">
        <v>1414</v>
      </c>
      <c r="D138" s="263" t="s">
        <v>1467</v>
      </c>
      <c r="E138" s="264" t="s">
        <v>1417</v>
      </c>
      <c r="H138" s="270"/>
      <c r="I138" s="270"/>
      <c r="J138" s="270"/>
      <c r="M138" s="270"/>
      <c r="N138" s="271"/>
    </row>
    <row r="139" spans="1:14">
      <c r="B139" s="446" t="s">
        <v>1468</v>
      </c>
      <c r="C139" s="443">
        <v>2019</v>
      </c>
      <c r="D139" s="445">
        <v>12.8</v>
      </c>
      <c r="E139" s="671" t="s">
        <v>1058</v>
      </c>
      <c r="H139" s="270"/>
      <c r="I139" s="270"/>
      <c r="J139" s="270"/>
      <c r="M139" s="270"/>
      <c r="N139" s="271"/>
    </row>
    <row r="140" spans="1:14">
      <c r="B140" s="451" t="s">
        <v>1469</v>
      </c>
      <c r="C140" s="448">
        <v>2019</v>
      </c>
      <c r="D140" s="450">
        <v>13.6</v>
      </c>
      <c r="E140" s="672"/>
      <c r="H140" s="270"/>
      <c r="I140" s="270"/>
      <c r="J140" s="270"/>
      <c r="M140" s="270"/>
      <c r="N140" s="271"/>
    </row>
    <row r="141" spans="1:14">
      <c r="B141" s="451" t="s">
        <v>1470</v>
      </c>
      <c r="C141" s="448">
        <v>2019</v>
      </c>
      <c r="D141" s="450">
        <v>12.8</v>
      </c>
      <c r="E141" s="672"/>
      <c r="H141" s="270"/>
      <c r="I141" s="270"/>
      <c r="J141" s="270"/>
      <c r="M141" s="270"/>
      <c r="N141" s="271"/>
    </row>
    <row r="142" spans="1:14">
      <c r="B142" s="451" t="s">
        <v>1471</v>
      </c>
      <c r="C142" s="448">
        <v>2019</v>
      </c>
      <c r="D142" s="450">
        <v>13.6</v>
      </c>
      <c r="E142" s="672"/>
      <c r="H142" s="270"/>
      <c r="I142" s="270"/>
      <c r="J142" s="270"/>
      <c r="M142" s="270"/>
      <c r="N142" s="271"/>
    </row>
    <row r="143" spans="1:14">
      <c r="B143" s="451" t="s">
        <v>1472</v>
      </c>
      <c r="C143" s="448">
        <v>2019</v>
      </c>
      <c r="D143" s="450">
        <v>3.9</v>
      </c>
      <c r="E143" s="672"/>
      <c r="H143" s="270"/>
      <c r="I143" s="270"/>
      <c r="J143" s="270"/>
      <c r="M143" s="270"/>
      <c r="N143" s="271"/>
    </row>
    <row r="144" spans="1:14">
      <c r="B144" s="451" t="s">
        <v>1473</v>
      </c>
      <c r="C144" s="448">
        <v>2019</v>
      </c>
      <c r="D144" s="450">
        <v>3.9</v>
      </c>
      <c r="E144" s="672"/>
      <c r="H144" s="270"/>
      <c r="I144" s="270"/>
      <c r="J144" s="270"/>
      <c r="M144" s="270"/>
      <c r="N144" s="271"/>
    </row>
    <row r="145" spans="2:14">
      <c r="B145" s="451" t="s">
        <v>1474</v>
      </c>
      <c r="C145" s="448">
        <v>2019</v>
      </c>
      <c r="D145" s="450">
        <v>8.6999999999999993</v>
      </c>
      <c r="E145" s="672"/>
      <c r="H145" s="270"/>
      <c r="I145" s="270"/>
      <c r="J145" s="270"/>
      <c r="M145" s="270"/>
      <c r="N145" s="271"/>
    </row>
    <row r="146" spans="2:14">
      <c r="B146" s="451" t="s">
        <v>1475</v>
      </c>
      <c r="C146" s="448">
        <v>2019</v>
      </c>
      <c r="D146" s="450">
        <v>7.8</v>
      </c>
      <c r="E146" s="672"/>
      <c r="H146" s="270"/>
      <c r="I146" s="270"/>
      <c r="J146" s="270"/>
      <c r="M146" s="270"/>
      <c r="N146" s="271"/>
    </row>
    <row r="147" spans="2:14">
      <c r="B147" s="451" t="s">
        <v>1476</v>
      </c>
      <c r="C147" s="448">
        <v>2019</v>
      </c>
      <c r="D147" s="450">
        <v>10.4</v>
      </c>
      <c r="E147" s="672"/>
      <c r="H147" s="270"/>
      <c r="I147" s="270"/>
      <c r="J147" s="270"/>
      <c r="M147" s="270"/>
      <c r="N147" s="271"/>
    </row>
    <row r="148" spans="2:14">
      <c r="B148" s="451" t="s">
        <v>1477</v>
      </c>
      <c r="C148" s="448">
        <v>2019</v>
      </c>
      <c r="D148" s="450">
        <v>10.3</v>
      </c>
      <c r="E148" s="672"/>
      <c r="H148" s="270"/>
      <c r="I148" s="270"/>
      <c r="J148" s="270"/>
      <c r="M148" s="270"/>
      <c r="N148" s="271"/>
    </row>
    <row r="149" spans="2:14">
      <c r="B149" s="451" t="s">
        <v>1478</v>
      </c>
      <c r="C149" s="448">
        <v>2019</v>
      </c>
      <c r="D149" s="450">
        <v>4</v>
      </c>
      <c r="E149" s="672"/>
      <c r="H149" s="270"/>
      <c r="I149" s="270"/>
      <c r="J149" s="270"/>
      <c r="M149" s="270"/>
      <c r="N149" s="271"/>
    </row>
    <row r="150" spans="2:14">
      <c r="B150" s="451" t="s">
        <v>1479</v>
      </c>
      <c r="C150" s="448">
        <v>2019</v>
      </c>
      <c r="D150" s="450">
        <v>3.9</v>
      </c>
      <c r="E150" s="672"/>
      <c r="H150" s="270"/>
      <c r="I150" s="270"/>
      <c r="J150" s="270"/>
      <c r="M150" s="270"/>
      <c r="N150" s="271"/>
    </row>
    <row r="151" spans="2:14">
      <c r="B151" s="451" t="s">
        <v>1480</v>
      </c>
      <c r="C151" s="448">
        <v>2019</v>
      </c>
      <c r="D151" s="449" t="s">
        <v>1052</v>
      </c>
      <c r="E151" s="672"/>
      <c r="H151" s="270"/>
      <c r="I151" s="270"/>
      <c r="J151" s="270"/>
      <c r="M151" s="270"/>
      <c r="N151" s="271"/>
    </row>
    <row r="152" spans="2:14">
      <c r="B152" s="451" t="s">
        <v>1481</v>
      </c>
      <c r="C152" s="448">
        <v>2019</v>
      </c>
      <c r="D152" s="449" t="s">
        <v>1052</v>
      </c>
      <c r="E152" s="672"/>
      <c r="H152" s="270"/>
      <c r="I152" s="270"/>
      <c r="J152" s="270"/>
      <c r="M152" s="270"/>
      <c r="N152" s="271"/>
    </row>
    <row r="153" spans="2:14">
      <c r="B153" s="451" t="s">
        <v>1482</v>
      </c>
      <c r="C153" s="448">
        <v>2019</v>
      </c>
      <c r="D153" s="449" t="s">
        <v>1052</v>
      </c>
      <c r="E153" s="672"/>
      <c r="H153" s="270"/>
      <c r="I153" s="270"/>
      <c r="J153" s="270"/>
      <c r="M153" s="270"/>
      <c r="N153" s="271"/>
    </row>
    <row r="154" spans="2:14">
      <c r="B154" s="457" t="s">
        <v>1483</v>
      </c>
      <c r="C154" s="454">
        <v>2019</v>
      </c>
      <c r="D154" s="455" t="s">
        <v>1052</v>
      </c>
      <c r="E154" s="673"/>
      <c r="H154" s="270"/>
      <c r="I154" s="270"/>
      <c r="J154" s="270"/>
      <c r="M154" s="270"/>
      <c r="N154" s="271"/>
    </row>
    <row r="155" spans="2:14" ht="15" customHeight="1">
      <c r="B155" s="446" t="s">
        <v>1468</v>
      </c>
      <c r="C155" s="443">
        <v>2020</v>
      </c>
      <c r="D155" s="445">
        <v>13.1</v>
      </c>
      <c r="E155" s="671" t="s">
        <v>1125</v>
      </c>
      <c r="H155" s="270"/>
      <c r="I155" s="270"/>
      <c r="J155" s="270"/>
      <c r="M155" s="270"/>
      <c r="N155" s="271"/>
    </row>
    <row r="156" spans="2:14">
      <c r="B156" s="451" t="s">
        <v>1469</v>
      </c>
      <c r="C156" s="448">
        <v>2020</v>
      </c>
      <c r="D156" s="450">
        <v>14</v>
      </c>
      <c r="E156" s="672"/>
      <c r="H156" s="270"/>
      <c r="I156" s="270"/>
      <c r="J156" s="270"/>
      <c r="M156" s="270"/>
      <c r="N156" s="271"/>
    </row>
    <row r="157" spans="2:14">
      <c r="B157" s="451" t="s">
        <v>1470</v>
      </c>
      <c r="C157" s="448">
        <v>2020</v>
      </c>
      <c r="D157" s="450">
        <v>13.1</v>
      </c>
      <c r="E157" s="672"/>
      <c r="H157" s="270"/>
      <c r="I157" s="270"/>
      <c r="J157" s="270"/>
      <c r="M157" s="270"/>
      <c r="N157" s="271"/>
    </row>
    <row r="158" spans="2:14">
      <c r="B158" s="451" t="s">
        <v>1471</v>
      </c>
      <c r="C158" s="448">
        <v>2020</v>
      </c>
      <c r="D158" s="450">
        <v>14</v>
      </c>
      <c r="E158" s="672"/>
      <c r="H158" s="270"/>
      <c r="I158" s="270"/>
      <c r="J158" s="270"/>
      <c r="M158" s="270"/>
      <c r="N158" s="271"/>
    </row>
    <row r="159" spans="2:14">
      <c r="B159" s="451" t="s">
        <v>1472</v>
      </c>
      <c r="C159" s="448">
        <v>2020</v>
      </c>
      <c r="D159" s="450">
        <v>4</v>
      </c>
      <c r="E159" s="672"/>
      <c r="H159" s="270"/>
      <c r="I159" s="270"/>
      <c r="J159" s="270"/>
      <c r="M159" s="270"/>
      <c r="N159" s="271"/>
    </row>
    <row r="160" spans="2:14">
      <c r="B160" s="451" t="s">
        <v>1473</v>
      </c>
      <c r="C160" s="448">
        <v>2020</v>
      </c>
      <c r="D160" s="450">
        <v>4</v>
      </c>
      <c r="E160" s="672"/>
      <c r="H160" s="270"/>
      <c r="I160" s="270"/>
      <c r="J160" s="270"/>
      <c r="M160" s="270"/>
      <c r="N160" s="271"/>
    </row>
    <row r="161" spans="2:14">
      <c r="B161" s="451" t="s">
        <v>1474</v>
      </c>
      <c r="C161" s="448">
        <v>2020</v>
      </c>
      <c r="D161" s="450">
        <v>8.8000000000000007</v>
      </c>
      <c r="E161" s="672"/>
      <c r="H161" s="270"/>
      <c r="I161" s="270"/>
      <c r="J161" s="270"/>
      <c r="M161" s="270"/>
      <c r="N161" s="271"/>
    </row>
    <row r="162" spans="2:14">
      <c r="B162" s="451" t="s">
        <v>1475</v>
      </c>
      <c r="C162" s="448">
        <v>2020</v>
      </c>
      <c r="D162" s="450">
        <v>7.9</v>
      </c>
      <c r="E162" s="672"/>
      <c r="H162" s="270"/>
      <c r="I162" s="270"/>
      <c r="J162" s="270"/>
      <c r="M162" s="270"/>
      <c r="N162" s="271"/>
    </row>
    <row r="163" spans="2:14">
      <c r="B163" s="451" t="s">
        <v>1476</v>
      </c>
      <c r="C163" s="448">
        <v>2020</v>
      </c>
      <c r="D163" s="450">
        <v>10.7</v>
      </c>
      <c r="E163" s="672"/>
      <c r="H163" s="270"/>
      <c r="I163" s="270"/>
      <c r="J163" s="270"/>
      <c r="M163" s="270"/>
      <c r="N163" s="271"/>
    </row>
    <row r="164" spans="2:14">
      <c r="B164" s="451" t="s">
        <v>1477</v>
      </c>
      <c r="C164" s="448">
        <v>2020</v>
      </c>
      <c r="D164" s="450">
        <v>10.6</v>
      </c>
      <c r="E164" s="672"/>
      <c r="H164" s="270"/>
      <c r="I164" s="270"/>
      <c r="J164" s="270"/>
      <c r="M164" s="270"/>
      <c r="N164" s="271"/>
    </row>
    <row r="165" spans="2:14">
      <c r="B165" s="451" t="s">
        <v>1478</v>
      </c>
      <c r="C165" s="448">
        <v>2020</v>
      </c>
      <c r="D165" s="450">
        <v>4.0999999999999996</v>
      </c>
      <c r="E165" s="672"/>
      <c r="H165" s="270"/>
      <c r="I165" s="270"/>
      <c r="J165" s="270"/>
      <c r="M165" s="270"/>
      <c r="N165" s="271"/>
    </row>
    <row r="166" spans="2:14">
      <c r="B166" s="451" t="s">
        <v>1479</v>
      </c>
      <c r="C166" s="448">
        <v>2020</v>
      </c>
      <c r="D166" s="450">
        <v>4</v>
      </c>
      <c r="E166" s="672"/>
      <c r="H166" s="270"/>
      <c r="I166" s="270"/>
      <c r="J166" s="270"/>
      <c r="M166" s="270"/>
      <c r="N166" s="271"/>
    </row>
    <row r="167" spans="2:14">
      <c r="B167" s="451" t="s">
        <v>1480</v>
      </c>
      <c r="C167" s="448">
        <v>2020</v>
      </c>
      <c r="D167" s="449" t="s">
        <v>1052</v>
      </c>
      <c r="E167" s="672"/>
      <c r="H167" s="270"/>
      <c r="I167" s="270"/>
      <c r="J167" s="270"/>
      <c r="M167" s="270"/>
      <c r="N167" s="271"/>
    </row>
    <row r="168" spans="2:14">
      <c r="B168" s="451" t="s">
        <v>1481</v>
      </c>
      <c r="C168" s="448">
        <v>2020</v>
      </c>
      <c r="D168" s="449" t="s">
        <v>1052</v>
      </c>
      <c r="E168" s="672"/>
      <c r="H168" s="270"/>
      <c r="I168" s="270"/>
      <c r="J168" s="270"/>
      <c r="M168" s="270"/>
      <c r="N168" s="271"/>
    </row>
    <row r="169" spans="2:14">
      <c r="B169" s="451" t="s">
        <v>1482</v>
      </c>
      <c r="C169" s="448">
        <v>2020</v>
      </c>
      <c r="D169" s="449" t="s">
        <v>1052</v>
      </c>
      <c r="E169" s="672"/>
      <c r="H169" s="270"/>
      <c r="I169" s="270"/>
      <c r="J169" s="270"/>
      <c r="M169" s="270"/>
      <c r="N169" s="271"/>
    </row>
    <row r="170" spans="2:14">
      <c r="B170" s="457" t="s">
        <v>1483</v>
      </c>
      <c r="C170" s="454">
        <v>2020</v>
      </c>
      <c r="D170" s="455" t="s">
        <v>1052</v>
      </c>
      <c r="E170" s="673"/>
      <c r="H170" s="270"/>
      <c r="I170" s="270"/>
      <c r="J170" s="270"/>
      <c r="M170" s="270"/>
      <c r="N170" s="271"/>
    </row>
    <row r="171" spans="2:14">
      <c r="B171" s="446" t="s">
        <v>1468</v>
      </c>
      <c r="C171" s="444">
        <v>2021</v>
      </c>
      <c r="D171" s="445">
        <v>13.1</v>
      </c>
      <c r="E171" s="671" t="s">
        <v>1484</v>
      </c>
    </row>
    <row r="172" spans="2:14">
      <c r="B172" s="451" t="s">
        <v>1469</v>
      </c>
      <c r="C172" s="449">
        <v>2021</v>
      </c>
      <c r="D172" s="450">
        <v>14</v>
      </c>
      <c r="E172" s="672"/>
    </row>
    <row r="173" spans="2:14">
      <c r="B173" s="451" t="s">
        <v>1470</v>
      </c>
      <c r="C173" s="449">
        <v>2021</v>
      </c>
      <c r="D173" s="450">
        <v>13.1</v>
      </c>
      <c r="E173" s="672"/>
    </row>
    <row r="174" spans="2:14">
      <c r="B174" s="451" t="s">
        <v>1471</v>
      </c>
      <c r="C174" s="449">
        <v>2021</v>
      </c>
      <c r="D174" s="450">
        <v>14</v>
      </c>
      <c r="E174" s="672"/>
    </row>
    <row r="175" spans="2:14">
      <c r="B175" s="451" t="s">
        <v>1472</v>
      </c>
      <c r="C175" s="449">
        <v>2021</v>
      </c>
      <c r="D175" s="450">
        <v>4</v>
      </c>
      <c r="E175" s="672"/>
    </row>
    <row r="176" spans="2:14">
      <c r="B176" s="451" t="s">
        <v>1473</v>
      </c>
      <c r="C176" s="449">
        <v>2021</v>
      </c>
      <c r="D176" s="450">
        <v>4</v>
      </c>
      <c r="E176" s="672"/>
    </row>
    <row r="177" spans="2:5">
      <c r="B177" s="451" t="s">
        <v>1474</v>
      </c>
      <c r="C177" s="449">
        <v>2021</v>
      </c>
      <c r="D177" s="450">
        <v>8.8000000000000007</v>
      </c>
      <c r="E177" s="672"/>
    </row>
    <row r="178" spans="2:5">
      <c r="B178" s="451" t="s">
        <v>1475</v>
      </c>
      <c r="C178" s="449">
        <v>2021</v>
      </c>
      <c r="D178" s="450">
        <v>7.9</v>
      </c>
      <c r="E178" s="672"/>
    </row>
    <row r="179" spans="2:5">
      <c r="B179" s="451" t="s">
        <v>1476</v>
      </c>
      <c r="C179" s="449">
        <v>2021</v>
      </c>
      <c r="D179" s="450">
        <v>10.7</v>
      </c>
      <c r="E179" s="672"/>
    </row>
    <row r="180" spans="2:5">
      <c r="B180" s="451" t="s">
        <v>1477</v>
      </c>
      <c r="C180" s="449">
        <v>2021</v>
      </c>
      <c r="D180" s="450">
        <v>10.6</v>
      </c>
      <c r="E180" s="672"/>
    </row>
    <row r="181" spans="2:5">
      <c r="B181" s="451" t="s">
        <v>1478</v>
      </c>
      <c r="C181" s="449">
        <v>2021</v>
      </c>
      <c r="D181" s="450">
        <v>4.0999999999999996</v>
      </c>
      <c r="E181" s="672"/>
    </row>
    <row r="182" spans="2:5">
      <c r="B182" s="451" t="s">
        <v>1479</v>
      </c>
      <c r="C182" s="449">
        <v>2021</v>
      </c>
      <c r="D182" s="450">
        <v>4</v>
      </c>
      <c r="E182" s="672"/>
    </row>
    <row r="183" spans="2:5">
      <c r="B183" s="451" t="s">
        <v>1480</v>
      </c>
      <c r="C183" s="449">
        <v>2021</v>
      </c>
      <c r="D183" s="449" t="s">
        <v>1052</v>
      </c>
      <c r="E183" s="672"/>
    </row>
    <row r="184" spans="2:5">
      <c r="B184" s="451" t="s">
        <v>1481</v>
      </c>
      <c r="C184" s="449">
        <v>2021</v>
      </c>
      <c r="D184" s="449" t="s">
        <v>1052</v>
      </c>
      <c r="E184" s="672"/>
    </row>
    <row r="185" spans="2:5">
      <c r="B185" s="451" t="s">
        <v>1482</v>
      </c>
      <c r="C185" s="449">
        <v>2021</v>
      </c>
      <c r="D185" s="449" t="s">
        <v>1052</v>
      </c>
      <c r="E185" s="672"/>
    </row>
    <row r="186" spans="2:5">
      <c r="B186" s="457" t="s">
        <v>1483</v>
      </c>
      <c r="C186" s="455">
        <v>2021</v>
      </c>
      <c r="D186" s="455" t="s">
        <v>1052</v>
      </c>
      <c r="E186" s="673"/>
    </row>
    <row r="187" spans="2:5">
      <c r="B187" s="446" t="s">
        <v>1468</v>
      </c>
      <c r="C187" s="444">
        <v>2022</v>
      </c>
      <c r="D187" s="445">
        <v>13.1</v>
      </c>
      <c r="E187" s="671" t="s">
        <v>1485</v>
      </c>
    </row>
    <row r="188" spans="2:5">
      <c r="B188" s="451" t="s">
        <v>1469</v>
      </c>
      <c r="C188" s="449">
        <v>2022</v>
      </c>
      <c r="D188" s="450">
        <v>14</v>
      </c>
      <c r="E188" s="672"/>
    </row>
    <row r="189" spans="2:5">
      <c r="B189" s="451" t="s">
        <v>1470</v>
      </c>
      <c r="C189" s="449">
        <v>2022</v>
      </c>
      <c r="D189" s="450">
        <v>13.1</v>
      </c>
      <c r="E189" s="672"/>
    </row>
    <row r="190" spans="2:5">
      <c r="B190" s="451" t="s">
        <v>1471</v>
      </c>
      <c r="C190" s="449">
        <v>2022</v>
      </c>
      <c r="D190" s="450">
        <v>14</v>
      </c>
      <c r="E190" s="672"/>
    </row>
    <row r="191" spans="2:5">
      <c r="B191" s="451" t="s">
        <v>1472</v>
      </c>
      <c r="C191" s="449">
        <v>2022</v>
      </c>
      <c r="D191" s="450">
        <v>4</v>
      </c>
      <c r="E191" s="672"/>
    </row>
    <row r="192" spans="2:5">
      <c r="B192" s="451" t="s">
        <v>1473</v>
      </c>
      <c r="C192" s="449">
        <v>2022</v>
      </c>
      <c r="D192" s="450">
        <v>4</v>
      </c>
      <c r="E192" s="672"/>
    </row>
    <row r="193" spans="2:5">
      <c r="B193" s="451" t="s">
        <v>1474</v>
      </c>
      <c r="C193" s="449">
        <v>2022</v>
      </c>
      <c r="D193" s="450">
        <v>8.8000000000000007</v>
      </c>
      <c r="E193" s="672"/>
    </row>
    <row r="194" spans="2:5">
      <c r="B194" s="451" t="s">
        <v>1475</v>
      </c>
      <c r="C194" s="449">
        <v>2022</v>
      </c>
      <c r="D194" s="450">
        <v>7.9</v>
      </c>
      <c r="E194" s="672"/>
    </row>
    <row r="195" spans="2:5">
      <c r="B195" s="451" t="s">
        <v>1476</v>
      </c>
      <c r="C195" s="449">
        <v>2022</v>
      </c>
      <c r="D195" s="450">
        <v>10.7</v>
      </c>
      <c r="E195" s="672"/>
    </row>
    <row r="196" spans="2:5">
      <c r="B196" s="451" t="s">
        <v>1477</v>
      </c>
      <c r="C196" s="449">
        <v>2022</v>
      </c>
      <c r="D196" s="450">
        <v>10.6</v>
      </c>
      <c r="E196" s="672"/>
    </row>
    <row r="197" spans="2:5">
      <c r="B197" s="451" t="s">
        <v>1478</v>
      </c>
      <c r="C197" s="449">
        <v>2022</v>
      </c>
      <c r="D197" s="450">
        <v>4.0999999999999996</v>
      </c>
      <c r="E197" s="672"/>
    </row>
    <row r="198" spans="2:5">
      <c r="B198" s="451" t="s">
        <v>1479</v>
      </c>
      <c r="C198" s="449">
        <v>2022</v>
      </c>
      <c r="D198" s="450">
        <v>4</v>
      </c>
      <c r="E198" s="672"/>
    </row>
    <row r="199" spans="2:5">
      <c r="B199" s="451" t="s">
        <v>1480</v>
      </c>
      <c r="C199" s="449">
        <v>2022</v>
      </c>
      <c r="D199" s="449" t="s">
        <v>1052</v>
      </c>
      <c r="E199" s="672"/>
    </row>
    <row r="200" spans="2:5">
      <c r="B200" s="451" t="s">
        <v>1481</v>
      </c>
      <c r="C200" s="449">
        <v>2022</v>
      </c>
      <c r="D200" s="449" t="s">
        <v>1052</v>
      </c>
      <c r="E200" s="672"/>
    </row>
    <row r="201" spans="2:5">
      <c r="B201" s="451" t="s">
        <v>1482</v>
      </c>
      <c r="C201" s="449">
        <v>2022</v>
      </c>
      <c r="D201" s="449" t="s">
        <v>1052</v>
      </c>
      <c r="E201" s="672"/>
    </row>
    <row r="202" spans="2:5">
      <c r="B202" s="457" t="s">
        <v>1483</v>
      </c>
      <c r="C202" s="455">
        <v>2022</v>
      </c>
      <c r="D202" s="455" t="s">
        <v>1052</v>
      </c>
      <c r="E202" s="673"/>
    </row>
  </sheetData>
  <sheetProtection algorithmName="SHA-512" hashValue="ohuPpN/8nNgYDS50bRApDTMM6idizBXOLSZCjUtNYkLdubUC3gWASf9+DAs2BJm4wMLD4BNF71FQNbbxN/7vWA==" saltValue="ZU57zWStDOrAc4hJAOzePw==" spinCount="100000" sheet="1" objects="1" scenarios="1"/>
  <customSheetViews>
    <customSheetView guid="{BA12A2B5-8B2E-47CE-85C5-00A71CD7042B}" scale="85" showGridLines="0" showRowCol="0" fitToPage="1" hiddenRows="1">
      <selection activeCell="F81" sqref="F81"/>
      <pageMargins left="0" right="0" top="0" bottom="0" header="0" footer="0"/>
      <pageSetup paperSize="9" scale="30" orientation="portrait" r:id="rId1"/>
    </customSheetView>
    <customSheetView guid="{6E4579C3-98CA-4325-AF39-19A629870080}" scale="85" showGridLines="0" fitToPage="1" hiddenRows="1" topLeftCell="A31">
      <selection activeCell="L34" sqref="L34"/>
      <pageMargins left="0" right="0" top="0" bottom="0" header="0" footer="0"/>
      <pageSetup paperSize="9" scale="30" orientation="portrait" r:id="rId2"/>
    </customSheetView>
    <customSheetView guid="{BC75B7F8-7A05-4F92-B953-0DB7EDA000F8}" scale="60" showGridLines="0" showRowCol="0" fitToPage="1" hiddenRows="1">
      <selection activeCell="K44" sqref="K44"/>
      <pageMargins left="0" right="0" top="0" bottom="0" header="0" footer="0"/>
      <pageSetup paperSize="9" scale="30" orientation="portrait" r:id="rId3"/>
    </customSheetView>
    <customSheetView guid="{BF159B5C-C230-4B3A-8DDE-333808894C93}" scale="70" showGridLines="0" fitToPage="1" hiddenRows="1">
      <selection activeCell="A2" sqref="A2"/>
      <pageMargins left="0" right="0" top="0" bottom="0" header="0" footer="0"/>
      <pageSetup paperSize="9" scale="30" orientation="portrait" r:id="rId4"/>
    </customSheetView>
  </customSheetViews>
  <mergeCells count="16">
    <mergeCell ref="J3:J4"/>
    <mergeCell ref="E155:E170"/>
    <mergeCell ref="E139:E154"/>
    <mergeCell ref="E171:E186"/>
    <mergeCell ref="E187:E202"/>
    <mergeCell ref="B3:B4"/>
    <mergeCell ref="C3:C4"/>
    <mergeCell ref="H3:H4"/>
    <mergeCell ref="G3:G4"/>
    <mergeCell ref="I3:I4"/>
    <mergeCell ref="D3:F3"/>
    <mergeCell ref="B31:B32"/>
    <mergeCell ref="C31:C32"/>
    <mergeCell ref="D31:F31"/>
    <mergeCell ref="G31:G32"/>
    <mergeCell ref="H31:H32"/>
  </mergeCells>
  <pageMargins left="0.70866141732283472" right="0.70866141732283472" top="0.74803149606299213" bottom="0.74803149606299213" header="0.31496062992125984" footer="0.31496062992125984"/>
  <pageSetup paperSize="9" scale="30" orientation="portrait" r:id="rId5"/>
  <ignoredErrors>
    <ignoredError sqref="G5:G10" formulaRange="1"/>
  </ignoredErrors>
  <drawing r:id="rId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tabColor theme="0" tint="-0.14999847407452621"/>
    <pageSetUpPr fitToPage="1"/>
  </sheetPr>
  <dimension ref="A1:K35"/>
  <sheetViews>
    <sheetView showGridLines="0" zoomScale="85" zoomScaleNormal="85" workbookViewId="0">
      <selection activeCell="F31" sqref="F31"/>
    </sheetView>
  </sheetViews>
  <sheetFormatPr defaultColWidth="9.33203125" defaultRowHeight="13.8"/>
  <cols>
    <col min="1" max="1" width="47.44140625" style="34" customWidth="1"/>
    <col min="2" max="2" width="18.44140625" style="34" customWidth="1"/>
    <col min="3" max="3" width="20.5546875" style="34" customWidth="1"/>
    <col min="4" max="4" width="55.44140625" style="34" customWidth="1"/>
    <col min="5" max="5" width="9" style="34" customWidth="1"/>
    <col min="6" max="6" width="20.6640625" style="34" customWidth="1"/>
    <col min="7" max="7" width="14" style="35" customWidth="1"/>
    <col min="8" max="8" width="16.6640625" style="35" customWidth="1"/>
    <col min="9" max="10" width="14" style="35" customWidth="1"/>
    <col min="11" max="11" width="56" style="34" customWidth="1"/>
    <col min="12" max="16384" width="9.33203125" style="34"/>
  </cols>
  <sheetData>
    <row r="1" spans="1:11" ht="87.75" customHeight="1"/>
    <row r="2" spans="1:11" s="8" customFormat="1">
      <c r="A2" s="78" t="s">
        <v>1413</v>
      </c>
      <c r="B2" s="78"/>
      <c r="C2" s="78"/>
      <c r="D2" s="78"/>
      <c r="E2" s="78"/>
      <c r="F2" s="78"/>
      <c r="G2" s="78"/>
      <c r="H2" s="78"/>
      <c r="I2" s="78"/>
      <c r="J2" s="78"/>
      <c r="K2" s="78"/>
    </row>
    <row r="3" spans="1:11" s="8" customFormat="1" ht="55.8">
      <c r="A3" s="78" t="s">
        <v>471</v>
      </c>
      <c r="B3" s="78" t="s">
        <v>1486</v>
      </c>
      <c r="C3" s="78" t="s">
        <v>1487</v>
      </c>
      <c r="D3" s="78" t="s">
        <v>1297</v>
      </c>
      <c r="E3" s="78"/>
      <c r="F3" s="78" t="s">
        <v>1488</v>
      </c>
      <c r="G3" s="78" t="s">
        <v>1489</v>
      </c>
      <c r="H3" s="78"/>
      <c r="I3" s="78"/>
      <c r="J3" s="78" t="s">
        <v>1490</v>
      </c>
      <c r="K3" s="78" t="s">
        <v>1417</v>
      </c>
    </row>
    <row r="4" spans="1:11" s="8" customFormat="1" ht="16.2">
      <c r="A4" s="78"/>
      <c r="B4" s="78"/>
      <c r="C4" s="78"/>
      <c r="D4" s="78"/>
      <c r="E4" s="78" t="s">
        <v>1491</v>
      </c>
      <c r="F4" s="78" t="s">
        <v>1492</v>
      </c>
      <c r="G4" s="78" t="s">
        <v>1493</v>
      </c>
      <c r="H4" s="78" t="s">
        <v>1494</v>
      </c>
      <c r="I4" s="78" t="s">
        <v>1495</v>
      </c>
      <c r="J4" s="78"/>
      <c r="K4" s="78"/>
    </row>
    <row r="5" spans="1:11" s="9" customFormat="1">
      <c r="A5" s="498" t="s">
        <v>1225</v>
      </c>
      <c r="B5" s="498" t="s">
        <v>113</v>
      </c>
      <c r="C5" s="499">
        <v>17</v>
      </c>
      <c r="D5" s="498" t="s">
        <v>1225</v>
      </c>
      <c r="E5" s="498" t="s">
        <v>108</v>
      </c>
      <c r="F5" s="500">
        <v>1E-3</v>
      </c>
      <c r="G5" s="499">
        <v>51.2</v>
      </c>
      <c r="H5" s="499">
        <v>0.1</v>
      </c>
      <c r="I5" s="499">
        <v>0.03</v>
      </c>
      <c r="J5" s="499">
        <f t="shared" ref="J5:J10" si="0">SUM(G5:I5)</f>
        <v>51.330000000000005</v>
      </c>
      <c r="K5" s="498" t="s">
        <v>1496</v>
      </c>
    </row>
    <row r="6" spans="1:11" s="9" customFormat="1">
      <c r="A6" s="498" t="s">
        <v>1424</v>
      </c>
      <c r="B6" s="498" t="s">
        <v>113</v>
      </c>
      <c r="C6" s="499">
        <v>40</v>
      </c>
      <c r="D6" s="498" t="s">
        <v>1497</v>
      </c>
      <c r="E6" s="498" t="s">
        <v>121</v>
      </c>
      <c r="F6" s="500">
        <v>38.6</v>
      </c>
      <c r="G6" s="499">
        <v>69.2</v>
      </c>
      <c r="H6" s="499">
        <v>0.1</v>
      </c>
      <c r="I6" s="499">
        <v>0.2</v>
      </c>
      <c r="J6" s="499">
        <f t="shared" si="0"/>
        <v>69.5</v>
      </c>
      <c r="K6" s="498" t="s">
        <v>1498</v>
      </c>
    </row>
    <row r="7" spans="1:11" s="9" customFormat="1">
      <c r="A7" s="498" t="s">
        <v>1425</v>
      </c>
      <c r="B7" s="498" t="s">
        <v>113</v>
      </c>
      <c r="C7" s="499">
        <v>64</v>
      </c>
      <c r="D7" s="498" t="s">
        <v>1425</v>
      </c>
      <c r="E7" s="498" t="s">
        <v>121</v>
      </c>
      <c r="F7" s="500">
        <v>34.200000000000003</v>
      </c>
      <c r="G7" s="499">
        <v>66.7</v>
      </c>
      <c r="H7" s="499">
        <v>0.02</v>
      </c>
      <c r="I7" s="499">
        <v>0.2</v>
      </c>
      <c r="J7" s="499">
        <f t="shared" si="0"/>
        <v>66.92</v>
      </c>
      <c r="K7" s="498" t="s">
        <v>1499</v>
      </c>
    </row>
    <row r="8" spans="1:11" s="9" customFormat="1">
      <c r="A8" s="498" t="s">
        <v>1260</v>
      </c>
      <c r="B8" s="498" t="s">
        <v>113</v>
      </c>
      <c r="C8" s="499">
        <v>66</v>
      </c>
      <c r="D8" s="498" t="s">
        <v>307</v>
      </c>
      <c r="E8" s="498" t="s">
        <v>121</v>
      </c>
      <c r="F8" s="500">
        <v>26.2</v>
      </c>
      <c r="G8" s="499">
        <v>59.6</v>
      </c>
      <c r="H8" s="499">
        <v>0.3</v>
      </c>
      <c r="I8" s="499">
        <v>0.3</v>
      </c>
      <c r="J8" s="499">
        <f t="shared" si="0"/>
        <v>60.199999999999996</v>
      </c>
      <c r="K8" s="498" t="s">
        <v>1499</v>
      </c>
    </row>
    <row r="9" spans="1:11" s="9" customFormat="1">
      <c r="A9" s="498" t="s">
        <v>1261</v>
      </c>
      <c r="B9" s="498" t="s">
        <v>113</v>
      </c>
      <c r="C9" s="499">
        <v>1</v>
      </c>
      <c r="D9" s="498" t="s">
        <v>1231</v>
      </c>
      <c r="E9" s="498" t="s">
        <v>140</v>
      </c>
      <c r="F9" s="498">
        <v>27</v>
      </c>
      <c r="G9" s="499">
        <v>88.2</v>
      </c>
      <c r="H9" s="499">
        <v>0.03</v>
      </c>
      <c r="I9" s="499">
        <v>0.2</v>
      </c>
      <c r="J9" s="499">
        <f t="shared" si="0"/>
        <v>88.43</v>
      </c>
      <c r="K9" s="498" t="s">
        <v>1500</v>
      </c>
    </row>
    <row r="10" spans="1:11" s="9" customFormat="1">
      <c r="A10" s="498" t="s">
        <v>1501</v>
      </c>
      <c r="B10" s="498" t="s">
        <v>113</v>
      </c>
      <c r="C10" s="499" t="s">
        <v>1502</v>
      </c>
      <c r="D10" s="498" t="s">
        <v>1422</v>
      </c>
      <c r="E10" s="498" t="s">
        <v>140</v>
      </c>
      <c r="F10" s="498">
        <v>21</v>
      </c>
      <c r="G10" s="499">
        <v>88.2</v>
      </c>
      <c r="H10" s="499">
        <v>0.03</v>
      </c>
      <c r="I10" s="499">
        <v>0.2</v>
      </c>
      <c r="J10" s="499">
        <f t="shared" si="0"/>
        <v>88.43</v>
      </c>
      <c r="K10" s="498" t="s">
        <v>1500</v>
      </c>
    </row>
    <row r="20" spans="1:11" s="9" customFormat="1" ht="15" customHeight="1">
      <c r="A20" s="78" t="s">
        <v>1503</v>
      </c>
      <c r="B20" s="78"/>
      <c r="C20" s="78"/>
      <c r="D20" s="78"/>
      <c r="E20" s="78"/>
      <c r="F20" s="78"/>
      <c r="G20" s="78"/>
      <c r="H20" s="78"/>
      <c r="I20" s="78"/>
      <c r="J20" s="78"/>
      <c r="K20" s="78"/>
    </row>
    <row r="21" spans="1:11" s="9" customFormat="1" ht="55.8">
      <c r="A21" s="78" t="s">
        <v>471</v>
      </c>
      <c r="B21" s="78"/>
      <c r="C21" s="78" t="s">
        <v>1487</v>
      </c>
      <c r="D21" s="78" t="s">
        <v>1297</v>
      </c>
      <c r="E21" s="78" t="s">
        <v>1491</v>
      </c>
      <c r="F21" s="78" t="s">
        <v>1504</v>
      </c>
      <c r="G21" s="78" t="s">
        <v>1489</v>
      </c>
      <c r="H21" s="78"/>
      <c r="I21" s="78"/>
      <c r="J21" s="78" t="s">
        <v>1490</v>
      </c>
      <c r="K21" s="78" t="s">
        <v>1417</v>
      </c>
    </row>
    <row r="22" spans="1:11" s="9" customFormat="1" ht="16.2">
      <c r="A22" s="78"/>
      <c r="B22" s="78"/>
      <c r="C22" s="78"/>
      <c r="D22" s="78"/>
      <c r="E22" s="78"/>
      <c r="F22" s="78"/>
      <c r="G22" s="78" t="s">
        <v>1493</v>
      </c>
      <c r="H22" s="78" t="s">
        <v>1494</v>
      </c>
      <c r="I22" s="78" t="s">
        <v>1495</v>
      </c>
      <c r="J22" s="78"/>
      <c r="K22" s="78"/>
    </row>
    <row r="23" spans="1:11" s="9" customFormat="1">
      <c r="A23" s="499" t="s">
        <v>1505</v>
      </c>
      <c r="B23" s="499" t="s">
        <v>96</v>
      </c>
      <c r="C23" s="499">
        <v>59</v>
      </c>
      <c r="D23" s="501" t="s">
        <v>1463</v>
      </c>
      <c r="E23" s="498" t="s">
        <v>100</v>
      </c>
      <c r="F23" s="498">
        <v>3.5999999999999999E-3</v>
      </c>
      <c r="G23" s="498">
        <v>0</v>
      </c>
      <c r="H23" s="499">
        <v>0</v>
      </c>
      <c r="I23" s="499">
        <v>0</v>
      </c>
      <c r="J23" s="499">
        <f>SUM(G23:I23)</f>
        <v>0</v>
      </c>
      <c r="K23" s="498" t="s">
        <v>1506</v>
      </c>
    </row>
    <row r="24" spans="1:11" s="9" customFormat="1">
      <c r="A24" s="498" t="s">
        <v>1507</v>
      </c>
      <c r="B24" s="499" t="s">
        <v>96</v>
      </c>
      <c r="C24" s="499">
        <v>77</v>
      </c>
      <c r="D24" s="498" t="s">
        <v>1508</v>
      </c>
      <c r="E24" s="498" t="s">
        <v>100</v>
      </c>
      <c r="F24" s="498">
        <v>3.5999999999999999E-3</v>
      </c>
      <c r="G24" s="498">
        <v>0.89</v>
      </c>
      <c r="H24" s="499">
        <v>0</v>
      </c>
      <c r="I24" s="499">
        <v>0</v>
      </c>
      <c r="J24" s="499">
        <f t="shared" ref="J24:J34" si="1">SUM(G24:I24)</f>
        <v>0.89</v>
      </c>
      <c r="K24" s="498" t="s">
        <v>1509</v>
      </c>
    </row>
    <row r="25" spans="1:11" s="9" customFormat="1">
      <c r="A25" s="498" t="s">
        <v>1510</v>
      </c>
      <c r="B25" s="499" t="s">
        <v>96</v>
      </c>
      <c r="C25" s="499">
        <v>77</v>
      </c>
      <c r="D25" s="498" t="s">
        <v>1508</v>
      </c>
      <c r="E25" s="498" t="s">
        <v>100</v>
      </c>
      <c r="F25" s="498">
        <v>3.5999999999999999E-3</v>
      </c>
      <c r="G25" s="498">
        <v>0.89</v>
      </c>
      <c r="H25" s="499">
        <v>0</v>
      </c>
      <c r="I25" s="499">
        <v>0</v>
      </c>
      <c r="J25" s="499">
        <f t="shared" si="1"/>
        <v>0.89</v>
      </c>
      <c r="K25" s="498" t="s">
        <v>1509</v>
      </c>
    </row>
    <row r="26" spans="1:11" s="9" customFormat="1">
      <c r="A26" s="498" t="s">
        <v>1511</v>
      </c>
      <c r="B26" s="499" t="s">
        <v>96</v>
      </c>
      <c r="C26" s="499">
        <v>78</v>
      </c>
      <c r="D26" s="498" t="s">
        <v>1512</v>
      </c>
      <c r="E26" s="498" t="s">
        <v>100</v>
      </c>
      <c r="F26" s="498">
        <v>3.5999999999999999E-3</v>
      </c>
      <c r="G26" s="498">
        <v>1.21</v>
      </c>
      <c r="H26" s="499">
        <v>0</v>
      </c>
      <c r="I26" s="499">
        <v>0</v>
      </c>
      <c r="J26" s="499">
        <f t="shared" si="1"/>
        <v>1.21</v>
      </c>
      <c r="K26" s="498" t="s">
        <v>1509</v>
      </c>
    </row>
    <row r="27" spans="1:11" s="9" customFormat="1">
      <c r="A27" s="498" t="s">
        <v>1513</v>
      </c>
      <c r="B27" s="499" t="s">
        <v>96</v>
      </c>
      <c r="C27" s="499">
        <v>79</v>
      </c>
      <c r="D27" s="498" t="s">
        <v>1514</v>
      </c>
      <c r="E27" s="498" t="s">
        <v>100</v>
      </c>
      <c r="F27" s="498">
        <v>3.5999999999999999E-3</v>
      </c>
      <c r="G27" s="498">
        <v>0.88</v>
      </c>
      <c r="H27" s="499">
        <v>0</v>
      </c>
      <c r="I27" s="499">
        <v>0</v>
      </c>
      <c r="J27" s="499">
        <f t="shared" si="1"/>
        <v>0.88</v>
      </c>
      <c r="K27" s="498" t="s">
        <v>1509</v>
      </c>
    </row>
    <row r="28" spans="1:11" s="9" customFormat="1">
      <c r="A28" s="498" t="s">
        <v>1515</v>
      </c>
      <c r="B28" s="499" t="s">
        <v>96</v>
      </c>
      <c r="C28" s="499">
        <v>80</v>
      </c>
      <c r="D28" s="498" t="s">
        <v>1516</v>
      </c>
      <c r="E28" s="498" t="s">
        <v>100</v>
      </c>
      <c r="F28" s="498">
        <v>3.5999999999999999E-3</v>
      </c>
      <c r="G28" s="498">
        <v>0.68</v>
      </c>
      <c r="H28" s="499">
        <v>0</v>
      </c>
      <c r="I28" s="499">
        <v>0</v>
      </c>
      <c r="J28" s="499">
        <f t="shared" si="1"/>
        <v>0.68</v>
      </c>
      <c r="K28" s="498" t="s">
        <v>1509</v>
      </c>
    </row>
    <row r="29" spans="1:11" s="9" customFormat="1">
      <c r="A29" s="498" t="s">
        <v>1517</v>
      </c>
      <c r="B29" s="499" t="s">
        <v>96</v>
      </c>
      <c r="C29" s="499">
        <v>81</v>
      </c>
      <c r="D29" s="498" t="s">
        <v>1518</v>
      </c>
      <c r="E29" s="498" t="s">
        <v>100</v>
      </c>
      <c r="F29" s="498">
        <v>3.5999999999999999E-3</v>
      </c>
      <c r="G29" s="498">
        <v>0.8</v>
      </c>
      <c r="H29" s="499">
        <v>0</v>
      </c>
      <c r="I29" s="499">
        <v>0</v>
      </c>
      <c r="J29" s="499">
        <f t="shared" si="1"/>
        <v>0.8</v>
      </c>
      <c r="K29" s="498" t="s">
        <v>1509</v>
      </c>
    </row>
    <row r="30" spans="1:11" s="9" customFormat="1">
      <c r="A30" s="498" t="s">
        <v>1519</v>
      </c>
      <c r="B30" s="499" t="s">
        <v>96</v>
      </c>
      <c r="C30" s="499">
        <v>82</v>
      </c>
      <c r="D30" s="498" t="s">
        <v>1520</v>
      </c>
      <c r="E30" s="498" t="s">
        <v>100</v>
      </c>
      <c r="F30" s="498">
        <v>3.5999999999999999E-3</v>
      </c>
      <c r="G30" s="498">
        <v>0.3</v>
      </c>
      <c r="H30" s="499">
        <v>0</v>
      </c>
      <c r="I30" s="499">
        <v>0</v>
      </c>
      <c r="J30" s="499">
        <f t="shared" si="1"/>
        <v>0.3</v>
      </c>
      <c r="K30" s="498" t="s">
        <v>1509</v>
      </c>
    </row>
    <row r="31" spans="1:11" s="9" customFormat="1">
      <c r="A31" s="498" t="s">
        <v>1521</v>
      </c>
      <c r="B31" s="499" t="s">
        <v>96</v>
      </c>
      <c r="C31" s="499">
        <v>83</v>
      </c>
      <c r="D31" s="498" t="s">
        <v>1522</v>
      </c>
      <c r="E31" s="498" t="s">
        <v>100</v>
      </c>
      <c r="F31" s="498">
        <v>3.5999999999999999E-3</v>
      </c>
      <c r="G31" s="498">
        <v>0.67</v>
      </c>
      <c r="H31" s="499">
        <v>0</v>
      </c>
      <c r="I31" s="499">
        <v>0</v>
      </c>
      <c r="J31" s="499">
        <f t="shared" si="1"/>
        <v>0.67</v>
      </c>
      <c r="K31" s="498" t="s">
        <v>1509</v>
      </c>
    </row>
    <row r="32" spans="1:11" s="9" customFormat="1">
      <c r="A32" s="498" t="s">
        <v>1505</v>
      </c>
      <c r="B32" s="498" t="s">
        <v>1505</v>
      </c>
      <c r="C32" s="499" t="s">
        <v>1523</v>
      </c>
      <c r="D32" s="498" t="s">
        <v>1459</v>
      </c>
      <c r="E32" s="498" t="s">
        <v>100</v>
      </c>
      <c r="F32" s="498">
        <v>3.5999999999999999E-3</v>
      </c>
      <c r="G32" s="498">
        <v>0</v>
      </c>
      <c r="H32" s="499">
        <v>0</v>
      </c>
      <c r="I32" s="499">
        <v>0</v>
      </c>
      <c r="J32" s="499">
        <f t="shared" si="1"/>
        <v>0</v>
      </c>
      <c r="K32" s="498"/>
    </row>
    <row r="33" spans="1:11" s="9" customFormat="1">
      <c r="A33" s="498" t="s">
        <v>1505</v>
      </c>
      <c r="B33" s="498" t="s">
        <v>1505</v>
      </c>
      <c r="C33" s="499" t="s">
        <v>1524</v>
      </c>
      <c r="D33" s="498" t="s">
        <v>1460</v>
      </c>
      <c r="E33" s="498" t="s">
        <v>100</v>
      </c>
      <c r="F33" s="498">
        <v>3.5999999999999999E-3</v>
      </c>
      <c r="G33" s="498">
        <v>0</v>
      </c>
      <c r="H33" s="499">
        <v>0</v>
      </c>
      <c r="I33" s="499">
        <v>0</v>
      </c>
      <c r="J33" s="499">
        <f t="shared" si="1"/>
        <v>0</v>
      </c>
      <c r="K33" s="498"/>
    </row>
    <row r="34" spans="1:11" s="9" customFormat="1">
      <c r="A34" s="498" t="s">
        <v>1505</v>
      </c>
      <c r="B34" s="498" t="s">
        <v>1505</v>
      </c>
      <c r="C34" s="499" t="s">
        <v>1525</v>
      </c>
      <c r="D34" s="498" t="s">
        <v>1461</v>
      </c>
      <c r="E34" s="498" t="s">
        <v>100</v>
      </c>
      <c r="F34" s="498">
        <v>3.5999999999999999E-3</v>
      </c>
      <c r="G34" s="498">
        <v>0</v>
      </c>
      <c r="H34" s="499">
        <v>0</v>
      </c>
      <c r="I34" s="499">
        <v>0</v>
      </c>
      <c r="J34" s="499">
        <f t="shared" si="1"/>
        <v>0</v>
      </c>
      <c r="K34" s="498"/>
    </row>
    <row r="35" spans="1:11" s="9" customFormat="1">
      <c r="A35" s="498" t="s">
        <v>1223</v>
      </c>
      <c r="B35" s="499" t="s">
        <v>1505</v>
      </c>
      <c r="C35" s="499" t="s">
        <v>1526</v>
      </c>
      <c r="D35" s="498" t="s">
        <v>1462</v>
      </c>
      <c r="E35" s="498" t="s">
        <v>100</v>
      </c>
      <c r="F35" s="498">
        <v>3.5999999999999999E-3</v>
      </c>
      <c r="G35" s="498">
        <v>0</v>
      </c>
      <c r="H35" s="499">
        <v>0</v>
      </c>
      <c r="I35" s="499">
        <v>0</v>
      </c>
      <c r="J35" s="499">
        <v>0</v>
      </c>
      <c r="K35" s="498"/>
    </row>
  </sheetData>
  <customSheetViews>
    <customSheetView guid="{BA12A2B5-8B2E-47CE-85C5-00A71CD7042B}" scale="85" showGridLines="0" fitToPage="1" state="hidden">
      <selection activeCell="F31" sqref="F31"/>
      <pageMargins left="0" right="0" top="0" bottom="0" header="0" footer="0"/>
      <pageSetup paperSize="9" scale="30" orientation="portrait" r:id="rId1"/>
    </customSheetView>
    <customSheetView guid="{6E4579C3-98CA-4325-AF39-19A629870080}" scale="85" showGridLines="0" fitToPage="1" state="hidden">
      <selection activeCell="F31" sqref="F31"/>
      <pageMargins left="0" right="0" top="0" bottom="0" header="0" footer="0"/>
      <pageSetup paperSize="9" scale="30" orientation="portrait" r:id="rId2"/>
    </customSheetView>
    <customSheetView guid="{BC75B7F8-7A05-4F92-B953-0DB7EDA000F8}" scale="85" showGridLines="0" fitToPage="1" state="hidden">
      <selection activeCell="F31" sqref="F31"/>
      <pageMargins left="0" right="0" top="0" bottom="0" header="0" footer="0"/>
      <pageSetup paperSize="9" scale="30" orientation="portrait" r:id="rId3"/>
    </customSheetView>
    <customSheetView guid="{BF159B5C-C230-4B3A-8DDE-333808894C93}" scale="85" showGridLines="0" fitToPage="1" state="hidden">
      <selection activeCell="F31" sqref="F31"/>
      <pageMargins left="0" right="0" top="0" bottom="0" header="0" footer="0"/>
      <pageSetup paperSize="9" scale="30" orientation="portrait" r:id="rId4"/>
    </customSheetView>
  </customSheetViews>
  <pageMargins left="0.70866141732283472" right="0.70866141732283472" top="0.74803149606299213" bottom="0.74803149606299213" header="0.31496062992125984" footer="0.31496062992125984"/>
  <pageSetup paperSize="9" scale="30" orientation="portrait" r:id="rId5"/>
  <drawing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0" tint="-0.14999847407452621"/>
    <pageSetUpPr fitToPage="1"/>
  </sheetPr>
  <dimension ref="A1:I205"/>
  <sheetViews>
    <sheetView showGridLines="0" topLeftCell="A16" zoomScaleNormal="100" workbookViewId="0">
      <selection activeCell="F37" sqref="F37"/>
    </sheetView>
  </sheetViews>
  <sheetFormatPr defaultColWidth="9.33203125" defaultRowHeight="13.2"/>
  <cols>
    <col min="1" max="1" width="24.6640625" style="36" customWidth="1"/>
    <col min="2" max="2" width="23.6640625" style="36" customWidth="1"/>
    <col min="3" max="3" width="19.33203125" style="36" customWidth="1"/>
    <col min="4" max="4" width="22.6640625" style="36" customWidth="1"/>
    <col min="5" max="5" width="19.33203125" style="36" customWidth="1"/>
    <col min="6" max="6" width="25.6640625" style="36" customWidth="1"/>
    <col min="7" max="7" width="18.5546875" style="36" customWidth="1"/>
    <col min="8" max="8" width="39.6640625" style="36" customWidth="1"/>
    <col min="9" max="9" width="31.44140625" style="36" customWidth="1"/>
    <col min="10" max="14" width="9.33203125" style="36"/>
    <col min="15" max="15" width="68.44140625" style="36" bestFit="1" customWidth="1"/>
    <col min="16" max="16384" width="9.33203125" style="36"/>
  </cols>
  <sheetData>
    <row r="1" spans="1:8" ht="87.75" customHeight="1"/>
    <row r="3" spans="1:8" ht="15.6">
      <c r="A3" s="10" t="s">
        <v>1527</v>
      </c>
      <c r="B3" s="10"/>
      <c r="C3" s="10"/>
      <c r="D3" s="10"/>
      <c r="E3" s="10"/>
      <c r="F3" s="10"/>
      <c r="G3" s="10"/>
      <c r="H3" s="10"/>
    </row>
    <row r="6" spans="1:8">
      <c r="A6" s="37" t="s">
        <v>1528</v>
      </c>
      <c r="C6" s="38" t="s">
        <v>1529</v>
      </c>
      <c r="E6" s="38" t="s">
        <v>1530</v>
      </c>
      <c r="G6" s="188" t="s">
        <v>1353</v>
      </c>
    </row>
    <row r="7" spans="1:8">
      <c r="A7" s="39" t="s">
        <v>1371</v>
      </c>
      <c r="B7" s="40"/>
      <c r="C7" s="39" t="s">
        <v>1531</v>
      </c>
      <c r="E7" s="39" t="s">
        <v>1532</v>
      </c>
      <c r="G7" s="36" t="s">
        <v>1533</v>
      </c>
    </row>
    <row r="8" spans="1:8">
      <c r="A8" s="39" t="s">
        <v>1368</v>
      </c>
      <c r="B8" s="40"/>
      <c r="C8" s="39" t="s">
        <v>1534</v>
      </c>
      <c r="E8" s="39" t="s">
        <v>1535</v>
      </c>
      <c r="G8" s="36" t="s">
        <v>1536</v>
      </c>
    </row>
    <row r="10" spans="1:8">
      <c r="A10" s="38" t="s">
        <v>1530</v>
      </c>
    </row>
    <row r="11" spans="1:8">
      <c r="A11" s="78" t="s">
        <v>471</v>
      </c>
      <c r="B11" s="78" t="s">
        <v>1537</v>
      </c>
      <c r="C11" s="78" t="s">
        <v>1538</v>
      </c>
      <c r="D11" s="78" t="s">
        <v>1539</v>
      </c>
    </row>
    <row r="12" spans="1:8">
      <c r="A12" s="41" t="s">
        <v>569</v>
      </c>
      <c r="B12" s="41" t="s">
        <v>1540</v>
      </c>
      <c r="C12" s="41" t="s">
        <v>100</v>
      </c>
      <c r="D12" s="54">
        <v>1E-3</v>
      </c>
    </row>
    <row r="13" spans="1:8">
      <c r="A13" s="41" t="s">
        <v>569</v>
      </c>
      <c r="B13" s="42" t="s">
        <v>100</v>
      </c>
      <c r="C13" s="41" t="s">
        <v>100</v>
      </c>
      <c r="D13" s="54">
        <v>1</v>
      </c>
    </row>
    <row r="14" spans="1:8">
      <c r="A14" s="41" t="s">
        <v>569</v>
      </c>
      <c r="B14" s="42" t="s">
        <v>1541</v>
      </c>
      <c r="C14" s="41" t="s">
        <v>100</v>
      </c>
      <c r="D14" s="54">
        <v>1000</v>
      </c>
    </row>
    <row r="15" spans="1:8">
      <c r="A15" s="41" t="s">
        <v>569</v>
      </c>
      <c r="B15" s="42" t="s">
        <v>1542</v>
      </c>
      <c r="C15" s="41" t="s">
        <v>100</v>
      </c>
      <c r="D15" s="54">
        <v>1000000</v>
      </c>
    </row>
    <row r="16" spans="1:8">
      <c r="A16" s="41" t="s">
        <v>569</v>
      </c>
      <c r="B16" s="42" t="s">
        <v>100</v>
      </c>
      <c r="C16" s="42" t="s">
        <v>1543</v>
      </c>
      <c r="D16" s="54">
        <v>3.5999999999999999E-3</v>
      </c>
    </row>
    <row r="17" spans="1:9">
      <c r="A17" s="41" t="s">
        <v>1298</v>
      </c>
      <c r="B17" s="41" t="s">
        <v>1544</v>
      </c>
      <c r="C17" s="42" t="s">
        <v>1543</v>
      </c>
      <c r="D17" s="54">
        <v>1.0000000000000001E-9</v>
      </c>
    </row>
    <row r="18" spans="1:9">
      <c r="A18" s="41" t="s">
        <v>1298</v>
      </c>
      <c r="B18" s="41" t="s">
        <v>1545</v>
      </c>
      <c r="C18" s="42" t="s">
        <v>1543</v>
      </c>
      <c r="D18" s="54">
        <v>9.9999999999999995E-7</v>
      </c>
    </row>
    <row r="19" spans="1:9">
      <c r="A19" s="41" t="s">
        <v>1298</v>
      </c>
      <c r="B19" s="41" t="s">
        <v>108</v>
      </c>
      <c r="C19" s="42" t="s">
        <v>1543</v>
      </c>
      <c r="D19" s="54">
        <v>1E-3</v>
      </c>
    </row>
    <row r="20" spans="1:9">
      <c r="A20" s="41" t="s">
        <v>1298</v>
      </c>
      <c r="B20" s="41" t="s">
        <v>1543</v>
      </c>
      <c r="C20" s="42" t="s">
        <v>1543</v>
      </c>
      <c r="D20" s="54">
        <v>1</v>
      </c>
      <c r="E20" s="43"/>
      <c r="F20" s="43"/>
    </row>
    <row r="21" spans="1:9">
      <c r="A21" s="41" t="s">
        <v>1298</v>
      </c>
      <c r="B21" s="41" t="s">
        <v>1546</v>
      </c>
      <c r="C21" s="42" t="s">
        <v>1543</v>
      </c>
      <c r="D21" s="54">
        <v>1000</v>
      </c>
      <c r="E21" s="43"/>
      <c r="F21" s="43"/>
    </row>
    <row r="22" spans="1:9">
      <c r="A22" s="41" t="s">
        <v>1547</v>
      </c>
      <c r="B22" s="41" t="s">
        <v>1548</v>
      </c>
      <c r="C22" s="42" t="s">
        <v>1543</v>
      </c>
      <c r="D22" s="54">
        <v>22.1</v>
      </c>
      <c r="E22" s="43"/>
      <c r="F22" s="43"/>
    </row>
    <row r="23" spans="1:9">
      <c r="A23" s="41" t="s">
        <v>1547</v>
      </c>
      <c r="B23" s="41" t="s">
        <v>1549</v>
      </c>
      <c r="C23" s="42" t="s">
        <v>1543</v>
      </c>
      <c r="D23" s="54">
        <f>22.1/1000</f>
        <v>2.2100000000000002E-2</v>
      </c>
      <c r="E23" s="43"/>
      <c r="F23" s="43"/>
    </row>
    <row r="24" spans="1:9">
      <c r="A24" s="41" t="s">
        <v>1260</v>
      </c>
      <c r="B24" s="41" t="s">
        <v>121</v>
      </c>
      <c r="C24" s="42" t="s">
        <v>1543</v>
      </c>
      <c r="D24" s="54">
        <v>25.7</v>
      </c>
      <c r="E24" s="43"/>
      <c r="F24" s="43"/>
    </row>
    <row r="25" spans="1:9">
      <c r="A25" s="41" t="s">
        <v>1260</v>
      </c>
      <c r="B25" s="41" t="s">
        <v>1550</v>
      </c>
      <c r="C25" s="42" t="s">
        <v>1543</v>
      </c>
      <c r="D25" s="54">
        <f>25.7/1000</f>
        <v>2.5700000000000001E-2</v>
      </c>
      <c r="E25" s="43"/>
      <c r="F25" s="43"/>
    </row>
    <row r="26" spans="1:9">
      <c r="A26" s="41" t="s">
        <v>1424</v>
      </c>
      <c r="B26" s="41" t="s">
        <v>121</v>
      </c>
      <c r="C26" s="42" t="s">
        <v>1543</v>
      </c>
      <c r="D26" s="54">
        <v>38.6</v>
      </c>
      <c r="E26" s="43"/>
      <c r="F26" s="44"/>
    </row>
    <row r="27" spans="1:9">
      <c r="A27" s="41" t="s">
        <v>1424</v>
      </c>
      <c r="B27" s="41" t="s">
        <v>1550</v>
      </c>
      <c r="C27" s="42" t="s">
        <v>1543</v>
      </c>
      <c r="D27" s="54">
        <f>38.6/1000</f>
        <v>3.8600000000000002E-2</v>
      </c>
      <c r="E27" s="43"/>
      <c r="F27" s="44"/>
    </row>
    <row r="29" spans="1:9">
      <c r="A29" s="38" t="s">
        <v>1551</v>
      </c>
      <c r="B29" s="43"/>
      <c r="C29" s="43"/>
      <c r="D29" s="43"/>
      <c r="E29" s="43"/>
      <c r="F29" s="43"/>
    </row>
    <row r="30" spans="1:9" ht="15.6">
      <c r="A30" s="45" t="s">
        <v>1552</v>
      </c>
      <c r="B30" s="45"/>
      <c r="C30" s="45"/>
      <c r="D30" s="45"/>
      <c r="E30" s="45"/>
      <c r="F30" s="45"/>
      <c r="G30" s="45"/>
      <c r="H30" s="45"/>
      <c r="I30" s="45"/>
    </row>
    <row r="31" spans="1:9" ht="15">
      <c r="A31" s="46" t="s">
        <v>1553</v>
      </c>
      <c r="B31" s="47"/>
      <c r="C31" s="47"/>
      <c r="D31" s="47"/>
      <c r="E31" s="46" t="s">
        <v>1554</v>
      </c>
      <c r="F31" s="44"/>
      <c r="G31" s="44"/>
    </row>
    <row r="32" spans="1:9" ht="15">
      <c r="A32" s="1" t="s">
        <v>1555</v>
      </c>
      <c r="B32" s="47"/>
      <c r="C32" s="47"/>
      <c r="D32" s="47"/>
      <c r="E32" s="206" t="s">
        <v>1556</v>
      </c>
      <c r="F32" s="44"/>
      <c r="G32" s="44"/>
    </row>
    <row r="33" spans="1:9">
      <c r="A33" s="78" t="s">
        <v>1466</v>
      </c>
      <c r="B33" s="78" t="s">
        <v>96</v>
      </c>
      <c r="C33" s="78" t="s">
        <v>1557</v>
      </c>
      <c r="D33" s="78" t="s">
        <v>1558</v>
      </c>
      <c r="E33" s="44"/>
      <c r="F33" s="44"/>
      <c r="G33" s="44"/>
    </row>
    <row r="34" spans="1:9">
      <c r="A34" s="42" t="s">
        <v>1510</v>
      </c>
      <c r="B34" s="41">
        <v>0.88</v>
      </c>
      <c r="C34" s="41">
        <v>0.18</v>
      </c>
      <c r="D34" s="41">
        <f>+B34+C34</f>
        <v>1.06</v>
      </c>
      <c r="E34" s="44"/>
      <c r="F34" s="44"/>
      <c r="G34" s="44"/>
    </row>
    <row r="35" spans="1:9">
      <c r="A35" s="42" t="s">
        <v>1507</v>
      </c>
      <c r="B35" s="41">
        <v>0.88</v>
      </c>
      <c r="C35" s="41">
        <v>0.18</v>
      </c>
      <c r="D35" s="41">
        <f t="shared" ref="D35:D42" si="0">+B35+C35</f>
        <v>1.06</v>
      </c>
      <c r="E35" s="44"/>
      <c r="F35" s="44"/>
      <c r="G35" s="44"/>
    </row>
    <row r="36" spans="1:9">
      <c r="A36" s="42" t="s">
        <v>1511</v>
      </c>
      <c r="B36" s="41">
        <v>1.19</v>
      </c>
      <c r="C36" s="41">
        <v>0.15</v>
      </c>
      <c r="D36" s="41">
        <f t="shared" si="0"/>
        <v>1.3399999999999999</v>
      </c>
      <c r="E36" s="44"/>
      <c r="F36" s="44"/>
      <c r="G36" s="44"/>
    </row>
    <row r="37" spans="1:9">
      <c r="A37" s="42" t="s">
        <v>1513</v>
      </c>
      <c r="B37" s="41">
        <v>0.86</v>
      </c>
      <c r="C37" s="41">
        <v>0.12</v>
      </c>
      <c r="D37" s="41">
        <f t="shared" si="0"/>
        <v>0.98</v>
      </c>
      <c r="E37" s="44"/>
      <c r="F37" s="44"/>
      <c r="G37" s="44"/>
    </row>
    <row r="38" spans="1:9">
      <c r="A38" s="42" t="s">
        <v>1515</v>
      </c>
      <c r="B38" s="41">
        <v>0.65</v>
      </c>
      <c r="C38" s="41">
        <v>0.14000000000000001</v>
      </c>
      <c r="D38" s="41">
        <f t="shared" si="0"/>
        <v>0.79</v>
      </c>
      <c r="E38" s="44"/>
      <c r="F38" s="44"/>
      <c r="G38" s="44"/>
    </row>
    <row r="39" spans="1:9">
      <c r="A39" s="42" t="s">
        <v>1517</v>
      </c>
      <c r="B39" s="41">
        <v>0.82</v>
      </c>
      <c r="C39" s="41">
        <v>0.1</v>
      </c>
      <c r="D39" s="41">
        <f t="shared" si="0"/>
        <v>0.91999999999999993</v>
      </c>
      <c r="E39" s="44"/>
      <c r="F39" s="44"/>
      <c r="G39" s="44"/>
    </row>
    <row r="40" spans="1:9">
      <c r="A40" s="42" t="s">
        <v>1519</v>
      </c>
      <c r="B40" s="41">
        <v>0.26</v>
      </c>
      <c r="C40" s="41">
        <v>0.02</v>
      </c>
      <c r="D40" s="41">
        <f t="shared" si="0"/>
        <v>0.28000000000000003</v>
      </c>
      <c r="E40" s="44"/>
      <c r="F40" s="44"/>
      <c r="G40" s="44"/>
    </row>
    <row r="41" spans="1:9">
      <c r="A41" s="42" t="s">
        <v>1521</v>
      </c>
      <c r="B41" s="41">
        <v>0.71</v>
      </c>
      <c r="C41" s="41">
        <v>0.08</v>
      </c>
      <c r="D41" s="41">
        <f t="shared" si="0"/>
        <v>0.78999999999999992</v>
      </c>
      <c r="E41" s="44"/>
      <c r="F41" s="44"/>
      <c r="G41" s="44"/>
    </row>
    <row r="42" spans="1:9">
      <c r="A42" s="202" t="s">
        <v>1183</v>
      </c>
      <c r="B42" s="203">
        <v>0.11945255700150104</v>
      </c>
      <c r="C42" s="203">
        <v>9.7408450614685643E-3</v>
      </c>
      <c r="D42" s="203">
        <f t="shared" si="0"/>
        <v>0.12919340206296959</v>
      </c>
      <c r="E42" s="44"/>
      <c r="F42" s="44"/>
      <c r="G42" s="44"/>
    </row>
    <row r="43" spans="1:9">
      <c r="A43" s="44"/>
      <c r="B43" s="44"/>
      <c r="C43" s="44"/>
      <c r="D43" s="44"/>
      <c r="E43" s="44"/>
      <c r="F43" s="44"/>
      <c r="G43" s="44"/>
      <c r="H43" s="44"/>
      <c r="I43" s="44"/>
    </row>
    <row r="44" spans="1:9">
      <c r="A44" s="38" t="s">
        <v>1559</v>
      </c>
      <c r="B44" s="43"/>
      <c r="C44" s="43"/>
      <c r="D44" s="43"/>
      <c r="E44" s="43"/>
      <c r="F44" s="43"/>
      <c r="G44" s="43"/>
      <c r="H44" s="43"/>
      <c r="I44" s="48"/>
    </row>
    <row r="45" spans="1:9" ht="15.6">
      <c r="A45" s="45" t="s">
        <v>1560</v>
      </c>
      <c r="B45" s="43"/>
      <c r="C45" s="43"/>
      <c r="D45" s="43"/>
      <c r="E45" s="43"/>
      <c r="F45" s="43"/>
      <c r="G45" s="43"/>
      <c r="H45" s="43"/>
      <c r="I45" s="48"/>
    </row>
    <row r="46" spans="1:9" ht="15">
      <c r="A46" s="46" t="s">
        <v>1553</v>
      </c>
      <c r="B46" s="47"/>
      <c r="C46" s="47"/>
      <c r="D46" s="47"/>
      <c r="E46" s="44"/>
      <c r="F46" s="44"/>
      <c r="G46" s="44"/>
      <c r="H46" s="49"/>
      <c r="I46" s="46" t="s">
        <v>1554</v>
      </c>
    </row>
    <row r="47" spans="1:9" ht="15">
      <c r="A47" s="1" t="s">
        <v>1555</v>
      </c>
      <c r="B47" s="47"/>
      <c r="C47" s="47"/>
      <c r="D47" s="47"/>
      <c r="E47" s="44"/>
      <c r="F47" s="44"/>
      <c r="G47" s="44"/>
      <c r="H47" s="49"/>
      <c r="I47" s="206" t="s">
        <v>1556</v>
      </c>
    </row>
    <row r="48" spans="1:9" ht="12.75" customHeight="1">
      <c r="A48" s="179"/>
      <c r="B48" s="610" t="s">
        <v>113</v>
      </c>
      <c r="C48" s="611"/>
      <c r="D48" s="612"/>
      <c r="E48" s="613" t="s">
        <v>1561</v>
      </c>
      <c r="F48" s="613" t="s">
        <v>1562</v>
      </c>
      <c r="G48" s="613" t="s">
        <v>1563</v>
      </c>
      <c r="H48" s="613" t="s">
        <v>1564</v>
      </c>
    </row>
    <row r="49" spans="1:9" ht="15">
      <c r="A49" s="78" t="s">
        <v>1466</v>
      </c>
      <c r="B49" s="78" t="s">
        <v>1565</v>
      </c>
      <c r="C49" s="78" t="s">
        <v>1566</v>
      </c>
      <c r="D49" s="78" t="s">
        <v>1567</v>
      </c>
      <c r="E49" s="614"/>
      <c r="F49" s="614"/>
      <c r="G49" s="614"/>
      <c r="H49" s="614"/>
    </row>
    <row r="50" spans="1:9">
      <c r="A50" s="42" t="s">
        <v>1510</v>
      </c>
      <c r="B50" s="52">
        <v>51.2</v>
      </c>
      <c r="C50" s="52">
        <v>0.1</v>
      </c>
      <c r="D50" s="41">
        <v>0.03</v>
      </c>
      <c r="E50" s="41">
        <f>SUM(B50:D50)</f>
        <v>51.330000000000005</v>
      </c>
      <c r="F50" s="41">
        <v>14.2</v>
      </c>
      <c r="G50" s="41">
        <v>15</v>
      </c>
      <c r="H50" s="41">
        <f>IF('15C Building Details'!C$14="Metro",E50+F50,E50+G50)</f>
        <v>66.330000000000013</v>
      </c>
    </row>
    <row r="51" spans="1:9">
      <c r="A51" s="42" t="s">
        <v>1507</v>
      </c>
      <c r="B51" s="52">
        <v>51.2</v>
      </c>
      <c r="C51" s="52">
        <v>0.1</v>
      </c>
      <c r="D51" s="41">
        <v>0.03</v>
      </c>
      <c r="E51" s="41">
        <f t="shared" ref="E51:E58" si="1">SUM(B51:D51)</f>
        <v>51.330000000000005</v>
      </c>
      <c r="F51" s="41">
        <v>14.2</v>
      </c>
      <c r="G51" s="41">
        <v>15</v>
      </c>
      <c r="H51" s="41">
        <f>IF('15C Building Details'!C$14="Metro",E51+F51,E51+G51)</f>
        <v>66.330000000000013</v>
      </c>
    </row>
    <row r="52" spans="1:9">
      <c r="A52" s="42" t="s">
        <v>1511</v>
      </c>
      <c r="B52" s="52">
        <v>51.2</v>
      </c>
      <c r="C52" s="52">
        <v>0.1</v>
      </c>
      <c r="D52" s="41">
        <v>0.03</v>
      </c>
      <c r="E52" s="41">
        <f t="shared" si="1"/>
        <v>51.330000000000005</v>
      </c>
      <c r="F52" s="41">
        <v>4</v>
      </c>
      <c r="G52" s="41">
        <v>4</v>
      </c>
      <c r="H52" s="41">
        <f>IF('15C Building Details'!C$14="Metro",E52+F52,E52+G52)</f>
        <v>55.330000000000005</v>
      </c>
    </row>
    <row r="53" spans="1:9">
      <c r="A53" s="42" t="s">
        <v>1513</v>
      </c>
      <c r="B53" s="52">
        <v>51.2</v>
      </c>
      <c r="C53" s="52">
        <v>0.1</v>
      </c>
      <c r="D53" s="41">
        <v>0.03</v>
      </c>
      <c r="E53" s="41">
        <f t="shared" si="1"/>
        <v>51.330000000000005</v>
      </c>
      <c r="F53" s="41">
        <v>8.6</v>
      </c>
      <c r="G53" s="41">
        <v>7.8</v>
      </c>
      <c r="H53" s="41">
        <f>IF('15C Building Details'!C$14="Metro",E53+F53,E53+G53)</f>
        <v>59.13</v>
      </c>
    </row>
    <row r="54" spans="1:9">
      <c r="A54" s="42" t="s">
        <v>1515</v>
      </c>
      <c r="B54" s="52">
        <v>51.2</v>
      </c>
      <c r="C54" s="52">
        <v>0.1</v>
      </c>
      <c r="D54" s="41">
        <v>0.03</v>
      </c>
      <c r="E54" s="41">
        <f t="shared" si="1"/>
        <v>51.330000000000005</v>
      </c>
      <c r="F54" s="41">
        <v>10.4</v>
      </c>
      <c r="G54" s="41">
        <v>10.199999999999999</v>
      </c>
      <c r="H54" s="41">
        <f>IF('15C Building Details'!C$14="Metro",E54+F54,E54+G54)</f>
        <v>61.53</v>
      </c>
    </row>
    <row r="55" spans="1:9">
      <c r="A55" s="42" t="s">
        <v>1517</v>
      </c>
      <c r="B55" s="52">
        <v>51.2</v>
      </c>
      <c r="C55" s="52">
        <v>0.1</v>
      </c>
      <c r="D55" s="41">
        <v>0.03</v>
      </c>
      <c r="E55" s="41">
        <f t="shared" si="1"/>
        <v>51.330000000000005</v>
      </c>
      <c r="F55" s="41">
        <v>4</v>
      </c>
      <c r="G55" s="41">
        <v>3.9</v>
      </c>
      <c r="H55" s="41">
        <f>IF('15C Building Details'!C$14="Metro",E55+F55,E55+G55)</f>
        <v>55.230000000000004</v>
      </c>
    </row>
    <row r="56" spans="1:9">
      <c r="A56" s="42" t="s">
        <v>1519</v>
      </c>
      <c r="B56" s="52">
        <v>51.2</v>
      </c>
      <c r="C56" s="52">
        <v>0.1</v>
      </c>
      <c r="D56" s="41">
        <v>0.03</v>
      </c>
      <c r="E56" s="41">
        <f t="shared" si="1"/>
        <v>51.330000000000005</v>
      </c>
      <c r="F56" s="41">
        <v>0</v>
      </c>
      <c r="G56" s="41">
        <v>0</v>
      </c>
      <c r="H56" s="41">
        <f>IF('15C Building Details'!C$14="Metro",E56+F56,E56+G56)</f>
        <v>51.330000000000005</v>
      </c>
    </row>
    <row r="57" spans="1:9">
      <c r="A57" s="42" t="s">
        <v>1521</v>
      </c>
      <c r="B57" s="52">
        <v>51.2</v>
      </c>
      <c r="C57" s="52">
        <v>0.1</v>
      </c>
      <c r="D57" s="41">
        <v>0.03</v>
      </c>
      <c r="E57" s="41">
        <f t="shared" si="1"/>
        <v>51.330000000000005</v>
      </c>
      <c r="F57" s="41">
        <v>0</v>
      </c>
      <c r="G57" s="41">
        <v>0</v>
      </c>
      <c r="H57" s="41">
        <f>IF('15C Building Details'!C$14="Metro",E57+F57,E57+G57)</f>
        <v>51.330000000000005</v>
      </c>
    </row>
    <row r="58" spans="1:9">
      <c r="A58" s="202" t="s">
        <v>1183</v>
      </c>
      <c r="B58" s="204">
        <v>53.809301257332471</v>
      </c>
      <c r="C58" s="204">
        <v>2.2499999999999999E-2</v>
      </c>
      <c r="D58" s="203">
        <v>2.682E-2</v>
      </c>
      <c r="E58" s="203">
        <f t="shared" si="1"/>
        <v>53.858621257332473</v>
      </c>
      <c r="F58" s="203">
        <v>6.25</v>
      </c>
      <c r="G58" s="203">
        <v>6.25</v>
      </c>
      <c r="H58" s="203">
        <v>60.108621257332473</v>
      </c>
    </row>
    <row r="59" spans="1:9">
      <c r="A59" s="44"/>
      <c r="B59" s="44"/>
      <c r="C59" s="44"/>
      <c r="D59" s="44"/>
      <c r="E59" s="44"/>
      <c r="F59" s="44"/>
      <c r="G59" s="44"/>
      <c r="H59" s="44"/>
      <c r="I59" s="44"/>
    </row>
    <row r="60" spans="1:9">
      <c r="A60" s="38" t="s">
        <v>1568</v>
      </c>
      <c r="B60" s="43"/>
      <c r="C60" s="43"/>
      <c r="D60" s="43"/>
      <c r="E60" s="43"/>
      <c r="F60" s="43"/>
      <c r="G60" s="43"/>
      <c r="H60" s="43"/>
    </row>
    <row r="61" spans="1:9" ht="15.6">
      <c r="A61" s="45" t="s">
        <v>1569</v>
      </c>
      <c r="B61" s="53"/>
      <c r="C61" s="53"/>
      <c r="D61" s="43"/>
      <c r="E61" s="43"/>
      <c r="F61" s="43"/>
      <c r="G61" s="43"/>
      <c r="H61" s="43"/>
    </row>
    <row r="62" spans="1:9" ht="15">
      <c r="A62" s="46" t="s">
        <v>1553</v>
      </c>
      <c r="B62" s="47"/>
      <c r="C62" s="47"/>
      <c r="D62" s="47"/>
      <c r="E62" s="44"/>
      <c r="F62" s="44"/>
      <c r="G62" s="44"/>
      <c r="H62" s="46" t="s">
        <v>1554</v>
      </c>
    </row>
    <row r="63" spans="1:9" ht="15">
      <c r="A63" s="1" t="s">
        <v>1555</v>
      </c>
      <c r="B63" s="47"/>
      <c r="C63" s="47"/>
      <c r="D63" s="47"/>
      <c r="E63" s="44"/>
      <c r="F63" s="44"/>
      <c r="G63" s="44"/>
      <c r="H63" s="206" t="s">
        <v>1556</v>
      </c>
      <c r="I63" s="50"/>
    </row>
    <row r="64" spans="1:9" ht="12.75" customHeight="1">
      <c r="A64" s="51"/>
      <c r="B64" s="610" t="s">
        <v>113</v>
      </c>
      <c r="C64" s="611"/>
      <c r="D64" s="612"/>
      <c r="E64" s="613" t="s">
        <v>1561</v>
      </c>
      <c r="F64" s="613" t="s">
        <v>1570</v>
      </c>
      <c r="G64" s="613" t="s">
        <v>1571</v>
      </c>
      <c r="I64" s="44"/>
    </row>
    <row r="65" spans="1:9" ht="15">
      <c r="A65" s="78" t="s">
        <v>1466</v>
      </c>
      <c r="B65" s="78" t="s">
        <v>1565</v>
      </c>
      <c r="C65" s="78" t="s">
        <v>1566</v>
      </c>
      <c r="D65" s="78" t="s">
        <v>1567</v>
      </c>
      <c r="E65" s="614"/>
      <c r="F65" s="614"/>
      <c r="G65" s="614"/>
      <c r="I65" s="44"/>
    </row>
    <row r="66" spans="1:9">
      <c r="A66" s="42" t="s">
        <v>1510</v>
      </c>
      <c r="B66" s="54">
        <v>69.2</v>
      </c>
      <c r="C66" s="54">
        <v>0.1</v>
      </c>
      <c r="D66" s="54">
        <v>0.2</v>
      </c>
      <c r="E66" s="54">
        <f>+B66+C66+D66</f>
        <v>69.5</v>
      </c>
      <c r="F66" s="54">
        <v>5.3</v>
      </c>
      <c r="G66" s="41">
        <f>+E66+F66</f>
        <v>74.8</v>
      </c>
      <c r="H66" s="44"/>
      <c r="I66" s="44"/>
    </row>
    <row r="67" spans="1:9">
      <c r="A67" s="42" t="s">
        <v>1507</v>
      </c>
      <c r="B67" s="54">
        <v>69.2</v>
      </c>
      <c r="C67" s="54">
        <v>0.1</v>
      </c>
      <c r="D67" s="54">
        <v>0.2</v>
      </c>
      <c r="E67" s="54">
        <f t="shared" ref="E67:E74" si="2">+B67+C67+D67</f>
        <v>69.5</v>
      </c>
      <c r="F67" s="54">
        <v>5.3</v>
      </c>
      <c r="G67" s="41">
        <f t="shared" ref="G67:G74" si="3">+E67+F67</f>
        <v>74.8</v>
      </c>
      <c r="H67" s="44"/>
      <c r="I67" s="44"/>
    </row>
    <row r="68" spans="1:9">
      <c r="A68" s="42" t="s">
        <v>1511</v>
      </c>
      <c r="B68" s="54">
        <v>69.2</v>
      </c>
      <c r="C68" s="54">
        <v>0.1</v>
      </c>
      <c r="D68" s="54">
        <v>0.2</v>
      </c>
      <c r="E68" s="54">
        <f t="shared" si="2"/>
        <v>69.5</v>
      </c>
      <c r="F68" s="54">
        <v>5.3</v>
      </c>
      <c r="G68" s="41">
        <f t="shared" si="3"/>
        <v>74.8</v>
      </c>
      <c r="H68" s="44"/>
      <c r="I68" s="44"/>
    </row>
    <row r="69" spans="1:9">
      <c r="A69" s="42" t="s">
        <v>1513</v>
      </c>
      <c r="B69" s="54">
        <v>69.2</v>
      </c>
      <c r="C69" s="54">
        <v>0.1</v>
      </c>
      <c r="D69" s="54">
        <v>0.2</v>
      </c>
      <c r="E69" s="54">
        <f t="shared" si="2"/>
        <v>69.5</v>
      </c>
      <c r="F69" s="54">
        <v>5.3</v>
      </c>
      <c r="G69" s="41">
        <f t="shared" si="3"/>
        <v>74.8</v>
      </c>
      <c r="H69" s="44"/>
      <c r="I69" s="44"/>
    </row>
    <row r="70" spans="1:9">
      <c r="A70" s="42" t="s">
        <v>1515</v>
      </c>
      <c r="B70" s="54">
        <v>69.2</v>
      </c>
      <c r="C70" s="54">
        <v>0.1</v>
      </c>
      <c r="D70" s="54">
        <v>0.2</v>
      </c>
      <c r="E70" s="54">
        <f t="shared" si="2"/>
        <v>69.5</v>
      </c>
      <c r="F70" s="54">
        <v>5.3</v>
      </c>
      <c r="G70" s="41">
        <f t="shared" si="3"/>
        <v>74.8</v>
      </c>
      <c r="H70" s="44"/>
      <c r="I70" s="44"/>
    </row>
    <row r="71" spans="1:9">
      <c r="A71" s="42" t="s">
        <v>1517</v>
      </c>
      <c r="B71" s="54">
        <v>69.2</v>
      </c>
      <c r="C71" s="54">
        <v>0.1</v>
      </c>
      <c r="D71" s="54">
        <v>0.2</v>
      </c>
      <c r="E71" s="54">
        <f t="shared" si="2"/>
        <v>69.5</v>
      </c>
      <c r="F71" s="54">
        <v>5.3</v>
      </c>
      <c r="G71" s="41">
        <f t="shared" si="3"/>
        <v>74.8</v>
      </c>
      <c r="H71" s="44"/>
      <c r="I71" s="44"/>
    </row>
    <row r="72" spans="1:9">
      <c r="A72" s="42" t="s">
        <v>1519</v>
      </c>
      <c r="B72" s="54">
        <v>69.2</v>
      </c>
      <c r="C72" s="54">
        <v>0.1</v>
      </c>
      <c r="D72" s="54">
        <v>0.2</v>
      </c>
      <c r="E72" s="54">
        <f t="shared" si="2"/>
        <v>69.5</v>
      </c>
      <c r="F72" s="54">
        <v>5.3</v>
      </c>
      <c r="G72" s="41">
        <f t="shared" si="3"/>
        <v>74.8</v>
      </c>
    </row>
    <row r="73" spans="1:9">
      <c r="A73" s="42" t="s">
        <v>1521</v>
      </c>
      <c r="B73" s="54">
        <v>69.2</v>
      </c>
      <c r="C73" s="54">
        <v>0.1</v>
      </c>
      <c r="D73" s="54">
        <v>0.2</v>
      </c>
      <c r="E73" s="54">
        <f t="shared" si="2"/>
        <v>69.5</v>
      </c>
      <c r="F73" s="54">
        <v>5.3</v>
      </c>
      <c r="G73" s="41">
        <f t="shared" si="3"/>
        <v>74.8</v>
      </c>
      <c r="H73" s="44"/>
      <c r="I73" s="44"/>
    </row>
    <row r="74" spans="1:9">
      <c r="A74" s="202" t="s">
        <v>1183</v>
      </c>
      <c r="B74" s="203">
        <v>69.221825476207485</v>
      </c>
      <c r="C74" s="203">
        <v>0.23628107386912714</v>
      </c>
      <c r="D74" s="203">
        <v>0.16898822403119976</v>
      </c>
      <c r="E74" s="203">
        <f t="shared" si="2"/>
        <v>69.627094774107803</v>
      </c>
      <c r="F74" s="205">
        <v>0</v>
      </c>
      <c r="G74" s="203">
        <f t="shared" si="3"/>
        <v>69.627094774107803</v>
      </c>
      <c r="H74" s="44"/>
      <c r="I74" s="44"/>
    </row>
    <row r="75" spans="1:9" ht="13.8">
      <c r="B75" s="55"/>
      <c r="C75" s="44"/>
      <c r="D75" s="44"/>
      <c r="E75" s="44"/>
      <c r="F75" s="56"/>
      <c r="G75" s="44"/>
      <c r="H75" s="44"/>
      <c r="I75" s="44"/>
    </row>
    <row r="76" spans="1:9" ht="13.8">
      <c r="A76" s="38" t="s">
        <v>1551</v>
      </c>
      <c r="B76" s="43"/>
      <c r="C76" s="43"/>
      <c r="D76" s="43"/>
      <c r="E76" s="44"/>
      <c r="F76" s="502"/>
      <c r="G76" s="44"/>
      <c r="H76" s="44"/>
      <c r="I76" s="44"/>
    </row>
    <row r="77" spans="1:9" ht="15.6">
      <c r="A77" s="45" t="s">
        <v>1572</v>
      </c>
      <c r="B77" s="45"/>
      <c r="C77" s="45"/>
      <c r="D77" s="45"/>
      <c r="E77" s="44"/>
      <c r="F77" s="502"/>
      <c r="G77" s="44"/>
      <c r="H77" s="44"/>
      <c r="I77" s="44"/>
    </row>
    <row r="78" spans="1:9" ht="15">
      <c r="A78" s="46" t="s">
        <v>1553</v>
      </c>
      <c r="B78" s="47"/>
      <c r="C78" s="47"/>
      <c r="D78" s="47"/>
      <c r="E78" s="46" t="s">
        <v>1554</v>
      </c>
      <c r="F78" s="502"/>
      <c r="G78" s="44"/>
      <c r="H78" s="44"/>
      <c r="I78" s="44"/>
    </row>
    <row r="79" spans="1:9" ht="15">
      <c r="A79" s="1" t="s">
        <v>1555</v>
      </c>
      <c r="B79" s="47"/>
      <c r="C79" s="47"/>
      <c r="D79" s="47"/>
      <c r="E79" s="206" t="s">
        <v>1556</v>
      </c>
      <c r="F79" s="502"/>
      <c r="G79" s="44"/>
      <c r="H79" s="44"/>
      <c r="I79" s="44"/>
    </row>
    <row r="80" spans="1:9" ht="13.8">
      <c r="A80" s="78" t="s">
        <v>1466</v>
      </c>
      <c r="B80" s="78" t="s">
        <v>113</v>
      </c>
      <c r="C80" s="78" t="s">
        <v>1557</v>
      </c>
      <c r="D80" s="78" t="s">
        <v>1558</v>
      </c>
      <c r="E80" s="44"/>
      <c r="F80" s="502"/>
      <c r="G80" s="44"/>
      <c r="H80" s="44"/>
      <c r="I80" s="44"/>
    </row>
    <row r="81" spans="1:9" ht="13.8">
      <c r="A81" s="42" t="s">
        <v>1510</v>
      </c>
      <c r="B81" s="41">
        <f t="shared" ref="B81:B88" si="4">59.6+0.1+0.2</f>
        <v>59.900000000000006</v>
      </c>
      <c r="C81" s="41">
        <v>5</v>
      </c>
      <c r="D81" s="41">
        <f>+B81+C81</f>
        <v>64.900000000000006</v>
      </c>
      <c r="E81" s="44"/>
      <c r="F81" s="502"/>
      <c r="G81" s="44"/>
      <c r="H81" s="44"/>
      <c r="I81" s="44"/>
    </row>
    <row r="82" spans="1:9" ht="13.8">
      <c r="A82" s="42" t="s">
        <v>1507</v>
      </c>
      <c r="B82" s="41">
        <f t="shared" si="4"/>
        <v>59.900000000000006</v>
      </c>
      <c r="C82" s="41">
        <v>5</v>
      </c>
      <c r="D82" s="41">
        <f t="shared" ref="D82:D89" si="5">+B82+C82</f>
        <v>64.900000000000006</v>
      </c>
      <c r="E82" s="44"/>
      <c r="F82" s="502"/>
      <c r="G82" s="44"/>
      <c r="H82" s="44"/>
      <c r="I82" s="44"/>
    </row>
    <row r="83" spans="1:9" ht="13.8">
      <c r="A83" s="42" t="s">
        <v>1511</v>
      </c>
      <c r="B83" s="41">
        <f t="shared" si="4"/>
        <v>59.900000000000006</v>
      </c>
      <c r="C83" s="41">
        <v>5</v>
      </c>
      <c r="D83" s="41">
        <f t="shared" si="5"/>
        <v>64.900000000000006</v>
      </c>
      <c r="E83" s="44"/>
      <c r="F83" s="502"/>
      <c r="G83" s="44"/>
      <c r="H83" s="44"/>
      <c r="I83" s="44"/>
    </row>
    <row r="84" spans="1:9" ht="13.8">
      <c r="A84" s="42" t="s">
        <v>1513</v>
      </c>
      <c r="B84" s="41">
        <f t="shared" si="4"/>
        <v>59.900000000000006</v>
      </c>
      <c r="C84" s="41">
        <v>5</v>
      </c>
      <c r="D84" s="41">
        <f t="shared" si="5"/>
        <v>64.900000000000006</v>
      </c>
      <c r="E84" s="44"/>
      <c r="F84" s="502"/>
      <c r="G84" s="44"/>
      <c r="H84" s="44"/>
      <c r="I84" s="44"/>
    </row>
    <row r="85" spans="1:9" ht="13.8">
      <c r="A85" s="42" t="s">
        <v>1515</v>
      </c>
      <c r="B85" s="41">
        <f t="shared" si="4"/>
        <v>59.900000000000006</v>
      </c>
      <c r="C85" s="41">
        <v>5</v>
      </c>
      <c r="D85" s="41">
        <f t="shared" si="5"/>
        <v>64.900000000000006</v>
      </c>
      <c r="E85" s="44"/>
      <c r="F85" s="502"/>
      <c r="G85" s="44"/>
      <c r="H85" s="44"/>
      <c r="I85" s="44"/>
    </row>
    <row r="86" spans="1:9" ht="13.8">
      <c r="A86" s="42" t="s">
        <v>1517</v>
      </c>
      <c r="B86" s="41">
        <f t="shared" si="4"/>
        <v>59.900000000000006</v>
      </c>
      <c r="C86" s="41">
        <v>5</v>
      </c>
      <c r="D86" s="41">
        <f t="shared" si="5"/>
        <v>64.900000000000006</v>
      </c>
      <c r="E86" s="44"/>
      <c r="F86" s="502"/>
      <c r="G86" s="44"/>
      <c r="H86" s="44"/>
      <c r="I86" s="44"/>
    </row>
    <row r="87" spans="1:9" ht="13.8">
      <c r="A87" s="42" t="s">
        <v>1519</v>
      </c>
      <c r="B87" s="41">
        <f t="shared" si="4"/>
        <v>59.900000000000006</v>
      </c>
      <c r="C87" s="41">
        <v>5</v>
      </c>
      <c r="D87" s="41">
        <f t="shared" si="5"/>
        <v>64.900000000000006</v>
      </c>
      <c r="E87" s="44"/>
      <c r="F87" s="502"/>
      <c r="G87" s="44"/>
      <c r="H87" s="44"/>
      <c r="I87" s="44"/>
    </row>
    <row r="88" spans="1:9" ht="13.8">
      <c r="A88" s="42" t="s">
        <v>1521</v>
      </c>
      <c r="B88" s="41">
        <f t="shared" si="4"/>
        <v>59.900000000000006</v>
      </c>
      <c r="C88" s="41">
        <v>5</v>
      </c>
      <c r="D88" s="41">
        <f t="shared" si="5"/>
        <v>64.900000000000006</v>
      </c>
      <c r="E88" s="44"/>
      <c r="F88" s="502"/>
      <c r="G88" s="44"/>
      <c r="H88" s="44"/>
      <c r="I88" s="44"/>
    </row>
    <row r="89" spans="1:9" ht="13.8">
      <c r="A89" s="202" t="s">
        <v>1183</v>
      </c>
      <c r="B89" s="203">
        <v>63.166376446173729</v>
      </c>
      <c r="C89" s="203">
        <v>0</v>
      </c>
      <c r="D89" s="203">
        <f t="shared" si="5"/>
        <v>63.166376446173729</v>
      </c>
      <c r="E89" s="44"/>
      <c r="F89" s="502"/>
      <c r="G89" s="44"/>
      <c r="H89" s="44"/>
      <c r="I89" s="44"/>
    </row>
    <row r="90" spans="1:9" ht="13.8">
      <c r="B90" s="55"/>
      <c r="C90" s="44"/>
      <c r="D90" s="44"/>
      <c r="E90" s="44"/>
      <c r="F90" s="56"/>
      <c r="G90" s="44"/>
      <c r="H90" s="44"/>
      <c r="I90" s="44"/>
    </row>
    <row r="91" spans="1:9" ht="13.8">
      <c r="A91" s="38" t="s">
        <v>1551</v>
      </c>
      <c r="B91" s="43"/>
      <c r="C91" s="43"/>
      <c r="D91" s="43"/>
      <c r="E91" s="44"/>
      <c r="F91" s="502"/>
      <c r="G91" s="44"/>
      <c r="H91" s="44"/>
      <c r="I91" s="44"/>
    </row>
    <row r="92" spans="1:9" ht="15.6">
      <c r="A92" s="45" t="s">
        <v>1573</v>
      </c>
      <c r="B92" s="45"/>
      <c r="C92" s="45"/>
      <c r="D92" s="45"/>
      <c r="E92" s="44"/>
      <c r="F92" s="502"/>
      <c r="G92" s="44"/>
      <c r="H92" s="44"/>
      <c r="I92" s="44"/>
    </row>
    <row r="93" spans="1:9" ht="15">
      <c r="A93" s="46" t="s">
        <v>1553</v>
      </c>
      <c r="B93" s="47"/>
      <c r="C93" s="47"/>
      <c r="D93" s="47"/>
      <c r="E93" s="46" t="s">
        <v>1554</v>
      </c>
      <c r="F93" s="502"/>
      <c r="G93" s="44"/>
      <c r="H93" s="44"/>
      <c r="I93" s="44"/>
    </row>
    <row r="94" spans="1:9" ht="15">
      <c r="A94" s="1" t="s">
        <v>1555</v>
      </c>
      <c r="B94" s="47"/>
      <c r="C94" s="47"/>
      <c r="D94" s="47"/>
      <c r="E94" s="206" t="s">
        <v>1556</v>
      </c>
      <c r="F94" s="502"/>
      <c r="G94" s="44"/>
      <c r="H94" s="44"/>
      <c r="I94" s="44"/>
    </row>
    <row r="95" spans="1:9" ht="13.8">
      <c r="A95" s="78" t="s">
        <v>1466</v>
      </c>
      <c r="B95" s="78" t="s">
        <v>113</v>
      </c>
      <c r="C95" s="78" t="s">
        <v>1557</v>
      </c>
      <c r="D95" s="78" t="s">
        <v>1558</v>
      </c>
      <c r="E95" s="44"/>
      <c r="F95" s="502"/>
      <c r="G95" s="44"/>
      <c r="H95" s="44"/>
      <c r="I95" s="44"/>
    </row>
    <row r="96" spans="1:9" ht="13.8">
      <c r="A96" s="42" t="s">
        <v>1510</v>
      </c>
      <c r="B96" s="41">
        <f t="shared" ref="B96:B103" si="6">93.3+0.06+0.3</f>
        <v>93.66</v>
      </c>
      <c r="C96" s="41">
        <v>10.7</v>
      </c>
      <c r="D96" s="41">
        <f>+B96+C96</f>
        <v>104.36</v>
      </c>
      <c r="E96" s="44"/>
      <c r="F96" s="502"/>
      <c r="G96" s="44"/>
      <c r="H96" s="44"/>
      <c r="I96" s="44"/>
    </row>
    <row r="97" spans="1:9" ht="13.8">
      <c r="A97" s="42" t="s">
        <v>1507</v>
      </c>
      <c r="B97" s="41">
        <f t="shared" si="6"/>
        <v>93.66</v>
      </c>
      <c r="C97" s="41">
        <v>10.7</v>
      </c>
      <c r="D97" s="41">
        <f t="shared" ref="D97:D104" si="7">+B97+C97</f>
        <v>104.36</v>
      </c>
      <c r="E97" s="44"/>
      <c r="F97" s="502"/>
      <c r="G97" s="44"/>
      <c r="H97" s="44"/>
      <c r="I97" s="44"/>
    </row>
    <row r="98" spans="1:9" ht="13.8">
      <c r="A98" s="42" t="s">
        <v>1511</v>
      </c>
      <c r="B98" s="41">
        <f t="shared" si="6"/>
        <v>93.66</v>
      </c>
      <c r="C98" s="41">
        <v>10.7</v>
      </c>
      <c r="D98" s="41">
        <f t="shared" si="7"/>
        <v>104.36</v>
      </c>
      <c r="E98" s="44"/>
      <c r="F98" s="502"/>
      <c r="G98" s="44"/>
      <c r="H98" s="44"/>
      <c r="I98" s="44"/>
    </row>
    <row r="99" spans="1:9" ht="13.8">
      <c r="A99" s="42" t="s">
        <v>1513</v>
      </c>
      <c r="B99" s="41">
        <f t="shared" si="6"/>
        <v>93.66</v>
      </c>
      <c r="C99" s="41">
        <v>10.7</v>
      </c>
      <c r="D99" s="41">
        <f t="shared" si="7"/>
        <v>104.36</v>
      </c>
      <c r="E99" s="44"/>
      <c r="F99" s="502"/>
      <c r="G99" s="44"/>
      <c r="H99" s="44"/>
      <c r="I99" s="44"/>
    </row>
    <row r="100" spans="1:9" ht="13.8">
      <c r="A100" s="42" t="s">
        <v>1515</v>
      </c>
      <c r="B100" s="41">
        <f t="shared" si="6"/>
        <v>93.66</v>
      </c>
      <c r="C100" s="41">
        <v>10.7</v>
      </c>
      <c r="D100" s="41">
        <f t="shared" si="7"/>
        <v>104.36</v>
      </c>
      <c r="E100" s="44"/>
      <c r="F100" s="502"/>
      <c r="G100" s="44"/>
      <c r="H100" s="44"/>
      <c r="I100" s="44"/>
    </row>
    <row r="101" spans="1:9" ht="13.8">
      <c r="A101" s="42" t="s">
        <v>1517</v>
      </c>
      <c r="B101" s="41">
        <f t="shared" si="6"/>
        <v>93.66</v>
      </c>
      <c r="C101" s="41">
        <v>10.7</v>
      </c>
      <c r="D101" s="41">
        <f t="shared" si="7"/>
        <v>104.36</v>
      </c>
      <c r="E101" s="44"/>
      <c r="F101" s="502"/>
      <c r="G101" s="44"/>
      <c r="H101" s="44"/>
      <c r="I101" s="44"/>
    </row>
    <row r="102" spans="1:9" ht="13.8">
      <c r="A102" s="42" t="s">
        <v>1519</v>
      </c>
      <c r="B102" s="41">
        <f t="shared" si="6"/>
        <v>93.66</v>
      </c>
      <c r="C102" s="41">
        <v>10.7</v>
      </c>
      <c r="D102" s="41">
        <f t="shared" si="7"/>
        <v>104.36</v>
      </c>
      <c r="E102" s="44"/>
      <c r="F102" s="502"/>
      <c r="G102" s="44"/>
      <c r="H102" s="44"/>
      <c r="I102" s="44"/>
    </row>
    <row r="103" spans="1:9" ht="13.8">
      <c r="A103" s="42" t="s">
        <v>1521</v>
      </c>
      <c r="B103" s="41">
        <f t="shared" si="6"/>
        <v>93.66</v>
      </c>
      <c r="C103" s="41">
        <v>10.7</v>
      </c>
      <c r="D103" s="41">
        <f t="shared" si="7"/>
        <v>104.36</v>
      </c>
      <c r="E103" s="44"/>
      <c r="F103" s="502"/>
      <c r="G103" s="44"/>
      <c r="H103" s="44"/>
      <c r="I103" s="44"/>
    </row>
    <row r="104" spans="1:9" ht="13.8">
      <c r="A104" s="202" t="s">
        <v>1183</v>
      </c>
      <c r="B104" s="203">
        <v>88.26542237372378</v>
      </c>
      <c r="C104" s="203">
        <v>0</v>
      </c>
      <c r="D104" s="203">
        <f t="shared" si="7"/>
        <v>88.26542237372378</v>
      </c>
      <c r="E104" s="44"/>
      <c r="F104" s="502"/>
      <c r="G104" s="44"/>
      <c r="H104" s="44"/>
      <c r="I104" s="44"/>
    </row>
    <row r="105" spans="1:9" ht="13.8">
      <c r="B105" s="55"/>
      <c r="C105" s="44"/>
      <c r="D105" s="44"/>
      <c r="E105" s="44"/>
      <c r="F105" s="56"/>
      <c r="G105" s="44"/>
      <c r="H105" s="44"/>
      <c r="I105" s="44"/>
    </row>
    <row r="106" spans="1:9" ht="13.8">
      <c r="B106" s="55"/>
      <c r="C106" s="44"/>
      <c r="D106" s="44"/>
      <c r="E106" s="44"/>
      <c r="F106" s="56"/>
      <c r="G106" s="44"/>
      <c r="H106" s="44"/>
      <c r="I106" s="44"/>
    </row>
    <row r="107" spans="1:9" ht="13.8">
      <c r="B107" s="55"/>
      <c r="C107" s="44"/>
      <c r="D107" s="44"/>
      <c r="E107" s="44"/>
      <c r="F107" s="56"/>
      <c r="G107" s="44"/>
      <c r="H107" s="44"/>
      <c r="I107" s="44"/>
    </row>
    <row r="108" spans="1:9" ht="13.8">
      <c r="B108" s="55"/>
      <c r="C108" s="44"/>
      <c r="D108" s="44"/>
      <c r="E108" s="44"/>
      <c r="F108" s="56"/>
      <c r="G108" s="44"/>
      <c r="H108" s="44"/>
      <c r="I108" s="44"/>
    </row>
    <row r="109" spans="1:9" ht="13.8">
      <c r="B109" s="55"/>
      <c r="C109" s="44"/>
      <c r="D109" s="44"/>
      <c r="E109" s="44"/>
      <c r="F109" s="56"/>
      <c r="G109" s="44"/>
      <c r="H109" s="44"/>
      <c r="I109" s="44"/>
    </row>
    <row r="110" spans="1:9" ht="13.8">
      <c r="A110" s="38" t="s">
        <v>1574</v>
      </c>
      <c r="B110" s="57" t="s">
        <v>1417</v>
      </c>
      <c r="C110" s="56"/>
      <c r="D110" s="56"/>
      <c r="E110" s="56"/>
      <c r="F110" s="56"/>
      <c r="G110" s="44"/>
      <c r="H110" s="44"/>
    </row>
    <row r="111" spans="1:9">
      <c r="A111" t="s">
        <v>1575</v>
      </c>
      <c r="B111" t="s">
        <v>1576</v>
      </c>
      <c r="C111" s="44"/>
      <c r="G111"/>
      <c r="H111" s="44"/>
      <c r="I111" s="55"/>
    </row>
    <row r="112" spans="1:9">
      <c r="A112" t="s">
        <v>1577</v>
      </c>
      <c r="B112" t="s">
        <v>1576</v>
      </c>
      <c r="C112" s="44"/>
      <c r="G112"/>
      <c r="H112" s="44"/>
      <c r="I112" s="55"/>
    </row>
    <row r="113" spans="1:9">
      <c r="A113" t="s">
        <v>1578</v>
      </c>
      <c r="B113" t="s">
        <v>1576</v>
      </c>
      <c r="C113" s="44"/>
      <c r="G113"/>
      <c r="H113" s="44"/>
      <c r="I113" s="55"/>
    </row>
    <row r="114" spans="1:9">
      <c r="A114" t="s">
        <v>1579</v>
      </c>
      <c r="B114" t="s">
        <v>1576</v>
      </c>
      <c r="C114" s="44"/>
      <c r="G114"/>
      <c r="H114" s="44"/>
      <c r="I114" s="55"/>
    </row>
    <row r="115" spans="1:9">
      <c r="A115" t="s">
        <v>1580</v>
      </c>
      <c r="B115" t="s">
        <v>1576</v>
      </c>
      <c r="G115"/>
      <c r="I115" s="55"/>
    </row>
    <row r="116" spans="1:9">
      <c r="A116" t="s">
        <v>1581</v>
      </c>
      <c r="B116" t="s">
        <v>1576</v>
      </c>
      <c r="G116"/>
      <c r="I116" s="55"/>
    </row>
    <row r="117" spans="1:9">
      <c r="A117" t="s">
        <v>1582</v>
      </c>
      <c r="B117" t="s">
        <v>1576</v>
      </c>
      <c r="G117"/>
      <c r="I117" s="55"/>
    </row>
    <row r="118" spans="1:9">
      <c r="A118" t="s">
        <v>1583</v>
      </c>
      <c r="B118" t="s">
        <v>1576</v>
      </c>
      <c r="G118"/>
      <c r="I118" s="55"/>
    </row>
    <row r="119" spans="1:9">
      <c r="A119" t="s">
        <v>1584</v>
      </c>
      <c r="B119" t="s">
        <v>1576</v>
      </c>
      <c r="G119"/>
      <c r="I119" s="55"/>
    </row>
    <row r="120" spans="1:9">
      <c r="A120" t="s">
        <v>1585</v>
      </c>
      <c r="B120" t="s">
        <v>1576</v>
      </c>
      <c r="G120"/>
      <c r="I120" s="55"/>
    </row>
    <row r="121" spans="1:9">
      <c r="A121" t="s">
        <v>1586</v>
      </c>
      <c r="B121" t="s">
        <v>1576</v>
      </c>
      <c r="G121"/>
      <c r="I121" s="55"/>
    </row>
    <row r="122" spans="1:9">
      <c r="A122" t="s">
        <v>1587</v>
      </c>
      <c r="B122" t="s">
        <v>1576</v>
      </c>
      <c r="G122"/>
      <c r="I122" s="55"/>
    </row>
    <row r="123" spans="1:9">
      <c r="A123" t="s">
        <v>1588</v>
      </c>
      <c r="B123" t="s">
        <v>1576</v>
      </c>
      <c r="G123"/>
      <c r="I123" s="55"/>
    </row>
    <row r="124" spans="1:9">
      <c r="A124" t="s">
        <v>1589</v>
      </c>
      <c r="B124" t="s">
        <v>1576</v>
      </c>
      <c r="G124"/>
      <c r="I124" s="55"/>
    </row>
    <row r="125" spans="1:9">
      <c r="A125" s="58" t="s">
        <v>1590</v>
      </c>
      <c r="B125"/>
      <c r="G125"/>
      <c r="I125" s="55"/>
    </row>
    <row r="126" spans="1:9">
      <c r="A126" t="s">
        <v>1587</v>
      </c>
      <c r="B126" t="s">
        <v>1591</v>
      </c>
      <c r="E126"/>
      <c r="G126"/>
      <c r="I126" s="55"/>
    </row>
    <row r="127" spans="1:9">
      <c r="A127" t="s">
        <v>1592</v>
      </c>
      <c r="B127" t="s">
        <v>1591</v>
      </c>
      <c r="D127"/>
      <c r="E127"/>
      <c r="G127"/>
    </row>
    <row r="128" spans="1:9">
      <c r="A128" t="s">
        <v>1593</v>
      </c>
      <c r="B128" t="s">
        <v>1591</v>
      </c>
    </row>
    <row r="129" spans="1:9">
      <c r="A129" t="s">
        <v>1594</v>
      </c>
      <c r="B129" t="s">
        <v>1591</v>
      </c>
    </row>
    <row r="130" spans="1:9">
      <c r="A130" t="s">
        <v>1595</v>
      </c>
      <c r="B130" t="s">
        <v>1591</v>
      </c>
    </row>
    <row r="131" spans="1:9">
      <c r="A131" t="s">
        <v>1596</v>
      </c>
      <c r="B131" t="s">
        <v>1591</v>
      </c>
    </row>
    <row r="132" spans="1:9">
      <c r="A132" t="s">
        <v>1597</v>
      </c>
      <c r="B132" t="s">
        <v>1591</v>
      </c>
    </row>
    <row r="133" spans="1:9">
      <c r="A133" t="s">
        <v>1598</v>
      </c>
      <c r="B133" t="s">
        <v>1591</v>
      </c>
    </row>
    <row r="134" spans="1:9">
      <c r="A134" t="s">
        <v>1599</v>
      </c>
      <c r="B134" t="s">
        <v>1591</v>
      </c>
    </row>
    <row r="135" spans="1:9">
      <c r="A135" t="s">
        <v>1600</v>
      </c>
      <c r="B135" t="s">
        <v>1591</v>
      </c>
    </row>
    <row r="136" spans="1:9">
      <c r="A136" t="s">
        <v>1601</v>
      </c>
      <c r="B136" t="s">
        <v>1591</v>
      </c>
    </row>
    <row r="137" spans="1:9">
      <c r="A137" t="s">
        <v>1602</v>
      </c>
      <c r="B137" t="s">
        <v>1591</v>
      </c>
    </row>
    <row r="138" spans="1:9">
      <c r="A138" t="s">
        <v>1603</v>
      </c>
      <c r="B138" t="s">
        <v>1591</v>
      </c>
    </row>
    <row r="139" spans="1:9">
      <c r="A139" s="58" t="s">
        <v>1590</v>
      </c>
      <c r="B139"/>
      <c r="G139"/>
      <c r="I139" s="55"/>
    </row>
    <row r="140" spans="1:9">
      <c r="A140" t="s">
        <v>1604</v>
      </c>
      <c r="B140" t="s">
        <v>1605</v>
      </c>
    </row>
    <row r="141" spans="1:9">
      <c r="A141" t="s">
        <v>1606</v>
      </c>
      <c r="B141" t="s">
        <v>1605</v>
      </c>
    </row>
    <row r="142" spans="1:9">
      <c r="A142" t="s">
        <v>1607</v>
      </c>
      <c r="B142" t="s">
        <v>1605</v>
      </c>
    </row>
    <row r="143" spans="1:9">
      <c r="A143" t="s">
        <v>1608</v>
      </c>
      <c r="B143" t="s">
        <v>1605</v>
      </c>
    </row>
    <row r="144" spans="1:9">
      <c r="A144" t="s">
        <v>1609</v>
      </c>
      <c r="B144" t="s">
        <v>1605</v>
      </c>
    </row>
    <row r="145" spans="1:2">
      <c r="A145" t="s">
        <v>1610</v>
      </c>
      <c r="B145" t="s">
        <v>1605</v>
      </c>
    </row>
    <row r="146" spans="1:2">
      <c r="A146" t="s">
        <v>1611</v>
      </c>
      <c r="B146" t="s">
        <v>1605</v>
      </c>
    </row>
    <row r="147" spans="1:2">
      <c r="A147" t="s">
        <v>1612</v>
      </c>
      <c r="B147" t="s">
        <v>1605</v>
      </c>
    </row>
    <row r="148" spans="1:2">
      <c r="A148" t="s">
        <v>1613</v>
      </c>
      <c r="B148" t="s">
        <v>1605</v>
      </c>
    </row>
    <row r="149" spans="1:2">
      <c r="A149" t="s">
        <v>1614</v>
      </c>
      <c r="B149" t="s">
        <v>1605</v>
      </c>
    </row>
    <row r="150" spans="1:2">
      <c r="A150" t="s">
        <v>1615</v>
      </c>
      <c r="B150" t="s">
        <v>1605</v>
      </c>
    </row>
    <row r="151" spans="1:2">
      <c r="A151" t="s">
        <v>1616</v>
      </c>
      <c r="B151" t="s">
        <v>1605</v>
      </c>
    </row>
    <row r="152" spans="1:2">
      <c r="A152" t="s">
        <v>1617</v>
      </c>
      <c r="B152" t="s">
        <v>1605</v>
      </c>
    </row>
    <row r="153" spans="1:2">
      <c r="A153" t="s">
        <v>679</v>
      </c>
      <c r="B153" t="s">
        <v>1605</v>
      </c>
    </row>
    <row r="154" spans="1:2">
      <c r="A154" t="s">
        <v>1618</v>
      </c>
      <c r="B154" t="s">
        <v>1605</v>
      </c>
    </row>
    <row r="156" spans="1:2">
      <c r="A156" s="38" t="s">
        <v>1574</v>
      </c>
    </row>
    <row r="157" spans="1:2">
      <c r="A157" t="s">
        <v>1619</v>
      </c>
    </row>
    <row r="158" spans="1:2">
      <c r="A158" t="s">
        <v>1620</v>
      </c>
    </row>
    <row r="159" spans="1:2">
      <c r="A159" t="s">
        <v>1621</v>
      </c>
    </row>
    <row r="160" spans="1:2">
      <c r="A160" t="s">
        <v>1622</v>
      </c>
    </row>
    <row r="161" spans="1:1">
      <c r="A161" t="s">
        <v>1623</v>
      </c>
    </row>
    <row r="162" spans="1:1">
      <c r="A162" t="s">
        <v>1624</v>
      </c>
    </row>
    <row r="163" spans="1:1">
      <c r="A163" t="s">
        <v>1625</v>
      </c>
    </row>
    <row r="164" spans="1:1">
      <c r="A164" t="s">
        <v>1626</v>
      </c>
    </row>
    <row r="165" spans="1:1">
      <c r="A165" t="s">
        <v>1627</v>
      </c>
    </row>
    <row r="166" spans="1:1">
      <c r="A166" t="s">
        <v>1628</v>
      </c>
    </row>
    <row r="167" spans="1:1">
      <c r="A167" t="s">
        <v>1629</v>
      </c>
    </row>
    <row r="168" spans="1:1">
      <c r="A168" t="s">
        <v>1630</v>
      </c>
    </row>
    <row r="169" spans="1:1">
      <c r="A169" t="s">
        <v>1631</v>
      </c>
    </row>
    <row r="170" spans="1:1">
      <c r="A170" t="s">
        <v>1632</v>
      </c>
    </row>
    <row r="171" spans="1:1">
      <c r="A171" t="s">
        <v>1633</v>
      </c>
    </row>
    <row r="172" spans="1:1">
      <c r="A172" t="s">
        <v>1634</v>
      </c>
    </row>
    <row r="173" spans="1:1">
      <c r="A173" t="s">
        <v>1635</v>
      </c>
    </row>
    <row r="174" spans="1:1">
      <c r="A174" t="s">
        <v>1636</v>
      </c>
    </row>
    <row r="175" spans="1:1">
      <c r="A175" t="s">
        <v>1637</v>
      </c>
    </row>
    <row r="177" spans="1:1">
      <c r="A177" s="36" t="s">
        <v>1638</v>
      </c>
    </row>
    <row r="178" spans="1:1">
      <c r="A178" s="7" t="s">
        <v>1639</v>
      </c>
    </row>
    <row r="179" spans="1:1" ht="12.75" customHeight="1">
      <c r="A179" s="36" t="b">
        <v>1</v>
      </c>
    </row>
    <row r="180" spans="1:1" ht="12.75" customHeight="1">
      <c r="A180" s="36" t="b">
        <v>0</v>
      </c>
    </row>
    <row r="183" spans="1:1">
      <c r="A183" s="7" t="s">
        <v>1640</v>
      </c>
    </row>
    <row r="184" spans="1:1">
      <c r="A184" s="72" t="s">
        <v>1286</v>
      </c>
    </row>
    <row r="185" spans="1:1">
      <c r="A185" s="72" t="s">
        <v>1641</v>
      </c>
    </row>
    <row r="186" spans="1:1" ht="12.75" customHeight="1"/>
    <row r="187" spans="1:1" ht="12.75" customHeight="1"/>
    <row r="202" spans="2:9">
      <c r="B202"/>
      <c r="C202"/>
      <c r="G202" s="59"/>
      <c r="H202"/>
      <c r="I202"/>
    </row>
    <row r="205" spans="2:9" ht="15" customHeight="1"/>
  </sheetData>
  <customSheetViews>
    <customSheetView guid="{BA12A2B5-8B2E-47CE-85C5-00A71CD7042B}" showGridLines="0" fitToPage="1" state="hidden" topLeftCell="A16">
      <selection activeCell="F37" sqref="F37"/>
      <pageMargins left="0" right="0" top="0" bottom="0" header="0" footer="0"/>
      <pageSetup paperSize="9" scale="31" orientation="portrait" r:id="rId1"/>
      <headerFooter alignWithMargins="0"/>
    </customSheetView>
    <customSheetView guid="{6E4579C3-98CA-4325-AF39-19A629870080}" showGridLines="0" fitToPage="1" state="hidden">
      <selection activeCell="F37" sqref="F37"/>
      <pageMargins left="0" right="0" top="0" bottom="0" header="0" footer="0"/>
      <pageSetup paperSize="9" scale="31" orientation="portrait" r:id="rId2"/>
      <headerFooter alignWithMargins="0"/>
    </customSheetView>
    <customSheetView guid="{BC75B7F8-7A05-4F92-B953-0DB7EDA000F8}" showGridLines="0" fitToPage="1" state="hidden">
      <selection activeCell="F37" sqref="F37"/>
      <pageMargins left="0" right="0" top="0" bottom="0" header="0" footer="0"/>
      <pageSetup paperSize="9" scale="31" orientation="portrait" r:id="rId3"/>
      <headerFooter alignWithMargins="0"/>
    </customSheetView>
    <customSheetView guid="{BF159B5C-C230-4B3A-8DDE-333808894C93}" showGridLines="0" fitToPage="1" state="hidden" topLeftCell="A16">
      <selection activeCell="F37" sqref="F37"/>
      <pageMargins left="0" right="0" top="0" bottom="0" header="0" footer="0"/>
      <pageSetup paperSize="9" scale="31" orientation="portrait" r:id="rId4"/>
      <headerFooter alignWithMargins="0"/>
    </customSheetView>
  </customSheetViews>
  <mergeCells count="9">
    <mergeCell ref="H48:H49"/>
    <mergeCell ref="G48:G49"/>
    <mergeCell ref="E48:E49"/>
    <mergeCell ref="B64:D64"/>
    <mergeCell ref="E64:E65"/>
    <mergeCell ref="F64:F65"/>
    <mergeCell ref="G64:G65"/>
    <mergeCell ref="F48:F49"/>
    <mergeCell ref="B48:D48"/>
  </mergeCells>
  <hyperlinks>
    <hyperlink ref="A32" r:id="rId5" xr:uid="{00000000-0004-0000-0B00-000000000000}"/>
    <hyperlink ref="A47" r:id="rId6" xr:uid="{00000000-0004-0000-0B00-000001000000}"/>
    <hyperlink ref="A63" r:id="rId7" xr:uid="{00000000-0004-0000-0B00-000002000000}"/>
    <hyperlink ref="A79" r:id="rId8" xr:uid="{00000000-0004-0000-0B00-000003000000}"/>
    <hyperlink ref="A94" r:id="rId9" xr:uid="{00000000-0004-0000-0B00-000004000000}"/>
    <hyperlink ref="E94" r:id="rId10" xr:uid="{00000000-0004-0000-0B00-000005000000}"/>
    <hyperlink ref="E79" r:id="rId11" xr:uid="{00000000-0004-0000-0B00-000006000000}"/>
    <hyperlink ref="H63" r:id="rId12" xr:uid="{00000000-0004-0000-0B00-000007000000}"/>
    <hyperlink ref="I47" r:id="rId13" xr:uid="{00000000-0004-0000-0B00-000008000000}"/>
    <hyperlink ref="E32" r:id="rId14" xr:uid="{00000000-0004-0000-0B00-000009000000}"/>
  </hyperlinks>
  <pageMargins left="0.74803149606299213" right="0.74803149606299213" top="0.98425196850393704" bottom="0.98425196850393704" header="0.51181102362204722" footer="0.51181102362204722"/>
  <pageSetup paperSize="9" scale="31" orientation="portrait" r:id="rId15"/>
  <headerFooter alignWithMargins="0"/>
  <drawing r:id="rId16"/>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14999847407452621"/>
    <pageSetUpPr fitToPage="1"/>
  </sheetPr>
  <dimension ref="A1:E3021"/>
  <sheetViews>
    <sheetView showGridLines="0" showRowColHeaders="0" zoomScaleNormal="100" workbookViewId="0">
      <selection activeCell="A4" sqref="A4:E4"/>
    </sheetView>
  </sheetViews>
  <sheetFormatPr defaultColWidth="9.33203125" defaultRowHeight="13.2"/>
  <cols>
    <col min="1" max="1" width="26" style="60" customWidth="1"/>
    <col min="2" max="2" width="17.44140625" style="60" customWidth="1"/>
    <col min="3" max="3" width="16.6640625" style="60" customWidth="1"/>
    <col min="4" max="4" width="19.6640625" style="60" customWidth="1"/>
    <col min="5" max="5" width="16.33203125" style="60" customWidth="1"/>
    <col min="6" max="16384" width="9.33203125" style="60"/>
  </cols>
  <sheetData>
    <row r="1" spans="1:5" ht="83.25" customHeight="1"/>
    <row r="3" spans="1:5" ht="15.6">
      <c r="A3" s="10" t="s">
        <v>1642</v>
      </c>
      <c r="B3" s="10"/>
      <c r="C3" s="10"/>
      <c r="D3" s="10"/>
      <c r="E3" s="10"/>
    </row>
    <row r="4" spans="1:5" ht="40.5" customHeight="1">
      <c r="A4" s="674" t="s">
        <v>1643</v>
      </c>
      <c r="B4" s="674"/>
      <c r="C4" s="674"/>
      <c r="D4" s="674"/>
      <c r="E4" s="674"/>
    </row>
    <row r="6" spans="1:5" ht="26.4">
      <c r="A6" s="78" t="s">
        <v>1644</v>
      </c>
      <c r="B6" s="78" t="s">
        <v>1645</v>
      </c>
      <c r="C6" s="78" t="s">
        <v>1646</v>
      </c>
      <c r="D6" s="78" t="s">
        <v>1647</v>
      </c>
    </row>
    <row r="7" spans="1:5">
      <c r="A7" s="61">
        <v>800</v>
      </c>
      <c r="B7" s="61">
        <v>14015</v>
      </c>
      <c r="C7" s="62">
        <v>2892.5</v>
      </c>
      <c r="D7" s="62">
        <v>0</v>
      </c>
    </row>
    <row r="8" spans="1:5">
      <c r="A8" s="61">
        <v>810</v>
      </c>
      <c r="B8" s="61">
        <v>14015</v>
      </c>
      <c r="C8" s="62">
        <v>2892.5</v>
      </c>
      <c r="D8" s="62">
        <v>0</v>
      </c>
    </row>
    <row r="9" spans="1:5">
      <c r="A9" s="61">
        <v>812</v>
      </c>
      <c r="B9" s="61">
        <v>14015</v>
      </c>
      <c r="C9" s="62">
        <v>2892.5</v>
      </c>
      <c r="D9" s="62">
        <v>0</v>
      </c>
    </row>
    <row r="10" spans="1:5">
      <c r="A10" s="61">
        <v>820</v>
      </c>
      <c r="B10" s="61">
        <v>14015</v>
      </c>
      <c r="C10" s="62">
        <v>2892.5</v>
      </c>
      <c r="D10" s="62">
        <v>0</v>
      </c>
    </row>
    <row r="11" spans="1:5">
      <c r="A11" s="61">
        <v>822</v>
      </c>
      <c r="B11" s="61">
        <v>14901</v>
      </c>
      <c r="C11" s="62">
        <v>2449.6999999999998</v>
      </c>
      <c r="D11" s="62">
        <v>4.0999999999999996</v>
      </c>
    </row>
    <row r="12" spans="1:5">
      <c r="A12" s="61">
        <v>828</v>
      </c>
      <c r="B12" s="61">
        <v>14015</v>
      </c>
      <c r="C12" s="62">
        <v>2892.5</v>
      </c>
      <c r="D12" s="62">
        <v>0</v>
      </c>
    </row>
    <row r="13" spans="1:5">
      <c r="A13" s="61">
        <v>829</v>
      </c>
      <c r="B13" s="61">
        <v>14015</v>
      </c>
      <c r="C13" s="62">
        <v>2892.5</v>
      </c>
      <c r="D13" s="62">
        <v>0</v>
      </c>
    </row>
    <row r="14" spans="1:5">
      <c r="A14" s="61">
        <v>830</v>
      </c>
      <c r="B14" s="61">
        <v>14015</v>
      </c>
      <c r="C14" s="62">
        <v>2892.5</v>
      </c>
      <c r="D14" s="62">
        <v>0</v>
      </c>
    </row>
    <row r="15" spans="1:5">
      <c r="A15" s="61">
        <v>832</v>
      </c>
      <c r="B15" s="61">
        <v>14015</v>
      </c>
      <c r="C15" s="62">
        <v>2892.5</v>
      </c>
      <c r="D15" s="62">
        <v>0</v>
      </c>
    </row>
    <row r="16" spans="1:5">
      <c r="A16" s="61">
        <v>834</v>
      </c>
      <c r="B16" s="61">
        <v>14015</v>
      </c>
      <c r="C16" s="62">
        <v>2892.5</v>
      </c>
      <c r="D16" s="62">
        <v>0</v>
      </c>
    </row>
    <row r="17" spans="1:4">
      <c r="A17" s="61">
        <v>835</v>
      </c>
      <c r="B17" s="61">
        <v>14015</v>
      </c>
      <c r="C17" s="62">
        <v>2892.5</v>
      </c>
      <c r="D17" s="62">
        <v>0</v>
      </c>
    </row>
    <row r="18" spans="1:4">
      <c r="A18" s="61">
        <v>836</v>
      </c>
      <c r="B18" s="61">
        <v>14015</v>
      </c>
      <c r="C18" s="62">
        <v>2892.5</v>
      </c>
      <c r="D18" s="62">
        <v>0</v>
      </c>
    </row>
    <row r="19" spans="1:4">
      <c r="A19" s="61">
        <v>837</v>
      </c>
      <c r="B19" s="61">
        <v>14015</v>
      </c>
      <c r="C19" s="62">
        <v>2892.5</v>
      </c>
      <c r="D19" s="62">
        <v>0</v>
      </c>
    </row>
    <row r="20" spans="1:4">
      <c r="A20" s="61">
        <v>838</v>
      </c>
      <c r="B20" s="61">
        <v>14272</v>
      </c>
      <c r="C20" s="62">
        <v>2450.9</v>
      </c>
      <c r="D20" s="62">
        <v>0.1</v>
      </c>
    </row>
    <row r="21" spans="1:4">
      <c r="A21" s="61">
        <v>839</v>
      </c>
      <c r="B21" s="61">
        <v>14015</v>
      </c>
      <c r="C21" s="62">
        <v>2892.5</v>
      </c>
      <c r="D21" s="62">
        <v>0</v>
      </c>
    </row>
    <row r="22" spans="1:4">
      <c r="A22" s="61">
        <v>840</v>
      </c>
      <c r="B22" s="61">
        <v>14277</v>
      </c>
      <c r="C22" s="62">
        <v>3090.4</v>
      </c>
      <c r="D22" s="62">
        <v>0</v>
      </c>
    </row>
    <row r="23" spans="1:4">
      <c r="A23" s="61">
        <v>841</v>
      </c>
      <c r="B23" s="61">
        <v>14272</v>
      </c>
      <c r="C23" s="62">
        <v>2450.9</v>
      </c>
      <c r="D23" s="62">
        <v>0.1</v>
      </c>
    </row>
    <row r="24" spans="1:4">
      <c r="A24" s="61">
        <v>845</v>
      </c>
      <c r="B24" s="61">
        <v>14272</v>
      </c>
      <c r="C24" s="62">
        <v>2450.9</v>
      </c>
      <c r="D24" s="62">
        <v>0.1</v>
      </c>
    </row>
    <row r="25" spans="1:4">
      <c r="A25" s="61">
        <v>846</v>
      </c>
      <c r="B25" s="61">
        <v>14015</v>
      </c>
      <c r="C25" s="62">
        <v>2892.5</v>
      </c>
      <c r="D25" s="62">
        <v>0</v>
      </c>
    </row>
    <row r="26" spans="1:4">
      <c r="A26" s="61">
        <v>847</v>
      </c>
      <c r="B26" s="61">
        <v>14901</v>
      </c>
      <c r="C26" s="62">
        <v>2449.6999999999998</v>
      </c>
      <c r="D26" s="62">
        <v>4.0999999999999996</v>
      </c>
    </row>
    <row r="27" spans="1:4">
      <c r="A27" s="61">
        <v>850</v>
      </c>
      <c r="B27" s="61">
        <v>14932</v>
      </c>
      <c r="C27" s="62">
        <v>2146.1</v>
      </c>
      <c r="D27" s="62">
        <v>8.5</v>
      </c>
    </row>
    <row r="28" spans="1:4">
      <c r="A28" s="61">
        <v>852</v>
      </c>
      <c r="B28" s="61">
        <v>14932</v>
      </c>
      <c r="C28" s="62">
        <v>2146.1</v>
      </c>
      <c r="D28" s="62">
        <v>8.5</v>
      </c>
    </row>
    <row r="29" spans="1:4">
      <c r="A29" s="61">
        <v>853</v>
      </c>
      <c r="B29" s="61">
        <v>14932</v>
      </c>
      <c r="C29" s="62">
        <v>2146.1</v>
      </c>
      <c r="D29" s="62">
        <v>8.5</v>
      </c>
    </row>
    <row r="30" spans="1:4">
      <c r="A30" s="61">
        <v>854</v>
      </c>
      <c r="B30" s="61">
        <v>14704</v>
      </c>
      <c r="C30" s="62">
        <v>2192.1</v>
      </c>
      <c r="D30" s="62">
        <v>14</v>
      </c>
    </row>
    <row r="31" spans="1:4">
      <c r="A31" s="61">
        <v>860</v>
      </c>
      <c r="B31" s="61">
        <v>15135</v>
      </c>
      <c r="C31" s="62">
        <v>1006.1</v>
      </c>
      <c r="D31" s="62">
        <v>87.7</v>
      </c>
    </row>
    <row r="32" spans="1:4">
      <c r="A32" s="61">
        <v>862</v>
      </c>
      <c r="B32" s="61">
        <v>2012</v>
      </c>
      <c r="C32" s="62">
        <v>1287.2</v>
      </c>
      <c r="D32" s="62">
        <v>27.4</v>
      </c>
    </row>
    <row r="33" spans="1:4">
      <c r="A33" s="61">
        <v>870</v>
      </c>
      <c r="B33" s="61">
        <v>15590</v>
      </c>
      <c r="C33" s="62">
        <v>458.1</v>
      </c>
      <c r="D33" s="62">
        <v>655.29999999999995</v>
      </c>
    </row>
    <row r="34" spans="1:4">
      <c r="A34" s="61">
        <v>872</v>
      </c>
      <c r="B34" s="61">
        <v>15135</v>
      </c>
      <c r="C34" s="62">
        <v>1006.1</v>
      </c>
      <c r="D34" s="62">
        <v>87.7</v>
      </c>
    </row>
    <row r="35" spans="1:4">
      <c r="A35" s="61">
        <v>880</v>
      </c>
      <c r="B35" s="61">
        <v>14508</v>
      </c>
      <c r="C35" s="62">
        <v>2930.3</v>
      </c>
      <c r="D35" s="62">
        <v>0</v>
      </c>
    </row>
    <row r="36" spans="1:4">
      <c r="A36" s="61">
        <v>885</v>
      </c>
      <c r="B36" s="61">
        <v>14518</v>
      </c>
      <c r="C36" s="62">
        <v>2641.7</v>
      </c>
      <c r="D36" s="62">
        <v>3.7</v>
      </c>
    </row>
    <row r="37" spans="1:4">
      <c r="A37" s="61">
        <v>886</v>
      </c>
      <c r="B37" s="61">
        <v>14198</v>
      </c>
      <c r="C37" s="62">
        <v>2734.1</v>
      </c>
      <c r="D37" s="62">
        <v>0</v>
      </c>
    </row>
    <row r="38" spans="1:4">
      <c r="A38" s="61">
        <v>909</v>
      </c>
      <c r="B38" s="61">
        <v>14015</v>
      </c>
      <c r="C38" s="62">
        <v>2892.5</v>
      </c>
      <c r="D38" s="62">
        <v>0</v>
      </c>
    </row>
    <row r="39" spans="1:4">
      <c r="A39" s="61">
        <v>2000</v>
      </c>
      <c r="B39" s="61">
        <v>66062</v>
      </c>
      <c r="C39" s="62">
        <v>600.20000000000005</v>
      </c>
      <c r="D39" s="62">
        <v>516.6</v>
      </c>
    </row>
    <row r="40" spans="1:4">
      <c r="A40" s="61">
        <v>2006</v>
      </c>
      <c r="B40" s="61">
        <v>66062</v>
      </c>
      <c r="C40" s="62">
        <v>600.20000000000005</v>
      </c>
      <c r="D40" s="62">
        <v>516.6</v>
      </c>
    </row>
    <row r="41" spans="1:4">
      <c r="A41" s="61">
        <v>2007</v>
      </c>
      <c r="B41" s="61">
        <v>66062</v>
      </c>
      <c r="C41" s="62">
        <v>600.20000000000005</v>
      </c>
      <c r="D41" s="62">
        <v>516.6</v>
      </c>
    </row>
    <row r="42" spans="1:4">
      <c r="A42" s="61">
        <v>2008</v>
      </c>
      <c r="B42" s="61">
        <v>66062</v>
      </c>
      <c r="C42" s="62">
        <v>600.20000000000005</v>
      </c>
      <c r="D42" s="62">
        <v>516.6</v>
      </c>
    </row>
    <row r="43" spans="1:4">
      <c r="A43" s="61">
        <v>2009</v>
      </c>
      <c r="B43" s="61">
        <v>66062</v>
      </c>
      <c r="C43" s="62">
        <v>600.20000000000005</v>
      </c>
      <c r="D43" s="62">
        <v>516.6</v>
      </c>
    </row>
    <row r="44" spans="1:4">
      <c r="A44" s="61">
        <v>2010</v>
      </c>
      <c r="B44" s="61">
        <v>66062</v>
      </c>
      <c r="C44" s="62">
        <v>600.20000000000005</v>
      </c>
      <c r="D44" s="62">
        <v>516.6</v>
      </c>
    </row>
    <row r="45" spans="1:4">
      <c r="A45" s="61">
        <v>2011</v>
      </c>
      <c r="B45" s="61">
        <v>66062</v>
      </c>
      <c r="C45" s="62">
        <v>600.20000000000005</v>
      </c>
      <c r="D45" s="62">
        <v>516.6</v>
      </c>
    </row>
    <row r="46" spans="1:4">
      <c r="A46" s="61">
        <v>2015</v>
      </c>
      <c r="B46" s="61">
        <v>66062</v>
      </c>
      <c r="C46" s="62">
        <v>600.20000000000005</v>
      </c>
      <c r="D46" s="62">
        <v>516.6</v>
      </c>
    </row>
    <row r="47" spans="1:4">
      <c r="A47" s="61">
        <v>2016</v>
      </c>
      <c r="B47" s="61">
        <v>66062</v>
      </c>
      <c r="C47" s="62">
        <v>600.20000000000005</v>
      </c>
      <c r="D47" s="62">
        <v>516.6</v>
      </c>
    </row>
    <row r="48" spans="1:4">
      <c r="A48" s="61">
        <v>2017</v>
      </c>
      <c r="B48" s="61">
        <v>66062</v>
      </c>
      <c r="C48" s="62">
        <v>600.20000000000005</v>
      </c>
      <c r="D48" s="62">
        <v>516.6</v>
      </c>
    </row>
    <row r="49" spans="1:4">
      <c r="A49" s="61">
        <v>2018</v>
      </c>
      <c r="B49" s="61">
        <v>66037</v>
      </c>
      <c r="C49" s="62">
        <v>598.9</v>
      </c>
      <c r="D49" s="62">
        <v>560.70000000000005</v>
      </c>
    </row>
    <row r="50" spans="1:4">
      <c r="A50" s="61">
        <v>2019</v>
      </c>
      <c r="B50" s="61">
        <v>66037</v>
      </c>
      <c r="C50" s="62">
        <v>598.9</v>
      </c>
      <c r="D50" s="62">
        <v>560.70000000000005</v>
      </c>
    </row>
    <row r="51" spans="1:4">
      <c r="A51" s="61">
        <v>2020</v>
      </c>
      <c r="B51" s="61">
        <v>66037</v>
      </c>
      <c r="C51" s="62">
        <v>598.9</v>
      </c>
      <c r="D51" s="62">
        <v>560.70000000000005</v>
      </c>
    </row>
    <row r="52" spans="1:4">
      <c r="A52" s="61">
        <v>2021</v>
      </c>
      <c r="B52" s="61">
        <v>66062</v>
      </c>
      <c r="C52" s="62">
        <v>600.20000000000005</v>
      </c>
      <c r="D52" s="62">
        <v>516.6</v>
      </c>
    </row>
    <row r="53" spans="1:4">
      <c r="A53" s="61">
        <v>2022</v>
      </c>
      <c r="B53" s="61">
        <v>66062</v>
      </c>
      <c r="C53" s="62">
        <v>600.20000000000005</v>
      </c>
      <c r="D53" s="62">
        <v>516.6</v>
      </c>
    </row>
    <row r="54" spans="1:4">
      <c r="A54" s="61">
        <v>2023</v>
      </c>
      <c r="B54" s="61">
        <v>66062</v>
      </c>
      <c r="C54" s="62">
        <v>600.20000000000005</v>
      </c>
      <c r="D54" s="62">
        <v>516.6</v>
      </c>
    </row>
    <row r="55" spans="1:4">
      <c r="A55" s="61">
        <v>2024</v>
      </c>
      <c r="B55" s="61">
        <v>66062</v>
      </c>
      <c r="C55" s="62">
        <v>600.20000000000005</v>
      </c>
      <c r="D55" s="62">
        <v>516.6</v>
      </c>
    </row>
    <row r="56" spans="1:4">
      <c r="A56" s="61">
        <v>2025</v>
      </c>
      <c r="B56" s="61">
        <v>66062</v>
      </c>
      <c r="C56" s="62">
        <v>600.20000000000005</v>
      </c>
      <c r="D56" s="62">
        <v>516.6</v>
      </c>
    </row>
    <row r="57" spans="1:4">
      <c r="A57" s="61">
        <v>2026</v>
      </c>
      <c r="B57" s="61">
        <v>66062</v>
      </c>
      <c r="C57" s="62">
        <v>600.20000000000005</v>
      </c>
      <c r="D57" s="62">
        <v>516.6</v>
      </c>
    </row>
    <row r="58" spans="1:4">
      <c r="A58" s="61">
        <v>2027</v>
      </c>
      <c r="B58" s="61">
        <v>66062</v>
      </c>
      <c r="C58" s="62">
        <v>600.20000000000005</v>
      </c>
      <c r="D58" s="62">
        <v>516.6</v>
      </c>
    </row>
    <row r="59" spans="1:4">
      <c r="A59" s="61">
        <v>2028</v>
      </c>
      <c r="B59" s="61">
        <v>66062</v>
      </c>
      <c r="C59" s="62">
        <v>600.20000000000005</v>
      </c>
      <c r="D59" s="62">
        <v>516.6</v>
      </c>
    </row>
    <row r="60" spans="1:4">
      <c r="A60" s="61">
        <v>2029</v>
      </c>
      <c r="B60" s="61">
        <v>66062</v>
      </c>
      <c r="C60" s="62">
        <v>600.20000000000005</v>
      </c>
      <c r="D60" s="62">
        <v>516.6</v>
      </c>
    </row>
    <row r="61" spans="1:4">
      <c r="A61" s="61">
        <v>2030</v>
      </c>
      <c r="B61" s="61">
        <v>66062</v>
      </c>
      <c r="C61" s="62">
        <v>600.20000000000005</v>
      </c>
      <c r="D61" s="62">
        <v>516.6</v>
      </c>
    </row>
    <row r="62" spans="1:4">
      <c r="A62" s="61">
        <v>2031</v>
      </c>
      <c r="B62" s="61">
        <v>66062</v>
      </c>
      <c r="C62" s="62">
        <v>600.20000000000005</v>
      </c>
      <c r="D62" s="62">
        <v>516.6</v>
      </c>
    </row>
    <row r="63" spans="1:4">
      <c r="A63" s="61">
        <v>2032</v>
      </c>
      <c r="B63" s="61">
        <v>66037</v>
      </c>
      <c r="C63" s="62">
        <v>598.9</v>
      </c>
      <c r="D63" s="62">
        <v>560.70000000000005</v>
      </c>
    </row>
    <row r="64" spans="1:4">
      <c r="A64" s="61">
        <v>2033</v>
      </c>
      <c r="B64" s="61">
        <v>66062</v>
      </c>
      <c r="C64" s="62">
        <v>600.20000000000005</v>
      </c>
      <c r="D64" s="62">
        <v>516.6</v>
      </c>
    </row>
    <row r="65" spans="1:4">
      <c r="A65" s="61">
        <v>2034</v>
      </c>
      <c r="B65" s="61">
        <v>66037</v>
      </c>
      <c r="C65" s="62">
        <v>598.9</v>
      </c>
      <c r="D65" s="62">
        <v>560.70000000000005</v>
      </c>
    </row>
    <row r="66" spans="1:4">
      <c r="A66" s="61">
        <v>2035</v>
      </c>
      <c r="B66" s="61">
        <v>66037</v>
      </c>
      <c r="C66" s="62">
        <v>598.9</v>
      </c>
      <c r="D66" s="62">
        <v>560.70000000000005</v>
      </c>
    </row>
    <row r="67" spans="1:4">
      <c r="A67" s="61">
        <v>2036</v>
      </c>
      <c r="B67" s="61">
        <v>66037</v>
      </c>
      <c r="C67" s="62">
        <v>598.9</v>
      </c>
      <c r="D67" s="62">
        <v>560.70000000000005</v>
      </c>
    </row>
    <row r="68" spans="1:4">
      <c r="A68" s="61">
        <v>2037</v>
      </c>
      <c r="B68" s="61">
        <v>66062</v>
      </c>
      <c r="C68" s="62">
        <v>600.20000000000005</v>
      </c>
      <c r="D68" s="62">
        <v>516.6</v>
      </c>
    </row>
    <row r="69" spans="1:4">
      <c r="A69" s="61">
        <v>2038</v>
      </c>
      <c r="B69" s="61">
        <v>66062</v>
      </c>
      <c r="C69" s="62">
        <v>600.20000000000005</v>
      </c>
      <c r="D69" s="62">
        <v>516.6</v>
      </c>
    </row>
    <row r="70" spans="1:4">
      <c r="A70" s="61">
        <v>2039</v>
      </c>
      <c r="B70" s="61">
        <v>66062</v>
      </c>
      <c r="C70" s="62">
        <v>600.20000000000005</v>
      </c>
      <c r="D70" s="62">
        <v>516.6</v>
      </c>
    </row>
    <row r="71" spans="1:4">
      <c r="A71" s="61">
        <v>2040</v>
      </c>
      <c r="B71" s="61">
        <v>66194</v>
      </c>
      <c r="C71" s="62">
        <v>497.6</v>
      </c>
      <c r="D71" s="62">
        <v>809.6</v>
      </c>
    </row>
    <row r="72" spans="1:4">
      <c r="A72" s="61">
        <v>2041</v>
      </c>
      <c r="B72" s="61">
        <v>66062</v>
      </c>
      <c r="C72" s="62">
        <v>600.20000000000005</v>
      </c>
      <c r="D72" s="62">
        <v>516.6</v>
      </c>
    </row>
    <row r="73" spans="1:4">
      <c r="A73" s="61">
        <v>2042</v>
      </c>
      <c r="B73" s="61">
        <v>66062</v>
      </c>
      <c r="C73" s="62">
        <v>600.20000000000005</v>
      </c>
      <c r="D73" s="62">
        <v>516.6</v>
      </c>
    </row>
    <row r="74" spans="1:4">
      <c r="A74" s="61">
        <v>2043</v>
      </c>
      <c r="B74" s="61">
        <v>66062</v>
      </c>
      <c r="C74" s="62">
        <v>600.20000000000005</v>
      </c>
      <c r="D74" s="62">
        <v>516.6</v>
      </c>
    </row>
    <row r="75" spans="1:4">
      <c r="A75" s="61">
        <v>2044</v>
      </c>
      <c r="B75" s="61">
        <v>66037</v>
      </c>
      <c r="C75" s="62">
        <v>598.9</v>
      </c>
      <c r="D75" s="62">
        <v>560.70000000000005</v>
      </c>
    </row>
    <row r="76" spans="1:4">
      <c r="A76" s="61">
        <v>2045</v>
      </c>
      <c r="B76" s="61">
        <v>66194</v>
      </c>
      <c r="C76" s="62">
        <v>497.6</v>
      </c>
      <c r="D76" s="62">
        <v>809.6</v>
      </c>
    </row>
    <row r="77" spans="1:4">
      <c r="A77" s="61">
        <v>2046</v>
      </c>
      <c r="B77" s="61">
        <v>66194</v>
      </c>
      <c r="C77" s="62">
        <v>497.6</v>
      </c>
      <c r="D77" s="62">
        <v>809.6</v>
      </c>
    </row>
    <row r="78" spans="1:4">
      <c r="A78" s="61">
        <v>2047</v>
      </c>
      <c r="B78" s="61">
        <v>66062</v>
      </c>
      <c r="C78" s="62">
        <v>600.20000000000005</v>
      </c>
      <c r="D78" s="62">
        <v>516.6</v>
      </c>
    </row>
    <row r="79" spans="1:4">
      <c r="A79" s="61">
        <v>2048</v>
      </c>
      <c r="B79" s="61">
        <v>66194</v>
      </c>
      <c r="C79" s="62">
        <v>497.6</v>
      </c>
      <c r="D79" s="62">
        <v>809.6</v>
      </c>
    </row>
    <row r="80" spans="1:4">
      <c r="A80" s="61">
        <v>2049</v>
      </c>
      <c r="B80" s="61">
        <v>66194</v>
      </c>
      <c r="C80" s="62">
        <v>497.6</v>
      </c>
      <c r="D80" s="62">
        <v>809.6</v>
      </c>
    </row>
    <row r="81" spans="1:4">
      <c r="A81" s="61">
        <v>2050</v>
      </c>
      <c r="B81" s="61">
        <v>66062</v>
      </c>
      <c r="C81" s="62">
        <v>600.20000000000005</v>
      </c>
      <c r="D81" s="62">
        <v>516.6</v>
      </c>
    </row>
    <row r="82" spans="1:4">
      <c r="A82" s="61">
        <v>2052</v>
      </c>
      <c r="B82" s="61">
        <v>66037</v>
      </c>
      <c r="C82" s="62">
        <v>598.9</v>
      </c>
      <c r="D82" s="62">
        <v>560.70000000000005</v>
      </c>
    </row>
    <row r="83" spans="1:4">
      <c r="A83" s="61">
        <v>2060</v>
      </c>
      <c r="B83" s="61">
        <v>66062</v>
      </c>
      <c r="C83" s="62">
        <v>600.20000000000005</v>
      </c>
      <c r="D83" s="62">
        <v>516.6</v>
      </c>
    </row>
    <row r="84" spans="1:4">
      <c r="A84" s="61">
        <v>2061</v>
      </c>
      <c r="B84" s="61">
        <v>66062</v>
      </c>
      <c r="C84" s="62">
        <v>600.20000000000005</v>
      </c>
      <c r="D84" s="62">
        <v>516.6</v>
      </c>
    </row>
    <row r="85" spans="1:4">
      <c r="A85" s="61">
        <v>2062</v>
      </c>
      <c r="B85" s="61">
        <v>66062</v>
      </c>
      <c r="C85" s="62">
        <v>600.20000000000005</v>
      </c>
      <c r="D85" s="62">
        <v>516.6</v>
      </c>
    </row>
    <row r="86" spans="1:4">
      <c r="A86" s="61">
        <v>2063</v>
      </c>
      <c r="B86" s="61">
        <v>66062</v>
      </c>
      <c r="C86" s="62">
        <v>600.20000000000005</v>
      </c>
      <c r="D86" s="62">
        <v>516.6</v>
      </c>
    </row>
    <row r="87" spans="1:4">
      <c r="A87" s="61">
        <v>2064</v>
      </c>
      <c r="B87" s="61">
        <v>66062</v>
      </c>
      <c r="C87" s="62">
        <v>600.20000000000005</v>
      </c>
      <c r="D87" s="62">
        <v>516.6</v>
      </c>
    </row>
    <row r="88" spans="1:4">
      <c r="A88" s="61">
        <v>2065</v>
      </c>
      <c r="B88" s="61">
        <v>66062</v>
      </c>
      <c r="C88" s="62">
        <v>600.20000000000005</v>
      </c>
      <c r="D88" s="62">
        <v>516.6</v>
      </c>
    </row>
    <row r="89" spans="1:4">
      <c r="A89" s="61">
        <v>2066</v>
      </c>
      <c r="B89" s="61">
        <v>66062</v>
      </c>
      <c r="C89" s="62">
        <v>600.20000000000005</v>
      </c>
      <c r="D89" s="62">
        <v>516.6</v>
      </c>
    </row>
    <row r="90" spans="1:4">
      <c r="A90" s="61">
        <v>2067</v>
      </c>
      <c r="B90" s="61">
        <v>66062</v>
      </c>
      <c r="C90" s="62">
        <v>600.20000000000005</v>
      </c>
      <c r="D90" s="62">
        <v>516.6</v>
      </c>
    </row>
    <row r="91" spans="1:4">
      <c r="A91" s="61">
        <v>2068</v>
      </c>
      <c r="B91" s="61">
        <v>66062</v>
      </c>
      <c r="C91" s="62">
        <v>600.20000000000005</v>
      </c>
      <c r="D91" s="62">
        <v>516.6</v>
      </c>
    </row>
    <row r="92" spans="1:4">
      <c r="A92" s="61">
        <v>2069</v>
      </c>
      <c r="B92" s="61">
        <v>66062</v>
      </c>
      <c r="C92" s="62">
        <v>600.20000000000005</v>
      </c>
      <c r="D92" s="62">
        <v>516.6</v>
      </c>
    </row>
    <row r="93" spans="1:4">
      <c r="A93" s="61">
        <v>2070</v>
      </c>
      <c r="B93" s="61">
        <v>66059</v>
      </c>
      <c r="C93" s="62">
        <v>454.4</v>
      </c>
      <c r="D93" s="62">
        <v>814.1</v>
      </c>
    </row>
    <row r="94" spans="1:4">
      <c r="A94" s="61">
        <v>2071</v>
      </c>
      <c r="B94" s="61">
        <v>66059</v>
      </c>
      <c r="C94" s="62">
        <v>454.4</v>
      </c>
      <c r="D94" s="62">
        <v>814.1</v>
      </c>
    </row>
    <row r="95" spans="1:4">
      <c r="A95" s="61">
        <v>2072</v>
      </c>
      <c r="B95" s="61">
        <v>66059</v>
      </c>
      <c r="C95" s="62">
        <v>454.4</v>
      </c>
      <c r="D95" s="62">
        <v>814.1</v>
      </c>
    </row>
    <row r="96" spans="1:4">
      <c r="A96" s="61">
        <v>2073</v>
      </c>
      <c r="B96" s="61">
        <v>66059</v>
      </c>
      <c r="C96" s="62">
        <v>454.4</v>
      </c>
      <c r="D96" s="62">
        <v>814.1</v>
      </c>
    </row>
    <row r="97" spans="1:4">
      <c r="A97" s="61">
        <v>2074</v>
      </c>
      <c r="B97" s="61">
        <v>66059</v>
      </c>
      <c r="C97" s="62">
        <v>454.4</v>
      </c>
      <c r="D97" s="62">
        <v>814.1</v>
      </c>
    </row>
    <row r="98" spans="1:4">
      <c r="A98" s="61">
        <v>2075</v>
      </c>
      <c r="B98" s="61">
        <v>66059</v>
      </c>
      <c r="C98" s="62">
        <v>454.4</v>
      </c>
      <c r="D98" s="62">
        <v>814.1</v>
      </c>
    </row>
    <row r="99" spans="1:4">
      <c r="A99" s="61">
        <v>2076</v>
      </c>
      <c r="B99" s="61">
        <v>66059</v>
      </c>
      <c r="C99" s="62">
        <v>454.4</v>
      </c>
      <c r="D99" s="62">
        <v>814.1</v>
      </c>
    </row>
    <row r="100" spans="1:4">
      <c r="A100" s="61">
        <v>2077</v>
      </c>
      <c r="B100" s="61">
        <v>66059</v>
      </c>
      <c r="C100" s="62">
        <v>454.4</v>
      </c>
      <c r="D100" s="62">
        <v>814.1</v>
      </c>
    </row>
    <row r="101" spans="1:4">
      <c r="A101" s="61">
        <v>2079</v>
      </c>
      <c r="B101" s="61">
        <v>66059</v>
      </c>
      <c r="C101" s="62">
        <v>454.4</v>
      </c>
      <c r="D101" s="62">
        <v>814.1</v>
      </c>
    </row>
    <row r="102" spans="1:4">
      <c r="A102" s="61">
        <v>2080</v>
      </c>
      <c r="B102" s="61">
        <v>66059</v>
      </c>
      <c r="C102" s="62">
        <v>454.4</v>
      </c>
      <c r="D102" s="62">
        <v>814.1</v>
      </c>
    </row>
    <row r="103" spans="1:4">
      <c r="A103" s="61">
        <v>2081</v>
      </c>
      <c r="B103" s="61">
        <v>66059</v>
      </c>
      <c r="C103" s="62">
        <v>454.4</v>
      </c>
      <c r="D103" s="62">
        <v>814.1</v>
      </c>
    </row>
    <row r="104" spans="1:4">
      <c r="A104" s="61">
        <v>2082</v>
      </c>
      <c r="B104" s="61">
        <v>66059</v>
      </c>
      <c r="C104" s="62">
        <v>454.4</v>
      </c>
      <c r="D104" s="62">
        <v>814.1</v>
      </c>
    </row>
    <row r="105" spans="1:4">
      <c r="A105" s="61">
        <v>2083</v>
      </c>
      <c r="B105" s="61">
        <v>66059</v>
      </c>
      <c r="C105" s="62">
        <v>454.4</v>
      </c>
      <c r="D105" s="62">
        <v>814.1</v>
      </c>
    </row>
    <row r="106" spans="1:4">
      <c r="A106" s="61">
        <v>2084</v>
      </c>
      <c r="B106" s="61">
        <v>66059</v>
      </c>
      <c r="C106" s="62">
        <v>454.4</v>
      </c>
      <c r="D106" s="62">
        <v>814.1</v>
      </c>
    </row>
    <row r="107" spans="1:4">
      <c r="A107" s="61">
        <v>2085</v>
      </c>
      <c r="B107" s="61">
        <v>66059</v>
      </c>
      <c r="C107" s="62">
        <v>454.4</v>
      </c>
      <c r="D107" s="62">
        <v>814.1</v>
      </c>
    </row>
    <row r="108" spans="1:4">
      <c r="A108" s="61">
        <v>2086</v>
      </c>
      <c r="B108" s="61">
        <v>66059</v>
      </c>
      <c r="C108" s="62">
        <v>454.4</v>
      </c>
      <c r="D108" s="62">
        <v>814.1</v>
      </c>
    </row>
    <row r="109" spans="1:4">
      <c r="A109" s="61">
        <v>2087</v>
      </c>
      <c r="B109" s="61">
        <v>66059</v>
      </c>
      <c r="C109" s="62">
        <v>454.4</v>
      </c>
      <c r="D109" s="62">
        <v>814.1</v>
      </c>
    </row>
    <row r="110" spans="1:4">
      <c r="A110" s="61">
        <v>2088</v>
      </c>
      <c r="B110" s="61">
        <v>66062</v>
      </c>
      <c r="C110" s="62">
        <v>600.20000000000005</v>
      </c>
      <c r="D110" s="62">
        <v>516.6</v>
      </c>
    </row>
    <row r="111" spans="1:4">
      <c r="A111" s="61">
        <v>2089</v>
      </c>
      <c r="B111" s="61">
        <v>66062</v>
      </c>
      <c r="C111" s="62">
        <v>600.20000000000005</v>
      </c>
      <c r="D111" s="62">
        <v>516.6</v>
      </c>
    </row>
    <row r="112" spans="1:4">
      <c r="A112" s="61">
        <v>2090</v>
      </c>
      <c r="B112" s="61">
        <v>66062</v>
      </c>
      <c r="C112" s="62">
        <v>600.20000000000005</v>
      </c>
      <c r="D112" s="62">
        <v>516.6</v>
      </c>
    </row>
    <row r="113" spans="1:4">
      <c r="A113" s="61">
        <v>2092</v>
      </c>
      <c r="B113" s="61">
        <v>66062</v>
      </c>
      <c r="C113" s="62">
        <v>600.20000000000005</v>
      </c>
      <c r="D113" s="62">
        <v>516.6</v>
      </c>
    </row>
    <row r="114" spans="1:4">
      <c r="A114" s="61">
        <v>2093</v>
      </c>
      <c r="B114" s="61">
        <v>66062</v>
      </c>
      <c r="C114" s="62">
        <v>600.20000000000005</v>
      </c>
      <c r="D114" s="62">
        <v>516.6</v>
      </c>
    </row>
    <row r="115" spans="1:4">
      <c r="A115" s="61">
        <v>2094</v>
      </c>
      <c r="B115" s="61">
        <v>66062</v>
      </c>
      <c r="C115" s="62">
        <v>600.20000000000005</v>
      </c>
      <c r="D115" s="62">
        <v>516.6</v>
      </c>
    </row>
    <row r="116" spans="1:4">
      <c r="A116" s="61">
        <v>2095</v>
      </c>
      <c r="B116" s="61">
        <v>66062</v>
      </c>
      <c r="C116" s="62">
        <v>600.20000000000005</v>
      </c>
      <c r="D116" s="62">
        <v>516.6</v>
      </c>
    </row>
    <row r="117" spans="1:4">
      <c r="A117" s="61">
        <v>2096</v>
      </c>
      <c r="B117" s="61">
        <v>66059</v>
      </c>
      <c r="C117" s="62">
        <v>454.4</v>
      </c>
      <c r="D117" s="62">
        <v>814.1</v>
      </c>
    </row>
    <row r="118" spans="1:4">
      <c r="A118" s="61">
        <v>2097</v>
      </c>
      <c r="B118" s="61">
        <v>66059</v>
      </c>
      <c r="C118" s="62">
        <v>454.4</v>
      </c>
      <c r="D118" s="62">
        <v>814.1</v>
      </c>
    </row>
    <row r="119" spans="1:4">
      <c r="A119" s="61">
        <v>2099</v>
      </c>
      <c r="B119" s="61">
        <v>66059</v>
      </c>
      <c r="C119" s="62">
        <v>454.4</v>
      </c>
      <c r="D119" s="62">
        <v>814.1</v>
      </c>
    </row>
    <row r="120" spans="1:4">
      <c r="A120" s="61">
        <v>2100</v>
      </c>
      <c r="B120" s="61">
        <v>66059</v>
      </c>
      <c r="C120" s="62">
        <v>454.4</v>
      </c>
      <c r="D120" s="62">
        <v>814.1</v>
      </c>
    </row>
    <row r="121" spans="1:4">
      <c r="A121" s="61">
        <v>2101</v>
      </c>
      <c r="B121" s="61">
        <v>66059</v>
      </c>
      <c r="C121" s="62">
        <v>454.4</v>
      </c>
      <c r="D121" s="62">
        <v>814.1</v>
      </c>
    </row>
    <row r="122" spans="1:4">
      <c r="A122" s="61">
        <v>2102</v>
      </c>
      <c r="B122" s="61">
        <v>66059</v>
      </c>
      <c r="C122" s="62">
        <v>454.4</v>
      </c>
      <c r="D122" s="62">
        <v>814.1</v>
      </c>
    </row>
    <row r="123" spans="1:4">
      <c r="A123" s="61">
        <v>2103</v>
      </c>
      <c r="B123" s="61">
        <v>66059</v>
      </c>
      <c r="C123" s="62">
        <v>454.4</v>
      </c>
      <c r="D123" s="62">
        <v>814.1</v>
      </c>
    </row>
    <row r="124" spans="1:4">
      <c r="A124" s="61">
        <v>2104</v>
      </c>
      <c r="B124" s="61">
        <v>66059</v>
      </c>
      <c r="C124" s="62">
        <v>454.4</v>
      </c>
      <c r="D124" s="62">
        <v>814.1</v>
      </c>
    </row>
    <row r="125" spans="1:4">
      <c r="A125" s="61">
        <v>2105</v>
      </c>
      <c r="B125" s="61">
        <v>66059</v>
      </c>
      <c r="C125" s="62">
        <v>454.4</v>
      </c>
      <c r="D125" s="62">
        <v>814.1</v>
      </c>
    </row>
    <row r="126" spans="1:4">
      <c r="A126" s="61">
        <v>2106</v>
      </c>
      <c r="B126" s="61">
        <v>66059</v>
      </c>
      <c r="C126" s="62">
        <v>454.4</v>
      </c>
      <c r="D126" s="62">
        <v>814.1</v>
      </c>
    </row>
    <row r="127" spans="1:4">
      <c r="A127" s="61">
        <v>2107</v>
      </c>
      <c r="B127" s="61">
        <v>66059</v>
      </c>
      <c r="C127" s="62">
        <v>454.4</v>
      </c>
      <c r="D127" s="62">
        <v>814.1</v>
      </c>
    </row>
    <row r="128" spans="1:4">
      <c r="A128" s="61">
        <v>2108</v>
      </c>
      <c r="B128" s="61">
        <v>66059</v>
      </c>
      <c r="C128" s="62">
        <v>454.4</v>
      </c>
      <c r="D128" s="62">
        <v>814.1</v>
      </c>
    </row>
    <row r="129" spans="1:4">
      <c r="A129" s="61">
        <v>2109</v>
      </c>
      <c r="B129" s="61">
        <v>66062</v>
      </c>
      <c r="C129" s="62">
        <v>600.20000000000005</v>
      </c>
      <c r="D129" s="62">
        <v>516.6</v>
      </c>
    </row>
    <row r="130" spans="1:4">
      <c r="A130" s="61">
        <v>2110</v>
      </c>
      <c r="B130" s="61">
        <v>66062</v>
      </c>
      <c r="C130" s="62">
        <v>600.20000000000005</v>
      </c>
      <c r="D130" s="62">
        <v>516.6</v>
      </c>
    </row>
    <row r="131" spans="1:4">
      <c r="A131" s="61">
        <v>2111</v>
      </c>
      <c r="B131" s="61">
        <v>66062</v>
      </c>
      <c r="C131" s="62">
        <v>600.20000000000005</v>
      </c>
      <c r="D131" s="62">
        <v>516.6</v>
      </c>
    </row>
    <row r="132" spans="1:4">
      <c r="A132" s="61">
        <v>2112</v>
      </c>
      <c r="B132" s="61">
        <v>66062</v>
      </c>
      <c r="C132" s="62">
        <v>600.20000000000005</v>
      </c>
      <c r="D132" s="62">
        <v>516.6</v>
      </c>
    </row>
    <row r="133" spans="1:4">
      <c r="A133" s="61">
        <v>2113</v>
      </c>
      <c r="B133" s="61">
        <v>66062</v>
      </c>
      <c r="C133" s="62">
        <v>600.20000000000005</v>
      </c>
      <c r="D133" s="62">
        <v>516.6</v>
      </c>
    </row>
    <row r="134" spans="1:4">
      <c r="A134" s="61">
        <v>2114</v>
      </c>
      <c r="B134" s="61">
        <v>66194</v>
      </c>
      <c r="C134" s="62">
        <v>497.6</v>
      </c>
      <c r="D134" s="62">
        <v>809.6</v>
      </c>
    </row>
    <row r="135" spans="1:4">
      <c r="A135" s="61">
        <v>2115</v>
      </c>
      <c r="B135" s="61">
        <v>66194</v>
      </c>
      <c r="C135" s="62">
        <v>497.6</v>
      </c>
      <c r="D135" s="62">
        <v>809.6</v>
      </c>
    </row>
    <row r="136" spans="1:4">
      <c r="A136" s="61">
        <v>2116</v>
      </c>
      <c r="B136" s="61">
        <v>66194</v>
      </c>
      <c r="C136" s="62">
        <v>497.6</v>
      </c>
      <c r="D136" s="62">
        <v>809.6</v>
      </c>
    </row>
    <row r="137" spans="1:4">
      <c r="A137" s="61">
        <v>2117</v>
      </c>
      <c r="B137" s="61">
        <v>66137</v>
      </c>
      <c r="C137" s="62">
        <v>515.79999999999995</v>
      </c>
      <c r="D137" s="62">
        <v>796.3</v>
      </c>
    </row>
    <row r="138" spans="1:4">
      <c r="A138" s="61">
        <v>2118</v>
      </c>
      <c r="B138" s="61">
        <v>66194</v>
      </c>
      <c r="C138" s="62">
        <v>497.6</v>
      </c>
      <c r="D138" s="62">
        <v>809.6</v>
      </c>
    </row>
    <row r="139" spans="1:4">
      <c r="A139" s="61">
        <v>2119</v>
      </c>
      <c r="B139" s="61">
        <v>66059</v>
      </c>
      <c r="C139" s="62">
        <v>454.4</v>
      </c>
      <c r="D139" s="62">
        <v>814.1</v>
      </c>
    </row>
    <row r="140" spans="1:4">
      <c r="A140" s="61">
        <v>2120</v>
      </c>
      <c r="B140" s="61">
        <v>66059</v>
      </c>
      <c r="C140" s="62">
        <v>454.4</v>
      </c>
      <c r="D140" s="62">
        <v>814.1</v>
      </c>
    </row>
    <row r="141" spans="1:4">
      <c r="A141" s="61">
        <v>2121</v>
      </c>
      <c r="B141" s="61">
        <v>66062</v>
      </c>
      <c r="C141" s="62">
        <v>600.20000000000005</v>
      </c>
      <c r="D141" s="62">
        <v>516.6</v>
      </c>
    </row>
    <row r="142" spans="1:4">
      <c r="A142" s="61">
        <v>2122</v>
      </c>
      <c r="B142" s="61">
        <v>66194</v>
      </c>
      <c r="C142" s="62">
        <v>497.6</v>
      </c>
      <c r="D142" s="62">
        <v>809.6</v>
      </c>
    </row>
    <row r="143" spans="1:4">
      <c r="A143" s="61">
        <v>2125</v>
      </c>
      <c r="B143" s="61">
        <v>66059</v>
      </c>
      <c r="C143" s="62">
        <v>454.4</v>
      </c>
      <c r="D143" s="62">
        <v>814.1</v>
      </c>
    </row>
    <row r="144" spans="1:4">
      <c r="A144" s="61">
        <v>2126</v>
      </c>
      <c r="B144" s="61">
        <v>66059</v>
      </c>
      <c r="C144" s="62">
        <v>454.4</v>
      </c>
      <c r="D144" s="62">
        <v>814.1</v>
      </c>
    </row>
    <row r="145" spans="1:4">
      <c r="A145" s="61">
        <v>2127</v>
      </c>
      <c r="B145" s="61">
        <v>66194</v>
      </c>
      <c r="C145" s="62">
        <v>497.6</v>
      </c>
      <c r="D145" s="62">
        <v>809.6</v>
      </c>
    </row>
    <row r="146" spans="1:4">
      <c r="A146" s="61">
        <v>2128</v>
      </c>
      <c r="B146" s="61">
        <v>66194</v>
      </c>
      <c r="C146" s="62">
        <v>497.6</v>
      </c>
      <c r="D146" s="62">
        <v>809.6</v>
      </c>
    </row>
    <row r="147" spans="1:4">
      <c r="A147" s="61">
        <v>2130</v>
      </c>
      <c r="B147" s="61">
        <v>66194</v>
      </c>
      <c r="C147" s="62">
        <v>497.6</v>
      </c>
      <c r="D147" s="62">
        <v>809.6</v>
      </c>
    </row>
    <row r="148" spans="1:4">
      <c r="A148" s="61">
        <v>2131</v>
      </c>
      <c r="B148" s="61">
        <v>66194</v>
      </c>
      <c r="C148" s="62">
        <v>497.6</v>
      </c>
      <c r="D148" s="62">
        <v>809.6</v>
      </c>
    </row>
    <row r="149" spans="1:4">
      <c r="A149" s="61">
        <v>2132</v>
      </c>
      <c r="B149" s="61">
        <v>66194</v>
      </c>
      <c r="C149" s="62">
        <v>497.6</v>
      </c>
      <c r="D149" s="62">
        <v>809.6</v>
      </c>
    </row>
    <row r="150" spans="1:4">
      <c r="A150" s="61">
        <v>2133</v>
      </c>
      <c r="B150" s="61">
        <v>66194</v>
      </c>
      <c r="C150" s="62">
        <v>497.6</v>
      </c>
      <c r="D150" s="62">
        <v>809.6</v>
      </c>
    </row>
    <row r="151" spans="1:4">
      <c r="A151" s="61">
        <v>2134</v>
      </c>
      <c r="B151" s="61">
        <v>66194</v>
      </c>
      <c r="C151" s="62">
        <v>497.6</v>
      </c>
      <c r="D151" s="62">
        <v>809.6</v>
      </c>
    </row>
    <row r="152" spans="1:4">
      <c r="A152" s="61">
        <v>2135</v>
      </c>
      <c r="B152" s="61">
        <v>66194</v>
      </c>
      <c r="C152" s="62">
        <v>497.6</v>
      </c>
      <c r="D152" s="62">
        <v>809.6</v>
      </c>
    </row>
    <row r="153" spans="1:4">
      <c r="A153" s="61">
        <v>2136</v>
      </c>
      <c r="B153" s="61">
        <v>66194</v>
      </c>
      <c r="C153" s="62">
        <v>497.6</v>
      </c>
      <c r="D153" s="62">
        <v>809.6</v>
      </c>
    </row>
    <row r="154" spans="1:4">
      <c r="A154" s="61">
        <v>2137</v>
      </c>
      <c r="B154" s="61">
        <v>66194</v>
      </c>
      <c r="C154" s="62">
        <v>497.6</v>
      </c>
      <c r="D154" s="62">
        <v>809.6</v>
      </c>
    </row>
    <row r="155" spans="1:4">
      <c r="A155" s="61">
        <v>2138</v>
      </c>
      <c r="B155" s="61">
        <v>66194</v>
      </c>
      <c r="C155" s="62">
        <v>497.6</v>
      </c>
      <c r="D155" s="62">
        <v>809.6</v>
      </c>
    </row>
    <row r="156" spans="1:4">
      <c r="A156" s="61">
        <v>2140</v>
      </c>
      <c r="B156" s="61">
        <v>66194</v>
      </c>
      <c r="C156" s="62">
        <v>497.6</v>
      </c>
      <c r="D156" s="62">
        <v>809.6</v>
      </c>
    </row>
    <row r="157" spans="1:4">
      <c r="A157" s="61">
        <v>2141</v>
      </c>
      <c r="B157" s="61">
        <v>66137</v>
      </c>
      <c r="C157" s="62">
        <v>515.79999999999995</v>
      </c>
      <c r="D157" s="62">
        <v>796.3</v>
      </c>
    </row>
    <row r="158" spans="1:4">
      <c r="A158" s="61">
        <v>2142</v>
      </c>
      <c r="B158" s="61">
        <v>66137</v>
      </c>
      <c r="C158" s="62">
        <v>515.79999999999995</v>
      </c>
      <c r="D158" s="62">
        <v>796.3</v>
      </c>
    </row>
    <row r="159" spans="1:4">
      <c r="A159" s="61">
        <v>2143</v>
      </c>
      <c r="B159" s="61">
        <v>66137</v>
      </c>
      <c r="C159" s="62">
        <v>515.79999999999995</v>
      </c>
      <c r="D159" s="62">
        <v>796.3</v>
      </c>
    </row>
    <row r="160" spans="1:4">
      <c r="A160" s="61">
        <v>2144</v>
      </c>
      <c r="B160" s="61">
        <v>66137</v>
      </c>
      <c r="C160" s="62">
        <v>515.79999999999995</v>
      </c>
      <c r="D160" s="62">
        <v>796.3</v>
      </c>
    </row>
    <row r="161" spans="1:4">
      <c r="A161" s="61">
        <v>2145</v>
      </c>
      <c r="B161" s="61">
        <v>67119</v>
      </c>
      <c r="C161" s="62">
        <v>440.8</v>
      </c>
      <c r="D161" s="62">
        <v>817.2</v>
      </c>
    </row>
    <row r="162" spans="1:4">
      <c r="A162" s="61">
        <v>2146</v>
      </c>
      <c r="B162" s="61">
        <v>67119</v>
      </c>
      <c r="C162" s="62">
        <v>440.8</v>
      </c>
      <c r="D162" s="62">
        <v>817.2</v>
      </c>
    </row>
    <row r="163" spans="1:4">
      <c r="A163" s="61">
        <v>2147</v>
      </c>
      <c r="B163" s="61">
        <v>67119</v>
      </c>
      <c r="C163" s="62">
        <v>440.8</v>
      </c>
      <c r="D163" s="62">
        <v>817.2</v>
      </c>
    </row>
    <row r="164" spans="1:4">
      <c r="A164" s="61">
        <v>2148</v>
      </c>
      <c r="B164" s="61">
        <v>67119</v>
      </c>
      <c r="C164" s="62">
        <v>440.8</v>
      </c>
      <c r="D164" s="62">
        <v>817.2</v>
      </c>
    </row>
    <row r="165" spans="1:4">
      <c r="A165" s="61">
        <v>2150</v>
      </c>
      <c r="B165" s="61">
        <v>66137</v>
      </c>
      <c r="C165" s="62">
        <v>515.79999999999995</v>
      </c>
      <c r="D165" s="62">
        <v>796.3</v>
      </c>
    </row>
    <row r="166" spans="1:4">
      <c r="A166" s="61">
        <v>2151</v>
      </c>
      <c r="B166" s="61">
        <v>66137</v>
      </c>
      <c r="C166" s="62">
        <v>515.79999999999995</v>
      </c>
      <c r="D166" s="62">
        <v>796.3</v>
      </c>
    </row>
    <row r="167" spans="1:4">
      <c r="A167" s="61">
        <v>2152</v>
      </c>
      <c r="B167" s="61">
        <v>67119</v>
      </c>
      <c r="C167" s="62">
        <v>440.8</v>
      </c>
      <c r="D167" s="62">
        <v>817.2</v>
      </c>
    </row>
    <row r="168" spans="1:4">
      <c r="A168" s="61">
        <v>2153</v>
      </c>
      <c r="B168" s="61">
        <v>67119</v>
      </c>
      <c r="C168" s="62">
        <v>440.8</v>
      </c>
      <c r="D168" s="62">
        <v>817.2</v>
      </c>
    </row>
    <row r="169" spans="1:4">
      <c r="A169" s="61">
        <v>2154</v>
      </c>
      <c r="B169" s="61">
        <v>67119</v>
      </c>
      <c r="C169" s="62">
        <v>440.8</v>
      </c>
      <c r="D169" s="62">
        <v>817.2</v>
      </c>
    </row>
    <row r="170" spans="1:4">
      <c r="A170" s="61">
        <v>2155</v>
      </c>
      <c r="B170" s="61">
        <v>67119</v>
      </c>
      <c r="C170" s="62">
        <v>440.8</v>
      </c>
      <c r="D170" s="62">
        <v>817.2</v>
      </c>
    </row>
    <row r="171" spans="1:4">
      <c r="A171" s="61">
        <v>2156</v>
      </c>
      <c r="B171" s="61">
        <v>67119</v>
      </c>
      <c r="C171" s="62">
        <v>440.8</v>
      </c>
      <c r="D171" s="62">
        <v>817.2</v>
      </c>
    </row>
    <row r="172" spans="1:4">
      <c r="A172" s="61">
        <v>2157</v>
      </c>
      <c r="B172" s="61">
        <v>66059</v>
      </c>
      <c r="C172" s="62">
        <v>454.4</v>
      </c>
      <c r="D172" s="62">
        <v>814.1</v>
      </c>
    </row>
    <row r="173" spans="1:4">
      <c r="A173" s="61">
        <v>2158</v>
      </c>
      <c r="B173" s="61">
        <v>66059</v>
      </c>
      <c r="C173" s="62">
        <v>454.4</v>
      </c>
      <c r="D173" s="62">
        <v>814.1</v>
      </c>
    </row>
    <row r="174" spans="1:4">
      <c r="A174" s="61">
        <v>2159</v>
      </c>
      <c r="B174" s="61">
        <v>66059</v>
      </c>
      <c r="C174" s="62">
        <v>454.4</v>
      </c>
      <c r="D174" s="62">
        <v>814.1</v>
      </c>
    </row>
    <row r="175" spans="1:4">
      <c r="A175" s="61">
        <v>2160</v>
      </c>
      <c r="B175" s="61">
        <v>66137</v>
      </c>
      <c r="C175" s="62">
        <v>515.79999999999995</v>
      </c>
      <c r="D175" s="62">
        <v>796.3</v>
      </c>
    </row>
    <row r="176" spans="1:4">
      <c r="A176" s="61">
        <v>2161</v>
      </c>
      <c r="B176" s="61">
        <v>66137</v>
      </c>
      <c r="C176" s="62">
        <v>515.79999999999995</v>
      </c>
      <c r="D176" s="62">
        <v>796.3</v>
      </c>
    </row>
    <row r="177" spans="1:4">
      <c r="A177" s="61">
        <v>2162</v>
      </c>
      <c r="B177" s="61">
        <v>66137</v>
      </c>
      <c r="C177" s="62">
        <v>515.79999999999995</v>
      </c>
      <c r="D177" s="62">
        <v>796.3</v>
      </c>
    </row>
    <row r="178" spans="1:4">
      <c r="A178" s="61">
        <v>2163</v>
      </c>
      <c r="B178" s="61">
        <v>66137</v>
      </c>
      <c r="C178" s="62">
        <v>515.79999999999995</v>
      </c>
      <c r="D178" s="62">
        <v>796.3</v>
      </c>
    </row>
    <row r="179" spans="1:4">
      <c r="A179" s="61">
        <v>2164</v>
      </c>
      <c r="B179" s="61">
        <v>67119</v>
      </c>
      <c r="C179" s="62">
        <v>440.8</v>
      </c>
      <c r="D179" s="62">
        <v>817.2</v>
      </c>
    </row>
    <row r="180" spans="1:4">
      <c r="A180" s="61">
        <v>2165</v>
      </c>
      <c r="B180" s="61">
        <v>66137</v>
      </c>
      <c r="C180" s="62">
        <v>515.79999999999995</v>
      </c>
      <c r="D180" s="62">
        <v>796.3</v>
      </c>
    </row>
    <row r="181" spans="1:4">
      <c r="A181" s="61">
        <v>2166</v>
      </c>
      <c r="B181" s="61">
        <v>66137</v>
      </c>
      <c r="C181" s="62">
        <v>515.79999999999995</v>
      </c>
      <c r="D181" s="62">
        <v>796.3</v>
      </c>
    </row>
    <row r="182" spans="1:4">
      <c r="A182" s="61">
        <v>2167</v>
      </c>
      <c r="B182" s="61">
        <v>67117</v>
      </c>
      <c r="C182" s="62">
        <v>476.6</v>
      </c>
      <c r="D182" s="62">
        <v>880</v>
      </c>
    </row>
    <row r="183" spans="1:4">
      <c r="A183" s="61">
        <v>2168</v>
      </c>
      <c r="B183" s="61">
        <v>67117</v>
      </c>
      <c r="C183" s="62">
        <v>476.6</v>
      </c>
      <c r="D183" s="62">
        <v>880</v>
      </c>
    </row>
    <row r="184" spans="1:4">
      <c r="A184" s="61">
        <v>2170</v>
      </c>
      <c r="B184" s="61">
        <v>67117</v>
      </c>
      <c r="C184" s="62">
        <v>476.6</v>
      </c>
      <c r="D184" s="62">
        <v>880</v>
      </c>
    </row>
    <row r="185" spans="1:4">
      <c r="A185" s="61">
        <v>2171</v>
      </c>
      <c r="B185" s="61">
        <v>67117</v>
      </c>
      <c r="C185" s="62">
        <v>476.6</v>
      </c>
      <c r="D185" s="62">
        <v>880</v>
      </c>
    </row>
    <row r="186" spans="1:4">
      <c r="A186" s="61">
        <v>2172</v>
      </c>
      <c r="B186" s="61">
        <v>66137</v>
      </c>
      <c r="C186" s="62">
        <v>515.79999999999995</v>
      </c>
      <c r="D186" s="62">
        <v>796.3</v>
      </c>
    </row>
    <row r="187" spans="1:4">
      <c r="A187" s="61">
        <v>2173</v>
      </c>
      <c r="B187" s="61">
        <v>67117</v>
      </c>
      <c r="C187" s="62">
        <v>476.6</v>
      </c>
      <c r="D187" s="62">
        <v>880</v>
      </c>
    </row>
    <row r="188" spans="1:4">
      <c r="A188" s="61">
        <v>2174</v>
      </c>
      <c r="B188" s="61">
        <v>67117</v>
      </c>
      <c r="C188" s="62">
        <v>476.6</v>
      </c>
      <c r="D188" s="62">
        <v>880</v>
      </c>
    </row>
    <row r="189" spans="1:4">
      <c r="A189" s="61">
        <v>2175</v>
      </c>
      <c r="B189" s="61">
        <v>67119</v>
      </c>
      <c r="C189" s="62">
        <v>440.8</v>
      </c>
      <c r="D189" s="62">
        <v>817.2</v>
      </c>
    </row>
    <row r="190" spans="1:4">
      <c r="A190" s="61">
        <v>2176</v>
      </c>
      <c r="B190" s="61">
        <v>67119</v>
      </c>
      <c r="C190" s="62">
        <v>440.8</v>
      </c>
      <c r="D190" s="62">
        <v>817.2</v>
      </c>
    </row>
    <row r="191" spans="1:4">
      <c r="A191" s="61">
        <v>2177</v>
      </c>
      <c r="B191" s="61">
        <v>67119</v>
      </c>
      <c r="C191" s="62">
        <v>440.8</v>
      </c>
      <c r="D191" s="62">
        <v>817.2</v>
      </c>
    </row>
    <row r="192" spans="1:4">
      <c r="A192" s="61">
        <v>2178</v>
      </c>
      <c r="B192" s="61">
        <v>67119</v>
      </c>
      <c r="C192" s="62">
        <v>440.8</v>
      </c>
      <c r="D192" s="62">
        <v>817.2</v>
      </c>
    </row>
    <row r="193" spans="1:4">
      <c r="A193" s="61">
        <v>2179</v>
      </c>
      <c r="B193" s="61">
        <v>67108</v>
      </c>
      <c r="C193" s="62">
        <v>453.2</v>
      </c>
      <c r="D193" s="62">
        <v>944.7</v>
      </c>
    </row>
    <row r="194" spans="1:4">
      <c r="A194" s="61">
        <v>2190</v>
      </c>
      <c r="B194" s="61">
        <v>66194</v>
      </c>
      <c r="C194" s="62">
        <v>497.6</v>
      </c>
      <c r="D194" s="62">
        <v>809.6</v>
      </c>
    </row>
    <row r="195" spans="1:4">
      <c r="A195" s="61">
        <v>2191</v>
      </c>
      <c r="B195" s="61">
        <v>66194</v>
      </c>
      <c r="C195" s="62">
        <v>497.6</v>
      </c>
      <c r="D195" s="62">
        <v>809.6</v>
      </c>
    </row>
    <row r="196" spans="1:4">
      <c r="A196" s="61">
        <v>2192</v>
      </c>
      <c r="B196" s="61">
        <v>66194</v>
      </c>
      <c r="C196" s="62">
        <v>497.6</v>
      </c>
      <c r="D196" s="62">
        <v>809.6</v>
      </c>
    </row>
    <row r="197" spans="1:4">
      <c r="A197" s="61">
        <v>2193</v>
      </c>
      <c r="B197" s="61">
        <v>66194</v>
      </c>
      <c r="C197" s="62">
        <v>497.6</v>
      </c>
      <c r="D197" s="62">
        <v>809.6</v>
      </c>
    </row>
    <row r="198" spans="1:4">
      <c r="A198" s="61">
        <v>2194</v>
      </c>
      <c r="B198" s="61">
        <v>66194</v>
      </c>
      <c r="C198" s="62">
        <v>497.6</v>
      </c>
      <c r="D198" s="62">
        <v>809.6</v>
      </c>
    </row>
    <row r="199" spans="1:4">
      <c r="A199" s="61">
        <v>2195</v>
      </c>
      <c r="B199" s="61">
        <v>66194</v>
      </c>
      <c r="C199" s="62">
        <v>497.6</v>
      </c>
      <c r="D199" s="62">
        <v>809.6</v>
      </c>
    </row>
    <row r="200" spans="1:4">
      <c r="A200" s="61">
        <v>2196</v>
      </c>
      <c r="B200" s="61">
        <v>66194</v>
      </c>
      <c r="C200" s="62">
        <v>497.6</v>
      </c>
      <c r="D200" s="62">
        <v>809.6</v>
      </c>
    </row>
    <row r="201" spans="1:4">
      <c r="A201" s="61">
        <v>2197</v>
      </c>
      <c r="B201" s="61">
        <v>66137</v>
      </c>
      <c r="C201" s="62">
        <v>515.79999999999995</v>
      </c>
      <c r="D201" s="62">
        <v>796.3</v>
      </c>
    </row>
    <row r="202" spans="1:4">
      <c r="A202" s="61">
        <v>2198</v>
      </c>
      <c r="B202" s="61">
        <v>66137</v>
      </c>
      <c r="C202" s="62">
        <v>515.79999999999995</v>
      </c>
      <c r="D202" s="62">
        <v>796.3</v>
      </c>
    </row>
    <row r="203" spans="1:4">
      <c r="A203" s="61">
        <v>2199</v>
      </c>
      <c r="B203" s="61">
        <v>66137</v>
      </c>
      <c r="C203" s="62">
        <v>515.79999999999995</v>
      </c>
      <c r="D203" s="62">
        <v>796.3</v>
      </c>
    </row>
    <row r="204" spans="1:4">
      <c r="A204" s="61">
        <v>2200</v>
      </c>
      <c r="B204" s="61">
        <v>66137</v>
      </c>
      <c r="C204" s="62">
        <v>515.79999999999995</v>
      </c>
      <c r="D204" s="62">
        <v>796.3</v>
      </c>
    </row>
    <row r="205" spans="1:4">
      <c r="A205" s="61">
        <v>2203</v>
      </c>
      <c r="B205" s="61">
        <v>66194</v>
      </c>
      <c r="C205" s="62">
        <v>497.6</v>
      </c>
      <c r="D205" s="62">
        <v>809.6</v>
      </c>
    </row>
    <row r="206" spans="1:4">
      <c r="A206" s="61">
        <v>2204</v>
      </c>
      <c r="B206" s="61">
        <v>66194</v>
      </c>
      <c r="C206" s="62">
        <v>497.6</v>
      </c>
      <c r="D206" s="62">
        <v>809.6</v>
      </c>
    </row>
    <row r="207" spans="1:4">
      <c r="A207" s="61">
        <v>2205</v>
      </c>
      <c r="B207" s="61">
        <v>66037</v>
      </c>
      <c r="C207" s="62">
        <v>598.9</v>
      </c>
      <c r="D207" s="62">
        <v>560.70000000000005</v>
      </c>
    </row>
    <row r="208" spans="1:4">
      <c r="A208" s="61">
        <v>2206</v>
      </c>
      <c r="B208" s="61">
        <v>66194</v>
      </c>
      <c r="C208" s="62">
        <v>497.6</v>
      </c>
      <c r="D208" s="62">
        <v>809.6</v>
      </c>
    </row>
    <row r="209" spans="1:4">
      <c r="A209" s="61">
        <v>2207</v>
      </c>
      <c r="B209" s="61">
        <v>66194</v>
      </c>
      <c r="C209" s="62">
        <v>497.6</v>
      </c>
      <c r="D209" s="62">
        <v>809.6</v>
      </c>
    </row>
    <row r="210" spans="1:4">
      <c r="A210" s="61">
        <v>2208</v>
      </c>
      <c r="B210" s="61">
        <v>66194</v>
      </c>
      <c r="C210" s="62">
        <v>497.6</v>
      </c>
      <c r="D210" s="62">
        <v>809.6</v>
      </c>
    </row>
    <row r="211" spans="1:4">
      <c r="A211" s="61">
        <v>2209</v>
      </c>
      <c r="B211" s="61">
        <v>66194</v>
      </c>
      <c r="C211" s="62">
        <v>497.6</v>
      </c>
      <c r="D211" s="62">
        <v>809.6</v>
      </c>
    </row>
    <row r="212" spans="1:4">
      <c r="A212" s="61">
        <v>2210</v>
      </c>
      <c r="B212" s="61">
        <v>66137</v>
      </c>
      <c r="C212" s="62">
        <v>515.79999999999995</v>
      </c>
      <c r="D212" s="62">
        <v>796.3</v>
      </c>
    </row>
    <row r="213" spans="1:4">
      <c r="A213" s="61">
        <v>2211</v>
      </c>
      <c r="B213" s="61">
        <v>66137</v>
      </c>
      <c r="C213" s="62">
        <v>515.79999999999995</v>
      </c>
      <c r="D213" s="62">
        <v>796.3</v>
      </c>
    </row>
    <row r="214" spans="1:4">
      <c r="A214" s="61">
        <v>2212</v>
      </c>
      <c r="B214" s="61">
        <v>66137</v>
      </c>
      <c r="C214" s="62">
        <v>515.79999999999995</v>
      </c>
      <c r="D214" s="62">
        <v>796.3</v>
      </c>
    </row>
    <row r="215" spans="1:4">
      <c r="A215" s="61">
        <v>2213</v>
      </c>
      <c r="B215" s="61">
        <v>66137</v>
      </c>
      <c r="C215" s="62">
        <v>515.79999999999995</v>
      </c>
      <c r="D215" s="62">
        <v>796.3</v>
      </c>
    </row>
    <row r="216" spans="1:4">
      <c r="A216" s="61">
        <v>2214</v>
      </c>
      <c r="B216" s="61">
        <v>66137</v>
      </c>
      <c r="C216" s="62">
        <v>515.79999999999995</v>
      </c>
      <c r="D216" s="62">
        <v>796.3</v>
      </c>
    </row>
    <row r="217" spans="1:4">
      <c r="A217" s="61">
        <v>2216</v>
      </c>
      <c r="B217" s="61">
        <v>66037</v>
      </c>
      <c r="C217" s="62">
        <v>598.9</v>
      </c>
      <c r="D217" s="62">
        <v>560.70000000000005</v>
      </c>
    </row>
    <row r="218" spans="1:4">
      <c r="A218" s="61">
        <v>2217</v>
      </c>
      <c r="B218" s="61">
        <v>66037</v>
      </c>
      <c r="C218" s="62">
        <v>598.9</v>
      </c>
      <c r="D218" s="62">
        <v>560.70000000000005</v>
      </c>
    </row>
    <row r="219" spans="1:4">
      <c r="A219" s="61">
        <v>2218</v>
      </c>
      <c r="B219" s="61">
        <v>66037</v>
      </c>
      <c r="C219" s="62">
        <v>598.9</v>
      </c>
      <c r="D219" s="62">
        <v>560.70000000000005</v>
      </c>
    </row>
    <row r="220" spans="1:4">
      <c r="A220" s="61">
        <v>2219</v>
      </c>
      <c r="B220" s="61">
        <v>66037</v>
      </c>
      <c r="C220" s="62">
        <v>598.9</v>
      </c>
      <c r="D220" s="62">
        <v>560.70000000000005</v>
      </c>
    </row>
    <row r="221" spans="1:4">
      <c r="A221" s="61">
        <v>2220</v>
      </c>
      <c r="B221" s="61">
        <v>66037</v>
      </c>
      <c r="C221" s="62">
        <v>598.9</v>
      </c>
      <c r="D221" s="62">
        <v>560.70000000000005</v>
      </c>
    </row>
    <row r="222" spans="1:4">
      <c r="A222" s="61">
        <v>2221</v>
      </c>
      <c r="B222" s="61">
        <v>66037</v>
      </c>
      <c r="C222" s="62">
        <v>598.9</v>
      </c>
      <c r="D222" s="62">
        <v>560.70000000000005</v>
      </c>
    </row>
    <row r="223" spans="1:4">
      <c r="A223" s="61">
        <v>2222</v>
      </c>
      <c r="B223" s="61">
        <v>66194</v>
      </c>
      <c r="C223" s="62">
        <v>497.6</v>
      </c>
      <c r="D223" s="62">
        <v>809.6</v>
      </c>
    </row>
    <row r="224" spans="1:4">
      <c r="A224" s="61">
        <v>2223</v>
      </c>
      <c r="B224" s="61">
        <v>66194</v>
      </c>
      <c r="C224" s="62">
        <v>497.6</v>
      </c>
      <c r="D224" s="62">
        <v>809.6</v>
      </c>
    </row>
    <row r="225" spans="1:4">
      <c r="A225" s="61">
        <v>2224</v>
      </c>
      <c r="B225" s="61">
        <v>66037</v>
      </c>
      <c r="C225" s="62">
        <v>598.9</v>
      </c>
      <c r="D225" s="62">
        <v>560.70000000000005</v>
      </c>
    </row>
    <row r="226" spans="1:4">
      <c r="A226" s="61">
        <v>2225</v>
      </c>
      <c r="B226" s="61">
        <v>66037</v>
      </c>
      <c r="C226" s="62">
        <v>598.9</v>
      </c>
      <c r="D226" s="62">
        <v>560.70000000000005</v>
      </c>
    </row>
    <row r="227" spans="1:4">
      <c r="A227" s="61">
        <v>2226</v>
      </c>
      <c r="B227" s="61">
        <v>66137</v>
      </c>
      <c r="C227" s="62">
        <v>515.79999999999995</v>
      </c>
      <c r="D227" s="62">
        <v>796.3</v>
      </c>
    </row>
    <row r="228" spans="1:4">
      <c r="A228" s="61">
        <v>2227</v>
      </c>
      <c r="B228" s="61">
        <v>66037</v>
      </c>
      <c r="C228" s="62">
        <v>598.9</v>
      </c>
      <c r="D228" s="62">
        <v>560.70000000000005</v>
      </c>
    </row>
    <row r="229" spans="1:4">
      <c r="A229" s="61">
        <v>2228</v>
      </c>
      <c r="B229" s="61">
        <v>66037</v>
      </c>
      <c r="C229" s="62">
        <v>598.9</v>
      </c>
      <c r="D229" s="62">
        <v>560.70000000000005</v>
      </c>
    </row>
    <row r="230" spans="1:4">
      <c r="A230" s="61">
        <v>2229</v>
      </c>
      <c r="B230" s="61">
        <v>66037</v>
      </c>
      <c r="C230" s="62">
        <v>598.9</v>
      </c>
      <c r="D230" s="62">
        <v>560.70000000000005</v>
      </c>
    </row>
    <row r="231" spans="1:4">
      <c r="A231" s="61">
        <v>2230</v>
      </c>
      <c r="B231" s="61">
        <v>66037</v>
      </c>
      <c r="C231" s="62">
        <v>598.9</v>
      </c>
      <c r="D231" s="62">
        <v>560.70000000000005</v>
      </c>
    </row>
    <row r="232" spans="1:4">
      <c r="A232" s="61">
        <v>2231</v>
      </c>
      <c r="B232" s="61">
        <v>66037</v>
      </c>
      <c r="C232" s="62">
        <v>598.9</v>
      </c>
      <c r="D232" s="62">
        <v>560.70000000000005</v>
      </c>
    </row>
    <row r="233" spans="1:4">
      <c r="A233" s="61">
        <v>2232</v>
      </c>
      <c r="B233" s="61">
        <v>66037</v>
      </c>
      <c r="C233" s="62">
        <v>598.9</v>
      </c>
      <c r="D233" s="62">
        <v>560.70000000000005</v>
      </c>
    </row>
    <row r="234" spans="1:4">
      <c r="A234" s="61">
        <v>2233</v>
      </c>
      <c r="B234" s="61">
        <v>67117</v>
      </c>
      <c r="C234" s="62">
        <v>476.6</v>
      </c>
      <c r="D234" s="62">
        <v>880</v>
      </c>
    </row>
    <row r="235" spans="1:4">
      <c r="A235" s="61">
        <v>2234</v>
      </c>
      <c r="B235" s="61">
        <v>66137</v>
      </c>
      <c r="C235" s="62">
        <v>515.79999999999995</v>
      </c>
      <c r="D235" s="62">
        <v>796.3</v>
      </c>
    </row>
    <row r="236" spans="1:4">
      <c r="A236" s="61">
        <v>2250</v>
      </c>
      <c r="B236" s="61">
        <v>61375</v>
      </c>
      <c r="C236" s="62">
        <v>411</v>
      </c>
      <c r="D236" s="62">
        <v>1029.4000000000001</v>
      </c>
    </row>
    <row r="237" spans="1:4">
      <c r="A237" s="61">
        <v>2251</v>
      </c>
      <c r="B237" s="61">
        <v>61366</v>
      </c>
      <c r="C237" s="62">
        <v>701.1</v>
      </c>
      <c r="D237" s="62">
        <v>506.8</v>
      </c>
    </row>
    <row r="238" spans="1:4">
      <c r="A238" s="61">
        <v>2256</v>
      </c>
      <c r="B238" s="61">
        <v>66059</v>
      </c>
      <c r="C238" s="62">
        <v>454.4</v>
      </c>
      <c r="D238" s="62">
        <v>814.1</v>
      </c>
    </row>
    <row r="239" spans="1:4">
      <c r="A239" s="61">
        <v>2257</v>
      </c>
      <c r="B239" s="61">
        <v>66059</v>
      </c>
      <c r="C239" s="62">
        <v>454.4</v>
      </c>
      <c r="D239" s="62">
        <v>814.1</v>
      </c>
    </row>
    <row r="240" spans="1:4">
      <c r="A240" s="61">
        <v>2258</v>
      </c>
      <c r="B240" s="61">
        <v>61375</v>
      </c>
      <c r="C240" s="62">
        <v>411</v>
      </c>
      <c r="D240" s="62">
        <v>1029.4000000000001</v>
      </c>
    </row>
    <row r="241" spans="1:4">
      <c r="A241" s="61">
        <v>2259</v>
      </c>
      <c r="B241" s="61">
        <v>61366</v>
      </c>
      <c r="C241" s="62">
        <v>701.1</v>
      </c>
      <c r="D241" s="62">
        <v>506.8</v>
      </c>
    </row>
    <row r="242" spans="1:4">
      <c r="A242" s="61">
        <v>2260</v>
      </c>
      <c r="B242" s="61">
        <v>61366</v>
      </c>
      <c r="C242" s="62">
        <v>701.1</v>
      </c>
      <c r="D242" s="62">
        <v>506.8</v>
      </c>
    </row>
    <row r="243" spans="1:4">
      <c r="A243" s="61">
        <v>2261</v>
      </c>
      <c r="B243" s="61">
        <v>61366</v>
      </c>
      <c r="C243" s="62">
        <v>701.1</v>
      </c>
      <c r="D243" s="62">
        <v>506.8</v>
      </c>
    </row>
    <row r="244" spans="1:4">
      <c r="A244" s="61">
        <v>2262</v>
      </c>
      <c r="B244" s="61">
        <v>61366</v>
      </c>
      <c r="C244" s="62">
        <v>701.1</v>
      </c>
      <c r="D244" s="62">
        <v>506.8</v>
      </c>
    </row>
    <row r="245" spans="1:4">
      <c r="A245" s="61">
        <v>2263</v>
      </c>
      <c r="B245" s="61">
        <v>61366</v>
      </c>
      <c r="C245" s="62">
        <v>701.1</v>
      </c>
      <c r="D245" s="62">
        <v>506.8</v>
      </c>
    </row>
    <row r="246" spans="1:4">
      <c r="A246" s="61">
        <v>2264</v>
      </c>
      <c r="B246" s="61">
        <v>61366</v>
      </c>
      <c r="C246" s="62">
        <v>701.1</v>
      </c>
      <c r="D246" s="62">
        <v>506.8</v>
      </c>
    </row>
    <row r="247" spans="1:4">
      <c r="A247" s="61">
        <v>2265</v>
      </c>
      <c r="B247" s="61">
        <v>61366</v>
      </c>
      <c r="C247" s="62">
        <v>701.1</v>
      </c>
      <c r="D247" s="62">
        <v>506.8</v>
      </c>
    </row>
    <row r="248" spans="1:4">
      <c r="A248" s="61">
        <v>2267</v>
      </c>
      <c r="B248" s="61">
        <v>61366</v>
      </c>
      <c r="C248" s="62">
        <v>701.1</v>
      </c>
      <c r="D248" s="62">
        <v>506.8</v>
      </c>
    </row>
    <row r="249" spans="1:4">
      <c r="A249" s="61">
        <v>2278</v>
      </c>
      <c r="B249" s="61">
        <v>61055</v>
      </c>
      <c r="C249" s="62">
        <v>679.8</v>
      </c>
      <c r="D249" s="62">
        <v>506.2</v>
      </c>
    </row>
    <row r="250" spans="1:4">
      <c r="A250" s="61">
        <v>2280</v>
      </c>
      <c r="B250" s="61">
        <v>61055</v>
      </c>
      <c r="C250" s="62">
        <v>679.8</v>
      </c>
      <c r="D250" s="62">
        <v>506.2</v>
      </c>
    </row>
    <row r="251" spans="1:4">
      <c r="A251" s="61">
        <v>2281</v>
      </c>
      <c r="B251" s="61">
        <v>61055</v>
      </c>
      <c r="C251" s="62">
        <v>679.8</v>
      </c>
      <c r="D251" s="62">
        <v>506.2</v>
      </c>
    </row>
    <row r="252" spans="1:4">
      <c r="A252" s="61">
        <v>2282</v>
      </c>
      <c r="B252" s="61">
        <v>61055</v>
      </c>
      <c r="C252" s="62">
        <v>679.8</v>
      </c>
      <c r="D252" s="62">
        <v>506.2</v>
      </c>
    </row>
    <row r="253" spans="1:4">
      <c r="A253" s="61">
        <v>2283</v>
      </c>
      <c r="B253" s="61">
        <v>61366</v>
      </c>
      <c r="C253" s="62">
        <v>701.1</v>
      </c>
      <c r="D253" s="62">
        <v>506.8</v>
      </c>
    </row>
    <row r="254" spans="1:4">
      <c r="A254" s="61">
        <v>2284</v>
      </c>
      <c r="B254" s="61">
        <v>61055</v>
      </c>
      <c r="C254" s="62">
        <v>679.8</v>
      </c>
      <c r="D254" s="62">
        <v>506.2</v>
      </c>
    </row>
    <row r="255" spans="1:4">
      <c r="A255" s="61">
        <v>2285</v>
      </c>
      <c r="B255" s="61">
        <v>61055</v>
      </c>
      <c r="C255" s="62">
        <v>679.8</v>
      </c>
      <c r="D255" s="62">
        <v>506.2</v>
      </c>
    </row>
    <row r="256" spans="1:4">
      <c r="A256" s="61">
        <v>2286</v>
      </c>
      <c r="B256" s="61">
        <v>61055</v>
      </c>
      <c r="C256" s="62">
        <v>679.8</v>
      </c>
      <c r="D256" s="62">
        <v>506.2</v>
      </c>
    </row>
    <row r="257" spans="1:4">
      <c r="A257" s="61">
        <v>2287</v>
      </c>
      <c r="B257" s="61">
        <v>61055</v>
      </c>
      <c r="C257" s="62">
        <v>679.8</v>
      </c>
      <c r="D257" s="62">
        <v>506.2</v>
      </c>
    </row>
    <row r="258" spans="1:4">
      <c r="A258" s="61">
        <v>2289</v>
      </c>
      <c r="B258" s="61">
        <v>61055</v>
      </c>
      <c r="C258" s="62">
        <v>679.8</v>
      </c>
      <c r="D258" s="62">
        <v>506.2</v>
      </c>
    </row>
    <row r="259" spans="1:4">
      <c r="A259" s="61">
        <v>2290</v>
      </c>
      <c r="B259" s="61">
        <v>61055</v>
      </c>
      <c r="C259" s="62">
        <v>679.8</v>
      </c>
      <c r="D259" s="62">
        <v>506.2</v>
      </c>
    </row>
    <row r="260" spans="1:4">
      <c r="A260" s="61">
        <v>2291</v>
      </c>
      <c r="B260" s="61">
        <v>61055</v>
      </c>
      <c r="C260" s="62">
        <v>679.8</v>
      </c>
      <c r="D260" s="62">
        <v>506.2</v>
      </c>
    </row>
    <row r="261" spans="1:4">
      <c r="A261" s="61">
        <v>2292</v>
      </c>
      <c r="B261" s="61">
        <v>61055</v>
      </c>
      <c r="C261" s="62">
        <v>679.8</v>
      </c>
      <c r="D261" s="62">
        <v>506.2</v>
      </c>
    </row>
    <row r="262" spans="1:4">
      <c r="A262" s="61">
        <v>2293</v>
      </c>
      <c r="B262" s="61">
        <v>61055</v>
      </c>
      <c r="C262" s="62">
        <v>679.8</v>
      </c>
      <c r="D262" s="62">
        <v>506.2</v>
      </c>
    </row>
    <row r="263" spans="1:4">
      <c r="A263" s="61">
        <v>2294</v>
      </c>
      <c r="B263" s="61">
        <v>61055</v>
      </c>
      <c r="C263" s="62">
        <v>679.8</v>
      </c>
      <c r="D263" s="62">
        <v>506.2</v>
      </c>
    </row>
    <row r="264" spans="1:4">
      <c r="A264" s="61">
        <v>2295</v>
      </c>
      <c r="B264" s="61">
        <v>61055</v>
      </c>
      <c r="C264" s="62">
        <v>679.8</v>
      </c>
      <c r="D264" s="62">
        <v>506.2</v>
      </c>
    </row>
    <row r="265" spans="1:4">
      <c r="A265" s="61">
        <v>2296</v>
      </c>
      <c r="B265" s="61">
        <v>61055</v>
      </c>
      <c r="C265" s="62">
        <v>679.8</v>
      </c>
      <c r="D265" s="62">
        <v>506.2</v>
      </c>
    </row>
    <row r="266" spans="1:4">
      <c r="A266" s="61">
        <v>2297</v>
      </c>
      <c r="B266" s="61">
        <v>61055</v>
      </c>
      <c r="C266" s="62">
        <v>679.8</v>
      </c>
      <c r="D266" s="62">
        <v>506.2</v>
      </c>
    </row>
    <row r="267" spans="1:4">
      <c r="A267" s="61">
        <v>2298</v>
      </c>
      <c r="B267" s="61">
        <v>61055</v>
      </c>
      <c r="C267" s="62">
        <v>679.8</v>
      </c>
      <c r="D267" s="62">
        <v>506.2</v>
      </c>
    </row>
    <row r="268" spans="1:4">
      <c r="A268" s="61">
        <v>2299</v>
      </c>
      <c r="B268" s="61">
        <v>61055</v>
      </c>
      <c r="C268" s="62">
        <v>679.8</v>
      </c>
      <c r="D268" s="62">
        <v>506.2</v>
      </c>
    </row>
    <row r="269" spans="1:4">
      <c r="A269" s="61">
        <v>2300</v>
      </c>
      <c r="B269" s="61">
        <v>61055</v>
      </c>
      <c r="C269" s="62">
        <v>679.8</v>
      </c>
      <c r="D269" s="62">
        <v>506.2</v>
      </c>
    </row>
    <row r="270" spans="1:4">
      <c r="A270" s="61">
        <v>2302</v>
      </c>
      <c r="B270" s="61">
        <v>61055</v>
      </c>
      <c r="C270" s="62">
        <v>679.8</v>
      </c>
      <c r="D270" s="62">
        <v>506.2</v>
      </c>
    </row>
    <row r="271" spans="1:4">
      <c r="A271" s="61">
        <v>2303</v>
      </c>
      <c r="B271" s="61">
        <v>61055</v>
      </c>
      <c r="C271" s="62">
        <v>679.8</v>
      </c>
      <c r="D271" s="62">
        <v>506.2</v>
      </c>
    </row>
    <row r="272" spans="1:4">
      <c r="A272" s="61">
        <v>2304</v>
      </c>
      <c r="B272" s="61">
        <v>61055</v>
      </c>
      <c r="C272" s="62">
        <v>679.8</v>
      </c>
      <c r="D272" s="62">
        <v>506.2</v>
      </c>
    </row>
    <row r="273" spans="1:4">
      <c r="A273" s="61">
        <v>2305</v>
      </c>
      <c r="B273" s="61">
        <v>61055</v>
      </c>
      <c r="C273" s="62">
        <v>679.8</v>
      </c>
      <c r="D273" s="62">
        <v>506.2</v>
      </c>
    </row>
    <row r="274" spans="1:4">
      <c r="A274" s="61">
        <v>2306</v>
      </c>
      <c r="B274" s="61">
        <v>61055</v>
      </c>
      <c r="C274" s="62">
        <v>679.8</v>
      </c>
      <c r="D274" s="62">
        <v>506.2</v>
      </c>
    </row>
    <row r="275" spans="1:4">
      <c r="A275" s="61">
        <v>2307</v>
      </c>
      <c r="B275" s="61">
        <v>61055</v>
      </c>
      <c r="C275" s="62">
        <v>679.8</v>
      </c>
      <c r="D275" s="62">
        <v>506.2</v>
      </c>
    </row>
    <row r="276" spans="1:4">
      <c r="A276" s="61">
        <v>2308</v>
      </c>
      <c r="B276" s="61">
        <v>61055</v>
      </c>
      <c r="C276" s="62">
        <v>679.8</v>
      </c>
      <c r="D276" s="62">
        <v>506.2</v>
      </c>
    </row>
    <row r="277" spans="1:4">
      <c r="A277" s="61">
        <v>2309</v>
      </c>
      <c r="B277" s="61">
        <v>56238</v>
      </c>
      <c r="C277" s="62">
        <v>99.8</v>
      </c>
      <c r="D277" s="62">
        <v>1872.1</v>
      </c>
    </row>
    <row r="278" spans="1:4">
      <c r="A278" s="61">
        <v>2311</v>
      </c>
      <c r="B278" s="61">
        <v>61250</v>
      </c>
      <c r="C278" s="62">
        <v>583.79999999999995</v>
      </c>
      <c r="D278" s="62">
        <v>726.9</v>
      </c>
    </row>
    <row r="279" spans="1:4">
      <c r="A279" s="61">
        <v>2312</v>
      </c>
      <c r="B279" s="61">
        <v>60141</v>
      </c>
      <c r="C279" s="62">
        <v>710.5</v>
      </c>
      <c r="D279" s="62">
        <v>654.4</v>
      </c>
    </row>
    <row r="280" spans="1:4">
      <c r="A280" s="61">
        <v>2315</v>
      </c>
      <c r="B280" s="61">
        <v>61078</v>
      </c>
      <c r="C280" s="62">
        <v>598.4</v>
      </c>
      <c r="D280" s="62">
        <v>727.9</v>
      </c>
    </row>
    <row r="281" spans="1:4">
      <c r="A281" s="61">
        <v>2316</v>
      </c>
      <c r="B281" s="61">
        <v>61078</v>
      </c>
      <c r="C281" s="62">
        <v>598.4</v>
      </c>
      <c r="D281" s="62">
        <v>727.9</v>
      </c>
    </row>
    <row r="282" spans="1:4">
      <c r="A282" s="61">
        <v>2317</v>
      </c>
      <c r="B282" s="61">
        <v>61078</v>
      </c>
      <c r="C282" s="62">
        <v>598.4</v>
      </c>
      <c r="D282" s="62">
        <v>727.9</v>
      </c>
    </row>
    <row r="283" spans="1:4">
      <c r="A283" s="61">
        <v>2318</v>
      </c>
      <c r="B283" s="61">
        <v>61078</v>
      </c>
      <c r="C283" s="62">
        <v>598.4</v>
      </c>
      <c r="D283" s="62">
        <v>727.9</v>
      </c>
    </row>
    <row r="284" spans="1:4">
      <c r="A284" s="61">
        <v>2319</v>
      </c>
      <c r="B284" s="61">
        <v>61078</v>
      </c>
      <c r="C284" s="62">
        <v>598.4</v>
      </c>
      <c r="D284" s="62">
        <v>727.9</v>
      </c>
    </row>
    <row r="285" spans="1:4">
      <c r="A285" s="61">
        <v>2320</v>
      </c>
      <c r="B285" s="61">
        <v>61250</v>
      </c>
      <c r="C285" s="62">
        <v>583.79999999999995</v>
      </c>
      <c r="D285" s="62">
        <v>726.9</v>
      </c>
    </row>
    <row r="286" spans="1:4">
      <c r="A286" s="61">
        <v>2321</v>
      </c>
      <c r="B286" s="61">
        <v>61250</v>
      </c>
      <c r="C286" s="62">
        <v>583.79999999999995</v>
      </c>
      <c r="D286" s="62">
        <v>726.9</v>
      </c>
    </row>
    <row r="287" spans="1:4">
      <c r="A287" s="61">
        <v>2322</v>
      </c>
      <c r="B287" s="61">
        <v>61078</v>
      </c>
      <c r="C287" s="62">
        <v>598.4</v>
      </c>
      <c r="D287" s="62">
        <v>727.9</v>
      </c>
    </row>
    <row r="288" spans="1:4">
      <c r="A288" s="61">
        <v>2323</v>
      </c>
      <c r="B288" s="61">
        <v>61250</v>
      </c>
      <c r="C288" s="62">
        <v>583.79999999999995</v>
      </c>
      <c r="D288" s="62">
        <v>726.9</v>
      </c>
    </row>
    <row r="289" spans="1:4">
      <c r="A289" s="61">
        <v>2324</v>
      </c>
      <c r="B289" s="61">
        <v>61078</v>
      </c>
      <c r="C289" s="62">
        <v>598.4</v>
      </c>
      <c r="D289" s="62">
        <v>727.9</v>
      </c>
    </row>
    <row r="290" spans="1:4">
      <c r="A290" s="61">
        <v>2325</v>
      </c>
      <c r="B290" s="61">
        <v>61260</v>
      </c>
      <c r="C290" s="62">
        <v>432.2</v>
      </c>
      <c r="D290" s="62">
        <v>936.9</v>
      </c>
    </row>
    <row r="291" spans="1:4">
      <c r="A291" s="61">
        <v>2326</v>
      </c>
      <c r="B291" s="61">
        <v>61260</v>
      </c>
      <c r="C291" s="62">
        <v>432.2</v>
      </c>
      <c r="D291" s="62">
        <v>936.9</v>
      </c>
    </row>
    <row r="292" spans="1:4">
      <c r="A292" s="61">
        <v>2327</v>
      </c>
      <c r="B292" s="61">
        <v>61260</v>
      </c>
      <c r="C292" s="62">
        <v>432.2</v>
      </c>
      <c r="D292" s="62">
        <v>936.9</v>
      </c>
    </row>
    <row r="293" spans="1:4">
      <c r="A293" s="61">
        <v>2328</v>
      </c>
      <c r="B293" s="61">
        <v>61363</v>
      </c>
      <c r="C293" s="62">
        <v>420.6</v>
      </c>
      <c r="D293" s="62">
        <v>1066.5</v>
      </c>
    </row>
    <row r="294" spans="1:4">
      <c r="A294" s="61">
        <v>2329</v>
      </c>
      <c r="B294" s="61">
        <v>61287</v>
      </c>
      <c r="C294" s="62">
        <v>349.6</v>
      </c>
      <c r="D294" s="62">
        <v>1259.3</v>
      </c>
    </row>
    <row r="295" spans="1:4">
      <c r="A295" s="61">
        <v>2330</v>
      </c>
      <c r="B295" s="61">
        <v>61363</v>
      </c>
      <c r="C295" s="62">
        <v>420.6</v>
      </c>
      <c r="D295" s="62">
        <v>1066.5</v>
      </c>
    </row>
    <row r="296" spans="1:4">
      <c r="A296" s="61">
        <v>2333</v>
      </c>
      <c r="B296" s="61">
        <v>61287</v>
      </c>
      <c r="C296" s="62">
        <v>349.6</v>
      </c>
      <c r="D296" s="62">
        <v>1259.3</v>
      </c>
    </row>
    <row r="297" spans="1:4">
      <c r="A297" s="61">
        <v>2334</v>
      </c>
      <c r="B297" s="61">
        <v>61260</v>
      </c>
      <c r="C297" s="62">
        <v>432.2</v>
      </c>
      <c r="D297" s="62">
        <v>936.9</v>
      </c>
    </row>
    <row r="298" spans="1:4">
      <c r="A298" s="61">
        <v>2335</v>
      </c>
      <c r="B298" s="61">
        <v>61260</v>
      </c>
      <c r="C298" s="62">
        <v>432.2</v>
      </c>
      <c r="D298" s="62">
        <v>936.9</v>
      </c>
    </row>
    <row r="299" spans="1:4">
      <c r="A299" s="61">
        <v>2336</v>
      </c>
      <c r="B299" s="61">
        <v>61363</v>
      </c>
      <c r="C299" s="62">
        <v>420.6</v>
      </c>
      <c r="D299" s="62">
        <v>1066.5</v>
      </c>
    </row>
    <row r="300" spans="1:4">
      <c r="A300" s="61">
        <v>2337</v>
      </c>
      <c r="B300" s="61">
        <v>61363</v>
      </c>
      <c r="C300" s="62">
        <v>420.6</v>
      </c>
      <c r="D300" s="62">
        <v>1066.5</v>
      </c>
    </row>
    <row r="301" spans="1:4">
      <c r="A301" s="61">
        <v>2338</v>
      </c>
      <c r="B301" s="61">
        <v>61392</v>
      </c>
      <c r="C301" s="62">
        <v>174.7</v>
      </c>
      <c r="D301" s="62">
        <v>1364.4</v>
      </c>
    </row>
    <row r="302" spans="1:4">
      <c r="A302" s="61">
        <v>2339</v>
      </c>
      <c r="B302" s="61">
        <v>61392</v>
      </c>
      <c r="C302" s="62">
        <v>174.7</v>
      </c>
      <c r="D302" s="62">
        <v>1364.4</v>
      </c>
    </row>
    <row r="303" spans="1:4">
      <c r="A303" s="61">
        <v>2340</v>
      </c>
      <c r="B303" s="61">
        <v>55325</v>
      </c>
      <c r="C303" s="62">
        <v>320.10000000000002</v>
      </c>
      <c r="D303" s="62">
        <v>1107.4000000000001</v>
      </c>
    </row>
    <row r="304" spans="1:4">
      <c r="A304" s="61">
        <v>2341</v>
      </c>
      <c r="B304" s="61">
        <v>55325</v>
      </c>
      <c r="C304" s="62">
        <v>320.10000000000002</v>
      </c>
      <c r="D304" s="62">
        <v>1107.4000000000001</v>
      </c>
    </row>
    <row r="305" spans="1:4">
      <c r="A305" s="61">
        <v>2342</v>
      </c>
      <c r="B305" s="61">
        <v>55325</v>
      </c>
      <c r="C305" s="62">
        <v>320.10000000000002</v>
      </c>
      <c r="D305" s="62">
        <v>1107.4000000000001</v>
      </c>
    </row>
    <row r="306" spans="1:4">
      <c r="A306" s="61">
        <v>2343</v>
      </c>
      <c r="B306" s="61">
        <v>61392</v>
      </c>
      <c r="C306" s="62">
        <v>174.7</v>
      </c>
      <c r="D306" s="62">
        <v>1364.4</v>
      </c>
    </row>
    <row r="307" spans="1:4">
      <c r="A307" s="61">
        <v>2344</v>
      </c>
      <c r="B307" s="61">
        <v>55325</v>
      </c>
      <c r="C307" s="62">
        <v>320.10000000000002</v>
      </c>
      <c r="D307" s="62">
        <v>1107.4000000000001</v>
      </c>
    </row>
    <row r="308" spans="1:4">
      <c r="A308" s="61">
        <v>2345</v>
      </c>
      <c r="B308" s="61">
        <v>55325</v>
      </c>
      <c r="C308" s="62">
        <v>320.10000000000002</v>
      </c>
      <c r="D308" s="62">
        <v>1107.4000000000001</v>
      </c>
    </row>
    <row r="309" spans="1:4">
      <c r="A309" s="61">
        <v>2346</v>
      </c>
      <c r="B309" s="61">
        <v>55325</v>
      </c>
      <c r="C309" s="62">
        <v>320.10000000000002</v>
      </c>
      <c r="D309" s="62">
        <v>1107.4000000000001</v>
      </c>
    </row>
    <row r="310" spans="1:4">
      <c r="A310" s="61">
        <v>2347</v>
      </c>
      <c r="B310" s="61">
        <v>54038</v>
      </c>
      <c r="C310" s="62">
        <v>493.1</v>
      </c>
      <c r="D310" s="62">
        <v>812.6</v>
      </c>
    </row>
    <row r="311" spans="1:4">
      <c r="A311" s="61">
        <v>2350</v>
      </c>
      <c r="B311" s="61">
        <v>56238</v>
      </c>
      <c r="C311" s="62">
        <v>99.8</v>
      </c>
      <c r="D311" s="62">
        <v>1872.1</v>
      </c>
    </row>
    <row r="312" spans="1:4">
      <c r="A312" s="61">
        <v>2351</v>
      </c>
      <c r="B312" s="61">
        <v>55325</v>
      </c>
      <c r="C312" s="62">
        <v>320.10000000000002</v>
      </c>
      <c r="D312" s="62">
        <v>1107.4000000000001</v>
      </c>
    </row>
    <row r="313" spans="1:4">
      <c r="A313" s="61">
        <v>2352</v>
      </c>
      <c r="B313" s="61">
        <v>55325</v>
      </c>
      <c r="C313" s="62">
        <v>320.10000000000002</v>
      </c>
      <c r="D313" s="62">
        <v>1107.4000000000001</v>
      </c>
    </row>
    <row r="314" spans="1:4">
      <c r="A314" s="61">
        <v>2353</v>
      </c>
      <c r="B314" s="61">
        <v>55325</v>
      </c>
      <c r="C314" s="62">
        <v>320.10000000000002</v>
      </c>
      <c r="D314" s="62">
        <v>1107.4000000000001</v>
      </c>
    </row>
    <row r="315" spans="1:4">
      <c r="A315" s="61">
        <v>2354</v>
      </c>
      <c r="B315" s="61">
        <v>56238</v>
      </c>
      <c r="C315" s="62">
        <v>99.8</v>
      </c>
      <c r="D315" s="62">
        <v>1872.1</v>
      </c>
    </row>
    <row r="316" spans="1:4">
      <c r="A316" s="61">
        <v>2355</v>
      </c>
      <c r="B316" s="61">
        <v>55325</v>
      </c>
      <c r="C316" s="62">
        <v>320.10000000000002</v>
      </c>
      <c r="D316" s="62">
        <v>1107.4000000000001</v>
      </c>
    </row>
    <row r="317" spans="1:4">
      <c r="A317" s="61">
        <v>2356</v>
      </c>
      <c r="B317" s="61">
        <v>51161</v>
      </c>
      <c r="C317" s="62">
        <v>519.70000000000005</v>
      </c>
      <c r="D317" s="62">
        <v>903.7</v>
      </c>
    </row>
    <row r="318" spans="1:4">
      <c r="A318" s="61">
        <v>2357</v>
      </c>
      <c r="B318" s="61">
        <v>61287</v>
      </c>
      <c r="C318" s="62">
        <v>349.6</v>
      </c>
      <c r="D318" s="62">
        <v>1259.3</v>
      </c>
    </row>
    <row r="319" spans="1:4">
      <c r="A319" s="61">
        <v>2358</v>
      </c>
      <c r="B319" s="61">
        <v>56238</v>
      </c>
      <c r="C319" s="62">
        <v>99.8</v>
      </c>
      <c r="D319" s="62">
        <v>1872.1</v>
      </c>
    </row>
    <row r="320" spans="1:4">
      <c r="A320" s="61">
        <v>2359</v>
      </c>
      <c r="B320" s="61">
        <v>56018</v>
      </c>
      <c r="C320" s="62">
        <v>278.39999999999998</v>
      </c>
      <c r="D320" s="62">
        <v>1056.4000000000001</v>
      </c>
    </row>
    <row r="321" spans="1:4">
      <c r="A321" s="61">
        <v>2360</v>
      </c>
      <c r="B321" s="61">
        <v>56018</v>
      </c>
      <c r="C321" s="62">
        <v>278.39999999999998</v>
      </c>
      <c r="D321" s="62">
        <v>1056.4000000000001</v>
      </c>
    </row>
    <row r="322" spans="1:4">
      <c r="A322" s="61">
        <v>2361</v>
      </c>
      <c r="B322" s="61">
        <v>56018</v>
      </c>
      <c r="C322" s="62">
        <v>278.39999999999998</v>
      </c>
      <c r="D322" s="62">
        <v>1056.4000000000001</v>
      </c>
    </row>
    <row r="323" spans="1:4">
      <c r="A323" s="61">
        <v>2365</v>
      </c>
      <c r="B323" s="61">
        <v>56243</v>
      </c>
      <c r="C323" s="62">
        <v>89.4</v>
      </c>
      <c r="D323" s="62">
        <v>1998.5</v>
      </c>
    </row>
    <row r="324" spans="1:4">
      <c r="A324" s="61">
        <v>2369</v>
      </c>
      <c r="B324" s="61">
        <v>56018</v>
      </c>
      <c r="C324" s="62">
        <v>278.39999999999998</v>
      </c>
      <c r="D324" s="62">
        <v>1056.4000000000001</v>
      </c>
    </row>
    <row r="325" spans="1:4">
      <c r="A325" s="61">
        <v>2370</v>
      </c>
      <c r="B325" s="61">
        <v>56243</v>
      </c>
      <c r="C325" s="62">
        <v>89.4</v>
      </c>
      <c r="D325" s="62">
        <v>1998.5</v>
      </c>
    </row>
    <row r="326" spans="1:4">
      <c r="A326" s="61">
        <v>2371</v>
      </c>
      <c r="B326" s="61">
        <v>56243</v>
      </c>
      <c r="C326" s="62">
        <v>89.4</v>
      </c>
      <c r="D326" s="62">
        <v>1998.5</v>
      </c>
    </row>
    <row r="327" spans="1:4">
      <c r="A327" s="61">
        <v>2372</v>
      </c>
      <c r="B327" s="61">
        <v>41175</v>
      </c>
      <c r="C327" s="62">
        <v>210.4</v>
      </c>
      <c r="D327" s="62">
        <v>1395.1</v>
      </c>
    </row>
    <row r="328" spans="1:4">
      <c r="A328" s="61">
        <v>2379</v>
      </c>
      <c r="B328" s="61">
        <v>54038</v>
      </c>
      <c r="C328" s="62">
        <v>493.1</v>
      </c>
      <c r="D328" s="62">
        <v>812.6</v>
      </c>
    </row>
    <row r="329" spans="1:4">
      <c r="A329" s="61">
        <v>2380</v>
      </c>
      <c r="B329" s="61">
        <v>55325</v>
      </c>
      <c r="C329" s="62">
        <v>320.10000000000002</v>
      </c>
      <c r="D329" s="62">
        <v>1107.4000000000001</v>
      </c>
    </row>
    <row r="330" spans="1:4">
      <c r="A330" s="61">
        <v>2381</v>
      </c>
      <c r="B330" s="61">
        <v>55325</v>
      </c>
      <c r="C330" s="62">
        <v>320.10000000000002</v>
      </c>
      <c r="D330" s="62">
        <v>1107.4000000000001</v>
      </c>
    </row>
    <row r="331" spans="1:4">
      <c r="A331" s="61">
        <v>2382</v>
      </c>
      <c r="B331" s="61">
        <v>54038</v>
      </c>
      <c r="C331" s="62">
        <v>493.1</v>
      </c>
      <c r="D331" s="62">
        <v>812.6</v>
      </c>
    </row>
    <row r="332" spans="1:4">
      <c r="A332" s="61">
        <v>2386</v>
      </c>
      <c r="B332" s="61">
        <v>54038</v>
      </c>
      <c r="C332" s="62">
        <v>493.1</v>
      </c>
      <c r="D332" s="62">
        <v>812.6</v>
      </c>
    </row>
    <row r="333" spans="1:4">
      <c r="A333" s="61">
        <v>2387</v>
      </c>
      <c r="B333" s="61">
        <v>53115</v>
      </c>
      <c r="C333" s="62">
        <v>533.70000000000005</v>
      </c>
      <c r="D333" s="62">
        <v>755</v>
      </c>
    </row>
    <row r="334" spans="1:4">
      <c r="A334" s="61">
        <v>2388</v>
      </c>
      <c r="B334" s="61">
        <v>54038</v>
      </c>
      <c r="C334" s="62">
        <v>493.1</v>
      </c>
      <c r="D334" s="62">
        <v>812.6</v>
      </c>
    </row>
    <row r="335" spans="1:4">
      <c r="A335" s="61">
        <v>2390</v>
      </c>
      <c r="B335" s="61">
        <v>54038</v>
      </c>
      <c r="C335" s="62">
        <v>493.1</v>
      </c>
      <c r="D335" s="62">
        <v>812.6</v>
      </c>
    </row>
    <row r="336" spans="1:4">
      <c r="A336" s="61">
        <v>2395</v>
      </c>
      <c r="B336" s="61">
        <v>61287</v>
      </c>
      <c r="C336" s="62">
        <v>349.6</v>
      </c>
      <c r="D336" s="62">
        <v>1259.3</v>
      </c>
    </row>
    <row r="337" spans="1:4">
      <c r="A337" s="61">
        <v>2396</v>
      </c>
      <c r="B337" s="61">
        <v>51161</v>
      </c>
      <c r="C337" s="62">
        <v>519.70000000000005</v>
      </c>
      <c r="D337" s="62">
        <v>903.7</v>
      </c>
    </row>
    <row r="338" spans="1:4">
      <c r="A338" s="61">
        <v>2397</v>
      </c>
      <c r="B338" s="61">
        <v>54038</v>
      </c>
      <c r="C338" s="62">
        <v>493.1</v>
      </c>
      <c r="D338" s="62">
        <v>812.6</v>
      </c>
    </row>
    <row r="339" spans="1:4">
      <c r="A339" s="61">
        <v>2398</v>
      </c>
      <c r="B339" s="61">
        <v>53115</v>
      </c>
      <c r="C339" s="62">
        <v>533.70000000000005</v>
      </c>
      <c r="D339" s="62">
        <v>755</v>
      </c>
    </row>
    <row r="340" spans="1:4">
      <c r="A340" s="61">
        <v>2399</v>
      </c>
      <c r="B340" s="61">
        <v>53115</v>
      </c>
      <c r="C340" s="62">
        <v>533.70000000000005</v>
      </c>
      <c r="D340" s="62">
        <v>755</v>
      </c>
    </row>
    <row r="341" spans="1:4">
      <c r="A341" s="61">
        <v>2400</v>
      </c>
      <c r="B341" s="61">
        <v>53115</v>
      </c>
      <c r="C341" s="62">
        <v>533.70000000000005</v>
      </c>
      <c r="D341" s="62">
        <v>755</v>
      </c>
    </row>
    <row r="342" spans="1:4">
      <c r="A342" s="61">
        <v>2401</v>
      </c>
      <c r="B342" s="61">
        <v>53115</v>
      </c>
      <c r="C342" s="62">
        <v>533.70000000000005</v>
      </c>
      <c r="D342" s="62">
        <v>755</v>
      </c>
    </row>
    <row r="343" spans="1:4">
      <c r="A343" s="61">
        <v>2402</v>
      </c>
      <c r="B343" s="61">
        <v>56018</v>
      </c>
      <c r="C343" s="62">
        <v>278.39999999999998</v>
      </c>
      <c r="D343" s="62">
        <v>1056.4000000000001</v>
      </c>
    </row>
    <row r="344" spans="1:4">
      <c r="A344" s="61">
        <v>2403</v>
      </c>
      <c r="B344" s="61">
        <v>56018</v>
      </c>
      <c r="C344" s="62">
        <v>278.39999999999998</v>
      </c>
      <c r="D344" s="62">
        <v>1056.4000000000001</v>
      </c>
    </row>
    <row r="345" spans="1:4">
      <c r="A345" s="61">
        <v>2404</v>
      </c>
      <c r="B345" s="61">
        <v>53115</v>
      </c>
      <c r="C345" s="62">
        <v>533.70000000000005</v>
      </c>
      <c r="D345" s="62">
        <v>755</v>
      </c>
    </row>
    <row r="346" spans="1:4">
      <c r="A346" s="61">
        <v>2405</v>
      </c>
      <c r="B346" s="61">
        <v>41521</v>
      </c>
      <c r="C346" s="62">
        <v>746.4</v>
      </c>
      <c r="D346" s="62">
        <v>632.1</v>
      </c>
    </row>
    <row r="347" spans="1:4">
      <c r="A347" s="61">
        <v>2406</v>
      </c>
      <c r="B347" s="61">
        <v>53115</v>
      </c>
      <c r="C347" s="62">
        <v>533.70000000000005</v>
      </c>
      <c r="D347" s="62">
        <v>755</v>
      </c>
    </row>
    <row r="348" spans="1:4">
      <c r="A348" s="61">
        <v>2408</v>
      </c>
      <c r="B348" s="61">
        <v>41521</v>
      </c>
      <c r="C348" s="62">
        <v>746.4</v>
      </c>
      <c r="D348" s="62">
        <v>632.1</v>
      </c>
    </row>
    <row r="349" spans="1:4">
      <c r="A349" s="61">
        <v>2409</v>
      </c>
      <c r="B349" s="61">
        <v>41521</v>
      </c>
      <c r="C349" s="62">
        <v>746.4</v>
      </c>
      <c r="D349" s="62">
        <v>632.1</v>
      </c>
    </row>
    <row r="350" spans="1:4">
      <c r="A350" s="61">
        <v>2410</v>
      </c>
      <c r="B350" s="61">
        <v>41521</v>
      </c>
      <c r="C350" s="62">
        <v>746.4</v>
      </c>
      <c r="D350" s="62">
        <v>632.1</v>
      </c>
    </row>
    <row r="351" spans="1:4">
      <c r="A351" s="61">
        <v>2411</v>
      </c>
      <c r="B351" s="61">
        <v>53115</v>
      </c>
      <c r="C351" s="62">
        <v>533.70000000000005</v>
      </c>
      <c r="D351" s="62">
        <v>755</v>
      </c>
    </row>
    <row r="352" spans="1:4">
      <c r="A352" s="61">
        <v>2415</v>
      </c>
      <c r="B352" s="61">
        <v>61250</v>
      </c>
      <c r="C352" s="62">
        <v>583.79999999999995</v>
      </c>
      <c r="D352" s="62">
        <v>726.9</v>
      </c>
    </row>
    <row r="353" spans="1:4">
      <c r="A353" s="61">
        <v>2420</v>
      </c>
      <c r="B353" s="61">
        <v>61250</v>
      </c>
      <c r="C353" s="62">
        <v>583.79999999999995</v>
      </c>
      <c r="D353" s="62">
        <v>726.9</v>
      </c>
    </row>
    <row r="354" spans="1:4">
      <c r="A354" s="61">
        <v>2421</v>
      </c>
      <c r="B354" s="61">
        <v>61250</v>
      </c>
      <c r="C354" s="62">
        <v>583.79999999999995</v>
      </c>
      <c r="D354" s="62">
        <v>726.9</v>
      </c>
    </row>
    <row r="355" spans="1:4">
      <c r="A355" s="61">
        <v>2422</v>
      </c>
      <c r="B355" s="61">
        <v>60141</v>
      </c>
      <c r="C355" s="62">
        <v>710.5</v>
      </c>
      <c r="D355" s="62">
        <v>654.4</v>
      </c>
    </row>
    <row r="356" spans="1:4">
      <c r="A356" s="61">
        <v>2423</v>
      </c>
      <c r="B356" s="61">
        <v>61078</v>
      </c>
      <c r="C356" s="62">
        <v>598.4</v>
      </c>
      <c r="D356" s="62">
        <v>727.9</v>
      </c>
    </row>
    <row r="357" spans="1:4">
      <c r="A357" s="61">
        <v>2424</v>
      </c>
      <c r="B357" s="61">
        <v>60141</v>
      </c>
      <c r="C357" s="62">
        <v>710.5</v>
      </c>
      <c r="D357" s="62">
        <v>654.4</v>
      </c>
    </row>
    <row r="358" spans="1:4">
      <c r="A358" s="61">
        <v>2425</v>
      </c>
      <c r="B358" s="61">
        <v>61078</v>
      </c>
      <c r="C358" s="62">
        <v>598.4</v>
      </c>
      <c r="D358" s="62">
        <v>727.9</v>
      </c>
    </row>
    <row r="359" spans="1:4">
      <c r="A359" s="61">
        <v>2426</v>
      </c>
      <c r="B359" s="61">
        <v>60141</v>
      </c>
      <c r="C359" s="62">
        <v>710.5</v>
      </c>
      <c r="D359" s="62">
        <v>654.4</v>
      </c>
    </row>
    <row r="360" spans="1:4">
      <c r="A360" s="61">
        <v>2427</v>
      </c>
      <c r="B360" s="61">
        <v>60141</v>
      </c>
      <c r="C360" s="62">
        <v>710.5</v>
      </c>
      <c r="D360" s="62">
        <v>654.4</v>
      </c>
    </row>
    <row r="361" spans="1:4">
      <c r="A361" s="61">
        <v>2428</v>
      </c>
      <c r="B361" s="61">
        <v>60141</v>
      </c>
      <c r="C361" s="62">
        <v>710.5</v>
      </c>
      <c r="D361" s="62">
        <v>654.4</v>
      </c>
    </row>
    <row r="362" spans="1:4">
      <c r="A362" s="61">
        <v>2429</v>
      </c>
      <c r="B362" s="61">
        <v>60141</v>
      </c>
      <c r="C362" s="62">
        <v>710.5</v>
      </c>
      <c r="D362" s="62">
        <v>654.4</v>
      </c>
    </row>
    <row r="363" spans="1:4">
      <c r="A363" s="61">
        <v>2430</v>
      </c>
      <c r="B363" s="61">
        <v>60141</v>
      </c>
      <c r="C363" s="62">
        <v>710.5</v>
      </c>
      <c r="D363" s="62">
        <v>654.4</v>
      </c>
    </row>
    <row r="364" spans="1:4">
      <c r="A364" s="61">
        <v>2431</v>
      </c>
      <c r="B364" s="61">
        <v>59007</v>
      </c>
      <c r="C364" s="62">
        <v>636.4</v>
      </c>
      <c r="D364" s="62">
        <v>655.7</v>
      </c>
    </row>
    <row r="365" spans="1:4">
      <c r="A365" s="61">
        <v>2439</v>
      </c>
      <c r="B365" s="61">
        <v>60141</v>
      </c>
      <c r="C365" s="62">
        <v>710.5</v>
      </c>
      <c r="D365" s="62">
        <v>654.4</v>
      </c>
    </row>
    <row r="366" spans="1:4">
      <c r="A366" s="61">
        <v>2440</v>
      </c>
      <c r="B366" s="61">
        <v>59007</v>
      </c>
      <c r="C366" s="62">
        <v>636.4</v>
      </c>
      <c r="D366" s="62">
        <v>655.7</v>
      </c>
    </row>
    <row r="367" spans="1:4">
      <c r="A367" s="61">
        <v>2441</v>
      </c>
      <c r="B367" s="61">
        <v>59007</v>
      </c>
      <c r="C367" s="62">
        <v>636.4</v>
      </c>
      <c r="D367" s="62">
        <v>655.7</v>
      </c>
    </row>
    <row r="368" spans="1:4">
      <c r="A368" s="61">
        <v>2443</v>
      </c>
      <c r="B368" s="61">
        <v>60139</v>
      </c>
      <c r="C368" s="62">
        <v>716.2</v>
      </c>
      <c r="D368" s="62">
        <v>640.79999999999995</v>
      </c>
    </row>
    <row r="369" spans="1:4">
      <c r="A369" s="61">
        <v>2444</v>
      </c>
      <c r="B369" s="61">
        <v>60139</v>
      </c>
      <c r="C369" s="62">
        <v>716.2</v>
      </c>
      <c r="D369" s="62">
        <v>640.79999999999995</v>
      </c>
    </row>
    <row r="370" spans="1:4">
      <c r="A370" s="61">
        <v>2445</v>
      </c>
      <c r="B370" s="61">
        <v>60139</v>
      </c>
      <c r="C370" s="62">
        <v>716.2</v>
      </c>
      <c r="D370" s="62">
        <v>640.79999999999995</v>
      </c>
    </row>
    <row r="371" spans="1:4">
      <c r="A371" s="61">
        <v>2446</v>
      </c>
      <c r="B371" s="61">
        <v>60139</v>
      </c>
      <c r="C371" s="62">
        <v>716.2</v>
      </c>
      <c r="D371" s="62">
        <v>640.79999999999995</v>
      </c>
    </row>
    <row r="372" spans="1:4">
      <c r="A372" s="61">
        <v>2447</v>
      </c>
      <c r="B372" s="61">
        <v>59007</v>
      </c>
      <c r="C372" s="62">
        <v>636.4</v>
      </c>
      <c r="D372" s="62">
        <v>655.7</v>
      </c>
    </row>
    <row r="373" spans="1:4">
      <c r="A373" s="61">
        <v>2448</v>
      </c>
      <c r="B373" s="61">
        <v>59040</v>
      </c>
      <c r="C373" s="62">
        <v>804.9</v>
      </c>
      <c r="D373" s="62">
        <v>491.6</v>
      </c>
    </row>
    <row r="374" spans="1:4">
      <c r="A374" s="61">
        <v>2449</v>
      </c>
      <c r="B374" s="61">
        <v>59040</v>
      </c>
      <c r="C374" s="62">
        <v>804.9</v>
      </c>
      <c r="D374" s="62">
        <v>491.6</v>
      </c>
    </row>
    <row r="375" spans="1:4">
      <c r="A375" s="61">
        <v>2450</v>
      </c>
      <c r="B375" s="61">
        <v>59040</v>
      </c>
      <c r="C375" s="62">
        <v>804.9</v>
      </c>
      <c r="D375" s="62">
        <v>491.6</v>
      </c>
    </row>
    <row r="376" spans="1:4">
      <c r="A376" s="61">
        <v>2452</v>
      </c>
      <c r="B376" s="61">
        <v>59040</v>
      </c>
      <c r="C376" s="62">
        <v>804.9</v>
      </c>
      <c r="D376" s="62">
        <v>491.6</v>
      </c>
    </row>
    <row r="377" spans="1:4">
      <c r="A377" s="61">
        <v>2453</v>
      </c>
      <c r="B377" s="61">
        <v>59040</v>
      </c>
      <c r="C377" s="62">
        <v>804.9</v>
      </c>
      <c r="D377" s="62">
        <v>491.6</v>
      </c>
    </row>
    <row r="378" spans="1:4">
      <c r="A378" s="61">
        <v>2454</v>
      </c>
      <c r="B378" s="61">
        <v>59040</v>
      </c>
      <c r="C378" s="62">
        <v>804.9</v>
      </c>
      <c r="D378" s="62">
        <v>491.6</v>
      </c>
    </row>
    <row r="379" spans="1:4">
      <c r="A379" s="61">
        <v>2455</v>
      </c>
      <c r="B379" s="61">
        <v>59040</v>
      </c>
      <c r="C379" s="62">
        <v>804.9</v>
      </c>
      <c r="D379" s="62">
        <v>491.6</v>
      </c>
    </row>
    <row r="380" spans="1:4">
      <c r="A380" s="61">
        <v>2456</v>
      </c>
      <c r="B380" s="61">
        <v>59040</v>
      </c>
      <c r="C380" s="62">
        <v>804.9</v>
      </c>
      <c r="D380" s="62">
        <v>491.6</v>
      </c>
    </row>
    <row r="381" spans="1:4">
      <c r="A381" s="61">
        <v>2460</v>
      </c>
      <c r="B381" s="61">
        <v>58161</v>
      </c>
      <c r="C381" s="62">
        <v>799.6</v>
      </c>
      <c r="D381" s="62">
        <v>565.9</v>
      </c>
    </row>
    <row r="382" spans="1:4">
      <c r="A382" s="61">
        <v>2462</v>
      </c>
      <c r="B382" s="61">
        <v>58161</v>
      </c>
      <c r="C382" s="62">
        <v>799.6</v>
      </c>
      <c r="D382" s="62">
        <v>565.9</v>
      </c>
    </row>
    <row r="383" spans="1:4">
      <c r="A383" s="61">
        <v>2463</v>
      </c>
      <c r="B383" s="61">
        <v>58012</v>
      </c>
      <c r="C383" s="62">
        <v>1045.5</v>
      </c>
      <c r="D383" s="62">
        <v>316.2</v>
      </c>
    </row>
    <row r="384" spans="1:4">
      <c r="A384" s="61">
        <v>2464</v>
      </c>
      <c r="B384" s="61">
        <v>58012</v>
      </c>
      <c r="C384" s="62">
        <v>1045.5</v>
      </c>
      <c r="D384" s="62">
        <v>316.2</v>
      </c>
    </row>
    <row r="385" spans="1:4">
      <c r="A385" s="61">
        <v>2465</v>
      </c>
      <c r="B385" s="61">
        <v>58012</v>
      </c>
      <c r="C385" s="62">
        <v>1045.5</v>
      </c>
      <c r="D385" s="62">
        <v>316.2</v>
      </c>
    </row>
    <row r="386" spans="1:4">
      <c r="A386" s="61">
        <v>2466</v>
      </c>
      <c r="B386" s="61">
        <v>58012</v>
      </c>
      <c r="C386" s="62">
        <v>1045.5</v>
      </c>
      <c r="D386" s="62">
        <v>316.2</v>
      </c>
    </row>
    <row r="387" spans="1:4">
      <c r="A387" s="61">
        <v>2469</v>
      </c>
      <c r="B387" s="61">
        <v>58208</v>
      </c>
      <c r="C387" s="62">
        <v>753.4</v>
      </c>
      <c r="D387" s="62">
        <v>463.5</v>
      </c>
    </row>
    <row r="388" spans="1:4">
      <c r="A388" s="61">
        <v>2470</v>
      </c>
      <c r="B388" s="61">
        <v>58208</v>
      </c>
      <c r="C388" s="62">
        <v>753.4</v>
      </c>
      <c r="D388" s="62">
        <v>463.5</v>
      </c>
    </row>
    <row r="389" spans="1:4">
      <c r="A389" s="61">
        <v>2471</v>
      </c>
      <c r="B389" s="61">
        <v>58212</v>
      </c>
      <c r="C389" s="62">
        <v>955.3</v>
      </c>
      <c r="D389" s="62">
        <v>321.8</v>
      </c>
    </row>
    <row r="390" spans="1:4">
      <c r="A390" s="61">
        <v>2472</v>
      </c>
      <c r="B390" s="61">
        <v>58212</v>
      </c>
      <c r="C390" s="62">
        <v>955.3</v>
      </c>
      <c r="D390" s="62">
        <v>321.8</v>
      </c>
    </row>
    <row r="391" spans="1:4">
      <c r="A391" s="61">
        <v>2473</v>
      </c>
      <c r="B391" s="61">
        <v>58212</v>
      </c>
      <c r="C391" s="62">
        <v>955.3</v>
      </c>
      <c r="D391" s="62">
        <v>321.8</v>
      </c>
    </row>
    <row r="392" spans="1:4">
      <c r="A392" s="61">
        <v>2474</v>
      </c>
      <c r="B392" s="61">
        <v>58208</v>
      </c>
      <c r="C392" s="62">
        <v>753.4</v>
      </c>
      <c r="D392" s="62">
        <v>463.5</v>
      </c>
    </row>
    <row r="393" spans="1:4">
      <c r="A393" s="61">
        <v>2475</v>
      </c>
      <c r="B393" s="61">
        <v>41175</v>
      </c>
      <c r="C393" s="62">
        <v>210.4</v>
      </c>
      <c r="D393" s="62">
        <v>1395.1</v>
      </c>
    </row>
    <row r="394" spans="1:4">
      <c r="A394" s="61">
        <v>2476</v>
      </c>
      <c r="B394" s="61">
        <v>41525</v>
      </c>
      <c r="C394" s="62">
        <v>456.8</v>
      </c>
      <c r="D394" s="62">
        <v>920.4</v>
      </c>
    </row>
    <row r="395" spans="1:4">
      <c r="A395" s="61">
        <v>2477</v>
      </c>
      <c r="B395" s="61">
        <v>58198</v>
      </c>
      <c r="C395" s="62">
        <v>990.6</v>
      </c>
      <c r="D395" s="62">
        <v>406.9</v>
      </c>
    </row>
    <row r="396" spans="1:4">
      <c r="A396" s="61">
        <v>2478</v>
      </c>
      <c r="B396" s="61">
        <v>58198</v>
      </c>
      <c r="C396" s="62">
        <v>990.6</v>
      </c>
      <c r="D396" s="62">
        <v>406.9</v>
      </c>
    </row>
    <row r="397" spans="1:4">
      <c r="A397" s="61">
        <v>2479</v>
      </c>
      <c r="B397" s="61">
        <v>58198</v>
      </c>
      <c r="C397" s="62">
        <v>990.6</v>
      </c>
      <c r="D397" s="62">
        <v>406.9</v>
      </c>
    </row>
    <row r="398" spans="1:4">
      <c r="A398" s="61">
        <v>2480</v>
      </c>
      <c r="B398" s="61">
        <v>58208</v>
      </c>
      <c r="C398" s="62">
        <v>753.4</v>
      </c>
      <c r="D398" s="62">
        <v>463.5</v>
      </c>
    </row>
    <row r="399" spans="1:4">
      <c r="A399" s="61">
        <v>2481</v>
      </c>
      <c r="B399" s="61">
        <v>58198</v>
      </c>
      <c r="C399" s="62">
        <v>990.6</v>
      </c>
      <c r="D399" s="62">
        <v>406.9</v>
      </c>
    </row>
    <row r="400" spans="1:4">
      <c r="A400" s="61">
        <v>2482</v>
      </c>
      <c r="B400" s="61">
        <v>58198</v>
      </c>
      <c r="C400" s="62">
        <v>990.6</v>
      </c>
      <c r="D400" s="62">
        <v>406.9</v>
      </c>
    </row>
    <row r="401" spans="1:4">
      <c r="A401" s="61">
        <v>2483</v>
      </c>
      <c r="B401" s="61">
        <v>40717</v>
      </c>
      <c r="C401" s="62">
        <v>1023.9</v>
      </c>
      <c r="D401" s="62">
        <v>260.2</v>
      </c>
    </row>
    <row r="402" spans="1:4">
      <c r="A402" s="61">
        <v>2484</v>
      </c>
      <c r="B402" s="61">
        <v>40717</v>
      </c>
      <c r="C402" s="62">
        <v>1023.9</v>
      </c>
      <c r="D402" s="62">
        <v>260.2</v>
      </c>
    </row>
    <row r="403" spans="1:4">
      <c r="A403" s="61">
        <v>2485</v>
      </c>
      <c r="B403" s="61">
        <v>40717</v>
      </c>
      <c r="C403" s="62">
        <v>1023.9</v>
      </c>
      <c r="D403" s="62">
        <v>260.2</v>
      </c>
    </row>
    <row r="404" spans="1:4">
      <c r="A404" s="61">
        <v>2486</v>
      </c>
      <c r="B404" s="61">
        <v>40717</v>
      </c>
      <c r="C404" s="62">
        <v>1023.9</v>
      </c>
      <c r="D404" s="62">
        <v>260.2</v>
      </c>
    </row>
    <row r="405" spans="1:4">
      <c r="A405" s="61">
        <v>2487</v>
      </c>
      <c r="B405" s="61">
        <v>40717</v>
      </c>
      <c r="C405" s="62">
        <v>1023.9</v>
      </c>
      <c r="D405" s="62">
        <v>260.2</v>
      </c>
    </row>
    <row r="406" spans="1:4">
      <c r="A406" s="61">
        <v>2488</v>
      </c>
      <c r="B406" s="61">
        <v>40717</v>
      </c>
      <c r="C406" s="62">
        <v>1023.9</v>
      </c>
      <c r="D406" s="62">
        <v>260.2</v>
      </c>
    </row>
    <row r="407" spans="1:4">
      <c r="A407" s="61">
        <v>2489</v>
      </c>
      <c r="B407" s="61">
        <v>40717</v>
      </c>
      <c r="C407" s="62">
        <v>1023.9</v>
      </c>
      <c r="D407" s="62">
        <v>260.2</v>
      </c>
    </row>
    <row r="408" spans="1:4">
      <c r="A408" s="61">
        <v>2490</v>
      </c>
      <c r="B408" s="61">
        <v>40717</v>
      </c>
      <c r="C408" s="62">
        <v>1023.9</v>
      </c>
      <c r="D408" s="62">
        <v>260.2</v>
      </c>
    </row>
    <row r="409" spans="1:4">
      <c r="A409" s="61">
        <v>2500</v>
      </c>
      <c r="B409" s="61">
        <v>68228</v>
      </c>
      <c r="C409" s="62">
        <v>510.2</v>
      </c>
      <c r="D409" s="62">
        <v>575.5</v>
      </c>
    </row>
    <row r="410" spans="1:4">
      <c r="A410" s="61">
        <v>2502</v>
      </c>
      <c r="B410" s="61">
        <v>68228</v>
      </c>
      <c r="C410" s="62">
        <v>510.2</v>
      </c>
      <c r="D410" s="62">
        <v>575.5</v>
      </c>
    </row>
    <row r="411" spans="1:4">
      <c r="A411" s="61">
        <v>2505</v>
      </c>
      <c r="B411" s="61">
        <v>68228</v>
      </c>
      <c r="C411" s="62">
        <v>510.2</v>
      </c>
      <c r="D411" s="62">
        <v>575.5</v>
      </c>
    </row>
    <row r="412" spans="1:4">
      <c r="A412" s="61">
        <v>2506</v>
      </c>
      <c r="B412" s="61">
        <v>68241</v>
      </c>
      <c r="C412" s="62">
        <v>449.2</v>
      </c>
      <c r="D412" s="62">
        <v>855.2</v>
      </c>
    </row>
    <row r="413" spans="1:4">
      <c r="A413" s="61">
        <v>2508</v>
      </c>
      <c r="B413" s="61">
        <v>68228</v>
      </c>
      <c r="C413" s="62">
        <v>510.2</v>
      </c>
      <c r="D413" s="62">
        <v>575.5</v>
      </c>
    </row>
    <row r="414" spans="1:4">
      <c r="A414" s="61">
        <v>2515</v>
      </c>
      <c r="B414" s="61">
        <v>68228</v>
      </c>
      <c r="C414" s="62">
        <v>510.2</v>
      </c>
      <c r="D414" s="62">
        <v>575.5</v>
      </c>
    </row>
    <row r="415" spans="1:4">
      <c r="A415" s="61">
        <v>2516</v>
      </c>
      <c r="B415" s="61">
        <v>68228</v>
      </c>
      <c r="C415" s="62">
        <v>510.2</v>
      </c>
      <c r="D415" s="62">
        <v>575.5</v>
      </c>
    </row>
    <row r="416" spans="1:4">
      <c r="A416" s="61">
        <v>2517</v>
      </c>
      <c r="B416" s="61">
        <v>68228</v>
      </c>
      <c r="C416" s="62">
        <v>510.2</v>
      </c>
      <c r="D416" s="62">
        <v>575.5</v>
      </c>
    </row>
    <row r="417" spans="1:4">
      <c r="A417" s="61">
        <v>2518</v>
      </c>
      <c r="B417" s="61">
        <v>68228</v>
      </c>
      <c r="C417" s="62">
        <v>510.2</v>
      </c>
      <c r="D417" s="62">
        <v>575.5</v>
      </c>
    </row>
    <row r="418" spans="1:4">
      <c r="A418" s="61">
        <v>2519</v>
      </c>
      <c r="B418" s="61">
        <v>68228</v>
      </c>
      <c r="C418" s="62">
        <v>510.2</v>
      </c>
      <c r="D418" s="62">
        <v>575.5</v>
      </c>
    </row>
    <row r="419" spans="1:4">
      <c r="A419" s="61">
        <v>2522</v>
      </c>
      <c r="B419" s="61">
        <v>68228</v>
      </c>
      <c r="C419" s="62">
        <v>510.2</v>
      </c>
      <c r="D419" s="62">
        <v>575.5</v>
      </c>
    </row>
    <row r="420" spans="1:4">
      <c r="A420" s="61">
        <v>2525</v>
      </c>
      <c r="B420" s="61">
        <v>68228</v>
      </c>
      <c r="C420" s="62">
        <v>510.2</v>
      </c>
      <c r="D420" s="62">
        <v>575.5</v>
      </c>
    </row>
    <row r="421" spans="1:4">
      <c r="A421" s="61">
        <v>2526</v>
      </c>
      <c r="B421" s="61">
        <v>68228</v>
      </c>
      <c r="C421" s="62">
        <v>510.2</v>
      </c>
      <c r="D421" s="62">
        <v>575.5</v>
      </c>
    </row>
    <row r="422" spans="1:4">
      <c r="A422" s="61">
        <v>2527</v>
      </c>
      <c r="B422" s="61">
        <v>68241</v>
      </c>
      <c r="C422" s="62">
        <v>449.2</v>
      </c>
      <c r="D422" s="62">
        <v>855.2</v>
      </c>
    </row>
    <row r="423" spans="1:4">
      <c r="A423" s="61">
        <v>2528</v>
      </c>
      <c r="B423" s="61">
        <v>68241</v>
      </c>
      <c r="C423" s="62">
        <v>449.2</v>
      </c>
      <c r="D423" s="62">
        <v>855.2</v>
      </c>
    </row>
    <row r="424" spans="1:4">
      <c r="A424" s="61">
        <v>2529</v>
      </c>
      <c r="B424" s="61">
        <v>68241</v>
      </c>
      <c r="C424" s="62">
        <v>449.2</v>
      </c>
      <c r="D424" s="62">
        <v>855.2</v>
      </c>
    </row>
    <row r="425" spans="1:4">
      <c r="A425" s="61">
        <v>2530</v>
      </c>
      <c r="B425" s="61">
        <v>68241</v>
      </c>
      <c r="C425" s="62">
        <v>449.2</v>
      </c>
      <c r="D425" s="62">
        <v>855.2</v>
      </c>
    </row>
    <row r="426" spans="1:4">
      <c r="A426" s="61">
        <v>2533</v>
      </c>
      <c r="B426" s="61">
        <v>68241</v>
      </c>
      <c r="C426" s="62">
        <v>449.2</v>
      </c>
      <c r="D426" s="62">
        <v>855.2</v>
      </c>
    </row>
    <row r="427" spans="1:4">
      <c r="A427" s="61">
        <v>2534</v>
      </c>
      <c r="B427" s="61">
        <v>68241</v>
      </c>
      <c r="C427" s="62">
        <v>449.2</v>
      </c>
      <c r="D427" s="62">
        <v>855.2</v>
      </c>
    </row>
    <row r="428" spans="1:4">
      <c r="A428" s="61">
        <v>2535</v>
      </c>
      <c r="B428" s="61">
        <v>68072</v>
      </c>
      <c r="C428" s="62">
        <v>350.9</v>
      </c>
      <c r="D428" s="62">
        <v>918.6</v>
      </c>
    </row>
    <row r="429" spans="1:4">
      <c r="A429" s="61">
        <v>2536</v>
      </c>
      <c r="B429" s="61">
        <v>69148</v>
      </c>
      <c r="C429" s="62">
        <v>323.7</v>
      </c>
      <c r="D429" s="62">
        <v>1177.9000000000001</v>
      </c>
    </row>
    <row r="430" spans="1:4">
      <c r="A430" s="61">
        <v>2537</v>
      </c>
      <c r="B430" s="61">
        <v>69018</v>
      </c>
      <c r="C430" s="62">
        <v>369.7</v>
      </c>
      <c r="D430" s="62">
        <v>938</v>
      </c>
    </row>
    <row r="431" spans="1:4">
      <c r="A431" s="61">
        <v>2538</v>
      </c>
      <c r="B431" s="61">
        <v>69138</v>
      </c>
      <c r="C431" s="62">
        <v>374.1</v>
      </c>
      <c r="D431" s="62">
        <v>792.8</v>
      </c>
    </row>
    <row r="432" spans="1:4">
      <c r="A432" s="61">
        <v>2539</v>
      </c>
      <c r="B432" s="61">
        <v>69138</v>
      </c>
      <c r="C432" s="62">
        <v>374.1</v>
      </c>
      <c r="D432" s="62">
        <v>792.8</v>
      </c>
    </row>
    <row r="433" spans="1:4">
      <c r="A433" s="61">
        <v>2540</v>
      </c>
      <c r="B433" s="61">
        <v>68072</v>
      </c>
      <c r="C433" s="62">
        <v>350.9</v>
      </c>
      <c r="D433" s="62">
        <v>918.6</v>
      </c>
    </row>
    <row r="434" spans="1:4">
      <c r="A434" s="61">
        <v>2541</v>
      </c>
      <c r="B434" s="61">
        <v>68072</v>
      </c>
      <c r="C434" s="62">
        <v>350.9</v>
      </c>
      <c r="D434" s="62">
        <v>918.6</v>
      </c>
    </row>
    <row r="435" spans="1:4">
      <c r="A435" s="61">
        <v>2545</v>
      </c>
      <c r="B435" s="61">
        <v>69148</v>
      </c>
      <c r="C435" s="62">
        <v>323.7</v>
      </c>
      <c r="D435" s="62">
        <v>1177.9000000000001</v>
      </c>
    </row>
    <row r="436" spans="1:4">
      <c r="A436" s="61">
        <v>2546</v>
      </c>
      <c r="B436" s="61">
        <v>69017</v>
      </c>
      <c r="C436" s="62">
        <v>389.1</v>
      </c>
      <c r="D436" s="62">
        <v>755.5</v>
      </c>
    </row>
    <row r="437" spans="1:4">
      <c r="A437" s="61">
        <v>2548</v>
      </c>
      <c r="B437" s="61">
        <v>69147</v>
      </c>
      <c r="C437" s="62">
        <v>245.1</v>
      </c>
      <c r="D437" s="62">
        <v>1249.8</v>
      </c>
    </row>
    <row r="438" spans="1:4">
      <c r="A438" s="61">
        <v>2549</v>
      </c>
      <c r="B438" s="61">
        <v>69147</v>
      </c>
      <c r="C438" s="62">
        <v>245.1</v>
      </c>
      <c r="D438" s="62">
        <v>1249.8</v>
      </c>
    </row>
    <row r="439" spans="1:4">
      <c r="A439" s="61">
        <v>2550</v>
      </c>
      <c r="B439" s="61">
        <v>69147</v>
      </c>
      <c r="C439" s="62">
        <v>245.1</v>
      </c>
      <c r="D439" s="62">
        <v>1249.8</v>
      </c>
    </row>
    <row r="440" spans="1:4">
      <c r="A440" s="61">
        <v>2551</v>
      </c>
      <c r="B440" s="61">
        <v>69147</v>
      </c>
      <c r="C440" s="62">
        <v>245.1</v>
      </c>
      <c r="D440" s="62">
        <v>1249.8</v>
      </c>
    </row>
    <row r="441" spans="1:4">
      <c r="A441" s="61">
        <v>2555</v>
      </c>
      <c r="B441" s="61">
        <v>67108</v>
      </c>
      <c r="C441" s="62">
        <v>453.2</v>
      </c>
      <c r="D441" s="62">
        <v>944.7</v>
      </c>
    </row>
    <row r="442" spans="1:4">
      <c r="A442" s="61">
        <v>2556</v>
      </c>
      <c r="B442" s="61">
        <v>67108</v>
      </c>
      <c r="C442" s="62">
        <v>453.2</v>
      </c>
      <c r="D442" s="62">
        <v>944.7</v>
      </c>
    </row>
    <row r="443" spans="1:4">
      <c r="A443" s="61">
        <v>2557</v>
      </c>
      <c r="B443" s="61">
        <v>68257</v>
      </c>
      <c r="C443" s="62">
        <v>399.4</v>
      </c>
      <c r="D443" s="62">
        <v>960.7</v>
      </c>
    </row>
    <row r="444" spans="1:4">
      <c r="A444" s="61">
        <v>2558</v>
      </c>
      <c r="B444" s="61">
        <v>68257</v>
      </c>
      <c r="C444" s="62">
        <v>399.4</v>
      </c>
      <c r="D444" s="62">
        <v>960.7</v>
      </c>
    </row>
    <row r="445" spans="1:4">
      <c r="A445" s="61">
        <v>2559</v>
      </c>
      <c r="B445" s="61">
        <v>68257</v>
      </c>
      <c r="C445" s="62">
        <v>399.4</v>
      </c>
      <c r="D445" s="62">
        <v>960.7</v>
      </c>
    </row>
    <row r="446" spans="1:4">
      <c r="A446" s="61">
        <v>2560</v>
      </c>
      <c r="B446" s="61">
        <v>68257</v>
      </c>
      <c r="C446" s="62">
        <v>399.4</v>
      </c>
      <c r="D446" s="62">
        <v>960.7</v>
      </c>
    </row>
    <row r="447" spans="1:4">
      <c r="A447" s="61">
        <v>2563</v>
      </c>
      <c r="B447" s="61">
        <v>68257</v>
      </c>
      <c r="C447" s="62">
        <v>399.4</v>
      </c>
      <c r="D447" s="62">
        <v>960.7</v>
      </c>
    </row>
    <row r="448" spans="1:4">
      <c r="A448" s="61">
        <v>2564</v>
      </c>
      <c r="B448" s="61">
        <v>67117</v>
      </c>
      <c r="C448" s="62">
        <v>476.6</v>
      </c>
      <c r="D448" s="62">
        <v>880</v>
      </c>
    </row>
    <row r="449" spans="1:4">
      <c r="A449" s="61">
        <v>2565</v>
      </c>
      <c r="B449" s="61">
        <v>67117</v>
      </c>
      <c r="C449" s="62">
        <v>476.6</v>
      </c>
      <c r="D449" s="62">
        <v>880</v>
      </c>
    </row>
    <row r="450" spans="1:4">
      <c r="A450" s="61">
        <v>2566</v>
      </c>
      <c r="B450" s="61">
        <v>68257</v>
      </c>
      <c r="C450" s="62">
        <v>399.4</v>
      </c>
      <c r="D450" s="62">
        <v>960.7</v>
      </c>
    </row>
    <row r="451" spans="1:4">
      <c r="A451" s="61">
        <v>2567</v>
      </c>
      <c r="B451" s="61">
        <v>68257</v>
      </c>
      <c r="C451" s="62">
        <v>399.4</v>
      </c>
      <c r="D451" s="62">
        <v>960.7</v>
      </c>
    </row>
    <row r="452" spans="1:4">
      <c r="A452" s="61">
        <v>2568</v>
      </c>
      <c r="B452" s="61">
        <v>68257</v>
      </c>
      <c r="C452" s="62">
        <v>399.4</v>
      </c>
      <c r="D452" s="62">
        <v>960.7</v>
      </c>
    </row>
    <row r="453" spans="1:4">
      <c r="A453" s="61">
        <v>2569</v>
      </c>
      <c r="B453" s="61">
        <v>68257</v>
      </c>
      <c r="C453" s="62">
        <v>399.4</v>
      </c>
      <c r="D453" s="62">
        <v>960.7</v>
      </c>
    </row>
    <row r="454" spans="1:4">
      <c r="A454" s="61">
        <v>2570</v>
      </c>
      <c r="B454" s="61">
        <v>68257</v>
      </c>
      <c r="C454" s="62">
        <v>399.4</v>
      </c>
      <c r="D454" s="62">
        <v>960.7</v>
      </c>
    </row>
    <row r="455" spans="1:4">
      <c r="A455" s="61">
        <v>2571</v>
      </c>
      <c r="B455" s="61">
        <v>68257</v>
      </c>
      <c r="C455" s="62">
        <v>399.4</v>
      </c>
      <c r="D455" s="62">
        <v>960.7</v>
      </c>
    </row>
    <row r="456" spans="1:4">
      <c r="A456" s="61">
        <v>2572</v>
      </c>
      <c r="B456" s="61">
        <v>68257</v>
      </c>
      <c r="C456" s="62">
        <v>399.4</v>
      </c>
      <c r="D456" s="62">
        <v>960.7</v>
      </c>
    </row>
    <row r="457" spans="1:4">
      <c r="A457" s="61">
        <v>2573</v>
      </c>
      <c r="B457" s="61">
        <v>68257</v>
      </c>
      <c r="C457" s="62">
        <v>399.4</v>
      </c>
      <c r="D457" s="62">
        <v>960.7</v>
      </c>
    </row>
    <row r="458" spans="1:4">
      <c r="A458" s="61">
        <v>2574</v>
      </c>
      <c r="B458" s="61">
        <v>68241</v>
      </c>
      <c r="C458" s="62">
        <v>449.2</v>
      </c>
      <c r="D458" s="62">
        <v>855.2</v>
      </c>
    </row>
    <row r="459" spans="1:4">
      <c r="A459" s="61">
        <v>2575</v>
      </c>
      <c r="B459" s="61">
        <v>68241</v>
      </c>
      <c r="C459" s="62">
        <v>449.2</v>
      </c>
      <c r="D459" s="62">
        <v>855.2</v>
      </c>
    </row>
    <row r="460" spans="1:4">
      <c r="A460" s="61">
        <v>2576</v>
      </c>
      <c r="B460" s="61">
        <v>68241</v>
      </c>
      <c r="C460" s="62">
        <v>449.2</v>
      </c>
      <c r="D460" s="62">
        <v>855.2</v>
      </c>
    </row>
    <row r="461" spans="1:4">
      <c r="A461" s="61">
        <v>2577</v>
      </c>
      <c r="B461" s="61">
        <v>68241</v>
      </c>
      <c r="C461" s="62">
        <v>449.2</v>
      </c>
      <c r="D461" s="62">
        <v>855.2</v>
      </c>
    </row>
    <row r="462" spans="1:4">
      <c r="A462" s="61">
        <v>2578</v>
      </c>
      <c r="B462" s="61">
        <v>68072</v>
      </c>
      <c r="C462" s="62">
        <v>350.9</v>
      </c>
      <c r="D462" s="62">
        <v>918.6</v>
      </c>
    </row>
    <row r="463" spans="1:4">
      <c r="A463" s="61">
        <v>2579</v>
      </c>
      <c r="B463" s="61">
        <v>70330</v>
      </c>
      <c r="C463" s="62">
        <v>103.4</v>
      </c>
      <c r="D463" s="62">
        <v>2067.6</v>
      </c>
    </row>
    <row r="464" spans="1:4">
      <c r="A464" s="61">
        <v>2580</v>
      </c>
      <c r="B464" s="61">
        <v>70330</v>
      </c>
      <c r="C464" s="62">
        <v>103.4</v>
      </c>
      <c r="D464" s="62">
        <v>2067.6</v>
      </c>
    </row>
    <row r="465" spans="1:4">
      <c r="A465" s="61">
        <v>2581</v>
      </c>
      <c r="B465" s="61">
        <v>70330</v>
      </c>
      <c r="C465" s="62">
        <v>103.4</v>
      </c>
      <c r="D465" s="62">
        <v>2067.6</v>
      </c>
    </row>
    <row r="466" spans="1:4">
      <c r="A466" s="61">
        <v>2582</v>
      </c>
      <c r="B466" s="61">
        <v>70330</v>
      </c>
      <c r="C466" s="62">
        <v>103.4</v>
      </c>
      <c r="D466" s="62">
        <v>2067.6</v>
      </c>
    </row>
    <row r="467" spans="1:4">
      <c r="A467" s="61">
        <v>2583</v>
      </c>
      <c r="B467" s="61">
        <v>63303</v>
      </c>
      <c r="C467" s="62">
        <v>69.2</v>
      </c>
      <c r="D467" s="62">
        <v>2334.5</v>
      </c>
    </row>
    <row r="468" spans="1:4">
      <c r="A468" s="61">
        <v>2584</v>
      </c>
      <c r="B468" s="61">
        <v>73138</v>
      </c>
      <c r="C468" s="62">
        <v>177.9</v>
      </c>
      <c r="D468" s="62">
        <v>1757.6</v>
      </c>
    </row>
    <row r="469" spans="1:4">
      <c r="A469" s="61">
        <v>2585</v>
      </c>
      <c r="B469" s="61">
        <v>73138</v>
      </c>
      <c r="C469" s="62">
        <v>177.9</v>
      </c>
      <c r="D469" s="62">
        <v>1757.6</v>
      </c>
    </row>
    <row r="470" spans="1:4">
      <c r="A470" s="61">
        <v>2586</v>
      </c>
      <c r="B470" s="61">
        <v>73138</v>
      </c>
      <c r="C470" s="62">
        <v>177.9</v>
      </c>
      <c r="D470" s="62">
        <v>1757.6</v>
      </c>
    </row>
    <row r="471" spans="1:4">
      <c r="A471" s="61">
        <v>2587</v>
      </c>
      <c r="B471" s="61">
        <v>73138</v>
      </c>
      <c r="C471" s="62">
        <v>177.9</v>
      </c>
      <c r="D471" s="62">
        <v>1757.6</v>
      </c>
    </row>
    <row r="472" spans="1:4">
      <c r="A472" s="61">
        <v>2588</v>
      </c>
      <c r="B472" s="61">
        <v>73138</v>
      </c>
      <c r="C472" s="62">
        <v>177.9</v>
      </c>
      <c r="D472" s="62">
        <v>1757.6</v>
      </c>
    </row>
    <row r="473" spans="1:4">
      <c r="A473" s="61">
        <v>2590</v>
      </c>
      <c r="B473" s="61">
        <v>72150</v>
      </c>
      <c r="C473" s="62">
        <v>206.4</v>
      </c>
      <c r="D473" s="62">
        <v>1447.7</v>
      </c>
    </row>
    <row r="474" spans="1:4">
      <c r="A474" s="61">
        <v>2594</v>
      </c>
      <c r="B474" s="61">
        <v>73138</v>
      </c>
      <c r="C474" s="62">
        <v>177.9</v>
      </c>
      <c r="D474" s="62">
        <v>1757.6</v>
      </c>
    </row>
    <row r="475" spans="1:4">
      <c r="A475" s="61">
        <v>2600</v>
      </c>
      <c r="B475" s="61">
        <v>70339</v>
      </c>
      <c r="C475" s="62">
        <v>111.9</v>
      </c>
      <c r="D475" s="62">
        <v>1878.7</v>
      </c>
    </row>
    <row r="476" spans="1:4">
      <c r="A476" s="61">
        <v>2601</v>
      </c>
      <c r="B476" s="61">
        <v>70339</v>
      </c>
      <c r="C476" s="62">
        <v>111.9</v>
      </c>
      <c r="D476" s="62">
        <v>1878.7</v>
      </c>
    </row>
    <row r="477" spans="1:4">
      <c r="A477" s="61">
        <v>2602</v>
      </c>
      <c r="B477" s="61">
        <v>70339</v>
      </c>
      <c r="C477" s="62">
        <v>111.9</v>
      </c>
      <c r="D477" s="62">
        <v>1878.7</v>
      </c>
    </row>
    <row r="478" spans="1:4">
      <c r="A478" s="61">
        <v>2603</v>
      </c>
      <c r="B478" s="61">
        <v>70339</v>
      </c>
      <c r="C478" s="62">
        <v>111.9</v>
      </c>
      <c r="D478" s="62">
        <v>1878.7</v>
      </c>
    </row>
    <row r="479" spans="1:4">
      <c r="A479" s="61">
        <v>2604</v>
      </c>
      <c r="B479" s="61">
        <v>70339</v>
      </c>
      <c r="C479" s="62">
        <v>111.9</v>
      </c>
      <c r="D479" s="62">
        <v>1878.7</v>
      </c>
    </row>
    <row r="480" spans="1:4">
      <c r="A480" s="61">
        <v>2605</v>
      </c>
      <c r="B480" s="61">
        <v>70339</v>
      </c>
      <c r="C480" s="62">
        <v>111.9</v>
      </c>
      <c r="D480" s="62">
        <v>1878.7</v>
      </c>
    </row>
    <row r="481" spans="1:4">
      <c r="A481" s="61">
        <v>2606</v>
      </c>
      <c r="B481" s="61">
        <v>70339</v>
      </c>
      <c r="C481" s="62">
        <v>111.9</v>
      </c>
      <c r="D481" s="62">
        <v>1878.7</v>
      </c>
    </row>
    <row r="482" spans="1:4">
      <c r="A482" s="61">
        <v>2607</v>
      </c>
      <c r="B482" s="61">
        <v>70339</v>
      </c>
      <c r="C482" s="62">
        <v>111.9</v>
      </c>
      <c r="D482" s="62">
        <v>1878.7</v>
      </c>
    </row>
    <row r="483" spans="1:4">
      <c r="A483" s="61">
        <v>2609</v>
      </c>
      <c r="B483" s="61">
        <v>70339</v>
      </c>
      <c r="C483" s="62">
        <v>111.9</v>
      </c>
      <c r="D483" s="62">
        <v>1878.7</v>
      </c>
    </row>
    <row r="484" spans="1:4">
      <c r="A484" s="61">
        <v>2611</v>
      </c>
      <c r="B484" s="61">
        <v>70339</v>
      </c>
      <c r="C484" s="62">
        <v>111.9</v>
      </c>
      <c r="D484" s="62">
        <v>1878.7</v>
      </c>
    </row>
    <row r="485" spans="1:4">
      <c r="A485" s="61">
        <v>2612</v>
      </c>
      <c r="B485" s="61">
        <v>70339</v>
      </c>
      <c r="C485" s="62">
        <v>111.9</v>
      </c>
      <c r="D485" s="62">
        <v>1878.7</v>
      </c>
    </row>
    <row r="486" spans="1:4">
      <c r="A486" s="61">
        <v>2614</v>
      </c>
      <c r="B486" s="61">
        <v>70339</v>
      </c>
      <c r="C486" s="62">
        <v>111.9</v>
      </c>
      <c r="D486" s="62">
        <v>1878.7</v>
      </c>
    </row>
    <row r="487" spans="1:4">
      <c r="A487" s="61">
        <v>2615</v>
      </c>
      <c r="B487" s="61">
        <v>70339</v>
      </c>
      <c r="C487" s="62">
        <v>111.9</v>
      </c>
      <c r="D487" s="62">
        <v>1878.7</v>
      </c>
    </row>
    <row r="488" spans="1:4">
      <c r="A488" s="61">
        <v>2617</v>
      </c>
      <c r="B488" s="61">
        <v>70339</v>
      </c>
      <c r="C488" s="62">
        <v>111.9</v>
      </c>
      <c r="D488" s="62">
        <v>1878.7</v>
      </c>
    </row>
    <row r="489" spans="1:4">
      <c r="A489" s="61">
        <v>2618</v>
      </c>
      <c r="B489" s="61">
        <v>70339</v>
      </c>
      <c r="C489" s="62">
        <v>111.9</v>
      </c>
      <c r="D489" s="62">
        <v>1878.7</v>
      </c>
    </row>
    <row r="490" spans="1:4">
      <c r="A490" s="61">
        <v>2619</v>
      </c>
      <c r="B490" s="61">
        <v>70339</v>
      </c>
      <c r="C490" s="62">
        <v>111.9</v>
      </c>
      <c r="D490" s="62">
        <v>1878.7</v>
      </c>
    </row>
    <row r="491" spans="1:4">
      <c r="A491" s="61">
        <v>2620</v>
      </c>
      <c r="B491" s="61">
        <v>70339</v>
      </c>
      <c r="C491" s="62">
        <v>111.9</v>
      </c>
      <c r="D491" s="62">
        <v>1878.7</v>
      </c>
    </row>
    <row r="492" spans="1:4">
      <c r="A492" s="61">
        <v>2621</v>
      </c>
      <c r="B492" s="61">
        <v>70339</v>
      </c>
      <c r="C492" s="62">
        <v>111.9</v>
      </c>
      <c r="D492" s="62">
        <v>1878.7</v>
      </c>
    </row>
    <row r="493" spans="1:4">
      <c r="A493" s="61">
        <v>2622</v>
      </c>
      <c r="B493" s="61">
        <v>69132</v>
      </c>
      <c r="C493" s="62">
        <v>69.599999999999994</v>
      </c>
      <c r="D493" s="62">
        <v>2153.4</v>
      </c>
    </row>
    <row r="494" spans="1:4">
      <c r="A494" s="61">
        <v>2623</v>
      </c>
      <c r="B494" s="61">
        <v>69132</v>
      </c>
      <c r="C494" s="62">
        <v>69.599999999999994</v>
      </c>
      <c r="D494" s="62">
        <v>2153.4</v>
      </c>
    </row>
    <row r="495" spans="1:4">
      <c r="A495" s="61">
        <v>2624</v>
      </c>
      <c r="B495" s="61">
        <v>71032</v>
      </c>
      <c r="C495" s="62">
        <v>0</v>
      </c>
      <c r="D495" s="62">
        <v>4855.7</v>
      </c>
    </row>
    <row r="496" spans="1:4">
      <c r="A496" s="61">
        <v>2625</v>
      </c>
      <c r="B496" s="61">
        <v>71032</v>
      </c>
      <c r="C496" s="62">
        <v>0</v>
      </c>
      <c r="D496" s="62">
        <v>4855.7</v>
      </c>
    </row>
    <row r="497" spans="1:4">
      <c r="A497" s="61">
        <v>2626</v>
      </c>
      <c r="B497" s="61">
        <v>70217</v>
      </c>
      <c r="C497" s="62">
        <v>32.200000000000003</v>
      </c>
      <c r="D497" s="62">
        <v>2660.9</v>
      </c>
    </row>
    <row r="498" spans="1:4">
      <c r="A498" s="61">
        <v>2627</v>
      </c>
      <c r="B498" s="61">
        <v>71032</v>
      </c>
      <c r="C498" s="62">
        <v>0</v>
      </c>
      <c r="D498" s="62">
        <v>4855.7</v>
      </c>
    </row>
    <row r="499" spans="1:4">
      <c r="A499" s="61">
        <v>2628</v>
      </c>
      <c r="B499" s="61">
        <v>70217</v>
      </c>
      <c r="C499" s="62">
        <v>32.200000000000003</v>
      </c>
      <c r="D499" s="62">
        <v>2660.9</v>
      </c>
    </row>
    <row r="500" spans="1:4">
      <c r="A500" s="61">
        <v>2629</v>
      </c>
      <c r="B500" s="61">
        <v>72161</v>
      </c>
      <c r="C500" s="62">
        <v>7.2</v>
      </c>
      <c r="D500" s="62">
        <v>3444.3</v>
      </c>
    </row>
    <row r="501" spans="1:4">
      <c r="A501" s="61">
        <v>2630</v>
      </c>
      <c r="B501" s="61">
        <v>70217</v>
      </c>
      <c r="C501" s="62">
        <v>32.200000000000003</v>
      </c>
      <c r="D501" s="62">
        <v>2660.9</v>
      </c>
    </row>
    <row r="502" spans="1:4">
      <c r="A502" s="61">
        <v>2631</v>
      </c>
      <c r="B502" s="61">
        <v>70328</v>
      </c>
      <c r="C502" s="62">
        <v>48.3</v>
      </c>
      <c r="D502" s="62">
        <v>2513.6999999999998</v>
      </c>
    </row>
    <row r="503" spans="1:4">
      <c r="A503" s="61">
        <v>2632</v>
      </c>
      <c r="B503" s="61">
        <v>70328</v>
      </c>
      <c r="C503" s="62">
        <v>48.3</v>
      </c>
      <c r="D503" s="62">
        <v>2513.6999999999998</v>
      </c>
    </row>
    <row r="504" spans="1:4">
      <c r="A504" s="61">
        <v>2633</v>
      </c>
      <c r="B504" s="61">
        <v>70328</v>
      </c>
      <c r="C504" s="62">
        <v>48.3</v>
      </c>
      <c r="D504" s="62">
        <v>2513.6999999999998</v>
      </c>
    </row>
    <row r="505" spans="1:4">
      <c r="A505" s="61">
        <v>2640</v>
      </c>
      <c r="B505" s="61">
        <v>72160</v>
      </c>
      <c r="C505" s="62">
        <v>206</v>
      </c>
      <c r="D505" s="62">
        <v>1484.8</v>
      </c>
    </row>
    <row r="506" spans="1:4">
      <c r="A506" s="61">
        <v>2641</v>
      </c>
      <c r="B506" s="61">
        <v>72160</v>
      </c>
      <c r="C506" s="62">
        <v>206</v>
      </c>
      <c r="D506" s="62">
        <v>1484.8</v>
      </c>
    </row>
    <row r="507" spans="1:4">
      <c r="A507" s="61">
        <v>2642</v>
      </c>
      <c r="B507" s="61">
        <v>82039</v>
      </c>
      <c r="C507" s="62">
        <v>188.6</v>
      </c>
      <c r="D507" s="62">
        <v>1712</v>
      </c>
    </row>
    <row r="508" spans="1:4">
      <c r="A508" s="61">
        <v>2643</v>
      </c>
      <c r="B508" s="61">
        <v>82039</v>
      </c>
      <c r="C508" s="62">
        <v>188.6</v>
      </c>
      <c r="D508" s="62">
        <v>1712</v>
      </c>
    </row>
    <row r="509" spans="1:4">
      <c r="A509" s="61">
        <v>2644</v>
      </c>
      <c r="B509" s="61">
        <v>72160</v>
      </c>
      <c r="C509" s="62">
        <v>206</v>
      </c>
      <c r="D509" s="62">
        <v>1484.8</v>
      </c>
    </row>
    <row r="510" spans="1:4">
      <c r="A510" s="61">
        <v>2645</v>
      </c>
      <c r="B510" s="61">
        <v>74148</v>
      </c>
      <c r="C510" s="62">
        <v>287.60000000000002</v>
      </c>
      <c r="D510" s="62">
        <v>1285.8</v>
      </c>
    </row>
    <row r="511" spans="1:4">
      <c r="A511" s="61">
        <v>2646</v>
      </c>
      <c r="B511" s="61">
        <v>82039</v>
      </c>
      <c r="C511" s="62">
        <v>188.6</v>
      </c>
      <c r="D511" s="62">
        <v>1712</v>
      </c>
    </row>
    <row r="512" spans="1:4">
      <c r="A512" s="61">
        <v>2647</v>
      </c>
      <c r="B512" s="61">
        <v>81124</v>
      </c>
      <c r="C512" s="62">
        <v>204</v>
      </c>
      <c r="D512" s="62">
        <v>1417.6</v>
      </c>
    </row>
    <row r="513" spans="1:4">
      <c r="A513" s="61">
        <v>2648</v>
      </c>
      <c r="B513" s="61">
        <v>76031</v>
      </c>
      <c r="C513" s="62">
        <v>195.9</v>
      </c>
      <c r="D513" s="62">
        <v>1083.7</v>
      </c>
    </row>
    <row r="514" spans="1:4">
      <c r="A514" s="61">
        <v>2649</v>
      </c>
      <c r="B514" s="61">
        <v>72161</v>
      </c>
      <c r="C514" s="62">
        <v>7.2</v>
      </c>
      <c r="D514" s="62">
        <v>3444.3</v>
      </c>
    </row>
    <row r="515" spans="1:4">
      <c r="A515" s="61">
        <v>2650</v>
      </c>
      <c r="B515" s="61">
        <v>72150</v>
      </c>
      <c r="C515" s="62">
        <v>206.4</v>
      </c>
      <c r="D515" s="62">
        <v>1447.7</v>
      </c>
    </row>
    <row r="516" spans="1:4">
      <c r="A516" s="61">
        <v>2651</v>
      </c>
      <c r="B516" s="61">
        <v>72150</v>
      </c>
      <c r="C516" s="62">
        <v>206.4</v>
      </c>
      <c r="D516" s="62">
        <v>1447.7</v>
      </c>
    </row>
    <row r="517" spans="1:4">
      <c r="A517" s="61">
        <v>2652</v>
      </c>
      <c r="B517" s="61">
        <v>75041</v>
      </c>
      <c r="C517" s="62">
        <v>257.7</v>
      </c>
      <c r="D517" s="62">
        <v>1180.2</v>
      </c>
    </row>
    <row r="518" spans="1:4">
      <c r="A518" s="61">
        <v>2653</v>
      </c>
      <c r="B518" s="61">
        <v>72161</v>
      </c>
      <c r="C518" s="62">
        <v>7.2</v>
      </c>
      <c r="D518" s="62">
        <v>3444.3</v>
      </c>
    </row>
    <row r="519" spans="1:4">
      <c r="A519" s="61">
        <v>2655</v>
      </c>
      <c r="B519" s="61">
        <v>72150</v>
      </c>
      <c r="C519" s="62">
        <v>206.4</v>
      </c>
      <c r="D519" s="62">
        <v>1447.7</v>
      </c>
    </row>
    <row r="520" spans="1:4">
      <c r="A520" s="61">
        <v>2656</v>
      </c>
      <c r="B520" s="61">
        <v>72150</v>
      </c>
      <c r="C520" s="62">
        <v>206.4</v>
      </c>
      <c r="D520" s="62">
        <v>1447.7</v>
      </c>
    </row>
    <row r="521" spans="1:4">
      <c r="A521" s="61">
        <v>2658</v>
      </c>
      <c r="B521" s="61">
        <v>72150</v>
      </c>
      <c r="C521" s="62">
        <v>206.4</v>
      </c>
      <c r="D521" s="62">
        <v>1447.7</v>
      </c>
    </row>
    <row r="522" spans="1:4">
      <c r="A522" s="61">
        <v>2659</v>
      </c>
      <c r="B522" s="61">
        <v>72160</v>
      </c>
      <c r="C522" s="62">
        <v>206</v>
      </c>
      <c r="D522" s="62">
        <v>1484.8</v>
      </c>
    </row>
    <row r="523" spans="1:4">
      <c r="A523" s="61">
        <v>2660</v>
      </c>
      <c r="B523" s="61">
        <v>72160</v>
      </c>
      <c r="C523" s="62">
        <v>206</v>
      </c>
      <c r="D523" s="62">
        <v>1484.8</v>
      </c>
    </row>
    <row r="524" spans="1:4">
      <c r="A524" s="61">
        <v>2661</v>
      </c>
      <c r="B524" s="61">
        <v>72150</v>
      </c>
      <c r="C524" s="62">
        <v>206.4</v>
      </c>
      <c r="D524" s="62">
        <v>1447.7</v>
      </c>
    </row>
    <row r="525" spans="1:4">
      <c r="A525" s="61">
        <v>2663</v>
      </c>
      <c r="B525" s="61">
        <v>72150</v>
      </c>
      <c r="C525" s="62">
        <v>206.4</v>
      </c>
      <c r="D525" s="62">
        <v>1447.7</v>
      </c>
    </row>
    <row r="526" spans="1:4">
      <c r="A526" s="61">
        <v>2665</v>
      </c>
      <c r="B526" s="61">
        <v>74037</v>
      </c>
      <c r="C526" s="62">
        <v>260.3</v>
      </c>
      <c r="D526" s="62">
        <v>1123.9000000000001</v>
      </c>
    </row>
    <row r="527" spans="1:4">
      <c r="A527" s="61">
        <v>2666</v>
      </c>
      <c r="B527" s="61">
        <v>73138</v>
      </c>
      <c r="C527" s="62">
        <v>177.9</v>
      </c>
      <c r="D527" s="62">
        <v>1757.6</v>
      </c>
    </row>
    <row r="528" spans="1:4">
      <c r="A528" s="61">
        <v>2668</v>
      </c>
      <c r="B528" s="61">
        <v>50017</v>
      </c>
      <c r="C528" s="62">
        <v>318.60000000000002</v>
      </c>
      <c r="D528" s="62">
        <v>1299.9000000000001</v>
      </c>
    </row>
    <row r="529" spans="1:4">
      <c r="A529" s="61">
        <v>2669</v>
      </c>
      <c r="B529" s="61">
        <v>75041</v>
      </c>
      <c r="C529" s="62">
        <v>257.7</v>
      </c>
      <c r="D529" s="62">
        <v>1180.2</v>
      </c>
    </row>
    <row r="530" spans="1:4">
      <c r="A530" s="61">
        <v>2671</v>
      </c>
      <c r="B530" s="61">
        <v>50017</v>
      </c>
      <c r="C530" s="62">
        <v>318.60000000000002</v>
      </c>
      <c r="D530" s="62">
        <v>1299.9000000000001</v>
      </c>
    </row>
    <row r="531" spans="1:4">
      <c r="A531" s="61">
        <v>2672</v>
      </c>
      <c r="B531" s="61">
        <v>50137</v>
      </c>
      <c r="C531" s="62">
        <v>338.1</v>
      </c>
      <c r="D531" s="62">
        <v>1198.8</v>
      </c>
    </row>
    <row r="532" spans="1:4">
      <c r="A532" s="61">
        <v>2675</v>
      </c>
      <c r="B532" s="61">
        <v>75041</v>
      </c>
      <c r="C532" s="62">
        <v>257.7</v>
      </c>
      <c r="D532" s="62">
        <v>1180.2</v>
      </c>
    </row>
    <row r="533" spans="1:4">
      <c r="A533" s="61">
        <v>2678</v>
      </c>
      <c r="B533" s="61">
        <v>63291</v>
      </c>
      <c r="C533" s="62">
        <v>121.4</v>
      </c>
      <c r="D533" s="62">
        <v>1911</v>
      </c>
    </row>
    <row r="534" spans="1:4">
      <c r="A534" s="61">
        <v>2680</v>
      </c>
      <c r="B534" s="61">
        <v>75041</v>
      </c>
      <c r="C534" s="62">
        <v>257.7</v>
      </c>
      <c r="D534" s="62">
        <v>1180.2</v>
      </c>
    </row>
    <row r="535" spans="1:4">
      <c r="A535" s="61">
        <v>2681</v>
      </c>
      <c r="B535" s="61">
        <v>75041</v>
      </c>
      <c r="C535" s="62">
        <v>257.7</v>
      </c>
      <c r="D535" s="62">
        <v>1180.2</v>
      </c>
    </row>
    <row r="536" spans="1:4">
      <c r="A536" s="61">
        <v>2700</v>
      </c>
      <c r="B536" s="61">
        <v>74037</v>
      </c>
      <c r="C536" s="62">
        <v>260.3</v>
      </c>
      <c r="D536" s="62">
        <v>1123.9000000000001</v>
      </c>
    </row>
    <row r="537" spans="1:4">
      <c r="A537" s="61">
        <v>2701</v>
      </c>
      <c r="B537" s="61">
        <v>72150</v>
      </c>
      <c r="C537" s="62">
        <v>206.4</v>
      </c>
      <c r="D537" s="62">
        <v>1447.7</v>
      </c>
    </row>
    <row r="538" spans="1:4">
      <c r="A538" s="61">
        <v>2702</v>
      </c>
      <c r="B538" s="61">
        <v>74148</v>
      </c>
      <c r="C538" s="62">
        <v>287.60000000000002</v>
      </c>
      <c r="D538" s="62">
        <v>1285.8</v>
      </c>
    </row>
    <row r="539" spans="1:4">
      <c r="A539" s="61">
        <v>2703</v>
      </c>
      <c r="B539" s="61">
        <v>74037</v>
      </c>
      <c r="C539" s="62">
        <v>260.3</v>
      </c>
      <c r="D539" s="62">
        <v>1123.9000000000001</v>
      </c>
    </row>
    <row r="540" spans="1:4">
      <c r="A540" s="61">
        <v>2705</v>
      </c>
      <c r="B540" s="61">
        <v>74037</v>
      </c>
      <c r="C540" s="62">
        <v>260.3</v>
      </c>
      <c r="D540" s="62">
        <v>1123.9000000000001</v>
      </c>
    </row>
    <row r="541" spans="1:4">
      <c r="A541" s="61">
        <v>2706</v>
      </c>
      <c r="B541" s="61">
        <v>75041</v>
      </c>
      <c r="C541" s="62">
        <v>257.7</v>
      </c>
      <c r="D541" s="62">
        <v>1180.2</v>
      </c>
    </row>
    <row r="542" spans="1:4">
      <c r="A542" s="61">
        <v>2707</v>
      </c>
      <c r="B542" s="61">
        <v>74037</v>
      </c>
      <c r="C542" s="62">
        <v>260.3</v>
      </c>
      <c r="D542" s="62">
        <v>1123.9000000000001</v>
      </c>
    </row>
    <row r="543" spans="1:4">
      <c r="A543" s="61">
        <v>2710</v>
      </c>
      <c r="B543" s="61">
        <v>74258</v>
      </c>
      <c r="C543" s="62">
        <v>219.8</v>
      </c>
      <c r="D543" s="62">
        <v>1322</v>
      </c>
    </row>
    <row r="544" spans="1:4">
      <c r="A544" s="61">
        <v>2711</v>
      </c>
      <c r="B544" s="61">
        <v>75019</v>
      </c>
      <c r="C544" s="62">
        <v>282.2</v>
      </c>
      <c r="D544" s="62">
        <v>1179.9000000000001</v>
      </c>
    </row>
    <row r="545" spans="1:4">
      <c r="A545" s="61">
        <v>2712</v>
      </c>
      <c r="B545" s="61">
        <v>81124</v>
      </c>
      <c r="C545" s="62">
        <v>204</v>
      </c>
      <c r="D545" s="62">
        <v>1417.6</v>
      </c>
    </row>
    <row r="546" spans="1:4">
      <c r="A546" s="61">
        <v>2713</v>
      </c>
      <c r="B546" s="61">
        <v>74258</v>
      </c>
      <c r="C546" s="62">
        <v>219.8</v>
      </c>
      <c r="D546" s="62">
        <v>1322</v>
      </c>
    </row>
    <row r="547" spans="1:4">
      <c r="A547" s="61">
        <v>2714</v>
      </c>
      <c r="B547" s="61">
        <v>74258</v>
      </c>
      <c r="C547" s="62">
        <v>219.8</v>
      </c>
      <c r="D547" s="62">
        <v>1322</v>
      </c>
    </row>
    <row r="548" spans="1:4">
      <c r="A548" s="61">
        <v>2715</v>
      </c>
      <c r="B548" s="61">
        <v>76031</v>
      </c>
      <c r="C548" s="62">
        <v>195.9</v>
      </c>
      <c r="D548" s="62">
        <v>1083.7</v>
      </c>
    </row>
    <row r="549" spans="1:4">
      <c r="A549" s="61">
        <v>2716</v>
      </c>
      <c r="B549" s="61">
        <v>75019</v>
      </c>
      <c r="C549" s="62">
        <v>282.2</v>
      </c>
      <c r="D549" s="62">
        <v>1179.9000000000001</v>
      </c>
    </row>
    <row r="550" spans="1:4">
      <c r="A550" s="61">
        <v>2717</v>
      </c>
      <c r="B550" s="61">
        <v>76031</v>
      </c>
      <c r="C550" s="62">
        <v>195.9</v>
      </c>
      <c r="D550" s="62">
        <v>1083.7</v>
      </c>
    </row>
    <row r="551" spans="1:4">
      <c r="A551" s="61">
        <v>2720</v>
      </c>
      <c r="B551" s="61">
        <v>70339</v>
      </c>
      <c r="C551" s="62">
        <v>111.9</v>
      </c>
      <c r="D551" s="62">
        <v>1878.7</v>
      </c>
    </row>
    <row r="552" spans="1:4">
      <c r="A552" s="61">
        <v>2721</v>
      </c>
      <c r="B552" s="61">
        <v>50017</v>
      </c>
      <c r="C552" s="62">
        <v>318.60000000000002</v>
      </c>
      <c r="D552" s="62">
        <v>1299.9000000000001</v>
      </c>
    </row>
    <row r="553" spans="1:4">
      <c r="A553" s="61">
        <v>2722</v>
      </c>
      <c r="B553" s="61">
        <v>72150</v>
      </c>
      <c r="C553" s="62">
        <v>206.4</v>
      </c>
      <c r="D553" s="62">
        <v>1447.7</v>
      </c>
    </row>
    <row r="554" spans="1:4">
      <c r="A554" s="61">
        <v>2725</v>
      </c>
      <c r="B554" s="61">
        <v>73138</v>
      </c>
      <c r="C554" s="62">
        <v>177.9</v>
      </c>
      <c r="D554" s="62">
        <v>1757.6</v>
      </c>
    </row>
    <row r="555" spans="1:4">
      <c r="A555" s="61">
        <v>2726</v>
      </c>
      <c r="B555" s="61">
        <v>73138</v>
      </c>
      <c r="C555" s="62">
        <v>177.9</v>
      </c>
      <c r="D555" s="62">
        <v>1757.6</v>
      </c>
    </row>
    <row r="556" spans="1:4">
      <c r="A556" s="61">
        <v>2727</v>
      </c>
      <c r="B556" s="61">
        <v>70339</v>
      </c>
      <c r="C556" s="62">
        <v>111.9</v>
      </c>
      <c r="D556" s="62">
        <v>1878.7</v>
      </c>
    </row>
    <row r="557" spans="1:4">
      <c r="A557" s="61">
        <v>2729</v>
      </c>
      <c r="B557" s="61">
        <v>72150</v>
      </c>
      <c r="C557" s="62">
        <v>206.4</v>
      </c>
      <c r="D557" s="62">
        <v>1447.7</v>
      </c>
    </row>
    <row r="558" spans="1:4">
      <c r="A558" s="61">
        <v>2730</v>
      </c>
      <c r="B558" s="61">
        <v>72161</v>
      </c>
      <c r="C558" s="62">
        <v>7.2</v>
      </c>
      <c r="D558" s="62">
        <v>3444.3</v>
      </c>
    </row>
    <row r="559" spans="1:4">
      <c r="A559" s="61">
        <v>2731</v>
      </c>
      <c r="B559" s="61">
        <v>74258</v>
      </c>
      <c r="C559" s="62">
        <v>219.8</v>
      </c>
      <c r="D559" s="62">
        <v>1322</v>
      </c>
    </row>
    <row r="560" spans="1:4">
      <c r="A560" s="61">
        <v>2732</v>
      </c>
      <c r="B560" s="61">
        <v>77094</v>
      </c>
      <c r="C560" s="62">
        <v>151.4</v>
      </c>
      <c r="D560" s="62">
        <v>1292.2</v>
      </c>
    </row>
    <row r="561" spans="1:4">
      <c r="A561" s="61">
        <v>2733</v>
      </c>
      <c r="B561" s="61">
        <v>77094</v>
      </c>
      <c r="C561" s="62">
        <v>151.4</v>
      </c>
      <c r="D561" s="62">
        <v>1292.2</v>
      </c>
    </row>
    <row r="562" spans="1:4">
      <c r="A562" s="61">
        <v>2734</v>
      </c>
      <c r="B562" s="61">
        <v>77094</v>
      </c>
      <c r="C562" s="62">
        <v>151.4</v>
      </c>
      <c r="D562" s="62">
        <v>1292.2</v>
      </c>
    </row>
    <row r="563" spans="1:4">
      <c r="A563" s="61">
        <v>2735</v>
      </c>
      <c r="B563" s="61">
        <v>77094</v>
      </c>
      <c r="C563" s="62">
        <v>151.4</v>
      </c>
      <c r="D563" s="62">
        <v>1292.2</v>
      </c>
    </row>
    <row r="564" spans="1:4">
      <c r="A564" s="61">
        <v>2736</v>
      </c>
      <c r="B564" s="61">
        <v>77094</v>
      </c>
      <c r="C564" s="62">
        <v>151.4</v>
      </c>
      <c r="D564" s="62">
        <v>1292.2</v>
      </c>
    </row>
    <row r="565" spans="1:4">
      <c r="A565" s="61">
        <v>2737</v>
      </c>
      <c r="B565" s="61">
        <v>76031</v>
      </c>
      <c r="C565" s="62">
        <v>195.9</v>
      </c>
      <c r="D565" s="62">
        <v>1083.7</v>
      </c>
    </row>
    <row r="566" spans="1:4">
      <c r="A566" s="61">
        <v>2738</v>
      </c>
      <c r="B566" s="61">
        <v>76031</v>
      </c>
      <c r="C566" s="62">
        <v>195.9</v>
      </c>
      <c r="D566" s="62">
        <v>1083.7</v>
      </c>
    </row>
    <row r="567" spans="1:4">
      <c r="A567" s="61">
        <v>2739</v>
      </c>
      <c r="B567" s="61">
        <v>76031</v>
      </c>
      <c r="C567" s="62">
        <v>195.9</v>
      </c>
      <c r="D567" s="62">
        <v>1083.7</v>
      </c>
    </row>
    <row r="568" spans="1:4">
      <c r="A568" s="61">
        <v>2745</v>
      </c>
      <c r="B568" s="61">
        <v>67113</v>
      </c>
      <c r="C568" s="62">
        <v>610</v>
      </c>
      <c r="D568" s="62">
        <v>741.7</v>
      </c>
    </row>
    <row r="569" spans="1:4">
      <c r="A569" s="61">
        <v>2747</v>
      </c>
      <c r="B569" s="61">
        <v>67113</v>
      </c>
      <c r="C569" s="62">
        <v>610</v>
      </c>
      <c r="D569" s="62">
        <v>741.7</v>
      </c>
    </row>
    <row r="570" spans="1:4">
      <c r="A570" s="61">
        <v>2748</v>
      </c>
      <c r="B570" s="61">
        <v>67113</v>
      </c>
      <c r="C570" s="62">
        <v>610</v>
      </c>
      <c r="D570" s="62">
        <v>741.7</v>
      </c>
    </row>
    <row r="571" spans="1:4">
      <c r="A571" s="61">
        <v>2749</v>
      </c>
      <c r="B571" s="61">
        <v>67113</v>
      </c>
      <c r="C571" s="62">
        <v>610</v>
      </c>
      <c r="D571" s="62">
        <v>741.7</v>
      </c>
    </row>
    <row r="572" spans="1:4">
      <c r="A572" s="61">
        <v>2750</v>
      </c>
      <c r="B572" s="61">
        <v>67113</v>
      </c>
      <c r="C572" s="62">
        <v>610</v>
      </c>
      <c r="D572" s="62">
        <v>741.7</v>
      </c>
    </row>
    <row r="573" spans="1:4">
      <c r="A573" s="61">
        <v>2752</v>
      </c>
      <c r="B573" s="61">
        <v>67108</v>
      </c>
      <c r="C573" s="62">
        <v>453.2</v>
      </c>
      <c r="D573" s="62">
        <v>944.7</v>
      </c>
    </row>
    <row r="574" spans="1:4">
      <c r="A574" s="61">
        <v>2753</v>
      </c>
      <c r="B574" s="61">
        <v>67113</v>
      </c>
      <c r="C574" s="62">
        <v>610</v>
      </c>
      <c r="D574" s="62">
        <v>741.7</v>
      </c>
    </row>
    <row r="575" spans="1:4">
      <c r="A575" s="61">
        <v>2754</v>
      </c>
      <c r="B575" s="61">
        <v>67113</v>
      </c>
      <c r="C575" s="62">
        <v>610</v>
      </c>
      <c r="D575" s="62">
        <v>741.7</v>
      </c>
    </row>
    <row r="576" spans="1:4">
      <c r="A576" s="61">
        <v>2756</v>
      </c>
      <c r="B576" s="61">
        <v>67113</v>
      </c>
      <c r="C576" s="62">
        <v>610</v>
      </c>
      <c r="D576" s="62">
        <v>741.7</v>
      </c>
    </row>
    <row r="577" spans="1:4">
      <c r="A577" s="61">
        <v>2757</v>
      </c>
      <c r="B577" s="61">
        <v>67113</v>
      </c>
      <c r="C577" s="62">
        <v>610</v>
      </c>
      <c r="D577" s="62">
        <v>741.7</v>
      </c>
    </row>
    <row r="578" spans="1:4">
      <c r="A578" s="61">
        <v>2758</v>
      </c>
      <c r="B578" s="61">
        <v>63292</v>
      </c>
      <c r="C578" s="62">
        <v>65.400000000000006</v>
      </c>
      <c r="D578" s="62">
        <v>2200.1</v>
      </c>
    </row>
    <row r="579" spans="1:4">
      <c r="A579" s="61">
        <v>2759</v>
      </c>
      <c r="B579" s="61">
        <v>67119</v>
      </c>
      <c r="C579" s="62">
        <v>440.8</v>
      </c>
      <c r="D579" s="62">
        <v>817.2</v>
      </c>
    </row>
    <row r="580" spans="1:4">
      <c r="A580" s="61">
        <v>2760</v>
      </c>
      <c r="B580" s="61">
        <v>67119</v>
      </c>
      <c r="C580" s="62">
        <v>440.8</v>
      </c>
      <c r="D580" s="62">
        <v>817.2</v>
      </c>
    </row>
    <row r="581" spans="1:4">
      <c r="A581" s="61">
        <v>2761</v>
      </c>
      <c r="B581" s="61">
        <v>67119</v>
      </c>
      <c r="C581" s="62">
        <v>440.8</v>
      </c>
      <c r="D581" s="62">
        <v>817.2</v>
      </c>
    </row>
    <row r="582" spans="1:4">
      <c r="A582" s="61">
        <v>2762</v>
      </c>
      <c r="B582" s="61">
        <v>67119</v>
      </c>
      <c r="C582" s="62">
        <v>440.8</v>
      </c>
      <c r="D582" s="62">
        <v>817.2</v>
      </c>
    </row>
    <row r="583" spans="1:4">
      <c r="A583" s="61">
        <v>2763</v>
      </c>
      <c r="B583" s="61">
        <v>67119</v>
      </c>
      <c r="C583" s="62">
        <v>440.8</v>
      </c>
      <c r="D583" s="62">
        <v>817.2</v>
      </c>
    </row>
    <row r="584" spans="1:4">
      <c r="A584" s="61">
        <v>2765</v>
      </c>
      <c r="B584" s="61">
        <v>67113</v>
      </c>
      <c r="C584" s="62">
        <v>610</v>
      </c>
      <c r="D584" s="62">
        <v>741.7</v>
      </c>
    </row>
    <row r="585" spans="1:4">
      <c r="A585" s="61">
        <v>2766</v>
      </c>
      <c r="B585" s="61">
        <v>67119</v>
      </c>
      <c r="C585" s="62">
        <v>440.8</v>
      </c>
      <c r="D585" s="62">
        <v>817.2</v>
      </c>
    </row>
    <row r="586" spans="1:4">
      <c r="A586" s="61">
        <v>2767</v>
      </c>
      <c r="B586" s="61">
        <v>67119</v>
      </c>
      <c r="C586" s="62">
        <v>440.8</v>
      </c>
      <c r="D586" s="62">
        <v>817.2</v>
      </c>
    </row>
    <row r="587" spans="1:4">
      <c r="A587" s="61">
        <v>2768</v>
      </c>
      <c r="B587" s="61">
        <v>67119</v>
      </c>
      <c r="C587" s="62">
        <v>440.8</v>
      </c>
      <c r="D587" s="62">
        <v>817.2</v>
      </c>
    </row>
    <row r="588" spans="1:4">
      <c r="A588" s="61">
        <v>2769</v>
      </c>
      <c r="B588" s="61">
        <v>67119</v>
      </c>
      <c r="C588" s="62">
        <v>440.8</v>
      </c>
      <c r="D588" s="62">
        <v>817.2</v>
      </c>
    </row>
    <row r="589" spans="1:4">
      <c r="A589" s="61">
        <v>2770</v>
      </c>
      <c r="B589" s="61">
        <v>67113</v>
      </c>
      <c r="C589" s="62">
        <v>610</v>
      </c>
      <c r="D589" s="62">
        <v>741.7</v>
      </c>
    </row>
    <row r="590" spans="1:4">
      <c r="A590" s="61">
        <v>2773</v>
      </c>
      <c r="B590" s="61">
        <v>67113</v>
      </c>
      <c r="C590" s="62">
        <v>610</v>
      </c>
      <c r="D590" s="62">
        <v>741.7</v>
      </c>
    </row>
    <row r="591" spans="1:4">
      <c r="A591" s="61">
        <v>2774</v>
      </c>
      <c r="B591" s="61">
        <v>67113</v>
      </c>
      <c r="C591" s="62">
        <v>610</v>
      </c>
      <c r="D591" s="62">
        <v>741.7</v>
      </c>
    </row>
    <row r="592" spans="1:4">
      <c r="A592" s="61">
        <v>2775</v>
      </c>
      <c r="B592" s="61">
        <v>61375</v>
      </c>
      <c r="C592" s="62">
        <v>411</v>
      </c>
      <c r="D592" s="62">
        <v>1029.4000000000001</v>
      </c>
    </row>
    <row r="593" spans="1:4">
      <c r="A593" s="61">
        <v>2776</v>
      </c>
      <c r="B593" s="61">
        <v>67113</v>
      </c>
      <c r="C593" s="62">
        <v>610</v>
      </c>
      <c r="D593" s="62">
        <v>741.7</v>
      </c>
    </row>
    <row r="594" spans="1:4">
      <c r="A594" s="61">
        <v>2777</v>
      </c>
      <c r="B594" s="61">
        <v>67113</v>
      </c>
      <c r="C594" s="62">
        <v>610</v>
      </c>
      <c r="D594" s="62">
        <v>741.7</v>
      </c>
    </row>
    <row r="595" spans="1:4">
      <c r="A595" s="61">
        <v>2778</v>
      </c>
      <c r="B595" s="61">
        <v>67113</v>
      </c>
      <c r="C595" s="62">
        <v>610</v>
      </c>
      <c r="D595" s="62">
        <v>741.7</v>
      </c>
    </row>
    <row r="596" spans="1:4">
      <c r="A596" s="61">
        <v>2779</v>
      </c>
      <c r="B596" s="61">
        <v>63292</v>
      </c>
      <c r="C596" s="62">
        <v>65.400000000000006</v>
      </c>
      <c r="D596" s="62">
        <v>2200.1</v>
      </c>
    </row>
    <row r="597" spans="1:4">
      <c r="A597" s="61">
        <v>2780</v>
      </c>
      <c r="B597" s="61">
        <v>63292</v>
      </c>
      <c r="C597" s="62">
        <v>65.400000000000006</v>
      </c>
      <c r="D597" s="62">
        <v>2200.1</v>
      </c>
    </row>
    <row r="598" spans="1:4">
      <c r="A598" s="61">
        <v>2782</v>
      </c>
      <c r="B598" s="61">
        <v>63292</v>
      </c>
      <c r="C598" s="62">
        <v>65.400000000000006</v>
      </c>
      <c r="D598" s="62">
        <v>2200.1</v>
      </c>
    </row>
    <row r="599" spans="1:4">
      <c r="A599" s="61">
        <v>2783</v>
      </c>
      <c r="B599" s="61">
        <v>63292</v>
      </c>
      <c r="C599" s="62">
        <v>65.400000000000006</v>
      </c>
      <c r="D599" s="62">
        <v>2200.1</v>
      </c>
    </row>
    <row r="600" spans="1:4">
      <c r="A600" s="61">
        <v>2784</v>
      </c>
      <c r="B600" s="61">
        <v>63292</v>
      </c>
      <c r="C600" s="62">
        <v>65.400000000000006</v>
      </c>
      <c r="D600" s="62">
        <v>2200.1</v>
      </c>
    </row>
    <row r="601" spans="1:4">
      <c r="A601" s="61">
        <v>2785</v>
      </c>
      <c r="B601" s="61">
        <v>63292</v>
      </c>
      <c r="C601" s="62">
        <v>65.400000000000006</v>
      </c>
      <c r="D601" s="62">
        <v>2200.1</v>
      </c>
    </row>
    <row r="602" spans="1:4">
      <c r="A602" s="61">
        <v>2786</v>
      </c>
      <c r="B602" s="61">
        <v>63292</v>
      </c>
      <c r="C602" s="62">
        <v>65.400000000000006</v>
      </c>
      <c r="D602" s="62">
        <v>2200.1</v>
      </c>
    </row>
    <row r="603" spans="1:4">
      <c r="A603" s="61">
        <v>2787</v>
      </c>
      <c r="B603" s="61">
        <v>63291</v>
      </c>
      <c r="C603" s="62">
        <v>121.4</v>
      </c>
      <c r="D603" s="62">
        <v>1911</v>
      </c>
    </row>
    <row r="604" spans="1:4">
      <c r="A604" s="61">
        <v>2790</v>
      </c>
      <c r="B604" s="61">
        <v>63291</v>
      </c>
      <c r="C604" s="62">
        <v>121.4</v>
      </c>
      <c r="D604" s="62">
        <v>1911</v>
      </c>
    </row>
    <row r="605" spans="1:4">
      <c r="A605" s="61">
        <v>2791</v>
      </c>
      <c r="B605" s="61">
        <v>63303</v>
      </c>
      <c r="C605" s="62">
        <v>69.2</v>
      </c>
      <c r="D605" s="62">
        <v>2334.5</v>
      </c>
    </row>
    <row r="606" spans="1:4">
      <c r="A606" s="61">
        <v>2792</v>
      </c>
      <c r="B606" s="61">
        <v>63303</v>
      </c>
      <c r="C606" s="62">
        <v>69.2</v>
      </c>
      <c r="D606" s="62">
        <v>2334.5</v>
      </c>
    </row>
    <row r="607" spans="1:4">
      <c r="A607" s="61">
        <v>2793</v>
      </c>
      <c r="B607" s="61">
        <v>63303</v>
      </c>
      <c r="C607" s="62">
        <v>69.2</v>
      </c>
      <c r="D607" s="62">
        <v>2334.5</v>
      </c>
    </row>
    <row r="608" spans="1:4">
      <c r="A608" s="61">
        <v>2794</v>
      </c>
      <c r="B608" s="61">
        <v>73138</v>
      </c>
      <c r="C608" s="62">
        <v>177.9</v>
      </c>
      <c r="D608" s="62">
        <v>1757.6</v>
      </c>
    </row>
    <row r="609" spans="1:4">
      <c r="A609" s="12">
        <v>2795</v>
      </c>
      <c r="B609" s="12">
        <v>63291</v>
      </c>
      <c r="C609" s="12">
        <v>121.4</v>
      </c>
      <c r="D609" s="12">
        <v>1911</v>
      </c>
    </row>
    <row r="610" spans="1:4">
      <c r="A610" s="61">
        <v>2797</v>
      </c>
      <c r="B610" s="61">
        <v>63303</v>
      </c>
      <c r="C610" s="62">
        <v>69.2</v>
      </c>
      <c r="D610" s="62">
        <v>2334.5</v>
      </c>
    </row>
    <row r="611" spans="1:4">
      <c r="A611" s="61">
        <v>2798</v>
      </c>
      <c r="B611" s="61">
        <v>63303</v>
      </c>
      <c r="C611" s="62">
        <v>69.2</v>
      </c>
      <c r="D611" s="62">
        <v>2334.5</v>
      </c>
    </row>
    <row r="612" spans="1:4">
      <c r="A612" s="61">
        <v>2799</v>
      </c>
      <c r="B612" s="61">
        <v>63303</v>
      </c>
      <c r="C612" s="62">
        <v>69.2</v>
      </c>
      <c r="D612" s="62">
        <v>2334.5</v>
      </c>
    </row>
    <row r="613" spans="1:4">
      <c r="A613" s="61">
        <v>2800</v>
      </c>
      <c r="B613" s="61">
        <v>63303</v>
      </c>
      <c r="C613" s="62">
        <v>69.2</v>
      </c>
      <c r="D613" s="62">
        <v>2334.5</v>
      </c>
    </row>
    <row r="614" spans="1:4">
      <c r="A614" s="61">
        <v>2803</v>
      </c>
      <c r="B614" s="61">
        <v>73138</v>
      </c>
      <c r="C614" s="62">
        <v>177.9</v>
      </c>
      <c r="D614" s="62">
        <v>1757.6</v>
      </c>
    </row>
    <row r="615" spans="1:4">
      <c r="A615" s="61">
        <v>2804</v>
      </c>
      <c r="B615" s="61">
        <v>63303</v>
      </c>
      <c r="C615" s="62">
        <v>69.2</v>
      </c>
      <c r="D615" s="62">
        <v>2334.5</v>
      </c>
    </row>
    <row r="616" spans="1:4">
      <c r="A616" s="61">
        <v>2805</v>
      </c>
      <c r="B616" s="61">
        <v>65103</v>
      </c>
      <c r="C616" s="62">
        <v>319.89999999999998</v>
      </c>
      <c r="D616" s="62">
        <v>1282.8</v>
      </c>
    </row>
    <row r="617" spans="1:4">
      <c r="A617" s="61">
        <v>2806</v>
      </c>
      <c r="B617" s="61">
        <v>65068</v>
      </c>
      <c r="C617" s="62">
        <v>268.7</v>
      </c>
      <c r="D617" s="62">
        <v>1387.5</v>
      </c>
    </row>
    <row r="618" spans="1:4">
      <c r="A618" s="61">
        <v>2807</v>
      </c>
      <c r="B618" s="61">
        <v>73138</v>
      </c>
      <c r="C618" s="62">
        <v>177.9</v>
      </c>
      <c r="D618" s="62">
        <v>1757.6</v>
      </c>
    </row>
    <row r="619" spans="1:4">
      <c r="A619" s="61">
        <v>2808</v>
      </c>
      <c r="B619" s="61">
        <v>63303</v>
      </c>
      <c r="C619" s="62">
        <v>69.2</v>
      </c>
      <c r="D619" s="62">
        <v>2334.5</v>
      </c>
    </row>
    <row r="620" spans="1:4">
      <c r="A620" s="61">
        <v>2809</v>
      </c>
      <c r="B620" s="61">
        <v>73138</v>
      </c>
      <c r="C620" s="62">
        <v>177.9</v>
      </c>
      <c r="D620" s="62">
        <v>1757.6</v>
      </c>
    </row>
    <row r="621" spans="1:4">
      <c r="A621" s="61">
        <v>2810</v>
      </c>
      <c r="B621" s="61">
        <v>73138</v>
      </c>
      <c r="C621" s="62">
        <v>177.9</v>
      </c>
      <c r="D621" s="62">
        <v>1757.6</v>
      </c>
    </row>
    <row r="622" spans="1:4">
      <c r="A622" s="61">
        <v>2818</v>
      </c>
      <c r="B622" s="61">
        <v>65070</v>
      </c>
      <c r="C622" s="62">
        <v>343.3</v>
      </c>
      <c r="D622" s="62">
        <v>1144.8</v>
      </c>
    </row>
    <row r="623" spans="1:4">
      <c r="A623" s="61">
        <v>2820</v>
      </c>
      <c r="B623" s="61">
        <v>65070</v>
      </c>
      <c r="C623" s="62">
        <v>343.3</v>
      </c>
      <c r="D623" s="62">
        <v>1144.8</v>
      </c>
    </row>
    <row r="624" spans="1:4">
      <c r="A624" s="61">
        <v>2821</v>
      </c>
      <c r="B624" s="61">
        <v>65070</v>
      </c>
      <c r="C624" s="62">
        <v>343.3</v>
      </c>
      <c r="D624" s="62">
        <v>1144.8</v>
      </c>
    </row>
    <row r="625" spans="1:4">
      <c r="A625" s="61">
        <v>2823</v>
      </c>
      <c r="B625" s="61">
        <v>51049</v>
      </c>
      <c r="C625" s="62">
        <v>456.1</v>
      </c>
      <c r="D625" s="62">
        <v>1047.3</v>
      </c>
    </row>
    <row r="626" spans="1:4">
      <c r="A626" s="61">
        <v>2824</v>
      </c>
      <c r="B626" s="61">
        <v>51049</v>
      </c>
      <c r="C626" s="62">
        <v>456.1</v>
      </c>
      <c r="D626" s="62">
        <v>1047.3</v>
      </c>
    </row>
    <row r="627" spans="1:4">
      <c r="A627" s="61">
        <v>2825</v>
      </c>
      <c r="B627" s="61">
        <v>48237</v>
      </c>
      <c r="C627" s="62">
        <v>400.6</v>
      </c>
      <c r="D627" s="62">
        <v>1021.8</v>
      </c>
    </row>
    <row r="628" spans="1:4">
      <c r="A628" s="61">
        <v>2826</v>
      </c>
      <c r="B628" s="61">
        <v>65103</v>
      </c>
      <c r="C628" s="62">
        <v>319.89999999999998</v>
      </c>
      <c r="D628" s="62">
        <v>1282.8</v>
      </c>
    </row>
    <row r="629" spans="1:4">
      <c r="A629" s="61">
        <v>2827</v>
      </c>
      <c r="B629" s="61">
        <v>65070</v>
      </c>
      <c r="C629" s="62">
        <v>343.3</v>
      </c>
      <c r="D629" s="62">
        <v>1144.8</v>
      </c>
    </row>
    <row r="630" spans="1:4">
      <c r="A630" s="61">
        <v>2828</v>
      </c>
      <c r="B630" s="61">
        <v>51161</v>
      </c>
      <c r="C630" s="62">
        <v>519.70000000000005</v>
      </c>
      <c r="D630" s="62">
        <v>903.7</v>
      </c>
    </row>
    <row r="631" spans="1:4">
      <c r="A631" s="61">
        <v>2829</v>
      </c>
      <c r="B631" s="61">
        <v>51161</v>
      </c>
      <c r="C631" s="62">
        <v>519.70000000000005</v>
      </c>
      <c r="D631" s="62">
        <v>903.7</v>
      </c>
    </row>
    <row r="632" spans="1:4">
      <c r="A632" s="61">
        <v>2830</v>
      </c>
      <c r="B632" s="61">
        <v>65070</v>
      </c>
      <c r="C632" s="62">
        <v>343.3</v>
      </c>
      <c r="D632" s="62">
        <v>1144.8</v>
      </c>
    </row>
    <row r="633" spans="1:4">
      <c r="A633" s="61">
        <v>2831</v>
      </c>
      <c r="B633" s="61">
        <v>65070</v>
      </c>
      <c r="C633" s="62">
        <v>343.3</v>
      </c>
      <c r="D633" s="62">
        <v>1144.8</v>
      </c>
    </row>
    <row r="634" spans="1:4">
      <c r="A634" s="61">
        <v>2832</v>
      </c>
      <c r="B634" s="61">
        <v>51161</v>
      </c>
      <c r="C634" s="62">
        <v>519.70000000000005</v>
      </c>
      <c r="D634" s="62">
        <v>903.7</v>
      </c>
    </row>
    <row r="635" spans="1:4">
      <c r="A635" s="61">
        <v>2833</v>
      </c>
      <c r="B635" s="61">
        <v>53115</v>
      </c>
      <c r="C635" s="62">
        <v>533.70000000000005</v>
      </c>
      <c r="D635" s="62">
        <v>755</v>
      </c>
    </row>
    <row r="636" spans="1:4">
      <c r="A636" s="61">
        <v>2834</v>
      </c>
      <c r="B636" s="61">
        <v>43109</v>
      </c>
      <c r="C636" s="62">
        <v>676.8</v>
      </c>
      <c r="D636" s="62">
        <v>592</v>
      </c>
    </row>
    <row r="637" spans="1:4">
      <c r="A637" s="61">
        <v>2835</v>
      </c>
      <c r="B637" s="61">
        <v>49000</v>
      </c>
      <c r="C637" s="62">
        <v>305</v>
      </c>
      <c r="D637" s="62">
        <v>900.1</v>
      </c>
    </row>
    <row r="638" spans="1:4">
      <c r="A638" s="61">
        <v>2836</v>
      </c>
      <c r="B638" s="61">
        <v>46129</v>
      </c>
      <c r="C638" s="62">
        <v>432.7</v>
      </c>
      <c r="D638" s="62">
        <v>720.5</v>
      </c>
    </row>
    <row r="639" spans="1:4">
      <c r="A639" s="61">
        <v>2838</v>
      </c>
      <c r="B639" s="61">
        <v>43109</v>
      </c>
      <c r="C639" s="62">
        <v>676.8</v>
      </c>
      <c r="D639" s="62">
        <v>592</v>
      </c>
    </row>
    <row r="640" spans="1:4">
      <c r="A640" s="61">
        <v>2839</v>
      </c>
      <c r="B640" s="61">
        <v>51161</v>
      </c>
      <c r="C640" s="62">
        <v>519.70000000000005</v>
      </c>
      <c r="D640" s="62">
        <v>903.7</v>
      </c>
    </row>
    <row r="641" spans="1:4">
      <c r="A641" s="61">
        <v>2840</v>
      </c>
      <c r="B641" s="61">
        <v>48027</v>
      </c>
      <c r="C641" s="62">
        <v>336.2</v>
      </c>
      <c r="D641" s="62">
        <v>849.3</v>
      </c>
    </row>
    <row r="642" spans="1:4">
      <c r="A642" s="61">
        <v>2842</v>
      </c>
      <c r="B642" s="61">
        <v>65070</v>
      </c>
      <c r="C642" s="62">
        <v>343.3</v>
      </c>
      <c r="D642" s="62">
        <v>1144.8</v>
      </c>
    </row>
    <row r="643" spans="1:4">
      <c r="A643" s="61">
        <v>2843</v>
      </c>
      <c r="B643" s="61">
        <v>61287</v>
      </c>
      <c r="C643" s="62">
        <v>349.6</v>
      </c>
      <c r="D643" s="62">
        <v>1259.3</v>
      </c>
    </row>
    <row r="644" spans="1:4">
      <c r="A644" s="61">
        <v>2844</v>
      </c>
      <c r="B644" s="61">
        <v>62101</v>
      </c>
      <c r="C644" s="62">
        <v>270.8</v>
      </c>
      <c r="D644" s="62">
        <v>1506</v>
      </c>
    </row>
    <row r="645" spans="1:4">
      <c r="A645" s="61">
        <v>2845</v>
      </c>
      <c r="B645" s="61">
        <v>63292</v>
      </c>
      <c r="C645" s="62">
        <v>65.400000000000006</v>
      </c>
      <c r="D645" s="62">
        <v>2200.1</v>
      </c>
    </row>
    <row r="646" spans="1:4">
      <c r="A646" s="61">
        <v>2846</v>
      </c>
      <c r="B646" s="61">
        <v>63291</v>
      </c>
      <c r="C646" s="62">
        <v>121.4</v>
      </c>
      <c r="D646" s="62">
        <v>1911</v>
      </c>
    </row>
    <row r="647" spans="1:4">
      <c r="A647" s="61">
        <v>2847</v>
      </c>
      <c r="B647" s="61">
        <v>63291</v>
      </c>
      <c r="C647" s="62">
        <v>121.4</v>
      </c>
      <c r="D647" s="62">
        <v>1911</v>
      </c>
    </row>
    <row r="648" spans="1:4">
      <c r="A648" s="61">
        <v>2848</v>
      </c>
      <c r="B648" s="61">
        <v>62100</v>
      </c>
      <c r="C648" s="62">
        <v>73.900000000000006</v>
      </c>
      <c r="D648" s="62">
        <v>2266.6</v>
      </c>
    </row>
    <row r="649" spans="1:4">
      <c r="A649" s="61">
        <v>2849</v>
      </c>
      <c r="B649" s="61">
        <v>62100</v>
      </c>
      <c r="C649" s="62">
        <v>73.900000000000006</v>
      </c>
      <c r="D649" s="62">
        <v>2266.6</v>
      </c>
    </row>
    <row r="650" spans="1:4">
      <c r="A650" s="61">
        <v>2850</v>
      </c>
      <c r="B650" s="61">
        <v>62101</v>
      </c>
      <c r="C650" s="62">
        <v>270.8</v>
      </c>
      <c r="D650" s="62">
        <v>1506</v>
      </c>
    </row>
    <row r="651" spans="1:4">
      <c r="A651" s="61">
        <v>2852</v>
      </c>
      <c r="B651" s="61">
        <v>62101</v>
      </c>
      <c r="C651" s="62">
        <v>270.8</v>
      </c>
      <c r="D651" s="62">
        <v>1506</v>
      </c>
    </row>
    <row r="652" spans="1:4">
      <c r="A652" s="61">
        <v>2864</v>
      </c>
      <c r="B652" s="61">
        <v>63303</v>
      </c>
      <c r="C652" s="62">
        <v>69.2</v>
      </c>
      <c r="D652" s="62">
        <v>2334.5</v>
      </c>
    </row>
    <row r="653" spans="1:4">
      <c r="A653" s="61">
        <v>2865</v>
      </c>
      <c r="B653" s="61">
        <v>65068</v>
      </c>
      <c r="C653" s="62">
        <v>268.7</v>
      </c>
      <c r="D653" s="62">
        <v>1387.5</v>
      </c>
    </row>
    <row r="654" spans="1:4">
      <c r="A654" s="61">
        <v>2866</v>
      </c>
      <c r="B654" s="61">
        <v>63303</v>
      </c>
      <c r="C654" s="62">
        <v>69.2</v>
      </c>
      <c r="D654" s="62">
        <v>2334.5</v>
      </c>
    </row>
    <row r="655" spans="1:4">
      <c r="A655" s="61">
        <v>2867</v>
      </c>
      <c r="B655" s="61">
        <v>65068</v>
      </c>
      <c r="C655" s="62">
        <v>268.7</v>
      </c>
      <c r="D655" s="62">
        <v>1387.5</v>
      </c>
    </row>
    <row r="656" spans="1:4">
      <c r="A656" s="61">
        <v>2868</v>
      </c>
      <c r="B656" s="61">
        <v>65070</v>
      </c>
      <c r="C656" s="62">
        <v>343.3</v>
      </c>
      <c r="D656" s="62">
        <v>1144.8</v>
      </c>
    </row>
    <row r="657" spans="1:4">
      <c r="A657" s="61">
        <v>2869</v>
      </c>
      <c r="B657" s="61">
        <v>65068</v>
      </c>
      <c r="C657" s="62">
        <v>268.7</v>
      </c>
      <c r="D657" s="62">
        <v>1387.5</v>
      </c>
    </row>
    <row r="658" spans="1:4">
      <c r="A658" s="61">
        <v>2870</v>
      </c>
      <c r="B658" s="61">
        <v>65068</v>
      </c>
      <c r="C658" s="62">
        <v>268.7</v>
      </c>
      <c r="D658" s="62">
        <v>1387.5</v>
      </c>
    </row>
    <row r="659" spans="1:4">
      <c r="A659" s="61">
        <v>2871</v>
      </c>
      <c r="B659" s="61">
        <v>65103</v>
      </c>
      <c r="C659" s="62">
        <v>319.89999999999998</v>
      </c>
      <c r="D659" s="62">
        <v>1282.8</v>
      </c>
    </row>
    <row r="660" spans="1:4">
      <c r="A660" s="61">
        <v>2873</v>
      </c>
      <c r="B660" s="61">
        <v>51049</v>
      </c>
      <c r="C660" s="62">
        <v>456.1</v>
      </c>
      <c r="D660" s="62">
        <v>1047.3</v>
      </c>
    </row>
    <row r="661" spans="1:4">
      <c r="A661" s="61">
        <v>2874</v>
      </c>
      <c r="B661" s="61">
        <v>50137</v>
      </c>
      <c r="C661" s="62">
        <v>338.1</v>
      </c>
      <c r="D661" s="62">
        <v>1198.8</v>
      </c>
    </row>
    <row r="662" spans="1:4">
      <c r="A662" s="61">
        <v>2875</v>
      </c>
      <c r="B662" s="61">
        <v>65068</v>
      </c>
      <c r="C662" s="62">
        <v>268.7</v>
      </c>
      <c r="D662" s="62">
        <v>1387.5</v>
      </c>
    </row>
    <row r="663" spans="1:4">
      <c r="A663" s="61">
        <v>2876</v>
      </c>
      <c r="B663" s="61">
        <v>65103</v>
      </c>
      <c r="C663" s="62">
        <v>319.89999999999998</v>
      </c>
      <c r="D663" s="62">
        <v>1282.8</v>
      </c>
    </row>
    <row r="664" spans="1:4">
      <c r="A664" s="61">
        <v>2877</v>
      </c>
      <c r="B664" s="61">
        <v>50137</v>
      </c>
      <c r="C664" s="62">
        <v>338.1</v>
      </c>
      <c r="D664" s="62">
        <v>1198.8</v>
      </c>
    </row>
    <row r="665" spans="1:4">
      <c r="A665" s="61">
        <v>2878</v>
      </c>
      <c r="B665" s="61">
        <v>49000</v>
      </c>
      <c r="C665" s="62">
        <v>305</v>
      </c>
      <c r="D665" s="62">
        <v>900.1</v>
      </c>
    </row>
    <row r="666" spans="1:4">
      <c r="A666" s="61">
        <v>2879</v>
      </c>
      <c r="B666" s="61">
        <v>47048</v>
      </c>
      <c r="C666" s="62">
        <v>258.7</v>
      </c>
      <c r="D666" s="62">
        <v>1006.3</v>
      </c>
    </row>
    <row r="667" spans="1:4">
      <c r="A667" s="61">
        <v>2880</v>
      </c>
      <c r="B667" s="61">
        <v>47048</v>
      </c>
      <c r="C667" s="62">
        <v>258.7</v>
      </c>
      <c r="D667" s="62">
        <v>1006.3</v>
      </c>
    </row>
    <row r="668" spans="1:4">
      <c r="A668" s="61">
        <v>2898</v>
      </c>
      <c r="B668" s="61">
        <v>59040</v>
      </c>
      <c r="C668" s="62">
        <v>804.9</v>
      </c>
      <c r="D668" s="62">
        <v>491.6</v>
      </c>
    </row>
    <row r="669" spans="1:4">
      <c r="A669" s="61">
        <v>2899</v>
      </c>
      <c r="B669" s="61">
        <v>72160</v>
      </c>
      <c r="C669" s="62">
        <v>206</v>
      </c>
      <c r="D669" s="62">
        <v>1484.8</v>
      </c>
    </row>
    <row r="670" spans="1:4">
      <c r="A670" s="61">
        <v>2900</v>
      </c>
      <c r="B670" s="61">
        <v>70339</v>
      </c>
      <c r="C670" s="62">
        <v>111.9</v>
      </c>
      <c r="D670" s="62">
        <v>1878.7</v>
      </c>
    </row>
    <row r="671" spans="1:4">
      <c r="A671" s="61">
        <v>2902</v>
      </c>
      <c r="B671" s="61">
        <v>70339</v>
      </c>
      <c r="C671" s="62">
        <v>111.9</v>
      </c>
      <c r="D671" s="62">
        <v>1878.7</v>
      </c>
    </row>
    <row r="672" spans="1:4">
      <c r="A672" s="61">
        <v>2903</v>
      </c>
      <c r="B672" s="61">
        <v>70339</v>
      </c>
      <c r="C672" s="62">
        <v>111.9</v>
      </c>
      <c r="D672" s="62">
        <v>1878.7</v>
      </c>
    </row>
    <row r="673" spans="1:4">
      <c r="A673" s="61">
        <v>2904</v>
      </c>
      <c r="B673" s="61">
        <v>70339</v>
      </c>
      <c r="C673" s="62">
        <v>111.9</v>
      </c>
      <c r="D673" s="62">
        <v>1878.7</v>
      </c>
    </row>
    <row r="674" spans="1:4">
      <c r="A674" s="61">
        <v>2905</v>
      </c>
      <c r="B674" s="61">
        <v>70339</v>
      </c>
      <c r="C674" s="62">
        <v>111.9</v>
      </c>
      <c r="D674" s="62">
        <v>1878.7</v>
      </c>
    </row>
    <row r="675" spans="1:4">
      <c r="A675" s="61">
        <v>2906</v>
      </c>
      <c r="B675" s="61">
        <v>70339</v>
      </c>
      <c r="C675" s="62">
        <v>111.9</v>
      </c>
      <c r="D675" s="62">
        <v>1878.7</v>
      </c>
    </row>
    <row r="676" spans="1:4">
      <c r="A676" s="61">
        <v>2911</v>
      </c>
      <c r="B676" s="61">
        <v>70339</v>
      </c>
      <c r="C676" s="62">
        <v>111.9</v>
      </c>
      <c r="D676" s="62">
        <v>1878.7</v>
      </c>
    </row>
    <row r="677" spans="1:4">
      <c r="A677" s="61">
        <v>2912</v>
      </c>
      <c r="B677" s="61">
        <v>70339</v>
      </c>
      <c r="C677" s="62">
        <v>111.9</v>
      </c>
      <c r="D677" s="62">
        <v>1878.7</v>
      </c>
    </row>
    <row r="678" spans="1:4">
      <c r="A678" s="61">
        <v>2913</v>
      </c>
      <c r="B678" s="61">
        <v>70339</v>
      </c>
      <c r="C678" s="62">
        <v>111.9</v>
      </c>
      <c r="D678" s="62">
        <v>1878.7</v>
      </c>
    </row>
    <row r="679" spans="1:4">
      <c r="A679" s="61">
        <v>2914</v>
      </c>
      <c r="B679" s="61">
        <v>70339</v>
      </c>
      <c r="C679" s="62">
        <v>111.9</v>
      </c>
      <c r="D679" s="62">
        <v>1878.7</v>
      </c>
    </row>
    <row r="680" spans="1:4">
      <c r="A680" s="61">
        <v>3000</v>
      </c>
      <c r="B680" s="61">
        <v>86071</v>
      </c>
      <c r="C680" s="62">
        <v>167</v>
      </c>
      <c r="D680" s="62">
        <v>1055.2</v>
      </c>
    </row>
    <row r="681" spans="1:4">
      <c r="A681" s="61">
        <v>3002</v>
      </c>
      <c r="B681" s="61">
        <v>86071</v>
      </c>
      <c r="C681" s="62">
        <v>167</v>
      </c>
      <c r="D681" s="62">
        <v>1055.2</v>
      </c>
    </row>
    <row r="682" spans="1:4">
      <c r="A682" s="61">
        <v>3003</v>
      </c>
      <c r="B682" s="61">
        <v>86071</v>
      </c>
      <c r="C682" s="62">
        <v>167</v>
      </c>
      <c r="D682" s="62">
        <v>1055.2</v>
      </c>
    </row>
    <row r="683" spans="1:4">
      <c r="A683" s="61">
        <v>3004</v>
      </c>
      <c r="B683" s="61">
        <v>86071</v>
      </c>
      <c r="C683" s="62">
        <v>167</v>
      </c>
      <c r="D683" s="62">
        <v>1055.2</v>
      </c>
    </row>
    <row r="684" spans="1:4">
      <c r="A684" s="61">
        <v>3005</v>
      </c>
      <c r="B684" s="61">
        <v>88162</v>
      </c>
      <c r="C684" s="62">
        <v>62.1</v>
      </c>
      <c r="D684" s="62">
        <v>2242.8000000000002</v>
      </c>
    </row>
    <row r="685" spans="1:4">
      <c r="A685" s="61">
        <v>3006</v>
      </c>
      <c r="B685" s="61">
        <v>86071</v>
      </c>
      <c r="C685" s="62">
        <v>167</v>
      </c>
      <c r="D685" s="62">
        <v>1055.2</v>
      </c>
    </row>
    <row r="686" spans="1:4">
      <c r="A686" s="61">
        <v>3008</v>
      </c>
      <c r="B686" s="61">
        <v>86071</v>
      </c>
      <c r="C686" s="62">
        <v>167</v>
      </c>
      <c r="D686" s="62">
        <v>1055.2</v>
      </c>
    </row>
    <row r="687" spans="1:4">
      <c r="A687" s="61">
        <v>3010</v>
      </c>
      <c r="B687" s="61">
        <v>86071</v>
      </c>
      <c r="C687" s="62">
        <v>167</v>
      </c>
      <c r="D687" s="62">
        <v>1055.2</v>
      </c>
    </row>
    <row r="688" spans="1:4">
      <c r="A688" s="61">
        <v>3011</v>
      </c>
      <c r="B688" s="61">
        <v>86071</v>
      </c>
      <c r="C688" s="62">
        <v>167</v>
      </c>
      <c r="D688" s="62">
        <v>1055.2</v>
      </c>
    </row>
    <row r="689" spans="1:4">
      <c r="A689" s="61">
        <v>3012</v>
      </c>
      <c r="B689" s="61">
        <v>87031</v>
      </c>
      <c r="C689" s="62">
        <v>160.4</v>
      </c>
      <c r="D689" s="62">
        <v>1413.4</v>
      </c>
    </row>
    <row r="690" spans="1:4">
      <c r="A690" s="61">
        <v>3013</v>
      </c>
      <c r="B690" s="61">
        <v>86071</v>
      </c>
      <c r="C690" s="62">
        <v>167</v>
      </c>
      <c r="D690" s="62">
        <v>1055.2</v>
      </c>
    </row>
    <row r="691" spans="1:4">
      <c r="A691" s="61">
        <v>3015</v>
      </c>
      <c r="B691" s="61">
        <v>86071</v>
      </c>
      <c r="C691" s="62">
        <v>167</v>
      </c>
      <c r="D691" s="62">
        <v>1055.2</v>
      </c>
    </row>
    <row r="692" spans="1:4">
      <c r="A692" s="61">
        <v>3016</v>
      </c>
      <c r="B692" s="61">
        <v>86071</v>
      </c>
      <c r="C692" s="62">
        <v>167</v>
      </c>
      <c r="D692" s="62">
        <v>1055.2</v>
      </c>
    </row>
    <row r="693" spans="1:4">
      <c r="A693" s="61">
        <v>3018</v>
      </c>
      <c r="B693" s="61">
        <v>87031</v>
      </c>
      <c r="C693" s="62">
        <v>160.4</v>
      </c>
      <c r="D693" s="62">
        <v>1413.4</v>
      </c>
    </row>
    <row r="694" spans="1:4">
      <c r="A694" s="61">
        <v>3019</v>
      </c>
      <c r="B694" s="61">
        <v>86038</v>
      </c>
      <c r="C694" s="62">
        <v>158.19999999999999</v>
      </c>
      <c r="D694" s="62">
        <v>1373.9</v>
      </c>
    </row>
    <row r="695" spans="1:4">
      <c r="A695" s="61">
        <v>3020</v>
      </c>
      <c r="B695" s="61">
        <v>87031</v>
      </c>
      <c r="C695" s="62">
        <v>160.4</v>
      </c>
      <c r="D695" s="62">
        <v>1413.4</v>
      </c>
    </row>
    <row r="696" spans="1:4">
      <c r="A696" s="61">
        <v>3021</v>
      </c>
      <c r="B696" s="61">
        <v>86282</v>
      </c>
      <c r="C696" s="62">
        <v>105</v>
      </c>
      <c r="D696" s="62">
        <v>1455.7</v>
      </c>
    </row>
    <row r="697" spans="1:4">
      <c r="A697" s="61">
        <v>3022</v>
      </c>
      <c r="B697" s="61">
        <v>87031</v>
      </c>
      <c r="C697" s="62">
        <v>160.4</v>
      </c>
      <c r="D697" s="62">
        <v>1413.4</v>
      </c>
    </row>
    <row r="698" spans="1:4">
      <c r="A698" s="61">
        <v>3023</v>
      </c>
      <c r="B698" s="61">
        <v>87031</v>
      </c>
      <c r="C698" s="62">
        <v>160.4</v>
      </c>
      <c r="D698" s="62">
        <v>1413.4</v>
      </c>
    </row>
    <row r="699" spans="1:4">
      <c r="A699" s="61">
        <v>3024</v>
      </c>
      <c r="B699" s="61">
        <v>87113</v>
      </c>
      <c r="C699" s="62">
        <v>144</v>
      </c>
      <c r="D699" s="62">
        <v>1461.7</v>
      </c>
    </row>
    <row r="700" spans="1:4">
      <c r="A700" s="61">
        <v>3025</v>
      </c>
      <c r="B700" s="61">
        <v>87031</v>
      </c>
      <c r="C700" s="62">
        <v>160.4</v>
      </c>
      <c r="D700" s="62">
        <v>1413.4</v>
      </c>
    </row>
    <row r="701" spans="1:4">
      <c r="A701" s="61">
        <v>3026</v>
      </c>
      <c r="B701" s="61">
        <v>87031</v>
      </c>
      <c r="C701" s="62">
        <v>160.4</v>
      </c>
      <c r="D701" s="62">
        <v>1413.4</v>
      </c>
    </row>
    <row r="702" spans="1:4">
      <c r="A702" s="61">
        <v>3027</v>
      </c>
      <c r="B702" s="61">
        <v>87031</v>
      </c>
      <c r="C702" s="62">
        <v>160.4</v>
      </c>
      <c r="D702" s="62">
        <v>1413.4</v>
      </c>
    </row>
    <row r="703" spans="1:4">
      <c r="A703" s="61">
        <v>3028</v>
      </c>
      <c r="B703" s="61">
        <v>87031</v>
      </c>
      <c r="C703" s="62">
        <v>160.4</v>
      </c>
      <c r="D703" s="62">
        <v>1413.4</v>
      </c>
    </row>
    <row r="704" spans="1:4">
      <c r="A704" s="61">
        <v>3029</v>
      </c>
      <c r="B704" s="61">
        <v>87031</v>
      </c>
      <c r="C704" s="62">
        <v>160.4</v>
      </c>
      <c r="D704" s="62">
        <v>1413.4</v>
      </c>
    </row>
    <row r="705" spans="1:4">
      <c r="A705" s="61">
        <v>3030</v>
      </c>
      <c r="B705" s="61">
        <v>87113</v>
      </c>
      <c r="C705" s="62">
        <v>144</v>
      </c>
      <c r="D705" s="62">
        <v>1461.7</v>
      </c>
    </row>
    <row r="706" spans="1:4">
      <c r="A706" s="61">
        <v>3031</v>
      </c>
      <c r="B706" s="61">
        <v>86071</v>
      </c>
      <c r="C706" s="62">
        <v>167</v>
      </c>
      <c r="D706" s="62">
        <v>1055.2</v>
      </c>
    </row>
    <row r="707" spans="1:4">
      <c r="A707" s="61">
        <v>3032</v>
      </c>
      <c r="B707" s="61">
        <v>86038</v>
      </c>
      <c r="C707" s="62">
        <v>158.19999999999999</v>
      </c>
      <c r="D707" s="62">
        <v>1373.9</v>
      </c>
    </row>
    <row r="708" spans="1:4">
      <c r="A708" s="61">
        <v>3033</v>
      </c>
      <c r="B708" s="61">
        <v>86038</v>
      </c>
      <c r="C708" s="62">
        <v>158.19999999999999</v>
      </c>
      <c r="D708" s="62">
        <v>1373.9</v>
      </c>
    </row>
    <row r="709" spans="1:4">
      <c r="A709" s="61">
        <v>3034</v>
      </c>
      <c r="B709" s="61">
        <v>86038</v>
      </c>
      <c r="C709" s="62">
        <v>158.19999999999999</v>
      </c>
      <c r="D709" s="62">
        <v>1373.9</v>
      </c>
    </row>
    <row r="710" spans="1:4">
      <c r="A710" s="61">
        <v>3036</v>
      </c>
      <c r="B710" s="61">
        <v>86282</v>
      </c>
      <c r="C710" s="62">
        <v>105</v>
      </c>
      <c r="D710" s="62">
        <v>1455.7</v>
      </c>
    </row>
    <row r="711" spans="1:4">
      <c r="A711" s="61">
        <v>3037</v>
      </c>
      <c r="B711" s="61">
        <v>86282</v>
      </c>
      <c r="C711" s="62">
        <v>105</v>
      </c>
      <c r="D711" s="62">
        <v>1455.7</v>
      </c>
    </row>
    <row r="712" spans="1:4">
      <c r="A712" s="61">
        <v>3038</v>
      </c>
      <c r="B712" s="61">
        <v>86282</v>
      </c>
      <c r="C712" s="62">
        <v>105</v>
      </c>
      <c r="D712" s="62">
        <v>1455.7</v>
      </c>
    </row>
    <row r="713" spans="1:4">
      <c r="A713" s="61">
        <v>3039</v>
      </c>
      <c r="B713" s="61">
        <v>86038</v>
      </c>
      <c r="C713" s="62">
        <v>158.19999999999999</v>
      </c>
      <c r="D713" s="62">
        <v>1373.9</v>
      </c>
    </row>
    <row r="714" spans="1:4">
      <c r="A714" s="61">
        <v>3040</v>
      </c>
      <c r="B714" s="61">
        <v>86038</v>
      </c>
      <c r="C714" s="62">
        <v>158.19999999999999</v>
      </c>
      <c r="D714" s="62">
        <v>1373.9</v>
      </c>
    </row>
    <row r="715" spans="1:4">
      <c r="A715" s="61">
        <v>3041</v>
      </c>
      <c r="B715" s="61">
        <v>86038</v>
      </c>
      <c r="C715" s="62">
        <v>158.19999999999999</v>
      </c>
      <c r="D715" s="62">
        <v>1373.9</v>
      </c>
    </row>
    <row r="716" spans="1:4">
      <c r="A716" s="61">
        <v>3042</v>
      </c>
      <c r="B716" s="61">
        <v>86038</v>
      </c>
      <c r="C716" s="62">
        <v>158.19999999999999</v>
      </c>
      <c r="D716" s="62">
        <v>1373.9</v>
      </c>
    </row>
    <row r="717" spans="1:4">
      <c r="A717" s="61">
        <v>3043</v>
      </c>
      <c r="B717" s="61">
        <v>86038</v>
      </c>
      <c r="C717" s="62">
        <v>158.19999999999999</v>
      </c>
      <c r="D717" s="62">
        <v>1373.9</v>
      </c>
    </row>
    <row r="718" spans="1:4">
      <c r="A718" s="61">
        <v>3044</v>
      </c>
      <c r="B718" s="61">
        <v>86038</v>
      </c>
      <c r="C718" s="62">
        <v>158.19999999999999</v>
      </c>
      <c r="D718" s="62">
        <v>1373.9</v>
      </c>
    </row>
    <row r="719" spans="1:4">
      <c r="A719" s="61">
        <v>3045</v>
      </c>
      <c r="B719" s="61">
        <v>86282</v>
      </c>
      <c r="C719" s="62">
        <v>105</v>
      </c>
      <c r="D719" s="62">
        <v>1455.7</v>
      </c>
    </row>
    <row r="720" spans="1:4">
      <c r="A720" s="61">
        <v>3046</v>
      </c>
      <c r="B720" s="61">
        <v>86038</v>
      </c>
      <c r="C720" s="62">
        <v>158.19999999999999</v>
      </c>
      <c r="D720" s="62">
        <v>1373.9</v>
      </c>
    </row>
    <row r="721" spans="1:4">
      <c r="A721" s="61">
        <v>3047</v>
      </c>
      <c r="B721" s="61">
        <v>86038</v>
      </c>
      <c r="C721" s="62">
        <v>158.19999999999999</v>
      </c>
      <c r="D721" s="62">
        <v>1373.9</v>
      </c>
    </row>
    <row r="722" spans="1:4">
      <c r="A722" s="61">
        <v>3048</v>
      </c>
      <c r="B722" s="61">
        <v>86038</v>
      </c>
      <c r="C722" s="62">
        <v>158.19999999999999</v>
      </c>
      <c r="D722" s="62">
        <v>1373.9</v>
      </c>
    </row>
    <row r="723" spans="1:4">
      <c r="A723" s="61">
        <v>3049</v>
      </c>
      <c r="B723" s="61">
        <v>86282</v>
      </c>
      <c r="C723" s="62">
        <v>105</v>
      </c>
      <c r="D723" s="62">
        <v>1455.7</v>
      </c>
    </row>
    <row r="724" spans="1:4">
      <c r="A724" s="61">
        <v>3050</v>
      </c>
      <c r="B724" s="61">
        <v>86071</v>
      </c>
      <c r="C724" s="62">
        <v>167</v>
      </c>
      <c r="D724" s="62">
        <v>1055.2</v>
      </c>
    </row>
    <row r="725" spans="1:4">
      <c r="A725" s="61">
        <v>3051</v>
      </c>
      <c r="B725" s="61">
        <v>86071</v>
      </c>
      <c r="C725" s="62">
        <v>167</v>
      </c>
      <c r="D725" s="62">
        <v>1055.2</v>
      </c>
    </row>
    <row r="726" spans="1:4">
      <c r="A726" s="61">
        <v>3052</v>
      </c>
      <c r="B726" s="61">
        <v>86071</v>
      </c>
      <c r="C726" s="62">
        <v>167</v>
      </c>
      <c r="D726" s="62">
        <v>1055.2</v>
      </c>
    </row>
    <row r="727" spans="1:4">
      <c r="A727" s="61">
        <v>3053</v>
      </c>
      <c r="B727" s="61">
        <v>86071</v>
      </c>
      <c r="C727" s="62">
        <v>167</v>
      </c>
      <c r="D727" s="62">
        <v>1055.2</v>
      </c>
    </row>
    <row r="728" spans="1:4">
      <c r="A728" s="61">
        <v>3054</v>
      </c>
      <c r="B728" s="61">
        <v>86071</v>
      </c>
      <c r="C728" s="62">
        <v>167</v>
      </c>
      <c r="D728" s="62">
        <v>1055.2</v>
      </c>
    </row>
    <row r="729" spans="1:4">
      <c r="A729" s="61">
        <v>3055</v>
      </c>
      <c r="B729" s="61">
        <v>86038</v>
      </c>
      <c r="C729" s="62">
        <v>158.19999999999999</v>
      </c>
      <c r="D729" s="62">
        <v>1373.9</v>
      </c>
    </row>
    <row r="730" spans="1:4">
      <c r="A730" s="61">
        <v>3056</v>
      </c>
      <c r="B730" s="61">
        <v>86071</v>
      </c>
      <c r="C730" s="62">
        <v>167</v>
      </c>
      <c r="D730" s="62">
        <v>1055.2</v>
      </c>
    </row>
    <row r="731" spans="1:4">
      <c r="A731" s="61">
        <v>3057</v>
      </c>
      <c r="B731" s="61">
        <v>86071</v>
      </c>
      <c r="C731" s="62">
        <v>167</v>
      </c>
      <c r="D731" s="62">
        <v>1055.2</v>
      </c>
    </row>
    <row r="732" spans="1:4">
      <c r="A732" s="61">
        <v>3058</v>
      </c>
      <c r="B732" s="61">
        <v>86038</v>
      </c>
      <c r="C732" s="62">
        <v>158.19999999999999</v>
      </c>
      <c r="D732" s="62">
        <v>1373.9</v>
      </c>
    </row>
    <row r="733" spans="1:4">
      <c r="A733" s="61">
        <v>3059</v>
      </c>
      <c r="B733" s="61">
        <v>86282</v>
      </c>
      <c r="C733" s="62">
        <v>105</v>
      </c>
      <c r="D733" s="62">
        <v>1455.7</v>
      </c>
    </row>
    <row r="734" spans="1:4">
      <c r="A734" s="61">
        <v>3060</v>
      </c>
      <c r="B734" s="61">
        <v>86038</v>
      </c>
      <c r="C734" s="62">
        <v>158.19999999999999</v>
      </c>
      <c r="D734" s="62">
        <v>1373.9</v>
      </c>
    </row>
    <row r="735" spans="1:4">
      <c r="A735" s="61">
        <v>3061</v>
      </c>
      <c r="B735" s="61">
        <v>86038</v>
      </c>
      <c r="C735" s="62">
        <v>158.19999999999999</v>
      </c>
      <c r="D735" s="62">
        <v>1373.9</v>
      </c>
    </row>
    <row r="736" spans="1:4">
      <c r="A736" s="61">
        <v>3062</v>
      </c>
      <c r="B736" s="61">
        <v>86282</v>
      </c>
      <c r="C736" s="62">
        <v>105</v>
      </c>
      <c r="D736" s="62">
        <v>1455.7</v>
      </c>
    </row>
    <row r="737" spans="1:4">
      <c r="A737" s="61">
        <v>3063</v>
      </c>
      <c r="B737" s="61">
        <v>86282</v>
      </c>
      <c r="C737" s="62">
        <v>105</v>
      </c>
      <c r="D737" s="62">
        <v>1455.7</v>
      </c>
    </row>
    <row r="738" spans="1:4">
      <c r="A738" s="61">
        <v>3064</v>
      </c>
      <c r="B738" s="61">
        <v>86282</v>
      </c>
      <c r="C738" s="62">
        <v>105</v>
      </c>
      <c r="D738" s="62">
        <v>1455.7</v>
      </c>
    </row>
    <row r="739" spans="1:4">
      <c r="A739" s="61">
        <v>3065</v>
      </c>
      <c r="B739" s="61">
        <v>86071</v>
      </c>
      <c r="C739" s="62">
        <v>167</v>
      </c>
      <c r="D739" s="62">
        <v>1055.2</v>
      </c>
    </row>
    <row r="740" spans="1:4">
      <c r="A740" s="61">
        <v>3066</v>
      </c>
      <c r="B740" s="61">
        <v>86071</v>
      </c>
      <c r="C740" s="62">
        <v>167</v>
      </c>
      <c r="D740" s="62">
        <v>1055.2</v>
      </c>
    </row>
    <row r="741" spans="1:4">
      <c r="A741" s="61">
        <v>3067</v>
      </c>
      <c r="B741" s="61">
        <v>86071</v>
      </c>
      <c r="C741" s="62">
        <v>167</v>
      </c>
      <c r="D741" s="62">
        <v>1055.2</v>
      </c>
    </row>
    <row r="742" spans="1:4">
      <c r="A742" s="61">
        <v>3068</v>
      </c>
      <c r="B742" s="61">
        <v>86071</v>
      </c>
      <c r="C742" s="62">
        <v>167</v>
      </c>
      <c r="D742" s="62">
        <v>1055.2</v>
      </c>
    </row>
    <row r="743" spans="1:4">
      <c r="A743" s="61">
        <v>3070</v>
      </c>
      <c r="B743" s="61">
        <v>86071</v>
      </c>
      <c r="C743" s="62">
        <v>167</v>
      </c>
      <c r="D743" s="62">
        <v>1055.2</v>
      </c>
    </row>
    <row r="744" spans="1:4">
      <c r="A744" s="61">
        <v>3071</v>
      </c>
      <c r="B744" s="61">
        <v>86071</v>
      </c>
      <c r="C744" s="62">
        <v>167</v>
      </c>
      <c r="D744" s="62">
        <v>1055.2</v>
      </c>
    </row>
    <row r="745" spans="1:4">
      <c r="A745" s="61">
        <v>3072</v>
      </c>
      <c r="B745" s="61">
        <v>86038</v>
      </c>
      <c r="C745" s="62">
        <v>158.19999999999999</v>
      </c>
      <c r="D745" s="62">
        <v>1373.9</v>
      </c>
    </row>
    <row r="746" spans="1:4">
      <c r="A746" s="61">
        <v>3073</v>
      </c>
      <c r="B746" s="61">
        <v>86068</v>
      </c>
      <c r="C746" s="62">
        <v>172.5</v>
      </c>
      <c r="D746" s="62">
        <v>1386.6</v>
      </c>
    </row>
    <row r="747" spans="1:4">
      <c r="A747" s="61">
        <v>3074</v>
      </c>
      <c r="B747" s="61">
        <v>86068</v>
      </c>
      <c r="C747" s="62">
        <v>172.5</v>
      </c>
      <c r="D747" s="62">
        <v>1386.6</v>
      </c>
    </row>
    <row r="748" spans="1:4">
      <c r="A748" s="61">
        <v>3075</v>
      </c>
      <c r="B748" s="61">
        <v>86068</v>
      </c>
      <c r="C748" s="62">
        <v>172.5</v>
      </c>
      <c r="D748" s="62">
        <v>1386.6</v>
      </c>
    </row>
    <row r="749" spans="1:4">
      <c r="A749" s="61">
        <v>3076</v>
      </c>
      <c r="B749" s="61">
        <v>86068</v>
      </c>
      <c r="C749" s="62">
        <v>172.5</v>
      </c>
      <c r="D749" s="62">
        <v>1386.6</v>
      </c>
    </row>
    <row r="750" spans="1:4">
      <c r="A750" s="61">
        <v>3078</v>
      </c>
      <c r="B750" s="61">
        <v>86071</v>
      </c>
      <c r="C750" s="62">
        <v>167</v>
      </c>
      <c r="D750" s="62">
        <v>1055.2</v>
      </c>
    </row>
    <row r="751" spans="1:4">
      <c r="A751" s="61">
        <v>3079</v>
      </c>
      <c r="B751" s="61">
        <v>86068</v>
      </c>
      <c r="C751" s="62">
        <v>172.5</v>
      </c>
      <c r="D751" s="62">
        <v>1386.6</v>
      </c>
    </row>
    <row r="752" spans="1:4">
      <c r="A752" s="61">
        <v>3081</v>
      </c>
      <c r="B752" s="61">
        <v>86068</v>
      </c>
      <c r="C752" s="62">
        <v>172.5</v>
      </c>
      <c r="D752" s="62">
        <v>1386.6</v>
      </c>
    </row>
    <row r="753" spans="1:4">
      <c r="A753" s="61">
        <v>3082</v>
      </c>
      <c r="B753" s="61">
        <v>86068</v>
      </c>
      <c r="C753" s="62">
        <v>172.5</v>
      </c>
      <c r="D753" s="62">
        <v>1386.6</v>
      </c>
    </row>
    <row r="754" spans="1:4">
      <c r="A754" s="61">
        <v>3083</v>
      </c>
      <c r="B754" s="61">
        <v>86068</v>
      </c>
      <c r="C754" s="62">
        <v>172.5</v>
      </c>
      <c r="D754" s="62">
        <v>1386.6</v>
      </c>
    </row>
    <row r="755" spans="1:4">
      <c r="A755" s="61">
        <v>3084</v>
      </c>
      <c r="B755" s="61">
        <v>86068</v>
      </c>
      <c r="C755" s="62">
        <v>172.5</v>
      </c>
      <c r="D755" s="62">
        <v>1386.6</v>
      </c>
    </row>
    <row r="756" spans="1:4">
      <c r="A756" s="61">
        <v>3085</v>
      </c>
      <c r="B756" s="61">
        <v>86068</v>
      </c>
      <c r="C756" s="62">
        <v>172.5</v>
      </c>
      <c r="D756" s="62">
        <v>1386.6</v>
      </c>
    </row>
    <row r="757" spans="1:4">
      <c r="A757" s="61">
        <v>3086</v>
      </c>
      <c r="B757" s="61">
        <v>86068</v>
      </c>
      <c r="C757" s="62">
        <v>172.5</v>
      </c>
      <c r="D757" s="62">
        <v>1386.6</v>
      </c>
    </row>
    <row r="758" spans="1:4">
      <c r="A758" s="61">
        <v>3087</v>
      </c>
      <c r="B758" s="61">
        <v>86068</v>
      </c>
      <c r="C758" s="62">
        <v>172.5</v>
      </c>
      <c r="D758" s="62">
        <v>1386.6</v>
      </c>
    </row>
    <row r="759" spans="1:4">
      <c r="A759" s="61">
        <v>3088</v>
      </c>
      <c r="B759" s="61">
        <v>86068</v>
      </c>
      <c r="C759" s="62">
        <v>172.5</v>
      </c>
      <c r="D759" s="62">
        <v>1386.6</v>
      </c>
    </row>
    <row r="760" spans="1:4">
      <c r="A760" s="61">
        <v>3089</v>
      </c>
      <c r="B760" s="61">
        <v>86068</v>
      </c>
      <c r="C760" s="62">
        <v>172.5</v>
      </c>
      <c r="D760" s="62">
        <v>1386.6</v>
      </c>
    </row>
    <row r="761" spans="1:4">
      <c r="A761" s="61">
        <v>3090</v>
      </c>
      <c r="B761" s="61">
        <v>86068</v>
      </c>
      <c r="C761" s="62">
        <v>172.5</v>
      </c>
      <c r="D761" s="62">
        <v>1386.6</v>
      </c>
    </row>
    <row r="762" spans="1:4">
      <c r="A762" s="61">
        <v>3091</v>
      </c>
      <c r="B762" s="61">
        <v>86068</v>
      </c>
      <c r="C762" s="62">
        <v>172.5</v>
      </c>
      <c r="D762" s="62">
        <v>1386.6</v>
      </c>
    </row>
    <row r="763" spans="1:4">
      <c r="A763" s="61">
        <v>3093</v>
      </c>
      <c r="B763" s="61">
        <v>86068</v>
      </c>
      <c r="C763" s="62">
        <v>172.5</v>
      </c>
      <c r="D763" s="62">
        <v>1386.6</v>
      </c>
    </row>
    <row r="764" spans="1:4">
      <c r="A764" s="61">
        <v>3094</v>
      </c>
      <c r="B764" s="61">
        <v>86068</v>
      </c>
      <c r="C764" s="62">
        <v>172.5</v>
      </c>
      <c r="D764" s="62">
        <v>1386.6</v>
      </c>
    </row>
    <row r="765" spans="1:4">
      <c r="A765" s="61">
        <v>3095</v>
      </c>
      <c r="B765" s="61">
        <v>86068</v>
      </c>
      <c r="C765" s="62">
        <v>172.5</v>
      </c>
      <c r="D765" s="62">
        <v>1386.6</v>
      </c>
    </row>
    <row r="766" spans="1:4">
      <c r="A766" s="61">
        <v>3096</v>
      </c>
      <c r="B766" s="61">
        <v>86068</v>
      </c>
      <c r="C766" s="62">
        <v>172.5</v>
      </c>
      <c r="D766" s="62">
        <v>1386.6</v>
      </c>
    </row>
    <row r="767" spans="1:4">
      <c r="A767" s="61">
        <v>3097</v>
      </c>
      <c r="B767" s="61">
        <v>86383</v>
      </c>
      <c r="C767" s="62">
        <v>147.9</v>
      </c>
      <c r="D767" s="62">
        <v>1758</v>
      </c>
    </row>
    <row r="768" spans="1:4">
      <c r="A768" s="61">
        <v>3099</v>
      </c>
      <c r="B768" s="61">
        <v>86068</v>
      </c>
      <c r="C768" s="62">
        <v>172.5</v>
      </c>
      <c r="D768" s="62">
        <v>1386.6</v>
      </c>
    </row>
    <row r="769" spans="1:4">
      <c r="A769" s="61">
        <v>3101</v>
      </c>
      <c r="B769" s="61">
        <v>86071</v>
      </c>
      <c r="C769" s="62">
        <v>167</v>
      </c>
      <c r="D769" s="62">
        <v>1055.2</v>
      </c>
    </row>
    <row r="770" spans="1:4">
      <c r="A770" s="61">
        <v>3102</v>
      </c>
      <c r="B770" s="61">
        <v>86068</v>
      </c>
      <c r="C770" s="62">
        <v>172.5</v>
      </c>
      <c r="D770" s="62">
        <v>1386.6</v>
      </c>
    </row>
    <row r="771" spans="1:4">
      <c r="A771" s="61">
        <v>3103</v>
      </c>
      <c r="B771" s="61">
        <v>86068</v>
      </c>
      <c r="C771" s="62">
        <v>172.5</v>
      </c>
      <c r="D771" s="62">
        <v>1386.6</v>
      </c>
    </row>
    <row r="772" spans="1:4">
      <c r="A772" s="61">
        <v>3104</v>
      </c>
      <c r="B772" s="61">
        <v>86068</v>
      </c>
      <c r="C772" s="62">
        <v>172.5</v>
      </c>
      <c r="D772" s="62">
        <v>1386.6</v>
      </c>
    </row>
    <row r="773" spans="1:4">
      <c r="A773" s="61">
        <v>3105</v>
      </c>
      <c r="B773" s="61">
        <v>86068</v>
      </c>
      <c r="C773" s="62">
        <v>172.5</v>
      </c>
      <c r="D773" s="62">
        <v>1386.6</v>
      </c>
    </row>
    <row r="774" spans="1:4">
      <c r="A774" s="61">
        <v>3106</v>
      </c>
      <c r="B774" s="61">
        <v>86068</v>
      </c>
      <c r="C774" s="62">
        <v>172.5</v>
      </c>
      <c r="D774" s="62">
        <v>1386.6</v>
      </c>
    </row>
    <row r="775" spans="1:4">
      <c r="A775" s="61">
        <v>3107</v>
      </c>
      <c r="B775" s="61">
        <v>86068</v>
      </c>
      <c r="C775" s="62">
        <v>172.5</v>
      </c>
      <c r="D775" s="62">
        <v>1386.6</v>
      </c>
    </row>
    <row r="776" spans="1:4">
      <c r="A776" s="61">
        <v>3108</v>
      </c>
      <c r="B776" s="61">
        <v>86068</v>
      </c>
      <c r="C776" s="62">
        <v>172.5</v>
      </c>
      <c r="D776" s="62">
        <v>1386.6</v>
      </c>
    </row>
    <row r="777" spans="1:4">
      <c r="A777" s="61">
        <v>3109</v>
      </c>
      <c r="B777" s="61">
        <v>86068</v>
      </c>
      <c r="C777" s="62">
        <v>172.5</v>
      </c>
      <c r="D777" s="62">
        <v>1386.6</v>
      </c>
    </row>
    <row r="778" spans="1:4">
      <c r="A778" s="61">
        <v>3111</v>
      </c>
      <c r="B778" s="61">
        <v>86068</v>
      </c>
      <c r="C778" s="62">
        <v>172.5</v>
      </c>
      <c r="D778" s="62">
        <v>1386.6</v>
      </c>
    </row>
    <row r="779" spans="1:4">
      <c r="A779" s="61">
        <v>3113</v>
      </c>
      <c r="B779" s="61">
        <v>86068</v>
      </c>
      <c r="C779" s="62">
        <v>172.5</v>
      </c>
      <c r="D779" s="62">
        <v>1386.6</v>
      </c>
    </row>
    <row r="780" spans="1:4">
      <c r="A780" s="61">
        <v>3114</v>
      </c>
      <c r="B780" s="61">
        <v>86104</v>
      </c>
      <c r="C780" s="62">
        <v>167.2</v>
      </c>
      <c r="D780" s="62">
        <v>1465.5</v>
      </c>
    </row>
    <row r="781" spans="1:4">
      <c r="A781" s="61">
        <v>3115</v>
      </c>
      <c r="B781" s="61">
        <v>86383</v>
      </c>
      <c r="C781" s="62">
        <v>147.9</v>
      </c>
      <c r="D781" s="62">
        <v>1758</v>
      </c>
    </row>
    <row r="782" spans="1:4">
      <c r="A782" s="61">
        <v>3116</v>
      </c>
      <c r="B782" s="61">
        <v>86383</v>
      </c>
      <c r="C782" s="62">
        <v>147.9</v>
      </c>
      <c r="D782" s="62">
        <v>1758</v>
      </c>
    </row>
    <row r="783" spans="1:4">
      <c r="A783" s="61">
        <v>3121</v>
      </c>
      <c r="B783" s="61">
        <v>86071</v>
      </c>
      <c r="C783" s="62">
        <v>167</v>
      </c>
      <c r="D783" s="62">
        <v>1055.2</v>
      </c>
    </row>
    <row r="784" spans="1:4">
      <c r="A784" s="61">
        <v>3122</v>
      </c>
      <c r="B784" s="61">
        <v>86071</v>
      </c>
      <c r="C784" s="62">
        <v>167</v>
      </c>
      <c r="D784" s="62">
        <v>1055.2</v>
      </c>
    </row>
    <row r="785" spans="1:4">
      <c r="A785" s="61">
        <v>3123</v>
      </c>
      <c r="B785" s="61">
        <v>86071</v>
      </c>
      <c r="C785" s="62">
        <v>167</v>
      </c>
      <c r="D785" s="62">
        <v>1055.2</v>
      </c>
    </row>
    <row r="786" spans="1:4">
      <c r="A786" s="61">
        <v>3124</v>
      </c>
      <c r="B786" s="61">
        <v>86071</v>
      </c>
      <c r="C786" s="62">
        <v>167</v>
      </c>
      <c r="D786" s="62">
        <v>1055.2</v>
      </c>
    </row>
    <row r="787" spans="1:4">
      <c r="A787" s="61">
        <v>3125</v>
      </c>
      <c r="B787" s="61">
        <v>86068</v>
      </c>
      <c r="C787" s="62">
        <v>172.5</v>
      </c>
      <c r="D787" s="62">
        <v>1386.6</v>
      </c>
    </row>
    <row r="788" spans="1:4">
      <c r="A788" s="61">
        <v>3126</v>
      </c>
      <c r="B788" s="61">
        <v>86071</v>
      </c>
      <c r="C788" s="62">
        <v>167</v>
      </c>
      <c r="D788" s="62">
        <v>1055.2</v>
      </c>
    </row>
    <row r="789" spans="1:4">
      <c r="A789" s="61">
        <v>3127</v>
      </c>
      <c r="B789" s="61">
        <v>86068</v>
      </c>
      <c r="C789" s="62">
        <v>172.5</v>
      </c>
      <c r="D789" s="62">
        <v>1386.6</v>
      </c>
    </row>
    <row r="790" spans="1:4">
      <c r="A790" s="61">
        <v>3128</v>
      </c>
      <c r="B790" s="61">
        <v>86068</v>
      </c>
      <c r="C790" s="62">
        <v>172.5</v>
      </c>
      <c r="D790" s="62">
        <v>1386.6</v>
      </c>
    </row>
    <row r="791" spans="1:4">
      <c r="A791" s="61">
        <v>3129</v>
      </c>
      <c r="B791" s="61">
        <v>86068</v>
      </c>
      <c r="C791" s="62">
        <v>172.5</v>
      </c>
      <c r="D791" s="62">
        <v>1386.6</v>
      </c>
    </row>
    <row r="792" spans="1:4">
      <c r="A792" s="61">
        <v>3130</v>
      </c>
      <c r="B792" s="61">
        <v>86068</v>
      </c>
      <c r="C792" s="62">
        <v>172.5</v>
      </c>
      <c r="D792" s="62">
        <v>1386.6</v>
      </c>
    </row>
    <row r="793" spans="1:4">
      <c r="A793" s="61">
        <v>3131</v>
      </c>
      <c r="B793" s="61">
        <v>86104</v>
      </c>
      <c r="C793" s="62">
        <v>167.2</v>
      </c>
      <c r="D793" s="62">
        <v>1465.5</v>
      </c>
    </row>
    <row r="794" spans="1:4">
      <c r="A794" s="61">
        <v>3132</v>
      </c>
      <c r="B794" s="61">
        <v>86104</v>
      </c>
      <c r="C794" s="62">
        <v>167.2</v>
      </c>
      <c r="D794" s="62">
        <v>1465.5</v>
      </c>
    </row>
    <row r="795" spans="1:4">
      <c r="A795" s="61">
        <v>3133</v>
      </c>
      <c r="B795" s="61">
        <v>86104</v>
      </c>
      <c r="C795" s="62">
        <v>167.2</v>
      </c>
      <c r="D795" s="62">
        <v>1465.5</v>
      </c>
    </row>
    <row r="796" spans="1:4">
      <c r="A796" s="61">
        <v>3134</v>
      </c>
      <c r="B796" s="61">
        <v>86104</v>
      </c>
      <c r="C796" s="62">
        <v>167.2</v>
      </c>
      <c r="D796" s="62">
        <v>1465.5</v>
      </c>
    </row>
    <row r="797" spans="1:4">
      <c r="A797" s="61">
        <v>3135</v>
      </c>
      <c r="B797" s="61">
        <v>86104</v>
      </c>
      <c r="C797" s="62">
        <v>167.2</v>
      </c>
      <c r="D797" s="62">
        <v>1465.5</v>
      </c>
    </row>
    <row r="798" spans="1:4">
      <c r="A798" s="61">
        <v>3136</v>
      </c>
      <c r="B798" s="61">
        <v>86104</v>
      </c>
      <c r="C798" s="62">
        <v>167.2</v>
      </c>
      <c r="D798" s="62">
        <v>1465.5</v>
      </c>
    </row>
    <row r="799" spans="1:4">
      <c r="A799" s="61">
        <v>3137</v>
      </c>
      <c r="B799" s="61">
        <v>86104</v>
      </c>
      <c r="C799" s="62">
        <v>167.2</v>
      </c>
      <c r="D799" s="62">
        <v>1465.5</v>
      </c>
    </row>
    <row r="800" spans="1:4">
      <c r="A800" s="61">
        <v>3138</v>
      </c>
      <c r="B800" s="61">
        <v>86104</v>
      </c>
      <c r="C800" s="62">
        <v>167.2</v>
      </c>
      <c r="D800" s="62">
        <v>1465.5</v>
      </c>
    </row>
    <row r="801" spans="1:4">
      <c r="A801" s="61">
        <v>3139</v>
      </c>
      <c r="B801" s="61">
        <v>86383</v>
      </c>
      <c r="C801" s="62">
        <v>147.9</v>
      </c>
      <c r="D801" s="62">
        <v>1758</v>
      </c>
    </row>
    <row r="802" spans="1:4">
      <c r="A802" s="61">
        <v>3140</v>
      </c>
      <c r="B802" s="61">
        <v>86383</v>
      </c>
      <c r="C802" s="62">
        <v>147.9</v>
      </c>
      <c r="D802" s="62">
        <v>1758</v>
      </c>
    </row>
    <row r="803" spans="1:4">
      <c r="A803" s="61">
        <v>3141</v>
      </c>
      <c r="B803" s="61">
        <v>86071</v>
      </c>
      <c r="C803" s="62">
        <v>167</v>
      </c>
      <c r="D803" s="62">
        <v>1055.2</v>
      </c>
    </row>
    <row r="804" spans="1:4">
      <c r="A804" s="61">
        <v>3142</v>
      </c>
      <c r="B804" s="61">
        <v>86071</v>
      </c>
      <c r="C804" s="62">
        <v>167</v>
      </c>
      <c r="D804" s="62">
        <v>1055.2</v>
      </c>
    </row>
    <row r="805" spans="1:4">
      <c r="A805" s="61">
        <v>3143</v>
      </c>
      <c r="B805" s="61">
        <v>86071</v>
      </c>
      <c r="C805" s="62">
        <v>167</v>
      </c>
      <c r="D805" s="62">
        <v>1055.2</v>
      </c>
    </row>
    <row r="806" spans="1:4">
      <c r="A806" s="61">
        <v>3144</v>
      </c>
      <c r="B806" s="61">
        <v>86071</v>
      </c>
      <c r="C806" s="62">
        <v>167</v>
      </c>
      <c r="D806" s="62">
        <v>1055.2</v>
      </c>
    </row>
    <row r="807" spans="1:4">
      <c r="A807" s="61">
        <v>3145</v>
      </c>
      <c r="B807" s="61">
        <v>86071</v>
      </c>
      <c r="C807" s="62">
        <v>167</v>
      </c>
      <c r="D807" s="62">
        <v>1055.2</v>
      </c>
    </row>
    <row r="808" spans="1:4">
      <c r="A808" s="61">
        <v>3146</v>
      </c>
      <c r="B808" s="61">
        <v>86071</v>
      </c>
      <c r="C808" s="62">
        <v>167</v>
      </c>
      <c r="D808" s="62">
        <v>1055.2</v>
      </c>
    </row>
    <row r="809" spans="1:4">
      <c r="A809" s="61">
        <v>3147</v>
      </c>
      <c r="B809" s="61">
        <v>86071</v>
      </c>
      <c r="C809" s="62">
        <v>167</v>
      </c>
      <c r="D809" s="62">
        <v>1055.2</v>
      </c>
    </row>
    <row r="810" spans="1:4">
      <c r="A810" s="61">
        <v>3148</v>
      </c>
      <c r="B810" s="61">
        <v>86077</v>
      </c>
      <c r="C810" s="62">
        <v>169.4</v>
      </c>
      <c r="D810" s="62">
        <v>1355.6</v>
      </c>
    </row>
    <row r="811" spans="1:4">
      <c r="A811" s="61">
        <v>3149</v>
      </c>
      <c r="B811" s="61">
        <v>86104</v>
      </c>
      <c r="C811" s="62">
        <v>167.2</v>
      </c>
      <c r="D811" s="62">
        <v>1465.5</v>
      </c>
    </row>
    <row r="812" spans="1:4">
      <c r="A812" s="61">
        <v>3150</v>
      </c>
      <c r="B812" s="61">
        <v>86104</v>
      </c>
      <c r="C812" s="62">
        <v>167.2</v>
      </c>
      <c r="D812" s="62">
        <v>1465.5</v>
      </c>
    </row>
    <row r="813" spans="1:4">
      <c r="A813" s="61">
        <v>3151</v>
      </c>
      <c r="B813" s="61">
        <v>86104</v>
      </c>
      <c r="C813" s="62">
        <v>167.2</v>
      </c>
      <c r="D813" s="62">
        <v>1465.5</v>
      </c>
    </row>
    <row r="814" spans="1:4">
      <c r="A814" s="61">
        <v>3152</v>
      </c>
      <c r="B814" s="61">
        <v>86104</v>
      </c>
      <c r="C814" s="62">
        <v>167.2</v>
      </c>
      <c r="D814" s="62">
        <v>1465.5</v>
      </c>
    </row>
    <row r="815" spans="1:4">
      <c r="A815" s="61">
        <v>3153</v>
      </c>
      <c r="B815" s="61">
        <v>86104</v>
      </c>
      <c r="C815" s="62">
        <v>167.2</v>
      </c>
      <c r="D815" s="62">
        <v>1465.5</v>
      </c>
    </row>
    <row r="816" spans="1:4">
      <c r="A816" s="61">
        <v>3154</v>
      </c>
      <c r="B816" s="61">
        <v>86104</v>
      </c>
      <c r="C816" s="62">
        <v>167.2</v>
      </c>
      <c r="D816" s="62">
        <v>1465.5</v>
      </c>
    </row>
    <row r="817" spans="1:4">
      <c r="A817" s="61">
        <v>3155</v>
      </c>
      <c r="B817" s="61">
        <v>86104</v>
      </c>
      <c r="C817" s="62">
        <v>167.2</v>
      </c>
      <c r="D817" s="62">
        <v>1465.5</v>
      </c>
    </row>
    <row r="818" spans="1:4">
      <c r="A818" s="61">
        <v>3156</v>
      </c>
      <c r="B818" s="61">
        <v>86104</v>
      </c>
      <c r="C818" s="62">
        <v>167.2</v>
      </c>
      <c r="D818" s="62">
        <v>1465.5</v>
      </c>
    </row>
    <row r="819" spans="1:4">
      <c r="A819" s="61">
        <v>3158</v>
      </c>
      <c r="B819" s="61">
        <v>86104</v>
      </c>
      <c r="C819" s="62">
        <v>167.2</v>
      </c>
      <c r="D819" s="62">
        <v>1465.5</v>
      </c>
    </row>
    <row r="820" spans="1:4">
      <c r="A820" s="61">
        <v>3159</v>
      </c>
      <c r="B820" s="61">
        <v>86104</v>
      </c>
      <c r="C820" s="62">
        <v>167.2</v>
      </c>
      <c r="D820" s="62">
        <v>1465.5</v>
      </c>
    </row>
    <row r="821" spans="1:4">
      <c r="A821" s="61">
        <v>3160</v>
      </c>
      <c r="B821" s="61">
        <v>86104</v>
      </c>
      <c r="C821" s="62">
        <v>167.2</v>
      </c>
      <c r="D821" s="62">
        <v>1465.5</v>
      </c>
    </row>
    <row r="822" spans="1:4">
      <c r="A822" s="61">
        <v>3161</v>
      </c>
      <c r="B822" s="61">
        <v>86071</v>
      </c>
      <c r="C822" s="62">
        <v>167</v>
      </c>
      <c r="D822" s="62">
        <v>1055.2</v>
      </c>
    </row>
    <row r="823" spans="1:4">
      <c r="A823" s="61">
        <v>3162</v>
      </c>
      <c r="B823" s="61">
        <v>86071</v>
      </c>
      <c r="C823" s="62">
        <v>167</v>
      </c>
      <c r="D823" s="62">
        <v>1055.2</v>
      </c>
    </row>
    <row r="824" spans="1:4">
      <c r="A824" s="61">
        <v>3163</v>
      </c>
      <c r="B824" s="61">
        <v>86077</v>
      </c>
      <c r="C824" s="62">
        <v>169.4</v>
      </c>
      <c r="D824" s="62">
        <v>1355.6</v>
      </c>
    </row>
    <row r="825" spans="1:4">
      <c r="A825" s="61">
        <v>3165</v>
      </c>
      <c r="B825" s="61">
        <v>86077</v>
      </c>
      <c r="C825" s="62">
        <v>169.4</v>
      </c>
      <c r="D825" s="62">
        <v>1355.6</v>
      </c>
    </row>
    <row r="826" spans="1:4">
      <c r="A826" s="61">
        <v>3166</v>
      </c>
      <c r="B826" s="61">
        <v>86077</v>
      </c>
      <c r="C826" s="62">
        <v>169.4</v>
      </c>
      <c r="D826" s="62">
        <v>1355.6</v>
      </c>
    </row>
    <row r="827" spans="1:4">
      <c r="A827" s="61">
        <v>3167</v>
      </c>
      <c r="B827" s="61">
        <v>86077</v>
      </c>
      <c r="C827" s="62">
        <v>169.4</v>
      </c>
      <c r="D827" s="62">
        <v>1355.6</v>
      </c>
    </row>
    <row r="828" spans="1:4">
      <c r="A828" s="61">
        <v>3168</v>
      </c>
      <c r="B828" s="61">
        <v>86077</v>
      </c>
      <c r="C828" s="62">
        <v>169.4</v>
      </c>
      <c r="D828" s="62">
        <v>1355.6</v>
      </c>
    </row>
    <row r="829" spans="1:4">
      <c r="A829" s="61">
        <v>3169</v>
      </c>
      <c r="B829" s="61">
        <v>86077</v>
      </c>
      <c r="C829" s="62">
        <v>169.4</v>
      </c>
      <c r="D829" s="62">
        <v>1355.6</v>
      </c>
    </row>
    <row r="830" spans="1:4">
      <c r="A830" s="61">
        <v>3170</v>
      </c>
      <c r="B830" s="61">
        <v>86077</v>
      </c>
      <c r="C830" s="62">
        <v>169.4</v>
      </c>
      <c r="D830" s="62">
        <v>1355.6</v>
      </c>
    </row>
    <row r="831" spans="1:4">
      <c r="A831" s="61">
        <v>3171</v>
      </c>
      <c r="B831" s="61">
        <v>86077</v>
      </c>
      <c r="C831" s="62">
        <v>169.4</v>
      </c>
      <c r="D831" s="62">
        <v>1355.6</v>
      </c>
    </row>
    <row r="832" spans="1:4">
      <c r="A832" s="61">
        <v>3172</v>
      </c>
      <c r="B832" s="61">
        <v>86077</v>
      </c>
      <c r="C832" s="62">
        <v>169.4</v>
      </c>
      <c r="D832" s="62">
        <v>1355.6</v>
      </c>
    </row>
    <row r="833" spans="1:4">
      <c r="A833" s="61">
        <v>3173</v>
      </c>
      <c r="B833" s="61">
        <v>86077</v>
      </c>
      <c r="C833" s="62">
        <v>169.4</v>
      </c>
      <c r="D833" s="62">
        <v>1355.6</v>
      </c>
    </row>
    <row r="834" spans="1:4">
      <c r="A834" s="61">
        <v>3174</v>
      </c>
      <c r="B834" s="61">
        <v>86077</v>
      </c>
      <c r="C834" s="62">
        <v>169.4</v>
      </c>
      <c r="D834" s="62">
        <v>1355.6</v>
      </c>
    </row>
    <row r="835" spans="1:4">
      <c r="A835" s="61">
        <v>3175</v>
      </c>
      <c r="B835" s="61">
        <v>86077</v>
      </c>
      <c r="C835" s="62">
        <v>169.4</v>
      </c>
      <c r="D835" s="62">
        <v>1355.6</v>
      </c>
    </row>
    <row r="836" spans="1:4">
      <c r="A836" s="61">
        <v>3177</v>
      </c>
      <c r="B836" s="61">
        <v>86077</v>
      </c>
      <c r="C836" s="62">
        <v>169.4</v>
      </c>
      <c r="D836" s="62">
        <v>1355.6</v>
      </c>
    </row>
    <row r="837" spans="1:4">
      <c r="A837" s="61">
        <v>3178</v>
      </c>
      <c r="B837" s="61">
        <v>86104</v>
      </c>
      <c r="C837" s="62">
        <v>167.2</v>
      </c>
      <c r="D837" s="62">
        <v>1465.5</v>
      </c>
    </row>
    <row r="838" spans="1:4">
      <c r="A838" s="61">
        <v>3179</v>
      </c>
      <c r="B838" s="61">
        <v>86104</v>
      </c>
      <c r="C838" s="62">
        <v>167.2</v>
      </c>
      <c r="D838" s="62">
        <v>1465.5</v>
      </c>
    </row>
    <row r="839" spans="1:4">
      <c r="A839" s="61">
        <v>3180</v>
      </c>
      <c r="B839" s="61">
        <v>86104</v>
      </c>
      <c r="C839" s="62">
        <v>167.2</v>
      </c>
      <c r="D839" s="62">
        <v>1465.5</v>
      </c>
    </row>
    <row r="840" spans="1:4">
      <c r="A840" s="61">
        <v>3181</v>
      </c>
      <c r="B840" s="61">
        <v>86071</v>
      </c>
      <c r="C840" s="62">
        <v>167</v>
      </c>
      <c r="D840" s="62">
        <v>1055.2</v>
      </c>
    </row>
    <row r="841" spans="1:4">
      <c r="A841" s="61">
        <v>3182</v>
      </c>
      <c r="B841" s="61">
        <v>86071</v>
      </c>
      <c r="C841" s="62">
        <v>167</v>
      </c>
      <c r="D841" s="62">
        <v>1055.2</v>
      </c>
    </row>
    <row r="842" spans="1:4">
      <c r="A842" s="61">
        <v>3183</v>
      </c>
      <c r="B842" s="61">
        <v>86071</v>
      </c>
      <c r="C842" s="62">
        <v>167</v>
      </c>
      <c r="D842" s="62">
        <v>1055.2</v>
      </c>
    </row>
    <row r="843" spans="1:4">
      <c r="A843" s="61">
        <v>3184</v>
      </c>
      <c r="B843" s="61">
        <v>86071</v>
      </c>
      <c r="C843" s="62">
        <v>167</v>
      </c>
      <c r="D843" s="62">
        <v>1055.2</v>
      </c>
    </row>
    <row r="844" spans="1:4">
      <c r="A844" s="61">
        <v>3185</v>
      </c>
      <c r="B844" s="61">
        <v>86071</v>
      </c>
      <c r="C844" s="62">
        <v>167</v>
      </c>
      <c r="D844" s="62">
        <v>1055.2</v>
      </c>
    </row>
    <row r="845" spans="1:4">
      <c r="A845" s="61">
        <v>3186</v>
      </c>
      <c r="B845" s="61">
        <v>86071</v>
      </c>
      <c r="C845" s="62">
        <v>167</v>
      </c>
      <c r="D845" s="62">
        <v>1055.2</v>
      </c>
    </row>
    <row r="846" spans="1:4">
      <c r="A846" s="61">
        <v>3187</v>
      </c>
      <c r="B846" s="61">
        <v>86077</v>
      </c>
      <c r="C846" s="62">
        <v>169.4</v>
      </c>
      <c r="D846" s="62">
        <v>1355.6</v>
      </c>
    </row>
    <row r="847" spans="1:4">
      <c r="A847" s="61">
        <v>3188</v>
      </c>
      <c r="B847" s="61">
        <v>86077</v>
      </c>
      <c r="C847" s="62">
        <v>169.4</v>
      </c>
      <c r="D847" s="62">
        <v>1355.6</v>
      </c>
    </row>
    <row r="848" spans="1:4">
      <c r="A848" s="61">
        <v>3189</v>
      </c>
      <c r="B848" s="61">
        <v>86077</v>
      </c>
      <c r="C848" s="62">
        <v>169.4</v>
      </c>
      <c r="D848" s="62">
        <v>1355.6</v>
      </c>
    </row>
    <row r="849" spans="1:4">
      <c r="A849" s="61">
        <v>3190</v>
      </c>
      <c r="B849" s="61">
        <v>86077</v>
      </c>
      <c r="C849" s="62">
        <v>169.4</v>
      </c>
      <c r="D849" s="62">
        <v>1355.6</v>
      </c>
    </row>
    <row r="850" spans="1:4">
      <c r="A850" s="61">
        <v>3191</v>
      </c>
      <c r="B850" s="61">
        <v>86077</v>
      </c>
      <c r="C850" s="62">
        <v>169.4</v>
      </c>
      <c r="D850" s="62">
        <v>1355.6</v>
      </c>
    </row>
    <row r="851" spans="1:4">
      <c r="A851" s="61">
        <v>3192</v>
      </c>
      <c r="B851" s="61">
        <v>86077</v>
      </c>
      <c r="C851" s="62">
        <v>169.4</v>
      </c>
      <c r="D851" s="62">
        <v>1355.6</v>
      </c>
    </row>
    <row r="852" spans="1:4">
      <c r="A852" s="61">
        <v>3193</v>
      </c>
      <c r="B852" s="61">
        <v>86077</v>
      </c>
      <c r="C852" s="62">
        <v>169.4</v>
      </c>
      <c r="D852" s="62">
        <v>1355.6</v>
      </c>
    </row>
    <row r="853" spans="1:4">
      <c r="A853" s="61">
        <v>3194</v>
      </c>
      <c r="B853" s="61">
        <v>86077</v>
      </c>
      <c r="C853" s="62">
        <v>169.4</v>
      </c>
      <c r="D853" s="62">
        <v>1355.6</v>
      </c>
    </row>
    <row r="854" spans="1:4">
      <c r="A854" s="61">
        <v>3195</v>
      </c>
      <c r="B854" s="61">
        <v>86077</v>
      </c>
      <c r="C854" s="62">
        <v>169.4</v>
      </c>
      <c r="D854" s="62">
        <v>1355.6</v>
      </c>
    </row>
    <row r="855" spans="1:4">
      <c r="A855" s="61">
        <v>3196</v>
      </c>
      <c r="B855" s="61">
        <v>86077</v>
      </c>
      <c r="C855" s="62">
        <v>169.4</v>
      </c>
      <c r="D855" s="62">
        <v>1355.6</v>
      </c>
    </row>
    <row r="856" spans="1:4">
      <c r="A856" s="61">
        <v>3197</v>
      </c>
      <c r="B856" s="61">
        <v>86371</v>
      </c>
      <c r="C856" s="62">
        <v>167.7</v>
      </c>
      <c r="D856" s="62">
        <v>1314.6</v>
      </c>
    </row>
    <row r="857" spans="1:4">
      <c r="A857" s="61">
        <v>3198</v>
      </c>
      <c r="B857" s="61">
        <v>86371</v>
      </c>
      <c r="C857" s="62">
        <v>167.7</v>
      </c>
      <c r="D857" s="62">
        <v>1314.6</v>
      </c>
    </row>
    <row r="858" spans="1:4">
      <c r="A858" s="61">
        <v>3199</v>
      </c>
      <c r="B858" s="61">
        <v>86371</v>
      </c>
      <c r="C858" s="62">
        <v>167.7</v>
      </c>
      <c r="D858" s="62">
        <v>1314.6</v>
      </c>
    </row>
    <row r="859" spans="1:4">
      <c r="A859" s="61">
        <v>3200</v>
      </c>
      <c r="B859" s="61">
        <v>86371</v>
      </c>
      <c r="C859" s="62">
        <v>167.7</v>
      </c>
      <c r="D859" s="62">
        <v>1314.6</v>
      </c>
    </row>
    <row r="860" spans="1:4">
      <c r="A860" s="61">
        <v>3201</v>
      </c>
      <c r="B860" s="61">
        <v>86371</v>
      </c>
      <c r="C860" s="62">
        <v>167.7</v>
      </c>
      <c r="D860" s="62">
        <v>1314.6</v>
      </c>
    </row>
    <row r="861" spans="1:4">
      <c r="A861" s="61">
        <v>3202</v>
      </c>
      <c r="B861" s="61">
        <v>86077</v>
      </c>
      <c r="C861" s="62">
        <v>169.4</v>
      </c>
      <c r="D861" s="62">
        <v>1355.6</v>
      </c>
    </row>
    <row r="862" spans="1:4">
      <c r="A862" s="61">
        <v>3204</v>
      </c>
      <c r="B862" s="61">
        <v>86077</v>
      </c>
      <c r="C862" s="62">
        <v>169.4</v>
      </c>
      <c r="D862" s="62">
        <v>1355.6</v>
      </c>
    </row>
    <row r="863" spans="1:4">
      <c r="A863" s="61">
        <v>3205</v>
      </c>
      <c r="B863" s="61">
        <v>86071</v>
      </c>
      <c r="C863" s="62">
        <v>167</v>
      </c>
      <c r="D863" s="62">
        <v>1055.2</v>
      </c>
    </row>
    <row r="864" spans="1:4">
      <c r="A864" s="61">
        <v>3206</v>
      </c>
      <c r="B864" s="61">
        <v>86071</v>
      </c>
      <c r="C864" s="62">
        <v>167</v>
      </c>
      <c r="D864" s="62">
        <v>1055.2</v>
      </c>
    </row>
    <row r="865" spans="1:4">
      <c r="A865" s="61">
        <v>3207</v>
      </c>
      <c r="B865" s="61">
        <v>86071</v>
      </c>
      <c r="C865" s="62">
        <v>167</v>
      </c>
      <c r="D865" s="62">
        <v>1055.2</v>
      </c>
    </row>
    <row r="866" spans="1:4">
      <c r="A866" s="61">
        <v>3211</v>
      </c>
      <c r="B866" s="61">
        <v>87113</v>
      </c>
      <c r="C866" s="62">
        <v>144</v>
      </c>
      <c r="D866" s="62">
        <v>1461.7</v>
      </c>
    </row>
    <row r="867" spans="1:4">
      <c r="A867" s="61">
        <v>3212</v>
      </c>
      <c r="B867" s="61">
        <v>87113</v>
      </c>
      <c r="C867" s="62">
        <v>144</v>
      </c>
      <c r="D867" s="62">
        <v>1461.7</v>
      </c>
    </row>
    <row r="868" spans="1:4">
      <c r="A868" s="61">
        <v>3213</v>
      </c>
      <c r="B868" s="61">
        <v>87168</v>
      </c>
      <c r="C868" s="62">
        <v>90.3</v>
      </c>
      <c r="D868" s="62">
        <v>1797.1</v>
      </c>
    </row>
    <row r="869" spans="1:4">
      <c r="A869" s="61">
        <v>3214</v>
      </c>
      <c r="B869" s="61">
        <v>87113</v>
      </c>
      <c r="C869" s="62">
        <v>144</v>
      </c>
      <c r="D869" s="62">
        <v>1461.7</v>
      </c>
    </row>
    <row r="870" spans="1:4">
      <c r="A870" s="61">
        <v>3215</v>
      </c>
      <c r="B870" s="61">
        <v>87113</v>
      </c>
      <c r="C870" s="62">
        <v>144</v>
      </c>
      <c r="D870" s="62">
        <v>1461.7</v>
      </c>
    </row>
    <row r="871" spans="1:4">
      <c r="A871" s="61">
        <v>3216</v>
      </c>
      <c r="B871" s="61">
        <v>87113</v>
      </c>
      <c r="C871" s="62">
        <v>144</v>
      </c>
      <c r="D871" s="62">
        <v>1461.7</v>
      </c>
    </row>
    <row r="872" spans="1:4">
      <c r="A872" s="61">
        <v>3217</v>
      </c>
      <c r="B872" s="61">
        <v>86383</v>
      </c>
      <c r="C872" s="62">
        <v>147.9</v>
      </c>
      <c r="D872" s="62">
        <v>1758</v>
      </c>
    </row>
    <row r="873" spans="1:4">
      <c r="A873" s="61">
        <v>3218</v>
      </c>
      <c r="B873" s="61">
        <v>87113</v>
      </c>
      <c r="C873" s="62">
        <v>144</v>
      </c>
      <c r="D873" s="62">
        <v>1461.7</v>
      </c>
    </row>
    <row r="874" spans="1:4">
      <c r="A874" s="61">
        <v>3219</v>
      </c>
      <c r="B874" s="61">
        <v>87113</v>
      </c>
      <c r="C874" s="62">
        <v>144</v>
      </c>
      <c r="D874" s="62">
        <v>1461.7</v>
      </c>
    </row>
    <row r="875" spans="1:4">
      <c r="A875" s="61">
        <v>3220</v>
      </c>
      <c r="B875" s="61">
        <v>86371</v>
      </c>
      <c r="C875" s="62">
        <v>167.7</v>
      </c>
      <c r="D875" s="62">
        <v>1314.6</v>
      </c>
    </row>
    <row r="876" spans="1:4">
      <c r="A876" s="61">
        <v>3221</v>
      </c>
      <c r="B876" s="61">
        <v>87113</v>
      </c>
      <c r="C876" s="62">
        <v>144</v>
      </c>
      <c r="D876" s="62">
        <v>1461.7</v>
      </c>
    </row>
    <row r="877" spans="1:4">
      <c r="A877" s="61">
        <v>3222</v>
      </c>
      <c r="B877" s="61">
        <v>87113</v>
      </c>
      <c r="C877" s="62">
        <v>144</v>
      </c>
      <c r="D877" s="62">
        <v>1461.7</v>
      </c>
    </row>
    <row r="878" spans="1:4">
      <c r="A878" s="61">
        <v>3223</v>
      </c>
      <c r="B878" s="61">
        <v>87113</v>
      </c>
      <c r="C878" s="62">
        <v>144</v>
      </c>
      <c r="D878" s="62">
        <v>1461.7</v>
      </c>
    </row>
    <row r="879" spans="1:4">
      <c r="A879" s="61">
        <v>3224</v>
      </c>
      <c r="B879" s="61">
        <v>87113</v>
      </c>
      <c r="C879" s="62">
        <v>144</v>
      </c>
      <c r="D879" s="62">
        <v>1461.7</v>
      </c>
    </row>
    <row r="880" spans="1:4">
      <c r="A880" s="61">
        <v>3225</v>
      </c>
      <c r="B880" s="61">
        <v>87113</v>
      </c>
      <c r="C880" s="62">
        <v>144</v>
      </c>
      <c r="D880" s="62">
        <v>1461.7</v>
      </c>
    </row>
    <row r="881" spans="1:4">
      <c r="A881" s="61">
        <v>3226</v>
      </c>
      <c r="B881" s="61">
        <v>87113</v>
      </c>
      <c r="C881" s="62">
        <v>144</v>
      </c>
      <c r="D881" s="62">
        <v>1461.7</v>
      </c>
    </row>
    <row r="882" spans="1:4">
      <c r="A882" s="61">
        <v>3227</v>
      </c>
      <c r="B882" s="61">
        <v>87113</v>
      </c>
      <c r="C882" s="62">
        <v>144</v>
      </c>
      <c r="D882" s="62">
        <v>1461.7</v>
      </c>
    </row>
    <row r="883" spans="1:4">
      <c r="A883" s="61">
        <v>3228</v>
      </c>
      <c r="B883" s="61">
        <v>90180</v>
      </c>
      <c r="C883" s="62">
        <v>114.4</v>
      </c>
      <c r="D883" s="62">
        <v>1456.3</v>
      </c>
    </row>
    <row r="884" spans="1:4">
      <c r="A884" s="61">
        <v>3230</v>
      </c>
      <c r="B884" s="61">
        <v>90180</v>
      </c>
      <c r="C884" s="62">
        <v>114.4</v>
      </c>
      <c r="D884" s="62">
        <v>1456.3</v>
      </c>
    </row>
    <row r="885" spans="1:4">
      <c r="A885" s="61">
        <v>3231</v>
      </c>
      <c r="B885" s="61">
        <v>90180</v>
      </c>
      <c r="C885" s="62">
        <v>114.4</v>
      </c>
      <c r="D885" s="62">
        <v>1456.3</v>
      </c>
    </row>
    <row r="886" spans="1:4">
      <c r="A886" s="61">
        <v>3232</v>
      </c>
      <c r="B886" s="61">
        <v>90180</v>
      </c>
      <c r="C886" s="62">
        <v>114.4</v>
      </c>
      <c r="D886" s="62">
        <v>1456.3</v>
      </c>
    </row>
    <row r="887" spans="1:4">
      <c r="A887" s="61">
        <v>3233</v>
      </c>
      <c r="B887" s="61">
        <v>90015</v>
      </c>
      <c r="C887" s="62">
        <v>71.2</v>
      </c>
      <c r="D887" s="62">
        <v>1543.2</v>
      </c>
    </row>
    <row r="888" spans="1:4">
      <c r="A888" s="61">
        <v>3234</v>
      </c>
      <c r="B888" s="61">
        <v>90180</v>
      </c>
      <c r="C888" s="62">
        <v>114.4</v>
      </c>
      <c r="D888" s="62">
        <v>1456.3</v>
      </c>
    </row>
    <row r="889" spans="1:4">
      <c r="A889" s="61">
        <v>3235</v>
      </c>
      <c r="B889" s="61">
        <v>90180</v>
      </c>
      <c r="C889" s="62">
        <v>114.4</v>
      </c>
      <c r="D889" s="62">
        <v>1456.3</v>
      </c>
    </row>
    <row r="890" spans="1:4">
      <c r="A890" s="61">
        <v>3236</v>
      </c>
      <c r="B890" s="61">
        <v>90035</v>
      </c>
      <c r="C890" s="62">
        <v>61.1</v>
      </c>
      <c r="D890" s="62">
        <v>1887.5</v>
      </c>
    </row>
    <row r="891" spans="1:4">
      <c r="A891" s="61">
        <v>3237</v>
      </c>
      <c r="B891" s="61">
        <v>90015</v>
      </c>
      <c r="C891" s="62">
        <v>71.2</v>
      </c>
      <c r="D891" s="62">
        <v>1543.2</v>
      </c>
    </row>
    <row r="892" spans="1:4">
      <c r="A892" s="61">
        <v>3238</v>
      </c>
      <c r="B892" s="61">
        <v>90015</v>
      </c>
      <c r="C892" s="62">
        <v>71.2</v>
      </c>
      <c r="D892" s="62">
        <v>1543.2</v>
      </c>
    </row>
    <row r="893" spans="1:4">
      <c r="A893" s="61">
        <v>3239</v>
      </c>
      <c r="B893" s="61">
        <v>90015</v>
      </c>
      <c r="C893" s="62">
        <v>71.2</v>
      </c>
      <c r="D893" s="62">
        <v>1543.2</v>
      </c>
    </row>
    <row r="894" spans="1:4">
      <c r="A894" s="61">
        <v>3240</v>
      </c>
      <c r="B894" s="61">
        <v>90035</v>
      </c>
      <c r="C894" s="62">
        <v>61.1</v>
      </c>
      <c r="D894" s="62">
        <v>1887.5</v>
      </c>
    </row>
    <row r="895" spans="1:4">
      <c r="A895" s="61">
        <v>3241</v>
      </c>
      <c r="B895" s="61">
        <v>90180</v>
      </c>
      <c r="C895" s="62">
        <v>114.4</v>
      </c>
      <c r="D895" s="62">
        <v>1456.3</v>
      </c>
    </row>
    <row r="896" spans="1:4">
      <c r="A896" s="61">
        <v>3242</v>
      </c>
      <c r="B896" s="61">
        <v>90035</v>
      </c>
      <c r="C896" s="62">
        <v>61.1</v>
      </c>
      <c r="D896" s="62">
        <v>1887.5</v>
      </c>
    </row>
    <row r="897" spans="1:4">
      <c r="A897" s="61">
        <v>3243</v>
      </c>
      <c r="B897" s="61">
        <v>90035</v>
      </c>
      <c r="C897" s="62">
        <v>61.1</v>
      </c>
      <c r="D897" s="62">
        <v>1887.5</v>
      </c>
    </row>
    <row r="898" spans="1:4">
      <c r="A898" s="61">
        <v>3249</v>
      </c>
      <c r="B898" s="61">
        <v>90035</v>
      </c>
      <c r="C898" s="62">
        <v>61.1</v>
      </c>
      <c r="D898" s="62">
        <v>1887.5</v>
      </c>
    </row>
    <row r="899" spans="1:4">
      <c r="A899" s="61">
        <v>3250</v>
      </c>
      <c r="B899" s="61">
        <v>90035</v>
      </c>
      <c r="C899" s="62">
        <v>61.1</v>
      </c>
      <c r="D899" s="62">
        <v>1887.5</v>
      </c>
    </row>
    <row r="900" spans="1:4">
      <c r="A900" s="61">
        <v>3251</v>
      </c>
      <c r="B900" s="61">
        <v>90035</v>
      </c>
      <c r="C900" s="62">
        <v>61.1</v>
      </c>
      <c r="D900" s="62">
        <v>1887.5</v>
      </c>
    </row>
    <row r="901" spans="1:4">
      <c r="A901" s="61">
        <v>3254</v>
      </c>
      <c r="B901" s="61">
        <v>90035</v>
      </c>
      <c r="C901" s="62">
        <v>61.1</v>
      </c>
      <c r="D901" s="62">
        <v>1887.5</v>
      </c>
    </row>
    <row r="902" spans="1:4">
      <c r="A902" s="61">
        <v>3260</v>
      </c>
      <c r="B902" s="61">
        <v>90176</v>
      </c>
      <c r="C902" s="62">
        <v>92.6</v>
      </c>
      <c r="D902" s="62">
        <v>1885.4</v>
      </c>
    </row>
    <row r="903" spans="1:4">
      <c r="A903" s="61">
        <v>3264</v>
      </c>
      <c r="B903" s="61">
        <v>90176</v>
      </c>
      <c r="C903" s="62">
        <v>92.6</v>
      </c>
      <c r="D903" s="62">
        <v>1885.4</v>
      </c>
    </row>
    <row r="904" spans="1:4">
      <c r="A904" s="61">
        <v>3265</v>
      </c>
      <c r="B904" s="61">
        <v>90176</v>
      </c>
      <c r="C904" s="62">
        <v>92.6</v>
      </c>
      <c r="D904" s="62">
        <v>1885.4</v>
      </c>
    </row>
    <row r="905" spans="1:4">
      <c r="A905" s="61">
        <v>3266</v>
      </c>
      <c r="B905" s="61">
        <v>90176</v>
      </c>
      <c r="C905" s="62">
        <v>92.6</v>
      </c>
      <c r="D905" s="62">
        <v>1885.4</v>
      </c>
    </row>
    <row r="906" spans="1:4">
      <c r="A906" s="61">
        <v>3267</v>
      </c>
      <c r="B906" s="61">
        <v>90176</v>
      </c>
      <c r="C906" s="62">
        <v>92.6</v>
      </c>
      <c r="D906" s="62">
        <v>1885.4</v>
      </c>
    </row>
    <row r="907" spans="1:4">
      <c r="A907" s="61">
        <v>3268</v>
      </c>
      <c r="B907" s="61">
        <v>90186</v>
      </c>
      <c r="C907" s="62">
        <v>81.099999999999994</v>
      </c>
      <c r="D907" s="62">
        <v>1775.6</v>
      </c>
    </row>
    <row r="908" spans="1:4">
      <c r="A908" s="61">
        <v>3269</v>
      </c>
      <c r="B908" s="61">
        <v>90015</v>
      </c>
      <c r="C908" s="62">
        <v>71.2</v>
      </c>
      <c r="D908" s="62">
        <v>1543.2</v>
      </c>
    </row>
    <row r="909" spans="1:4">
      <c r="A909" s="61">
        <v>3270</v>
      </c>
      <c r="B909" s="61">
        <v>90186</v>
      </c>
      <c r="C909" s="62">
        <v>81.099999999999994</v>
      </c>
      <c r="D909" s="62">
        <v>1775.6</v>
      </c>
    </row>
    <row r="910" spans="1:4">
      <c r="A910" s="61">
        <v>3271</v>
      </c>
      <c r="B910" s="61">
        <v>90176</v>
      </c>
      <c r="C910" s="62">
        <v>92.6</v>
      </c>
      <c r="D910" s="62">
        <v>1885.4</v>
      </c>
    </row>
    <row r="911" spans="1:4">
      <c r="A911" s="61">
        <v>3272</v>
      </c>
      <c r="B911" s="61">
        <v>90176</v>
      </c>
      <c r="C911" s="62">
        <v>92.6</v>
      </c>
      <c r="D911" s="62">
        <v>1885.4</v>
      </c>
    </row>
    <row r="912" spans="1:4">
      <c r="A912" s="61">
        <v>3273</v>
      </c>
      <c r="B912" s="61">
        <v>90176</v>
      </c>
      <c r="C912" s="62">
        <v>92.6</v>
      </c>
      <c r="D912" s="62">
        <v>1885.4</v>
      </c>
    </row>
    <row r="913" spans="1:4">
      <c r="A913" s="61">
        <v>3274</v>
      </c>
      <c r="B913" s="61">
        <v>90176</v>
      </c>
      <c r="C913" s="62">
        <v>92.6</v>
      </c>
      <c r="D913" s="62">
        <v>1885.4</v>
      </c>
    </row>
    <row r="914" spans="1:4">
      <c r="A914" s="61">
        <v>3275</v>
      </c>
      <c r="B914" s="61">
        <v>90186</v>
      </c>
      <c r="C914" s="62">
        <v>81.099999999999994</v>
      </c>
      <c r="D914" s="62">
        <v>1775.6</v>
      </c>
    </row>
    <row r="915" spans="1:4">
      <c r="A915" s="61">
        <v>3276</v>
      </c>
      <c r="B915" s="61">
        <v>90186</v>
      </c>
      <c r="C915" s="62">
        <v>81.099999999999994</v>
      </c>
      <c r="D915" s="62">
        <v>1775.6</v>
      </c>
    </row>
    <row r="916" spans="1:4">
      <c r="A916" s="61">
        <v>3277</v>
      </c>
      <c r="B916" s="61">
        <v>90186</v>
      </c>
      <c r="C916" s="62">
        <v>81.099999999999994</v>
      </c>
      <c r="D916" s="62">
        <v>1775.6</v>
      </c>
    </row>
    <row r="917" spans="1:4">
      <c r="A917" s="61">
        <v>3278</v>
      </c>
      <c r="B917" s="61">
        <v>90186</v>
      </c>
      <c r="C917" s="62">
        <v>81.099999999999994</v>
      </c>
      <c r="D917" s="62">
        <v>1775.6</v>
      </c>
    </row>
    <row r="918" spans="1:4">
      <c r="A918" s="61">
        <v>3279</v>
      </c>
      <c r="B918" s="61">
        <v>90176</v>
      </c>
      <c r="C918" s="62">
        <v>92.6</v>
      </c>
      <c r="D918" s="62">
        <v>1885.4</v>
      </c>
    </row>
    <row r="919" spans="1:4">
      <c r="A919" s="61">
        <v>3280</v>
      </c>
      <c r="B919" s="61">
        <v>90186</v>
      </c>
      <c r="C919" s="62">
        <v>81.099999999999994</v>
      </c>
      <c r="D919" s="62">
        <v>1775.6</v>
      </c>
    </row>
    <row r="920" spans="1:4">
      <c r="A920" s="61">
        <v>3281</v>
      </c>
      <c r="B920" s="61">
        <v>90186</v>
      </c>
      <c r="C920" s="62">
        <v>81.099999999999994</v>
      </c>
      <c r="D920" s="62">
        <v>1775.6</v>
      </c>
    </row>
    <row r="921" spans="1:4">
      <c r="A921" s="61">
        <v>3282</v>
      </c>
      <c r="B921" s="61">
        <v>90186</v>
      </c>
      <c r="C921" s="62">
        <v>81.099999999999994</v>
      </c>
      <c r="D921" s="62">
        <v>1775.6</v>
      </c>
    </row>
    <row r="922" spans="1:4">
      <c r="A922" s="61">
        <v>3283</v>
      </c>
      <c r="B922" s="61">
        <v>90186</v>
      </c>
      <c r="C922" s="62">
        <v>81.099999999999994</v>
      </c>
      <c r="D922" s="62">
        <v>1775.6</v>
      </c>
    </row>
    <row r="923" spans="1:4">
      <c r="A923" s="61">
        <v>3284</v>
      </c>
      <c r="B923" s="61">
        <v>90175</v>
      </c>
      <c r="C923" s="62">
        <v>93.9</v>
      </c>
      <c r="D923" s="62">
        <v>1432.8</v>
      </c>
    </row>
    <row r="924" spans="1:4">
      <c r="A924" s="61">
        <v>3285</v>
      </c>
      <c r="B924" s="61">
        <v>90175</v>
      </c>
      <c r="C924" s="62">
        <v>93.9</v>
      </c>
      <c r="D924" s="62">
        <v>1432.8</v>
      </c>
    </row>
    <row r="925" spans="1:4">
      <c r="A925" s="61">
        <v>3286</v>
      </c>
      <c r="B925" s="61">
        <v>90173</v>
      </c>
      <c r="C925" s="62">
        <v>73.599999999999994</v>
      </c>
      <c r="D925" s="62">
        <v>1897</v>
      </c>
    </row>
    <row r="926" spans="1:4">
      <c r="A926" s="61">
        <v>3287</v>
      </c>
      <c r="B926" s="61">
        <v>90186</v>
      </c>
      <c r="C926" s="62">
        <v>81.099999999999994</v>
      </c>
      <c r="D926" s="62">
        <v>1775.6</v>
      </c>
    </row>
    <row r="927" spans="1:4">
      <c r="A927" s="61">
        <v>3289</v>
      </c>
      <c r="B927" s="61">
        <v>90173</v>
      </c>
      <c r="C927" s="62">
        <v>73.599999999999994</v>
      </c>
      <c r="D927" s="62">
        <v>1897</v>
      </c>
    </row>
    <row r="928" spans="1:4">
      <c r="A928" s="61">
        <v>3292</v>
      </c>
      <c r="B928" s="61">
        <v>26021</v>
      </c>
      <c r="C928" s="62">
        <v>55.4</v>
      </c>
      <c r="D928" s="62">
        <v>1654.6</v>
      </c>
    </row>
    <row r="929" spans="1:4">
      <c r="A929" s="61">
        <v>3293</v>
      </c>
      <c r="B929" s="61">
        <v>89112</v>
      </c>
      <c r="C929" s="62">
        <v>85.1</v>
      </c>
      <c r="D929" s="62">
        <v>1875.8</v>
      </c>
    </row>
    <row r="930" spans="1:4">
      <c r="A930" s="61">
        <v>3294</v>
      </c>
      <c r="B930" s="61">
        <v>90173</v>
      </c>
      <c r="C930" s="62">
        <v>73.599999999999994</v>
      </c>
      <c r="D930" s="62">
        <v>1897</v>
      </c>
    </row>
    <row r="931" spans="1:4">
      <c r="A931" s="61">
        <v>3300</v>
      </c>
      <c r="B931" s="61">
        <v>90173</v>
      </c>
      <c r="C931" s="62">
        <v>73.599999999999994</v>
      </c>
      <c r="D931" s="62">
        <v>1897</v>
      </c>
    </row>
    <row r="932" spans="1:4">
      <c r="A932" s="61">
        <v>3301</v>
      </c>
      <c r="B932" s="61">
        <v>90173</v>
      </c>
      <c r="C932" s="62">
        <v>73.599999999999994</v>
      </c>
      <c r="D932" s="62">
        <v>1897</v>
      </c>
    </row>
    <row r="933" spans="1:4">
      <c r="A933" s="61">
        <v>3302</v>
      </c>
      <c r="B933" s="61">
        <v>90173</v>
      </c>
      <c r="C933" s="62">
        <v>73.599999999999994</v>
      </c>
      <c r="D933" s="62">
        <v>1897</v>
      </c>
    </row>
    <row r="934" spans="1:4">
      <c r="A934" s="61">
        <v>3303</v>
      </c>
      <c r="B934" s="61">
        <v>90171</v>
      </c>
      <c r="C934" s="62">
        <v>54.1</v>
      </c>
      <c r="D934" s="62">
        <v>1776.2</v>
      </c>
    </row>
    <row r="935" spans="1:4">
      <c r="A935" s="61">
        <v>3304</v>
      </c>
      <c r="B935" s="61">
        <v>90175</v>
      </c>
      <c r="C935" s="62">
        <v>93.9</v>
      </c>
      <c r="D935" s="62">
        <v>1432.8</v>
      </c>
    </row>
    <row r="936" spans="1:4">
      <c r="A936" s="61">
        <v>3305</v>
      </c>
      <c r="B936" s="61">
        <v>90171</v>
      </c>
      <c r="C936" s="62">
        <v>54.1</v>
      </c>
      <c r="D936" s="62">
        <v>1776.2</v>
      </c>
    </row>
    <row r="937" spans="1:4">
      <c r="A937" s="61">
        <v>3309</v>
      </c>
      <c r="B937" s="61">
        <v>90182</v>
      </c>
      <c r="C937" s="62">
        <v>77.900000000000006</v>
      </c>
      <c r="D937" s="62">
        <v>1733.2</v>
      </c>
    </row>
    <row r="938" spans="1:4">
      <c r="A938" s="61">
        <v>3310</v>
      </c>
      <c r="B938" s="61">
        <v>90182</v>
      </c>
      <c r="C938" s="62">
        <v>77.900000000000006</v>
      </c>
      <c r="D938" s="62">
        <v>1733.2</v>
      </c>
    </row>
    <row r="939" spans="1:4">
      <c r="A939" s="61">
        <v>3311</v>
      </c>
      <c r="B939" s="61">
        <v>90182</v>
      </c>
      <c r="C939" s="62">
        <v>77.900000000000006</v>
      </c>
      <c r="D939" s="62">
        <v>1733.2</v>
      </c>
    </row>
    <row r="940" spans="1:4">
      <c r="A940" s="61">
        <v>3312</v>
      </c>
      <c r="B940" s="61">
        <v>90182</v>
      </c>
      <c r="C940" s="62">
        <v>77.900000000000006</v>
      </c>
      <c r="D940" s="62">
        <v>1733.2</v>
      </c>
    </row>
    <row r="941" spans="1:4">
      <c r="A941" s="61">
        <v>3314</v>
      </c>
      <c r="B941" s="61">
        <v>90173</v>
      </c>
      <c r="C941" s="62">
        <v>73.599999999999994</v>
      </c>
      <c r="D941" s="62">
        <v>1897</v>
      </c>
    </row>
    <row r="942" spans="1:4">
      <c r="A942" s="61">
        <v>3315</v>
      </c>
      <c r="B942" s="61">
        <v>90173</v>
      </c>
      <c r="C942" s="62">
        <v>73.599999999999994</v>
      </c>
      <c r="D942" s="62">
        <v>1897</v>
      </c>
    </row>
    <row r="943" spans="1:4">
      <c r="A943" s="61">
        <v>3317</v>
      </c>
      <c r="B943" s="61">
        <v>79097</v>
      </c>
      <c r="C943" s="62">
        <v>83.9</v>
      </c>
      <c r="D943" s="62">
        <v>1667.3</v>
      </c>
    </row>
    <row r="944" spans="1:4">
      <c r="A944" s="61">
        <v>3318</v>
      </c>
      <c r="B944" s="61">
        <v>79099</v>
      </c>
      <c r="C944" s="62">
        <v>103.2</v>
      </c>
      <c r="D944" s="62">
        <v>1591.1</v>
      </c>
    </row>
    <row r="945" spans="1:4">
      <c r="A945" s="61">
        <v>3319</v>
      </c>
      <c r="B945" s="61">
        <v>79099</v>
      </c>
      <c r="C945" s="62">
        <v>103.2</v>
      </c>
      <c r="D945" s="62">
        <v>1591.1</v>
      </c>
    </row>
    <row r="946" spans="1:4">
      <c r="A946" s="61">
        <v>3321</v>
      </c>
      <c r="B946" s="61">
        <v>90035</v>
      </c>
      <c r="C946" s="62">
        <v>61.1</v>
      </c>
      <c r="D946" s="62">
        <v>1887.5</v>
      </c>
    </row>
    <row r="947" spans="1:4">
      <c r="A947" s="61">
        <v>3322</v>
      </c>
      <c r="B947" s="61">
        <v>90035</v>
      </c>
      <c r="C947" s="62">
        <v>61.1</v>
      </c>
      <c r="D947" s="62">
        <v>1887.5</v>
      </c>
    </row>
    <row r="948" spans="1:4">
      <c r="A948" s="61">
        <v>3323</v>
      </c>
      <c r="B948" s="61">
        <v>90035</v>
      </c>
      <c r="C948" s="62">
        <v>61.1</v>
      </c>
      <c r="D948" s="62">
        <v>1887.5</v>
      </c>
    </row>
    <row r="949" spans="1:4">
      <c r="A949" s="61">
        <v>3324</v>
      </c>
      <c r="B949" s="61">
        <v>89112</v>
      </c>
      <c r="C949" s="62">
        <v>85.1</v>
      </c>
      <c r="D949" s="62">
        <v>1875.8</v>
      </c>
    </row>
    <row r="950" spans="1:4">
      <c r="A950" s="61">
        <v>3325</v>
      </c>
      <c r="B950" s="61">
        <v>89112</v>
      </c>
      <c r="C950" s="62">
        <v>85.1</v>
      </c>
      <c r="D950" s="62">
        <v>1875.8</v>
      </c>
    </row>
    <row r="951" spans="1:4">
      <c r="A951" s="61">
        <v>3328</v>
      </c>
      <c r="B951" s="61">
        <v>87168</v>
      </c>
      <c r="C951" s="62">
        <v>90.3</v>
      </c>
      <c r="D951" s="62">
        <v>1797.1</v>
      </c>
    </row>
    <row r="952" spans="1:4">
      <c r="A952" s="61">
        <v>3329</v>
      </c>
      <c r="B952" s="61">
        <v>90035</v>
      </c>
      <c r="C952" s="62">
        <v>61.1</v>
      </c>
      <c r="D952" s="62">
        <v>1887.5</v>
      </c>
    </row>
    <row r="953" spans="1:4">
      <c r="A953" s="61">
        <v>3330</v>
      </c>
      <c r="B953" s="61">
        <v>87168</v>
      </c>
      <c r="C953" s="62">
        <v>90.3</v>
      </c>
      <c r="D953" s="62">
        <v>1797.1</v>
      </c>
    </row>
    <row r="954" spans="1:4">
      <c r="A954" s="61">
        <v>3331</v>
      </c>
      <c r="B954" s="61">
        <v>87168</v>
      </c>
      <c r="C954" s="62">
        <v>90.3</v>
      </c>
      <c r="D954" s="62">
        <v>1797.1</v>
      </c>
    </row>
    <row r="955" spans="1:4">
      <c r="A955" s="61">
        <v>3332</v>
      </c>
      <c r="B955" s="61">
        <v>87168</v>
      </c>
      <c r="C955" s="62">
        <v>90.3</v>
      </c>
      <c r="D955" s="62">
        <v>1797.1</v>
      </c>
    </row>
    <row r="956" spans="1:4">
      <c r="A956" s="61">
        <v>3333</v>
      </c>
      <c r="B956" s="61">
        <v>87168</v>
      </c>
      <c r="C956" s="62">
        <v>90.3</v>
      </c>
      <c r="D956" s="62">
        <v>1797.1</v>
      </c>
    </row>
    <row r="957" spans="1:4">
      <c r="A957" s="61">
        <v>3334</v>
      </c>
      <c r="B957" s="61">
        <v>87168</v>
      </c>
      <c r="C957" s="62">
        <v>90.3</v>
      </c>
      <c r="D957" s="62">
        <v>1797.1</v>
      </c>
    </row>
    <row r="958" spans="1:4">
      <c r="A958" s="61">
        <v>3335</v>
      </c>
      <c r="B958" s="61">
        <v>86282</v>
      </c>
      <c r="C958" s="62">
        <v>105</v>
      </c>
      <c r="D958" s="62">
        <v>1455.7</v>
      </c>
    </row>
    <row r="959" spans="1:4">
      <c r="A959" s="61">
        <v>3337</v>
      </c>
      <c r="B959" s="61">
        <v>86282</v>
      </c>
      <c r="C959" s="62">
        <v>105</v>
      </c>
      <c r="D959" s="62">
        <v>1455.7</v>
      </c>
    </row>
    <row r="960" spans="1:4">
      <c r="A960" s="61">
        <v>3338</v>
      </c>
      <c r="B960" s="61">
        <v>86282</v>
      </c>
      <c r="C960" s="62">
        <v>105</v>
      </c>
      <c r="D960" s="62">
        <v>1455.7</v>
      </c>
    </row>
    <row r="961" spans="1:4">
      <c r="A961" s="61">
        <v>3340</v>
      </c>
      <c r="B961" s="61">
        <v>87031</v>
      </c>
      <c r="C961" s="62">
        <v>160.4</v>
      </c>
      <c r="D961" s="62">
        <v>1413.4</v>
      </c>
    </row>
    <row r="962" spans="1:4">
      <c r="A962" s="61">
        <v>3341</v>
      </c>
      <c r="B962" s="61">
        <v>89002</v>
      </c>
      <c r="C962" s="62">
        <v>59.7</v>
      </c>
      <c r="D962" s="62">
        <v>2189.9</v>
      </c>
    </row>
    <row r="963" spans="1:4">
      <c r="A963" s="61">
        <v>3342</v>
      </c>
      <c r="B963" s="61">
        <v>87168</v>
      </c>
      <c r="C963" s="62">
        <v>90.3</v>
      </c>
      <c r="D963" s="62">
        <v>1797.1</v>
      </c>
    </row>
    <row r="964" spans="1:4">
      <c r="A964" s="61">
        <v>3345</v>
      </c>
      <c r="B964" s="61">
        <v>89002</v>
      </c>
      <c r="C964" s="62">
        <v>59.7</v>
      </c>
      <c r="D964" s="62">
        <v>2189.9</v>
      </c>
    </row>
    <row r="965" spans="1:4">
      <c r="A965" s="61">
        <v>3350</v>
      </c>
      <c r="B965" s="61">
        <v>89002</v>
      </c>
      <c r="C965" s="62">
        <v>59.7</v>
      </c>
      <c r="D965" s="62">
        <v>2189.9</v>
      </c>
    </row>
    <row r="966" spans="1:4">
      <c r="A966" s="61">
        <v>3351</v>
      </c>
      <c r="B966" s="61">
        <v>89002</v>
      </c>
      <c r="C966" s="62">
        <v>59.7</v>
      </c>
      <c r="D966" s="62">
        <v>2189.9</v>
      </c>
    </row>
    <row r="967" spans="1:4">
      <c r="A967" s="61">
        <v>3352</v>
      </c>
      <c r="B967" s="61">
        <v>89002</v>
      </c>
      <c r="C967" s="62">
        <v>59.7</v>
      </c>
      <c r="D967" s="62">
        <v>2189.9</v>
      </c>
    </row>
    <row r="968" spans="1:4">
      <c r="A968" s="61">
        <v>3355</v>
      </c>
      <c r="B968" s="61">
        <v>89002</v>
      </c>
      <c r="C968" s="62">
        <v>59.7</v>
      </c>
      <c r="D968" s="62">
        <v>2189.9</v>
      </c>
    </row>
    <row r="969" spans="1:4">
      <c r="A969" s="61">
        <v>3356</v>
      </c>
      <c r="B969" s="61">
        <v>89002</v>
      </c>
      <c r="C969" s="62">
        <v>59.7</v>
      </c>
      <c r="D969" s="62">
        <v>2189.9</v>
      </c>
    </row>
    <row r="970" spans="1:4">
      <c r="A970" s="61">
        <v>3357</v>
      </c>
      <c r="B970" s="61">
        <v>89002</v>
      </c>
      <c r="C970" s="62">
        <v>59.7</v>
      </c>
      <c r="D970" s="62">
        <v>2189.9</v>
      </c>
    </row>
    <row r="971" spans="1:4">
      <c r="A971" s="61">
        <v>3360</v>
      </c>
      <c r="B971" s="61">
        <v>89002</v>
      </c>
      <c r="C971" s="62">
        <v>59.7</v>
      </c>
      <c r="D971" s="62">
        <v>2189.9</v>
      </c>
    </row>
    <row r="972" spans="1:4">
      <c r="A972" s="61">
        <v>3361</v>
      </c>
      <c r="B972" s="61">
        <v>89112</v>
      </c>
      <c r="C972" s="62">
        <v>85.1</v>
      </c>
      <c r="D972" s="62">
        <v>1875.8</v>
      </c>
    </row>
    <row r="973" spans="1:4">
      <c r="A973" s="61">
        <v>3363</v>
      </c>
      <c r="B973" s="61">
        <v>89002</v>
      </c>
      <c r="C973" s="62">
        <v>59.7</v>
      </c>
      <c r="D973" s="62">
        <v>2189.9</v>
      </c>
    </row>
    <row r="974" spans="1:4">
      <c r="A974" s="61">
        <v>3364</v>
      </c>
      <c r="B974" s="61">
        <v>89002</v>
      </c>
      <c r="C974" s="62">
        <v>59.7</v>
      </c>
      <c r="D974" s="62">
        <v>2189.9</v>
      </c>
    </row>
    <row r="975" spans="1:4">
      <c r="A975" s="61">
        <v>3370</v>
      </c>
      <c r="B975" s="61">
        <v>89002</v>
      </c>
      <c r="C975" s="62">
        <v>59.7</v>
      </c>
      <c r="D975" s="62">
        <v>2189.9</v>
      </c>
    </row>
    <row r="976" spans="1:4">
      <c r="A976" s="61">
        <v>3371</v>
      </c>
      <c r="B976" s="61">
        <v>89002</v>
      </c>
      <c r="C976" s="62">
        <v>59.7</v>
      </c>
      <c r="D976" s="62">
        <v>2189.9</v>
      </c>
    </row>
    <row r="977" spans="1:4">
      <c r="A977" s="61">
        <v>3373</v>
      </c>
      <c r="B977" s="61">
        <v>79101</v>
      </c>
      <c r="C977" s="62">
        <v>26.5</v>
      </c>
      <c r="D977" s="62">
        <v>2751.4</v>
      </c>
    </row>
    <row r="978" spans="1:4">
      <c r="A978" s="61">
        <v>3374</v>
      </c>
      <c r="B978" s="61">
        <v>79105</v>
      </c>
      <c r="C978" s="62">
        <v>90</v>
      </c>
      <c r="D978" s="62">
        <v>1661.6</v>
      </c>
    </row>
    <row r="979" spans="1:4">
      <c r="A979" s="61">
        <v>3375</v>
      </c>
      <c r="B979" s="61">
        <v>79101</v>
      </c>
      <c r="C979" s="62">
        <v>26.5</v>
      </c>
      <c r="D979" s="62">
        <v>2751.4</v>
      </c>
    </row>
    <row r="980" spans="1:4">
      <c r="A980" s="61">
        <v>3377</v>
      </c>
      <c r="B980" s="61">
        <v>79101</v>
      </c>
      <c r="C980" s="62">
        <v>26.5</v>
      </c>
      <c r="D980" s="62">
        <v>2751.4</v>
      </c>
    </row>
    <row r="981" spans="1:4">
      <c r="A981" s="61">
        <v>3378</v>
      </c>
      <c r="B981" s="61">
        <v>89112</v>
      </c>
      <c r="C981" s="62">
        <v>85.1</v>
      </c>
      <c r="D981" s="62">
        <v>1875.8</v>
      </c>
    </row>
    <row r="982" spans="1:4">
      <c r="A982" s="61">
        <v>3379</v>
      </c>
      <c r="B982" s="61">
        <v>90173</v>
      </c>
      <c r="C982" s="62">
        <v>73.599999999999994</v>
      </c>
      <c r="D982" s="62">
        <v>1897</v>
      </c>
    </row>
    <row r="983" spans="1:4">
      <c r="A983" s="61">
        <v>3380</v>
      </c>
      <c r="B983" s="61">
        <v>79105</v>
      </c>
      <c r="C983" s="62">
        <v>90</v>
      </c>
      <c r="D983" s="62">
        <v>1661.6</v>
      </c>
    </row>
    <row r="984" spans="1:4">
      <c r="A984" s="61">
        <v>3381</v>
      </c>
      <c r="B984" s="61">
        <v>79105</v>
      </c>
      <c r="C984" s="62">
        <v>90</v>
      </c>
      <c r="D984" s="62">
        <v>1661.6</v>
      </c>
    </row>
    <row r="985" spans="1:4">
      <c r="A985" s="61">
        <v>3384</v>
      </c>
      <c r="B985" s="61">
        <v>79101</v>
      </c>
      <c r="C985" s="62">
        <v>26.5</v>
      </c>
      <c r="D985" s="62">
        <v>2751.4</v>
      </c>
    </row>
    <row r="986" spans="1:4">
      <c r="A986" s="61">
        <v>3385</v>
      </c>
      <c r="B986" s="61">
        <v>79105</v>
      </c>
      <c r="C986" s="62">
        <v>90</v>
      </c>
      <c r="D986" s="62">
        <v>1661.6</v>
      </c>
    </row>
    <row r="987" spans="1:4">
      <c r="A987" s="61">
        <v>3387</v>
      </c>
      <c r="B987" s="61">
        <v>79105</v>
      </c>
      <c r="C987" s="62">
        <v>90</v>
      </c>
      <c r="D987" s="62">
        <v>1661.6</v>
      </c>
    </row>
    <row r="988" spans="1:4">
      <c r="A988" s="61">
        <v>3388</v>
      </c>
      <c r="B988" s="61">
        <v>79028</v>
      </c>
      <c r="C988" s="62">
        <v>115.3</v>
      </c>
      <c r="D988" s="62">
        <v>1633.5</v>
      </c>
    </row>
    <row r="989" spans="1:4">
      <c r="A989" s="61">
        <v>3390</v>
      </c>
      <c r="B989" s="61">
        <v>79028</v>
      </c>
      <c r="C989" s="62">
        <v>115.3</v>
      </c>
      <c r="D989" s="62">
        <v>1633.5</v>
      </c>
    </row>
    <row r="990" spans="1:4">
      <c r="A990" s="61">
        <v>3391</v>
      </c>
      <c r="B990" s="61">
        <v>77010</v>
      </c>
      <c r="C990" s="62">
        <v>170.2</v>
      </c>
      <c r="D990" s="62">
        <v>1361.5</v>
      </c>
    </row>
    <row r="991" spans="1:4">
      <c r="A991" s="61">
        <v>3392</v>
      </c>
      <c r="B991" s="61">
        <v>79028</v>
      </c>
      <c r="C991" s="62">
        <v>115.3</v>
      </c>
      <c r="D991" s="62">
        <v>1633.5</v>
      </c>
    </row>
    <row r="992" spans="1:4">
      <c r="A992" s="61">
        <v>3393</v>
      </c>
      <c r="B992" s="61">
        <v>79100</v>
      </c>
      <c r="C992" s="62">
        <v>88.3</v>
      </c>
      <c r="D992" s="62">
        <v>1667.4</v>
      </c>
    </row>
    <row r="993" spans="1:4">
      <c r="A993" s="61">
        <v>3395</v>
      </c>
      <c r="B993" s="61">
        <v>77010</v>
      </c>
      <c r="C993" s="62">
        <v>170.2</v>
      </c>
      <c r="D993" s="62">
        <v>1361.5</v>
      </c>
    </row>
    <row r="994" spans="1:4">
      <c r="A994" s="61">
        <v>3396</v>
      </c>
      <c r="B994" s="61">
        <v>77010</v>
      </c>
      <c r="C994" s="62">
        <v>170.2</v>
      </c>
      <c r="D994" s="62">
        <v>1361.5</v>
      </c>
    </row>
    <row r="995" spans="1:4">
      <c r="A995" s="61">
        <v>3400</v>
      </c>
      <c r="B995" s="61">
        <v>79100</v>
      </c>
      <c r="C995" s="62">
        <v>88.3</v>
      </c>
      <c r="D995" s="62">
        <v>1667.4</v>
      </c>
    </row>
    <row r="996" spans="1:4">
      <c r="A996" s="61">
        <v>3401</v>
      </c>
      <c r="B996" s="61">
        <v>79028</v>
      </c>
      <c r="C996" s="62">
        <v>115.3</v>
      </c>
      <c r="D996" s="62">
        <v>1633.5</v>
      </c>
    </row>
    <row r="997" spans="1:4">
      <c r="A997" s="61">
        <v>3407</v>
      </c>
      <c r="B997" s="61">
        <v>79097</v>
      </c>
      <c r="C997" s="62">
        <v>83.9</v>
      </c>
      <c r="D997" s="62">
        <v>1667.3</v>
      </c>
    </row>
    <row r="998" spans="1:4">
      <c r="A998" s="61">
        <v>3409</v>
      </c>
      <c r="B998" s="61">
        <v>79100</v>
      </c>
      <c r="C998" s="62">
        <v>88.3</v>
      </c>
      <c r="D998" s="62">
        <v>1667.4</v>
      </c>
    </row>
    <row r="999" spans="1:4">
      <c r="A999" s="61">
        <v>3412</v>
      </c>
      <c r="B999" s="61">
        <v>79099</v>
      </c>
      <c r="C999" s="62">
        <v>103.2</v>
      </c>
      <c r="D999" s="62">
        <v>1591.1</v>
      </c>
    </row>
    <row r="1000" spans="1:4">
      <c r="A1000" s="61">
        <v>3413</v>
      </c>
      <c r="B1000" s="61">
        <v>79099</v>
      </c>
      <c r="C1000" s="62">
        <v>103.2</v>
      </c>
      <c r="D1000" s="62">
        <v>1591.1</v>
      </c>
    </row>
    <row r="1001" spans="1:4">
      <c r="A1001" s="61">
        <v>3414</v>
      </c>
      <c r="B1001" s="61">
        <v>78015</v>
      </c>
      <c r="C1001" s="62">
        <v>105.6</v>
      </c>
      <c r="D1001" s="62">
        <v>1445.3</v>
      </c>
    </row>
    <row r="1002" spans="1:4">
      <c r="A1002" s="61">
        <v>3415</v>
      </c>
      <c r="B1002" s="61">
        <v>78015</v>
      </c>
      <c r="C1002" s="62">
        <v>105.6</v>
      </c>
      <c r="D1002" s="62">
        <v>1445.3</v>
      </c>
    </row>
    <row r="1003" spans="1:4">
      <c r="A1003" s="61">
        <v>3418</v>
      </c>
      <c r="B1003" s="61">
        <v>78015</v>
      </c>
      <c r="C1003" s="62">
        <v>105.6</v>
      </c>
      <c r="D1003" s="62">
        <v>1445.3</v>
      </c>
    </row>
    <row r="1004" spans="1:4">
      <c r="A1004" s="61">
        <v>3419</v>
      </c>
      <c r="B1004" s="61">
        <v>78015</v>
      </c>
      <c r="C1004" s="62">
        <v>105.6</v>
      </c>
      <c r="D1004" s="62">
        <v>1445.3</v>
      </c>
    </row>
    <row r="1005" spans="1:4">
      <c r="A1005" s="61">
        <v>3420</v>
      </c>
      <c r="B1005" s="61">
        <v>78015</v>
      </c>
      <c r="C1005" s="62">
        <v>105.6</v>
      </c>
      <c r="D1005" s="62">
        <v>1445.3</v>
      </c>
    </row>
    <row r="1006" spans="1:4">
      <c r="A1006" s="61">
        <v>3423</v>
      </c>
      <c r="B1006" s="61">
        <v>78015</v>
      </c>
      <c r="C1006" s="62">
        <v>105.6</v>
      </c>
      <c r="D1006" s="62">
        <v>1445.3</v>
      </c>
    </row>
    <row r="1007" spans="1:4">
      <c r="A1007" s="61">
        <v>3424</v>
      </c>
      <c r="B1007" s="61">
        <v>77010</v>
      </c>
      <c r="C1007" s="62">
        <v>170.2</v>
      </c>
      <c r="D1007" s="62">
        <v>1361.5</v>
      </c>
    </row>
    <row r="1008" spans="1:4">
      <c r="A1008" s="61">
        <v>3427</v>
      </c>
      <c r="B1008" s="61">
        <v>86282</v>
      </c>
      <c r="C1008" s="62">
        <v>105</v>
      </c>
      <c r="D1008" s="62">
        <v>1455.7</v>
      </c>
    </row>
    <row r="1009" spans="1:4">
      <c r="A1009" s="61">
        <v>3428</v>
      </c>
      <c r="B1009" s="61">
        <v>86282</v>
      </c>
      <c r="C1009" s="62">
        <v>105</v>
      </c>
      <c r="D1009" s="62">
        <v>1455.7</v>
      </c>
    </row>
    <row r="1010" spans="1:4">
      <c r="A1010" s="61">
        <v>3429</v>
      </c>
      <c r="B1010" s="61">
        <v>86282</v>
      </c>
      <c r="C1010" s="62">
        <v>105</v>
      </c>
      <c r="D1010" s="62">
        <v>1455.7</v>
      </c>
    </row>
    <row r="1011" spans="1:4">
      <c r="A1011" s="61">
        <v>3430</v>
      </c>
      <c r="B1011" s="61">
        <v>86282</v>
      </c>
      <c r="C1011" s="62">
        <v>105</v>
      </c>
      <c r="D1011" s="62">
        <v>1455.7</v>
      </c>
    </row>
    <row r="1012" spans="1:4">
      <c r="A1012" s="61">
        <v>3431</v>
      </c>
      <c r="B1012" s="61">
        <v>88162</v>
      </c>
      <c r="C1012" s="62">
        <v>62.1</v>
      </c>
      <c r="D1012" s="62">
        <v>2242.8000000000002</v>
      </c>
    </row>
    <row r="1013" spans="1:4">
      <c r="A1013" s="61">
        <v>3432</v>
      </c>
      <c r="B1013" s="61">
        <v>88162</v>
      </c>
      <c r="C1013" s="62">
        <v>62.1</v>
      </c>
      <c r="D1013" s="62">
        <v>2242.8000000000002</v>
      </c>
    </row>
    <row r="1014" spans="1:4">
      <c r="A1014" s="61">
        <v>3433</v>
      </c>
      <c r="B1014" s="61">
        <v>88162</v>
      </c>
      <c r="C1014" s="62">
        <v>62.1</v>
      </c>
      <c r="D1014" s="62">
        <v>2242.8000000000002</v>
      </c>
    </row>
    <row r="1015" spans="1:4">
      <c r="A1015" s="61">
        <v>3434</v>
      </c>
      <c r="B1015" s="61">
        <v>88162</v>
      </c>
      <c r="C1015" s="62">
        <v>62.1</v>
      </c>
      <c r="D1015" s="62">
        <v>2242.8000000000002</v>
      </c>
    </row>
    <row r="1016" spans="1:4">
      <c r="A1016" s="61">
        <v>3435</v>
      </c>
      <c r="B1016" s="61">
        <v>88051</v>
      </c>
      <c r="C1016" s="62">
        <v>109</v>
      </c>
      <c r="D1016" s="62">
        <v>1852</v>
      </c>
    </row>
    <row r="1017" spans="1:4">
      <c r="A1017" s="61">
        <v>3437</v>
      </c>
      <c r="B1017" s="61">
        <v>86282</v>
      </c>
      <c r="C1017" s="62">
        <v>105</v>
      </c>
      <c r="D1017" s="62">
        <v>1455.7</v>
      </c>
    </row>
    <row r="1018" spans="1:4">
      <c r="A1018" s="61">
        <v>3438</v>
      </c>
      <c r="B1018" s="61">
        <v>86282</v>
      </c>
      <c r="C1018" s="62">
        <v>105</v>
      </c>
      <c r="D1018" s="62">
        <v>1455.7</v>
      </c>
    </row>
    <row r="1019" spans="1:4">
      <c r="A1019" s="61">
        <v>3440</v>
      </c>
      <c r="B1019" s="61">
        <v>88162</v>
      </c>
      <c r="C1019" s="62">
        <v>62.1</v>
      </c>
      <c r="D1019" s="62">
        <v>2242.8000000000002</v>
      </c>
    </row>
    <row r="1020" spans="1:4">
      <c r="A1020" s="61">
        <v>3441</v>
      </c>
      <c r="B1020" s="61">
        <v>88162</v>
      </c>
      <c r="C1020" s="62">
        <v>62.1</v>
      </c>
      <c r="D1020" s="62">
        <v>2242.8000000000002</v>
      </c>
    </row>
    <row r="1021" spans="1:4">
      <c r="A1021" s="61">
        <v>3442</v>
      </c>
      <c r="B1021" s="61">
        <v>88051</v>
      </c>
      <c r="C1021" s="62">
        <v>109</v>
      </c>
      <c r="D1021" s="62">
        <v>1852</v>
      </c>
    </row>
    <row r="1022" spans="1:4">
      <c r="A1022" s="61">
        <v>3444</v>
      </c>
      <c r="B1022" s="61">
        <v>88051</v>
      </c>
      <c r="C1022" s="62">
        <v>109</v>
      </c>
      <c r="D1022" s="62">
        <v>1852</v>
      </c>
    </row>
    <row r="1023" spans="1:4">
      <c r="A1023" s="61">
        <v>3446</v>
      </c>
      <c r="B1023" s="61">
        <v>88051</v>
      </c>
      <c r="C1023" s="62">
        <v>109</v>
      </c>
      <c r="D1023" s="62">
        <v>1852</v>
      </c>
    </row>
    <row r="1024" spans="1:4">
      <c r="A1024" s="61">
        <v>3447</v>
      </c>
      <c r="B1024" s="61">
        <v>88051</v>
      </c>
      <c r="C1024" s="62">
        <v>109</v>
      </c>
      <c r="D1024" s="62">
        <v>1852</v>
      </c>
    </row>
    <row r="1025" spans="1:4">
      <c r="A1025" s="61">
        <v>3448</v>
      </c>
      <c r="B1025" s="61">
        <v>88051</v>
      </c>
      <c r="C1025" s="62">
        <v>109</v>
      </c>
      <c r="D1025" s="62">
        <v>1852</v>
      </c>
    </row>
    <row r="1026" spans="1:4">
      <c r="A1026" s="61">
        <v>3450</v>
      </c>
      <c r="B1026" s="61">
        <v>88051</v>
      </c>
      <c r="C1026" s="62">
        <v>109</v>
      </c>
      <c r="D1026" s="62">
        <v>1852</v>
      </c>
    </row>
    <row r="1027" spans="1:4">
      <c r="A1027" s="61">
        <v>3451</v>
      </c>
      <c r="B1027" s="61">
        <v>88051</v>
      </c>
      <c r="C1027" s="62">
        <v>109</v>
      </c>
      <c r="D1027" s="62">
        <v>1852</v>
      </c>
    </row>
    <row r="1028" spans="1:4">
      <c r="A1028" s="61">
        <v>3453</v>
      </c>
      <c r="B1028" s="61">
        <v>88051</v>
      </c>
      <c r="C1028" s="62">
        <v>109</v>
      </c>
      <c r="D1028" s="62">
        <v>1852</v>
      </c>
    </row>
    <row r="1029" spans="1:4">
      <c r="A1029" s="61">
        <v>3458</v>
      </c>
      <c r="B1029" s="61">
        <v>89002</v>
      </c>
      <c r="C1029" s="62">
        <v>59.7</v>
      </c>
      <c r="D1029" s="62">
        <v>2189.9</v>
      </c>
    </row>
    <row r="1030" spans="1:4">
      <c r="A1030" s="61">
        <v>3460</v>
      </c>
      <c r="B1030" s="61">
        <v>89002</v>
      </c>
      <c r="C1030" s="62">
        <v>59.7</v>
      </c>
      <c r="D1030" s="62">
        <v>2189.9</v>
      </c>
    </row>
    <row r="1031" spans="1:4">
      <c r="A1031" s="61">
        <v>3461</v>
      </c>
      <c r="B1031" s="61">
        <v>89002</v>
      </c>
      <c r="C1031" s="62">
        <v>59.7</v>
      </c>
      <c r="D1031" s="62">
        <v>2189.9</v>
      </c>
    </row>
    <row r="1032" spans="1:4">
      <c r="A1032" s="61">
        <v>3462</v>
      </c>
      <c r="B1032" s="61">
        <v>88051</v>
      </c>
      <c r="C1032" s="62">
        <v>109</v>
      </c>
      <c r="D1032" s="62">
        <v>1852</v>
      </c>
    </row>
    <row r="1033" spans="1:4">
      <c r="A1033" s="61">
        <v>3463</v>
      </c>
      <c r="B1033" s="61">
        <v>81123</v>
      </c>
      <c r="C1033" s="62">
        <v>110.9</v>
      </c>
      <c r="D1033" s="62">
        <v>1699.8</v>
      </c>
    </row>
    <row r="1034" spans="1:4">
      <c r="A1034" s="61">
        <v>3464</v>
      </c>
      <c r="B1034" s="61">
        <v>89002</v>
      </c>
      <c r="C1034" s="62">
        <v>59.7</v>
      </c>
      <c r="D1034" s="62">
        <v>2189.9</v>
      </c>
    </row>
    <row r="1035" spans="1:4">
      <c r="A1035" s="61">
        <v>3465</v>
      </c>
      <c r="B1035" s="61">
        <v>79101</v>
      </c>
      <c r="C1035" s="62">
        <v>26.5</v>
      </c>
      <c r="D1035" s="62">
        <v>2751.4</v>
      </c>
    </row>
    <row r="1036" spans="1:4">
      <c r="A1036" s="61">
        <v>3467</v>
      </c>
      <c r="B1036" s="61">
        <v>79101</v>
      </c>
      <c r="C1036" s="62">
        <v>26.5</v>
      </c>
      <c r="D1036" s="62">
        <v>2751.4</v>
      </c>
    </row>
    <row r="1037" spans="1:4">
      <c r="A1037" s="61">
        <v>3468</v>
      </c>
      <c r="B1037" s="61">
        <v>79101</v>
      </c>
      <c r="C1037" s="62">
        <v>26.5</v>
      </c>
      <c r="D1037" s="62">
        <v>2751.4</v>
      </c>
    </row>
    <row r="1038" spans="1:4">
      <c r="A1038" s="61">
        <v>3469</v>
      </c>
      <c r="B1038" s="61">
        <v>79101</v>
      </c>
      <c r="C1038" s="62">
        <v>26.5</v>
      </c>
      <c r="D1038" s="62">
        <v>2751.4</v>
      </c>
    </row>
    <row r="1039" spans="1:4">
      <c r="A1039" s="61">
        <v>3472</v>
      </c>
      <c r="B1039" s="61">
        <v>81123</v>
      </c>
      <c r="C1039" s="62">
        <v>110.9</v>
      </c>
      <c r="D1039" s="62">
        <v>1699.8</v>
      </c>
    </row>
    <row r="1040" spans="1:4">
      <c r="A1040" s="61">
        <v>3475</v>
      </c>
      <c r="B1040" s="61">
        <v>79101</v>
      </c>
      <c r="C1040" s="62">
        <v>26.5</v>
      </c>
      <c r="D1040" s="62">
        <v>2751.4</v>
      </c>
    </row>
    <row r="1041" spans="1:4">
      <c r="A1041" s="61">
        <v>3477</v>
      </c>
      <c r="B1041" s="61">
        <v>80128</v>
      </c>
      <c r="C1041" s="62">
        <v>155.5</v>
      </c>
      <c r="D1041" s="62">
        <v>1415.3</v>
      </c>
    </row>
    <row r="1042" spans="1:4">
      <c r="A1042" s="61">
        <v>3478</v>
      </c>
      <c r="B1042" s="61">
        <v>80128</v>
      </c>
      <c r="C1042" s="62">
        <v>155.5</v>
      </c>
      <c r="D1042" s="62">
        <v>1415.3</v>
      </c>
    </row>
    <row r="1043" spans="1:4">
      <c r="A1043" s="61">
        <v>3480</v>
      </c>
      <c r="B1043" s="61">
        <v>79028</v>
      </c>
      <c r="C1043" s="62">
        <v>115.3</v>
      </c>
      <c r="D1043" s="62">
        <v>1633.5</v>
      </c>
    </row>
    <row r="1044" spans="1:4">
      <c r="A1044" s="61">
        <v>3482</v>
      </c>
      <c r="B1044" s="61">
        <v>80128</v>
      </c>
      <c r="C1044" s="62">
        <v>155.5</v>
      </c>
      <c r="D1044" s="62">
        <v>1415.3</v>
      </c>
    </row>
    <row r="1045" spans="1:4">
      <c r="A1045" s="61">
        <v>3483</v>
      </c>
      <c r="B1045" s="61">
        <v>77010</v>
      </c>
      <c r="C1045" s="62">
        <v>170.2</v>
      </c>
      <c r="D1045" s="62">
        <v>1361.5</v>
      </c>
    </row>
    <row r="1046" spans="1:4">
      <c r="A1046" s="61">
        <v>3485</v>
      </c>
      <c r="B1046" s="61">
        <v>77010</v>
      </c>
      <c r="C1046" s="62">
        <v>170.2</v>
      </c>
      <c r="D1046" s="62">
        <v>1361.5</v>
      </c>
    </row>
    <row r="1047" spans="1:4">
      <c r="A1047" s="61">
        <v>3487</v>
      </c>
      <c r="B1047" s="61">
        <v>77010</v>
      </c>
      <c r="C1047" s="62">
        <v>170.2</v>
      </c>
      <c r="D1047" s="62">
        <v>1361.5</v>
      </c>
    </row>
    <row r="1048" spans="1:4">
      <c r="A1048" s="61">
        <v>3488</v>
      </c>
      <c r="B1048" s="61">
        <v>77010</v>
      </c>
      <c r="C1048" s="62">
        <v>170.2</v>
      </c>
      <c r="D1048" s="62">
        <v>1361.5</v>
      </c>
    </row>
    <row r="1049" spans="1:4">
      <c r="A1049" s="61">
        <v>3489</v>
      </c>
      <c r="B1049" s="61">
        <v>77010</v>
      </c>
      <c r="C1049" s="62">
        <v>170.2</v>
      </c>
      <c r="D1049" s="62">
        <v>1361.5</v>
      </c>
    </row>
    <row r="1050" spans="1:4">
      <c r="A1050" s="61">
        <v>3490</v>
      </c>
      <c r="B1050" s="61">
        <v>76064</v>
      </c>
      <c r="C1050" s="62">
        <v>170.3</v>
      </c>
      <c r="D1050" s="62">
        <v>1174.5</v>
      </c>
    </row>
    <row r="1051" spans="1:4">
      <c r="A1051" s="61">
        <v>3491</v>
      </c>
      <c r="B1051" s="61">
        <v>77010</v>
      </c>
      <c r="C1051" s="62">
        <v>170.2</v>
      </c>
      <c r="D1051" s="62">
        <v>1361.5</v>
      </c>
    </row>
    <row r="1052" spans="1:4">
      <c r="A1052" s="61">
        <v>3494</v>
      </c>
      <c r="B1052" s="61">
        <v>76031</v>
      </c>
      <c r="C1052" s="62">
        <v>195.9</v>
      </c>
      <c r="D1052" s="62">
        <v>1083.7</v>
      </c>
    </row>
    <row r="1053" spans="1:4">
      <c r="A1053" s="61">
        <v>3496</v>
      </c>
      <c r="B1053" s="61">
        <v>76031</v>
      </c>
      <c r="C1053" s="62">
        <v>195.9</v>
      </c>
      <c r="D1053" s="62">
        <v>1083.7</v>
      </c>
    </row>
    <row r="1054" spans="1:4">
      <c r="A1054" s="61">
        <v>3498</v>
      </c>
      <c r="B1054" s="61">
        <v>76031</v>
      </c>
      <c r="C1054" s="62">
        <v>195.9</v>
      </c>
      <c r="D1054" s="62">
        <v>1083.7</v>
      </c>
    </row>
    <row r="1055" spans="1:4">
      <c r="A1055" s="61">
        <v>3500</v>
      </c>
      <c r="B1055" s="61">
        <v>76031</v>
      </c>
      <c r="C1055" s="62">
        <v>195.9</v>
      </c>
      <c r="D1055" s="62">
        <v>1083.7</v>
      </c>
    </row>
    <row r="1056" spans="1:4">
      <c r="A1056" s="61">
        <v>3501</v>
      </c>
      <c r="B1056" s="61">
        <v>76064</v>
      </c>
      <c r="C1056" s="62">
        <v>170.3</v>
      </c>
      <c r="D1056" s="62">
        <v>1174.5</v>
      </c>
    </row>
    <row r="1057" spans="1:4">
      <c r="A1057" s="61">
        <v>3505</v>
      </c>
      <c r="B1057" s="61">
        <v>76031</v>
      </c>
      <c r="C1057" s="62">
        <v>195.9</v>
      </c>
      <c r="D1057" s="62">
        <v>1083.7</v>
      </c>
    </row>
    <row r="1058" spans="1:4">
      <c r="A1058" s="61">
        <v>3506</v>
      </c>
      <c r="B1058" s="61">
        <v>76064</v>
      </c>
      <c r="C1058" s="62">
        <v>170.3</v>
      </c>
      <c r="D1058" s="62">
        <v>1174.5</v>
      </c>
    </row>
    <row r="1059" spans="1:4">
      <c r="A1059" s="61">
        <v>3507</v>
      </c>
      <c r="B1059" s="61">
        <v>76064</v>
      </c>
      <c r="C1059" s="62">
        <v>170.3</v>
      </c>
      <c r="D1059" s="62">
        <v>1174.5</v>
      </c>
    </row>
    <row r="1060" spans="1:4">
      <c r="A1060" s="61">
        <v>3509</v>
      </c>
      <c r="B1060" s="61">
        <v>76064</v>
      </c>
      <c r="C1060" s="62">
        <v>170.3</v>
      </c>
      <c r="D1060" s="62">
        <v>1174.5</v>
      </c>
    </row>
    <row r="1061" spans="1:4">
      <c r="A1061" s="61">
        <v>3512</v>
      </c>
      <c r="B1061" s="61">
        <v>25562</v>
      </c>
      <c r="C1061" s="62">
        <v>123.6</v>
      </c>
      <c r="D1061" s="62">
        <v>1339.7</v>
      </c>
    </row>
    <row r="1062" spans="1:4">
      <c r="A1062" s="61">
        <v>3515</v>
      </c>
      <c r="B1062" s="61">
        <v>81123</v>
      </c>
      <c r="C1062" s="62">
        <v>110.9</v>
      </c>
      <c r="D1062" s="62">
        <v>1699.8</v>
      </c>
    </row>
    <row r="1063" spans="1:4">
      <c r="A1063" s="61">
        <v>3516</v>
      </c>
      <c r="B1063" s="61">
        <v>81123</v>
      </c>
      <c r="C1063" s="62">
        <v>110.9</v>
      </c>
      <c r="D1063" s="62">
        <v>1699.8</v>
      </c>
    </row>
    <row r="1064" spans="1:4">
      <c r="A1064" s="61">
        <v>3517</v>
      </c>
      <c r="B1064" s="61">
        <v>81123</v>
      </c>
      <c r="C1064" s="62">
        <v>110.9</v>
      </c>
      <c r="D1064" s="62">
        <v>1699.8</v>
      </c>
    </row>
    <row r="1065" spans="1:4">
      <c r="A1065" s="61">
        <v>3518</v>
      </c>
      <c r="B1065" s="61">
        <v>80128</v>
      </c>
      <c r="C1065" s="62">
        <v>155.5</v>
      </c>
      <c r="D1065" s="62">
        <v>1415.3</v>
      </c>
    </row>
    <row r="1066" spans="1:4">
      <c r="A1066" s="61">
        <v>3520</v>
      </c>
      <c r="B1066" s="61">
        <v>80128</v>
      </c>
      <c r="C1066" s="62">
        <v>155.5</v>
      </c>
      <c r="D1066" s="62">
        <v>1415.3</v>
      </c>
    </row>
    <row r="1067" spans="1:4">
      <c r="A1067" s="61">
        <v>3521</v>
      </c>
      <c r="B1067" s="61">
        <v>88162</v>
      </c>
      <c r="C1067" s="62">
        <v>62.1</v>
      </c>
      <c r="D1067" s="62">
        <v>2242.8000000000002</v>
      </c>
    </row>
    <row r="1068" spans="1:4">
      <c r="A1068" s="61">
        <v>3522</v>
      </c>
      <c r="B1068" s="61">
        <v>88051</v>
      </c>
      <c r="C1068" s="62">
        <v>109</v>
      </c>
      <c r="D1068" s="62">
        <v>1852</v>
      </c>
    </row>
    <row r="1069" spans="1:4">
      <c r="A1069" s="61">
        <v>3523</v>
      </c>
      <c r="B1069" s="61">
        <v>88051</v>
      </c>
      <c r="C1069" s="62">
        <v>109</v>
      </c>
      <c r="D1069" s="62">
        <v>1852</v>
      </c>
    </row>
    <row r="1070" spans="1:4">
      <c r="A1070" s="61">
        <v>3525</v>
      </c>
      <c r="B1070" s="61">
        <v>80128</v>
      </c>
      <c r="C1070" s="62">
        <v>155.5</v>
      </c>
      <c r="D1070" s="62">
        <v>1415.3</v>
      </c>
    </row>
    <row r="1071" spans="1:4">
      <c r="A1071" s="61">
        <v>3527</v>
      </c>
      <c r="B1071" s="61">
        <v>80128</v>
      </c>
      <c r="C1071" s="62">
        <v>155.5</v>
      </c>
      <c r="D1071" s="62">
        <v>1415.3</v>
      </c>
    </row>
    <row r="1072" spans="1:4">
      <c r="A1072" s="61">
        <v>3529</v>
      </c>
      <c r="B1072" s="61">
        <v>77094</v>
      </c>
      <c r="C1072" s="62">
        <v>151.4</v>
      </c>
      <c r="D1072" s="62">
        <v>1292.2</v>
      </c>
    </row>
    <row r="1073" spans="1:4">
      <c r="A1073" s="61">
        <v>3530</v>
      </c>
      <c r="B1073" s="61">
        <v>77094</v>
      </c>
      <c r="C1073" s="62">
        <v>151.4</v>
      </c>
      <c r="D1073" s="62">
        <v>1292.2</v>
      </c>
    </row>
    <row r="1074" spans="1:4">
      <c r="A1074" s="61">
        <v>3531</v>
      </c>
      <c r="B1074" s="61">
        <v>77094</v>
      </c>
      <c r="C1074" s="62">
        <v>151.4</v>
      </c>
      <c r="D1074" s="62">
        <v>1292.2</v>
      </c>
    </row>
    <row r="1075" spans="1:4">
      <c r="A1075" s="61">
        <v>3533</v>
      </c>
      <c r="B1075" s="61">
        <v>77010</v>
      </c>
      <c r="C1075" s="62">
        <v>170.2</v>
      </c>
      <c r="D1075" s="62">
        <v>1361.5</v>
      </c>
    </row>
    <row r="1076" spans="1:4">
      <c r="A1076" s="61">
        <v>3537</v>
      </c>
      <c r="B1076" s="61">
        <v>80128</v>
      </c>
      <c r="C1076" s="62">
        <v>155.5</v>
      </c>
      <c r="D1076" s="62">
        <v>1415.3</v>
      </c>
    </row>
    <row r="1077" spans="1:4">
      <c r="A1077" s="61">
        <v>3540</v>
      </c>
      <c r="B1077" s="61">
        <v>77094</v>
      </c>
      <c r="C1077" s="62">
        <v>151.4</v>
      </c>
      <c r="D1077" s="62">
        <v>1292.2</v>
      </c>
    </row>
    <row r="1078" spans="1:4">
      <c r="A1078" s="61">
        <v>3542</v>
      </c>
      <c r="B1078" s="61">
        <v>77094</v>
      </c>
      <c r="C1078" s="62">
        <v>151.4</v>
      </c>
      <c r="D1078" s="62">
        <v>1292.2</v>
      </c>
    </row>
    <row r="1079" spans="1:4">
      <c r="A1079" s="61">
        <v>3544</v>
      </c>
      <c r="B1079" s="61">
        <v>77094</v>
      </c>
      <c r="C1079" s="62">
        <v>151.4</v>
      </c>
      <c r="D1079" s="62">
        <v>1292.2</v>
      </c>
    </row>
    <row r="1080" spans="1:4">
      <c r="A1080" s="61">
        <v>3546</v>
      </c>
      <c r="B1080" s="61">
        <v>77094</v>
      </c>
      <c r="C1080" s="62">
        <v>151.4</v>
      </c>
      <c r="D1080" s="62">
        <v>1292.2</v>
      </c>
    </row>
    <row r="1081" spans="1:4">
      <c r="A1081" s="61">
        <v>3549</v>
      </c>
      <c r="B1081" s="61">
        <v>76064</v>
      </c>
      <c r="C1081" s="62">
        <v>170.3</v>
      </c>
      <c r="D1081" s="62">
        <v>1174.5</v>
      </c>
    </row>
    <row r="1082" spans="1:4">
      <c r="A1082" s="61">
        <v>3550</v>
      </c>
      <c r="B1082" s="61">
        <v>81123</v>
      </c>
      <c r="C1082" s="62">
        <v>110.9</v>
      </c>
      <c r="D1082" s="62">
        <v>1699.8</v>
      </c>
    </row>
    <row r="1083" spans="1:4">
      <c r="A1083" s="61">
        <v>3551</v>
      </c>
      <c r="B1083" s="61">
        <v>81123</v>
      </c>
      <c r="C1083" s="62">
        <v>110.9</v>
      </c>
      <c r="D1083" s="62">
        <v>1699.8</v>
      </c>
    </row>
    <row r="1084" spans="1:4">
      <c r="A1084" s="61">
        <v>3555</v>
      </c>
      <c r="B1084" s="61">
        <v>81123</v>
      </c>
      <c r="C1084" s="62">
        <v>110.9</v>
      </c>
      <c r="D1084" s="62">
        <v>1699.8</v>
      </c>
    </row>
    <row r="1085" spans="1:4">
      <c r="A1085" s="61">
        <v>3556</v>
      </c>
      <c r="B1085" s="61">
        <v>81123</v>
      </c>
      <c r="C1085" s="62">
        <v>110.9</v>
      </c>
      <c r="D1085" s="62">
        <v>1699.8</v>
      </c>
    </row>
    <row r="1086" spans="1:4">
      <c r="A1086" s="61">
        <v>3557</v>
      </c>
      <c r="B1086" s="61">
        <v>81123</v>
      </c>
      <c r="C1086" s="62">
        <v>110.9</v>
      </c>
      <c r="D1086" s="62">
        <v>1699.8</v>
      </c>
    </row>
    <row r="1087" spans="1:4">
      <c r="A1087" s="61">
        <v>3558</v>
      </c>
      <c r="B1087" s="61">
        <v>81123</v>
      </c>
      <c r="C1087" s="62">
        <v>110.9</v>
      </c>
      <c r="D1087" s="62">
        <v>1699.8</v>
      </c>
    </row>
    <row r="1088" spans="1:4">
      <c r="A1088" s="61">
        <v>3559</v>
      </c>
      <c r="B1088" s="61">
        <v>81123</v>
      </c>
      <c r="C1088" s="62">
        <v>110.9</v>
      </c>
      <c r="D1088" s="62">
        <v>1699.8</v>
      </c>
    </row>
    <row r="1089" spans="1:4">
      <c r="A1089" s="61">
        <v>3561</v>
      </c>
      <c r="B1089" s="61">
        <v>80091</v>
      </c>
      <c r="C1089" s="62">
        <v>184.7</v>
      </c>
      <c r="D1089" s="62">
        <v>1469.2</v>
      </c>
    </row>
    <row r="1090" spans="1:4">
      <c r="A1090" s="61">
        <v>3562</v>
      </c>
      <c r="B1090" s="61">
        <v>80091</v>
      </c>
      <c r="C1090" s="62">
        <v>184.7</v>
      </c>
      <c r="D1090" s="62">
        <v>1469.2</v>
      </c>
    </row>
    <row r="1091" spans="1:4">
      <c r="A1091" s="61">
        <v>3563</v>
      </c>
      <c r="B1091" s="61">
        <v>80091</v>
      </c>
      <c r="C1091" s="62">
        <v>184.7</v>
      </c>
      <c r="D1091" s="62">
        <v>1469.2</v>
      </c>
    </row>
    <row r="1092" spans="1:4">
      <c r="A1092" s="61">
        <v>3564</v>
      </c>
      <c r="B1092" s="61">
        <v>80091</v>
      </c>
      <c r="C1092" s="62">
        <v>184.7</v>
      </c>
      <c r="D1092" s="62">
        <v>1469.2</v>
      </c>
    </row>
    <row r="1093" spans="1:4">
      <c r="A1093" s="61">
        <v>3565</v>
      </c>
      <c r="B1093" s="61">
        <v>80091</v>
      </c>
      <c r="C1093" s="62">
        <v>184.7</v>
      </c>
      <c r="D1093" s="62">
        <v>1469.2</v>
      </c>
    </row>
    <row r="1094" spans="1:4">
      <c r="A1094" s="61">
        <v>3566</v>
      </c>
      <c r="B1094" s="61">
        <v>74258</v>
      </c>
      <c r="C1094" s="62">
        <v>219.8</v>
      </c>
      <c r="D1094" s="62">
        <v>1322</v>
      </c>
    </row>
    <row r="1095" spans="1:4">
      <c r="A1095" s="61">
        <v>3567</v>
      </c>
      <c r="B1095" s="61">
        <v>74258</v>
      </c>
      <c r="C1095" s="62">
        <v>219.8</v>
      </c>
      <c r="D1095" s="62">
        <v>1322</v>
      </c>
    </row>
    <row r="1096" spans="1:4">
      <c r="A1096" s="61">
        <v>3568</v>
      </c>
      <c r="B1096" s="61">
        <v>74258</v>
      </c>
      <c r="C1096" s="62">
        <v>219.8</v>
      </c>
      <c r="D1096" s="62">
        <v>1322</v>
      </c>
    </row>
    <row r="1097" spans="1:4">
      <c r="A1097" s="61">
        <v>3570</v>
      </c>
      <c r="B1097" s="61">
        <v>81123</v>
      </c>
      <c r="C1097" s="62">
        <v>110.9</v>
      </c>
      <c r="D1097" s="62">
        <v>1699.8</v>
      </c>
    </row>
    <row r="1098" spans="1:4">
      <c r="A1098" s="61">
        <v>3571</v>
      </c>
      <c r="B1098" s="61">
        <v>81123</v>
      </c>
      <c r="C1098" s="62">
        <v>110.9</v>
      </c>
      <c r="D1098" s="62">
        <v>1699.8</v>
      </c>
    </row>
    <row r="1099" spans="1:4">
      <c r="A1099" s="61">
        <v>3572</v>
      </c>
      <c r="B1099" s="61">
        <v>81123</v>
      </c>
      <c r="C1099" s="62">
        <v>110.9</v>
      </c>
      <c r="D1099" s="62">
        <v>1699.8</v>
      </c>
    </row>
    <row r="1100" spans="1:4">
      <c r="A1100" s="61">
        <v>3573</v>
      </c>
      <c r="B1100" s="61">
        <v>81123</v>
      </c>
      <c r="C1100" s="62">
        <v>110.9</v>
      </c>
      <c r="D1100" s="62">
        <v>1699.8</v>
      </c>
    </row>
    <row r="1101" spans="1:4">
      <c r="A1101" s="61">
        <v>3575</v>
      </c>
      <c r="B1101" s="61">
        <v>80128</v>
      </c>
      <c r="C1101" s="62">
        <v>155.5</v>
      </c>
      <c r="D1101" s="62">
        <v>1415.3</v>
      </c>
    </row>
    <row r="1102" spans="1:4">
      <c r="A1102" s="61">
        <v>3576</v>
      </c>
      <c r="B1102" s="61">
        <v>80128</v>
      </c>
      <c r="C1102" s="62">
        <v>155.5</v>
      </c>
      <c r="D1102" s="62">
        <v>1415.3</v>
      </c>
    </row>
    <row r="1103" spans="1:4">
      <c r="A1103" s="61">
        <v>3579</v>
      </c>
      <c r="B1103" s="61">
        <v>77094</v>
      </c>
      <c r="C1103" s="62">
        <v>151.4</v>
      </c>
      <c r="D1103" s="62">
        <v>1292.2</v>
      </c>
    </row>
    <row r="1104" spans="1:4">
      <c r="A1104" s="61">
        <v>3580</v>
      </c>
      <c r="B1104" s="61">
        <v>77094</v>
      </c>
      <c r="C1104" s="62">
        <v>151.4</v>
      </c>
      <c r="D1104" s="62">
        <v>1292.2</v>
      </c>
    </row>
    <row r="1105" spans="1:4">
      <c r="A1105" s="61">
        <v>3581</v>
      </c>
      <c r="B1105" s="61">
        <v>77094</v>
      </c>
      <c r="C1105" s="62">
        <v>151.4</v>
      </c>
      <c r="D1105" s="62">
        <v>1292.2</v>
      </c>
    </row>
    <row r="1106" spans="1:4">
      <c r="A1106" s="61">
        <v>3583</v>
      </c>
      <c r="B1106" s="61">
        <v>77094</v>
      </c>
      <c r="C1106" s="62">
        <v>151.4</v>
      </c>
      <c r="D1106" s="62">
        <v>1292.2</v>
      </c>
    </row>
    <row r="1107" spans="1:4">
      <c r="A1107" s="61">
        <v>3584</v>
      </c>
      <c r="B1107" s="61">
        <v>77094</v>
      </c>
      <c r="C1107" s="62">
        <v>151.4</v>
      </c>
      <c r="D1107" s="62">
        <v>1292.2</v>
      </c>
    </row>
    <row r="1108" spans="1:4">
      <c r="A1108" s="61">
        <v>3585</v>
      </c>
      <c r="B1108" s="61">
        <v>77094</v>
      </c>
      <c r="C1108" s="62">
        <v>151.4</v>
      </c>
      <c r="D1108" s="62">
        <v>1292.2</v>
      </c>
    </row>
    <row r="1109" spans="1:4">
      <c r="A1109" s="61">
        <v>3586</v>
      </c>
      <c r="B1109" s="61">
        <v>77094</v>
      </c>
      <c r="C1109" s="62">
        <v>151.4</v>
      </c>
      <c r="D1109" s="62">
        <v>1292.2</v>
      </c>
    </row>
    <row r="1110" spans="1:4">
      <c r="A1110" s="61">
        <v>3588</v>
      </c>
      <c r="B1110" s="61">
        <v>77094</v>
      </c>
      <c r="C1110" s="62">
        <v>151.4</v>
      </c>
      <c r="D1110" s="62">
        <v>1292.2</v>
      </c>
    </row>
    <row r="1111" spans="1:4">
      <c r="A1111" s="61">
        <v>3589</v>
      </c>
      <c r="B1111" s="61">
        <v>77094</v>
      </c>
      <c r="C1111" s="62">
        <v>151.4</v>
      </c>
      <c r="D1111" s="62">
        <v>1292.2</v>
      </c>
    </row>
    <row r="1112" spans="1:4">
      <c r="A1112" s="61">
        <v>3590</v>
      </c>
      <c r="B1112" s="61">
        <v>77094</v>
      </c>
      <c r="C1112" s="62">
        <v>151.4</v>
      </c>
      <c r="D1112" s="62">
        <v>1292.2</v>
      </c>
    </row>
    <row r="1113" spans="1:4">
      <c r="A1113" s="61">
        <v>3591</v>
      </c>
      <c r="B1113" s="61">
        <v>77094</v>
      </c>
      <c r="C1113" s="62">
        <v>151.4</v>
      </c>
      <c r="D1113" s="62">
        <v>1292.2</v>
      </c>
    </row>
    <row r="1114" spans="1:4">
      <c r="A1114" s="61">
        <v>3594</v>
      </c>
      <c r="B1114" s="61">
        <v>77094</v>
      </c>
      <c r="C1114" s="62">
        <v>151.4</v>
      </c>
      <c r="D1114" s="62">
        <v>1292.2</v>
      </c>
    </row>
    <row r="1115" spans="1:4">
      <c r="A1115" s="61">
        <v>3595</v>
      </c>
      <c r="B1115" s="61">
        <v>77094</v>
      </c>
      <c r="C1115" s="62">
        <v>151.4</v>
      </c>
      <c r="D1115" s="62">
        <v>1292.2</v>
      </c>
    </row>
    <row r="1116" spans="1:4">
      <c r="A1116" s="61">
        <v>3596</v>
      </c>
      <c r="B1116" s="61">
        <v>77094</v>
      </c>
      <c r="C1116" s="62">
        <v>151.4</v>
      </c>
      <c r="D1116" s="62">
        <v>1292.2</v>
      </c>
    </row>
    <row r="1117" spans="1:4">
      <c r="A1117" s="61">
        <v>3597</v>
      </c>
      <c r="B1117" s="61">
        <v>77094</v>
      </c>
      <c r="C1117" s="62">
        <v>151.4</v>
      </c>
      <c r="D1117" s="62">
        <v>1292.2</v>
      </c>
    </row>
    <row r="1118" spans="1:4">
      <c r="A1118" s="61">
        <v>3599</v>
      </c>
      <c r="B1118" s="61">
        <v>77094</v>
      </c>
      <c r="C1118" s="62">
        <v>151.4</v>
      </c>
      <c r="D1118" s="62">
        <v>1292.2</v>
      </c>
    </row>
    <row r="1119" spans="1:4">
      <c r="A1119" s="61">
        <v>3607</v>
      </c>
      <c r="B1119" s="61">
        <v>88109</v>
      </c>
      <c r="C1119" s="62">
        <v>136.5</v>
      </c>
      <c r="D1119" s="62">
        <v>1609.4</v>
      </c>
    </row>
    <row r="1120" spans="1:4">
      <c r="A1120" s="61">
        <v>3608</v>
      </c>
      <c r="B1120" s="61">
        <v>88109</v>
      </c>
      <c r="C1120" s="62">
        <v>136.5</v>
      </c>
      <c r="D1120" s="62">
        <v>1609.4</v>
      </c>
    </row>
    <row r="1121" spans="1:4">
      <c r="A1121" s="61">
        <v>3610</v>
      </c>
      <c r="B1121" s="61">
        <v>81049</v>
      </c>
      <c r="C1121" s="62">
        <v>161.30000000000001</v>
      </c>
      <c r="D1121" s="62">
        <v>1561.4</v>
      </c>
    </row>
    <row r="1122" spans="1:4">
      <c r="A1122" s="61">
        <v>3612</v>
      </c>
      <c r="B1122" s="61">
        <v>80091</v>
      </c>
      <c r="C1122" s="62">
        <v>184.7</v>
      </c>
      <c r="D1122" s="62">
        <v>1469.2</v>
      </c>
    </row>
    <row r="1123" spans="1:4">
      <c r="A1123" s="61">
        <v>3614</v>
      </c>
      <c r="B1123" s="61">
        <v>81125</v>
      </c>
      <c r="C1123" s="62">
        <v>165</v>
      </c>
      <c r="D1123" s="62">
        <v>1517.2</v>
      </c>
    </row>
    <row r="1124" spans="1:4">
      <c r="A1124" s="61">
        <v>3616</v>
      </c>
      <c r="B1124" s="61">
        <v>80091</v>
      </c>
      <c r="C1124" s="62">
        <v>184.7</v>
      </c>
      <c r="D1124" s="62">
        <v>1469.2</v>
      </c>
    </row>
    <row r="1125" spans="1:4">
      <c r="A1125" s="61">
        <v>3617</v>
      </c>
      <c r="B1125" s="61">
        <v>81049</v>
      </c>
      <c r="C1125" s="62">
        <v>161.30000000000001</v>
      </c>
      <c r="D1125" s="62">
        <v>1561.4</v>
      </c>
    </row>
    <row r="1126" spans="1:4">
      <c r="A1126" s="61">
        <v>3618</v>
      </c>
      <c r="B1126" s="61">
        <v>80091</v>
      </c>
      <c r="C1126" s="62">
        <v>184.7</v>
      </c>
      <c r="D1126" s="62">
        <v>1469.2</v>
      </c>
    </row>
    <row r="1127" spans="1:4">
      <c r="A1127" s="61">
        <v>3620</v>
      </c>
      <c r="B1127" s="61">
        <v>80091</v>
      </c>
      <c r="C1127" s="62">
        <v>184.7</v>
      </c>
      <c r="D1127" s="62">
        <v>1469.2</v>
      </c>
    </row>
    <row r="1128" spans="1:4">
      <c r="A1128" s="61">
        <v>3621</v>
      </c>
      <c r="B1128" s="61">
        <v>80091</v>
      </c>
      <c r="C1128" s="62">
        <v>184.7</v>
      </c>
      <c r="D1128" s="62">
        <v>1469.2</v>
      </c>
    </row>
    <row r="1129" spans="1:4">
      <c r="A1129" s="61">
        <v>3622</v>
      </c>
      <c r="B1129" s="61">
        <v>80091</v>
      </c>
      <c r="C1129" s="62">
        <v>184.7</v>
      </c>
      <c r="D1129" s="62">
        <v>1469.2</v>
      </c>
    </row>
    <row r="1130" spans="1:4">
      <c r="A1130" s="61">
        <v>3623</v>
      </c>
      <c r="B1130" s="61">
        <v>80091</v>
      </c>
      <c r="C1130" s="62">
        <v>184.7</v>
      </c>
      <c r="D1130" s="62">
        <v>1469.2</v>
      </c>
    </row>
    <row r="1131" spans="1:4">
      <c r="A1131" s="61">
        <v>3624</v>
      </c>
      <c r="B1131" s="61">
        <v>80091</v>
      </c>
      <c r="C1131" s="62">
        <v>184.7</v>
      </c>
      <c r="D1131" s="62">
        <v>1469.2</v>
      </c>
    </row>
    <row r="1132" spans="1:4">
      <c r="A1132" s="61">
        <v>3629</v>
      </c>
      <c r="B1132" s="61">
        <v>81049</v>
      </c>
      <c r="C1132" s="62">
        <v>161.30000000000001</v>
      </c>
      <c r="D1132" s="62">
        <v>1561.4</v>
      </c>
    </row>
    <row r="1133" spans="1:4">
      <c r="A1133" s="61">
        <v>3630</v>
      </c>
      <c r="B1133" s="61">
        <v>81125</v>
      </c>
      <c r="C1133" s="62">
        <v>165</v>
      </c>
      <c r="D1133" s="62">
        <v>1517.2</v>
      </c>
    </row>
    <row r="1134" spans="1:4">
      <c r="A1134" s="61">
        <v>3631</v>
      </c>
      <c r="B1134" s="61">
        <v>81049</v>
      </c>
      <c r="C1134" s="62">
        <v>161.30000000000001</v>
      </c>
      <c r="D1134" s="62">
        <v>1561.4</v>
      </c>
    </row>
    <row r="1135" spans="1:4">
      <c r="A1135" s="61">
        <v>3633</v>
      </c>
      <c r="B1135" s="61">
        <v>81125</v>
      </c>
      <c r="C1135" s="62">
        <v>165</v>
      </c>
      <c r="D1135" s="62">
        <v>1517.2</v>
      </c>
    </row>
    <row r="1136" spans="1:4">
      <c r="A1136" s="61">
        <v>3634</v>
      </c>
      <c r="B1136" s="61">
        <v>81125</v>
      </c>
      <c r="C1136" s="62">
        <v>165</v>
      </c>
      <c r="D1136" s="62">
        <v>1517.2</v>
      </c>
    </row>
    <row r="1137" spans="1:4">
      <c r="A1137" s="61">
        <v>3635</v>
      </c>
      <c r="B1137" s="61">
        <v>80091</v>
      </c>
      <c r="C1137" s="62">
        <v>184.7</v>
      </c>
      <c r="D1137" s="62">
        <v>1469.2</v>
      </c>
    </row>
    <row r="1138" spans="1:4">
      <c r="A1138" s="61">
        <v>3636</v>
      </c>
      <c r="B1138" s="61">
        <v>81125</v>
      </c>
      <c r="C1138" s="62">
        <v>165</v>
      </c>
      <c r="D1138" s="62">
        <v>1517.2</v>
      </c>
    </row>
    <row r="1139" spans="1:4">
      <c r="A1139" s="61">
        <v>3637</v>
      </c>
      <c r="B1139" s="61">
        <v>80091</v>
      </c>
      <c r="C1139" s="62">
        <v>184.7</v>
      </c>
      <c r="D1139" s="62">
        <v>1469.2</v>
      </c>
    </row>
    <row r="1140" spans="1:4">
      <c r="A1140" s="61">
        <v>3638</v>
      </c>
      <c r="B1140" s="61">
        <v>80091</v>
      </c>
      <c r="C1140" s="62">
        <v>184.7</v>
      </c>
      <c r="D1140" s="62">
        <v>1469.2</v>
      </c>
    </row>
    <row r="1141" spans="1:4">
      <c r="A1141" s="61">
        <v>3639</v>
      </c>
      <c r="B1141" s="61">
        <v>80091</v>
      </c>
      <c r="C1141" s="62">
        <v>184.7</v>
      </c>
      <c r="D1141" s="62">
        <v>1469.2</v>
      </c>
    </row>
    <row r="1142" spans="1:4">
      <c r="A1142" s="61">
        <v>3640</v>
      </c>
      <c r="B1142" s="61">
        <v>81125</v>
      </c>
      <c r="C1142" s="62">
        <v>165</v>
      </c>
      <c r="D1142" s="62">
        <v>1517.2</v>
      </c>
    </row>
    <row r="1143" spans="1:4">
      <c r="A1143" s="61">
        <v>3641</v>
      </c>
      <c r="B1143" s="61">
        <v>74258</v>
      </c>
      <c r="C1143" s="62">
        <v>219.8</v>
      </c>
      <c r="D1143" s="62">
        <v>1322</v>
      </c>
    </row>
    <row r="1144" spans="1:4">
      <c r="A1144" s="61">
        <v>3644</v>
      </c>
      <c r="B1144" s="61">
        <v>81124</v>
      </c>
      <c r="C1144" s="62">
        <v>204</v>
      </c>
      <c r="D1144" s="62">
        <v>1417.6</v>
      </c>
    </row>
    <row r="1145" spans="1:4">
      <c r="A1145" s="61">
        <v>3646</v>
      </c>
      <c r="B1145" s="61">
        <v>81125</v>
      </c>
      <c r="C1145" s="62">
        <v>165</v>
      </c>
      <c r="D1145" s="62">
        <v>1517.2</v>
      </c>
    </row>
    <row r="1146" spans="1:4">
      <c r="A1146" s="61">
        <v>3649</v>
      </c>
      <c r="B1146" s="61">
        <v>81124</v>
      </c>
      <c r="C1146" s="62">
        <v>204</v>
      </c>
      <c r="D1146" s="62">
        <v>1417.6</v>
      </c>
    </row>
    <row r="1147" spans="1:4">
      <c r="A1147" s="61">
        <v>3658</v>
      </c>
      <c r="B1147" s="61">
        <v>88162</v>
      </c>
      <c r="C1147" s="62">
        <v>62.1</v>
      </c>
      <c r="D1147" s="62">
        <v>2242.8000000000002</v>
      </c>
    </row>
    <row r="1148" spans="1:4">
      <c r="A1148" s="61">
        <v>3659</v>
      </c>
      <c r="B1148" s="61">
        <v>88109</v>
      </c>
      <c r="C1148" s="62">
        <v>136.5</v>
      </c>
      <c r="D1148" s="62">
        <v>1609.4</v>
      </c>
    </row>
    <row r="1149" spans="1:4">
      <c r="A1149" s="61">
        <v>3660</v>
      </c>
      <c r="B1149" s="61">
        <v>88164</v>
      </c>
      <c r="C1149" s="62">
        <v>66.900000000000006</v>
      </c>
      <c r="D1149" s="62">
        <v>2101.3000000000002</v>
      </c>
    </row>
    <row r="1150" spans="1:4">
      <c r="A1150" s="61">
        <v>3662</v>
      </c>
      <c r="B1150" s="61">
        <v>88109</v>
      </c>
      <c r="C1150" s="62">
        <v>136.5</v>
      </c>
      <c r="D1150" s="62">
        <v>1609.4</v>
      </c>
    </row>
    <row r="1151" spans="1:4">
      <c r="A1151" s="61">
        <v>3663</v>
      </c>
      <c r="B1151" s="61">
        <v>88109</v>
      </c>
      <c r="C1151" s="62">
        <v>136.5</v>
      </c>
      <c r="D1151" s="62">
        <v>1609.4</v>
      </c>
    </row>
    <row r="1152" spans="1:4">
      <c r="A1152" s="61">
        <v>3664</v>
      </c>
      <c r="B1152" s="61">
        <v>88109</v>
      </c>
      <c r="C1152" s="62">
        <v>136.5</v>
      </c>
      <c r="D1152" s="62">
        <v>1609.4</v>
      </c>
    </row>
    <row r="1153" spans="1:4">
      <c r="A1153" s="61">
        <v>3665</v>
      </c>
      <c r="B1153" s="61">
        <v>88109</v>
      </c>
      <c r="C1153" s="62">
        <v>136.5</v>
      </c>
      <c r="D1153" s="62">
        <v>1609.4</v>
      </c>
    </row>
    <row r="1154" spans="1:4">
      <c r="A1154" s="61">
        <v>3666</v>
      </c>
      <c r="B1154" s="61">
        <v>81125</v>
      </c>
      <c r="C1154" s="62">
        <v>165</v>
      </c>
      <c r="D1154" s="62">
        <v>1517.2</v>
      </c>
    </row>
    <row r="1155" spans="1:4">
      <c r="A1155" s="61">
        <v>3669</v>
      </c>
      <c r="B1155" s="61">
        <v>81125</v>
      </c>
      <c r="C1155" s="62">
        <v>165</v>
      </c>
      <c r="D1155" s="62">
        <v>1517.2</v>
      </c>
    </row>
    <row r="1156" spans="1:4">
      <c r="A1156" s="61">
        <v>3670</v>
      </c>
      <c r="B1156" s="61">
        <v>82138</v>
      </c>
      <c r="C1156" s="62">
        <v>153.80000000000001</v>
      </c>
      <c r="D1156" s="62">
        <v>1668.1</v>
      </c>
    </row>
    <row r="1157" spans="1:4">
      <c r="A1157" s="61">
        <v>3672</v>
      </c>
      <c r="B1157" s="61">
        <v>82138</v>
      </c>
      <c r="C1157" s="62">
        <v>153.80000000000001</v>
      </c>
      <c r="D1157" s="62">
        <v>1668.1</v>
      </c>
    </row>
    <row r="1158" spans="1:4">
      <c r="A1158" s="61">
        <v>3673</v>
      </c>
      <c r="B1158" s="61">
        <v>82138</v>
      </c>
      <c r="C1158" s="62">
        <v>153.80000000000001</v>
      </c>
      <c r="D1158" s="62">
        <v>1668.1</v>
      </c>
    </row>
    <row r="1159" spans="1:4">
      <c r="A1159" s="61">
        <v>3675</v>
      </c>
      <c r="B1159" s="61">
        <v>82138</v>
      </c>
      <c r="C1159" s="62">
        <v>153.80000000000001</v>
      </c>
      <c r="D1159" s="62">
        <v>1668.1</v>
      </c>
    </row>
    <row r="1160" spans="1:4">
      <c r="A1160" s="61">
        <v>3677</v>
      </c>
      <c r="B1160" s="61">
        <v>82138</v>
      </c>
      <c r="C1160" s="62">
        <v>153.80000000000001</v>
      </c>
      <c r="D1160" s="62">
        <v>1668.1</v>
      </c>
    </row>
    <row r="1161" spans="1:4">
      <c r="A1161" s="61">
        <v>3678</v>
      </c>
      <c r="B1161" s="61">
        <v>82138</v>
      </c>
      <c r="C1161" s="62">
        <v>153.80000000000001</v>
      </c>
      <c r="D1161" s="62">
        <v>1668.1</v>
      </c>
    </row>
    <row r="1162" spans="1:4">
      <c r="A1162" s="61">
        <v>3682</v>
      </c>
      <c r="B1162" s="61">
        <v>82039</v>
      </c>
      <c r="C1162" s="62">
        <v>188.6</v>
      </c>
      <c r="D1162" s="62">
        <v>1712</v>
      </c>
    </row>
    <row r="1163" spans="1:4">
      <c r="A1163" s="61">
        <v>3683</v>
      </c>
      <c r="B1163" s="61">
        <v>82039</v>
      </c>
      <c r="C1163" s="62">
        <v>188.6</v>
      </c>
      <c r="D1163" s="62">
        <v>1712</v>
      </c>
    </row>
    <row r="1164" spans="1:4">
      <c r="A1164" s="61">
        <v>3685</v>
      </c>
      <c r="B1164" s="61">
        <v>81124</v>
      </c>
      <c r="C1164" s="62">
        <v>204</v>
      </c>
      <c r="D1164" s="62">
        <v>1417.6</v>
      </c>
    </row>
    <row r="1165" spans="1:4">
      <c r="A1165" s="61">
        <v>3687</v>
      </c>
      <c r="B1165" s="61">
        <v>82039</v>
      </c>
      <c r="C1165" s="62">
        <v>188.6</v>
      </c>
      <c r="D1165" s="62">
        <v>1712</v>
      </c>
    </row>
    <row r="1166" spans="1:4">
      <c r="A1166" s="61">
        <v>3688</v>
      </c>
      <c r="B1166" s="61">
        <v>82039</v>
      </c>
      <c r="C1166" s="62">
        <v>188.6</v>
      </c>
      <c r="D1166" s="62">
        <v>1712</v>
      </c>
    </row>
    <row r="1167" spans="1:4">
      <c r="A1167" s="61">
        <v>3690</v>
      </c>
      <c r="B1167" s="61">
        <v>72160</v>
      </c>
      <c r="C1167" s="62">
        <v>206</v>
      </c>
      <c r="D1167" s="62">
        <v>1484.8</v>
      </c>
    </row>
    <row r="1168" spans="1:4">
      <c r="A1168" s="61">
        <v>3691</v>
      </c>
      <c r="B1168" s="61">
        <v>72160</v>
      </c>
      <c r="C1168" s="62">
        <v>206</v>
      </c>
      <c r="D1168" s="62">
        <v>1484.8</v>
      </c>
    </row>
    <row r="1169" spans="1:4">
      <c r="A1169" s="61">
        <v>3694</v>
      </c>
      <c r="B1169" s="61">
        <v>72160</v>
      </c>
      <c r="C1169" s="62">
        <v>206</v>
      </c>
      <c r="D1169" s="62">
        <v>1484.8</v>
      </c>
    </row>
    <row r="1170" spans="1:4">
      <c r="A1170" s="61">
        <v>3695</v>
      </c>
      <c r="B1170" s="61">
        <v>72160</v>
      </c>
      <c r="C1170" s="62">
        <v>206</v>
      </c>
      <c r="D1170" s="62">
        <v>1484.8</v>
      </c>
    </row>
    <row r="1171" spans="1:4">
      <c r="A1171" s="61">
        <v>3697</v>
      </c>
      <c r="B1171" s="61">
        <v>83084</v>
      </c>
      <c r="C1171" s="62">
        <v>0.8</v>
      </c>
      <c r="D1171" s="62">
        <v>4370.2</v>
      </c>
    </row>
    <row r="1172" spans="1:4">
      <c r="A1172" s="61">
        <v>3698</v>
      </c>
      <c r="B1172" s="61">
        <v>83084</v>
      </c>
      <c r="C1172" s="62">
        <v>0.8</v>
      </c>
      <c r="D1172" s="62">
        <v>4370.2</v>
      </c>
    </row>
    <row r="1173" spans="1:4">
      <c r="A1173" s="61">
        <v>3699</v>
      </c>
      <c r="B1173" s="61">
        <v>83084</v>
      </c>
      <c r="C1173" s="62">
        <v>0.8</v>
      </c>
      <c r="D1173" s="62">
        <v>4370.2</v>
      </c>
    </row>
    <row r="1174" spans="1:4">
      <c r="A1174" s="61">
        <v>3700</v>
      </c>
      <c r="B1174" s="61">
        <v>82139</v>
      </c>
      <c r="C1174" s="62">
        <v>55.1</v>
      </c>
      <c r="D1174" s="62">
        <v>2347.1999999999998</v>
      </c>
    </row>
    <row r="1175" spans="1:4">
      <c r="A1175" s="61">
        <v>3701</v>
      </c>
      <c r="B1175" s="61">
        <v>82139</v>
      </c>
      <c r="C1175" s="62">
        <v>55.1</v>
      </c>
      <c r="D1175" s="62">
        <v>2347.1999999999998</v>
      </c>
    </row>
    <row r="1176" spans="1:4">
      <c r="A1176" s="61">
        <v>3704</v>
      </c>
      <c r="B1176" s="61">
        <v>82139</v>
      </c>
      <c r="C1176" s="62">
        <v>55.1</v>
      </c>
      <c r="D1176" s="62">
        <v>2347.1999999999998</v>
      </c>
    </row>
    <row r="1177" spans="1:4">
      <c r="A1177" s="61">
        <v>3705</v>
      </c>
      <c r="B1177" s="61">
        <v>82139</v>
      </c>
      <c r="C1177" s="62">
        <v>55.1</v>
      </c>
      <c r="D1177" s="62">
        <v>2347.1999999999998</v>
      </c>
    </row>
    <row r="1178" spans="1:4">
      <c r="A1178" s="61">
        <v>3707</v>
      </c>
      <c r="B1178" s="61">
        <v>72162</v>
      </c>
      <c r="C1178" s="62">
        <v>186.7</v>
      </c>
      <c r="D1178" s="62">
        <v>1826.8</v>
      </c>
    </row>
    <row r="1179" spans="1:4">
      <c r="A1179" s="61">
        <v>3708</v>
      </c>
      <c r="B1179" s="61">
        <v>72162</v>
      </c>
      <c r="C1179" s="62">
        <v>186.7</v>
      </c>
      <c r="D1179" s="62">
        <v>1826.8</v>
      </c>
    </row>
    <row r="1180" spans="1:4">
      <c r="A1180" s="61">
        <v>3709</v>
      </c>
      <c r="B1180" s="61">
        <v>82139</v>
      </c>
      <c r="C1180" s="62">
        <v>55.1</v>
      </c>
      <c r="D1180" s="62">
        <v>2347.1999999999998</v>
      </c>
    </row>
    <row r="1181" spans="1:4">
      <c r="A1181" s="61">
        <v>3711</v>
      </c>
      <c r="B1181" s="61">
        <v>88164</v>
      </c>
      <c r="C1181" s="62">
        <v>66.900000000000006</v>
      </c>
      <c r="D1181" s="62">
        <v>2101.3000000000002</v>
      </c>
    </row>
    <row r="1182" spans="1:4">
      <c r="A1182" s="61">
        <v>3712</v>
      </c>
      <c r="B1182" s="61">
        <v>88164</v>
      </c>
      <c r="C1182" s="62">
        <v>66.900000000000006</v>
      </c>
      <c r="D1182" s="62">
        <v>2101.3000000000002</v>
      </c>
    </row>
    <row r="1183" spans="1:4">
      <c r="A1183" s="61">
        <v>3713</v>
      </c>
      <c r="B1183" s="61">
        <v>88164</v>
      </c>
      <c r="C1183" s="62">
        <v>66.900000000000006</v>
      </c>
      <c r="D1183" s="62">
        <v>2101.3000000000002</v>
      </c>
    </row>
    <row r="1184" spans="1:4">
      <c r="A1184" s="61">
        <v>3714</v>
      </c>
      <c r="B1184" s="61">
        <v>88164</v>
      </c>
      <c r="C1184" s="62">
        <v>66.900000000000006</v>
      </c>
      <c r="D1184" s="62">
        <v>2101.3000000000002</v>
      </c>
    </row>
    <row r="1185" spans="1:4">
      <c r="A1185" s="61">
        <v>3715</v>
      </c>
      <c r="B1185" s="61">
        <v>88164</v>
      </c>
      <c r="C1185" s="62">
        <v>66.900000000000006</v>
      </c>
      <c r="D1185" s="62">
        <v>2101.3000000000002</v>
      </c>
    </row>
    <row r="1186" spans="1:4">
      <c r="A1186" s="61">
        <v>3717</v>
      </c>
      <c r="B1186" s="61">
        <v>88162</v>
      </c>
      <c r="C1186" s="62">
        <v>62.1</v>
      </c>
      <c r="D1186" s="62">
        <v>2242.8000000000002</v>
      </c>
    </row>
    <row r="1187" spans="1:4">
      <c r="A1187" s="61">
        <v>3718</v>
      </c>
      <c r="B1187" s="61">
        <v>88164</v>
      </c>
      <c r="C1187" s="62">
        <v>66.900000000000006</v>
      </c>
      <c r="D1187" s="62">
        <v>2101.3000000000002</v>
      </c>
    </row>
    <row r="1188" spans="1:4">
      <c r="A1188" s="61">
        <v>3719</v>
      </c>
      <c r="B1188" s="61">
        <v>88164</v>
      </c>
      <c r="C1188" s="62">
        <v>66.900000000000006</v>
      </c>
      <c r="D1188" s="62">
        <v>2101.3000000000002</v>
      </c>
    </row>
    <row r="1189" spans="1:4">
      <c r="A1189" s="61">
        <v>3720</v>
      </c>
      <c r="B1189" s="61">
        <v>88164</v>
      </c>
      <c r="C1189" s="62">
        <v>66.900000000000006</v>
      </c>
      <c r="D1189" s="62">
        <v>2101.3000000000002</v>
      </c>
    </row>
    <row r="1190" spans="1:4">
      <c r="A1190" s="61">
        <v>3722</v>
      </c>
      <c r="B1190" s="61">
        <v>83024</v>
      </c>
      <c r="C1190" s="62">
        <v>0.5</v>
      </c>
      <c r="D1190" s="62">
        <v>4297</v>
      </c>
    </row>
    <row r="1191" spans="1:4">
      <c r="A1191" s="61">
        <v>3723</v>
      </c>
      <c r="B1191" s="61">
        <v>83024</v>
      </c>
      <c r="C1191" s="62">
        <v>0.5</v>
      </c>
      <c r="D1191" s="62">
        <v>4297</v>
      </c>
    </row>
    <row r="1192" spans="1:4">
      <c r="A1192" s="61">
        <v>3725</v>
      </c>
      <c r="B1192" s="61">
        <v>81125</v>
      </c>
      <c r="C1192" s="62">
        <v>165</v>
      </c>
      <c r="D1192" s="62">
        <v>1517.2</v>
      </c>
    </row>
    <row r="1193" spans="1:4">
      <c r="A1193" s="61">
        <v>3726</v>
      </c>
      <c r="B1193" s="61">
        <v>82138</v>
      </c>
      <c r="C1193" s="62">
        <v>153.80000000000001</v>
      </c>
      <c r="D1193" s="62">
        <v>1668.1</v>
      </c>
    </row>
    <row r="1194" spans="1:4">
      <c r="A1194" s="61">
        <v>3727</v>
      </c>
      <c r="B1194" s="61">
        <v>81124</v>
      </c>
      <c r="C1194" s="62">
        <v>204</v>
      </c>
      <c r="D1194" s="62">
        <v>1417.6</v>
      </c>
    </row>
    <row r="1195" spans="1:4">
      <c r="A1195" s="61">
        <v>3728</v>
      </c>
      <c r="B1195" s="61">
        <v>81124</v>
      </c>
      <c r="C1195" s="62">
        <v>204</v>
      </c>
      <c r="D1195" s="62">
        <v>1417.6</v>
      </c>
    </row>
    <row r="1196" spans="1:4">
      <c r="A1196" s="61">
        <v>3730</v>
      </c>
      <c r="B1196" s="61">
        <v>81124</v>
      </c>
      <c r="C1196" s="62">
        <v>204</v>
      </c>
      <c r="D1196" s="62">
        <v>1417.6</v>
      </c>
    </row>
    <row r="1197" spans="1:4">
      <c r="A1197" s="61">
        <v>3732</v>
      </c>
      <c r="B1197" s="61">
        <v>82138</v>
      </c>
      <c r="C1197" s="62">
        <v>153.80000000000001</v>
      </c>
      <c r="D1197" s="62">
        <v>1668.1</v>
      </c>
    </row>
    <row r="1198" spans="1:4">
      <c r="A1198" s="61">
        <v>3733</v>
      </c>
      <c r="B1198" s="61">
        <v>82138</v>
      </c>
      <c r="C1198" s="62">
        <v>153.80000000000001</v>
      </c>
      <c r="D1198" s="62">
        <v>1668.1</v>
      </c>
    </row>
    <row r="1199" spans="1:4">
      <c r="A1199" s="61">
        <v>3735</v>
      </c>
      <c r="B1199" s="61">
        <v>82138</v>
      </c>
      <c r="C1199" s="62">
        <v>153.80000000000001</v>
      </c>
      <c r="D1199" s="62">
        <v>1668.1</v>
      </c>
    </row>
    <row r="1200" spans="1:4">
      <c r="A1200" s="61">
        <v>3737</v>
      </c>
      <c r="B1200" s="61">
        <v>83024</v>
      </c>
      <c r="C1200" s="62">
        <v>0.5</v>
      </c>
      <c r="D1200" s="62">
        <v>4297</v>
      </c>
    </row>
    <row r="1201" spans="1:4">
      <c r="A1201" s="61">
        <v>3738</v>
      </c>
      <c r="B1201" s="61">
        <v>82138</v>
      </c>
      <c r="C1201" s="62">
        <v>153.80000000000001</v>
      </c>
      <c r="D1201" s="62">
        <v>1668.1</v>
      </c>
    </row>
    <row r="1202" spans="1:4">
      <c r="A1202" s="61">
        <v>3739</v>
      </c>
      <c r="B1202" s="61">
        <v>83085</v>
      </c>
      <c r="C1202" s="62">
        <v>0.1</v>
      </c>
      <c r="D1202" s="62">
        <v>4801.5</v>
      </c>
    </row>
    <row r="1203" spans="1:4">
      <c r="A1203" s="61">
        <v>3740</v>
      </c>
      <c r="B1203" s="61">
        <v>83085</v>
      </c>
      <c r="C1203" s="62">
        <v>0.1</v>
      </c>
      <c r="D1203" s="62">
        <v>4801.5</v>
      </c>
    </row>
    <row r="1204" spans="1:4">
      <c r="A1204" s="61">
        <v>3741</v>
      </c>
      <c r="B1204" s="61">
        <v>83085</v>
      </c>
      <c r="C1204" s="62">
        <v>0.1</v>
      </c>
      <c r="D1204" s="62">
        <v>4801.5</v>
      </c>
    </row>
    <row r="1205" spans="1:4">
      <c r="A1205" s="61">
        <v>3744</v>
      </c>
      <c r="B1205" s="61">
        <v>83085</v>
      </c>
      <c r="C1205" s="62">
        <v>0.1</v>
      </c>
      <c r="D1205" s="62">
        <v>4801.5</v>
      </c>
    </row>
    <row r="1206" spans="1:4">
      <c r="A1206" s="61">
        <v>3746</v>
      </c>
      <c r="B1206" s="61">
        <v>82039</v>
      </c>
      <c r="C1206" s="62">
        <v>188.6</v>
      </c>
      <c r="D1206" s="62">
        <v>1712</v>
      </c>
    </row>
    <row r="1207" spans="1:4">
      <c r="A1207" s="61">
        <v>3747</v>
      </c>
      <c r="B1207" s="61">
        <v>82039</v>
      </c>
      <c r="C1207" s="62">
        <v>188.6</v>
      </c>
      <c r="D1207" s="62">
        <v>1712</v>
      </c>
    </row>
    <row r="1208" spans="1:4">
      <c r="A1208" s="61">
        <v>3749</v>
      </c>
      <c r="B1208" s="61">
        <v>72160</v>
      </c>
      <c r="C1208" s="62">
        <v>206</v>
      </c>
      <c r="D1208" s="62">
        <v>1484.8</v>
      </c>
    </row>
    <row r="1209" spans="1:4">
      <c r="A1209" s="61">
        <v>3750</v>
      </c>
      <c r="B1209" s="61">
        <v>86068</v>
      </c>
      <c r="C1209" s="62">
        <v>172.5</v>
      </c>
      <c r="D1209" s="62">
        <v>1386.6</v>
      </c>
    </row>
    <row r="1210" spans="1:4">
      <c r="A1210" s="61">
        <v>3751</v>
      </c>
      <c r="B1210" s="61">
        <v>88162</v>
      </c>
      <c r="C1210" s="62">
        <v>62.1</v>
      </c>
      <c r="D1210" s="62">
        <v>2242.8000000000002</v>
      </c>
    </row>
    <row r="1211" spans="1:4">
      <c r="A1211" s="61">
        <v>3752</v>
      </c>
      <c r="B1211" s="61">
        <v>86068</v>
      </c>
      <c r="C1211" s="62">
        <v>172.5</v>
      </c>
      <c r="D1211" s="62">
        <v>1386.6</v>
      </c>
    </row>
    <row r="1212" spans="1:4">
      <c r="A1212" s="12">
        <v>3753</v>
      </c>
      <c r="B1212" s="12">
        <v>88162</v>
      </c>
      <c r="C1212" s="12">
        <v>62.1</v>
      </c>
      <c r="D1212" s="12">
        <v>2242.8000000000002</v>
      </c>
    </row>
    <row r="1213" spans="1:4">
      <c r="A1213" s="61">
        <v>3754</v>
      </c>
      <c r="B1213" s="61">
        <v>86068</v>
      </c>
      <c r="C1213" s="62">
        <v>172.5</v>
      </c>
      <c r="D1213" s="62">
        <v>1386.6</v>
      </c>
    </row>
    <row r="1214" spans="1:4">
      <c r="A1214" s="61">
        <v>3755</v>
      </c>
      <c r="B1214" s="61">
        <v>86068</v>
      </c>
      <c r="C1214" s="62">
        <v>172.5</v>
      </c>
      <c r="D1214" s="62">
        <v>1386.6</v>
      </c>
    </row>
    <row r="1215" spans="1:4">
      <c r="A1215" s="61">
        <v>3756</v>
      </c>
      <c r="B1215" s="61">
        <v>88162</v>
      </c>
      <c r="C1215" s="62">
        <v>62.1</v>
      </c>
      <c r="D1215" s="62">
        <v>2242.8000000000002</v>
      </c>
    </row>
    <row r="1216" spans="1:4">
      <c r="A1216" s="61">
        <v>3757</v>
      </c>
      <c r="B1216" s="61">
        <v>88162</v>
      </c>
      <c r="C1216" s="62">
        <v>62.1</v>
      </c>
      <c r="D1216" s="62">
        <v>2242.8000000000002</v>
      </c>
    </row>
    <row r="1217" spans="1:4">
      <c r="A1217" s="61">
        <v>3758</v>
      </c>
      <c r="B1217" s="61">
        <v>88162</v>
      </c>
      <c r="C1217" s="62">
        <v>62.1</v>
      </c>
      <c r="D1217" s="62">
        <v>2242.8000000000002</v>
      </c>
    </row>
    <row r="1218" spans="1:4">
      <c r="A1218" s="61">
        <v>3759</v>
      </c>
      <c r="B1218" s="61">
        <v>86068</v>
      </c>
      <c r="C1218" s="62">
        <v>172.5</v>
      </c>
      <c r="D1218" s="62">
        <v>1386.6</v>
      </c>
    </row>
    <row r="1219" spans="1:4">
      <c r="A1219" s="61">
        <v>3760</v>
      </c>
      <c r="B1219" s="61">
        <v>86383</v>
      </c>
      <c r="C1219" s="62">
        <v>147.9</v>
      </c>
      <c r="D1219" s="62">
        <v>1758</v>
      </c>
    </row>
    <row r="1220" spans="1:4">
      <c r="A1220" s="61">
        <v>3761</v>
      </c>
      <c r="B1220" s="61">
        <v>86383</v>
      </c>
      <c r="C1220" s="62">
        <v>147.9</v>
      </c>
      <c r="D1220" s="62">
        <v>1758</v>
      </c>
    </row>
    <row r="1221" spans="1:4">
      <c r="A1221" s="61">
        <v>3762</v>
      </c>
      <c r="B1221" s="61">
        <v>88162</v>
      </c>
      <c r="C1221" s="62">
        <v>62.1</v>
      </c>
      <c r="D1221" s="62">
        <v>2242.8000000000002</v>
      </c>
    </row>
    <row r="1222" spans="1:4">
      <c r="A1222" s="61">
        <v>3763</v>
      </c>
      <c r="B1222" s="61">
        <v>86383</v>
      </c>
      <c r="C1222" s="62">
        <v>147.9</v>
      </c>
      <c r="D1222" s="62">
        <v>1758</v>
      </c>
    </row>
    <row r="1223" spans="1:4">
      <c r="A1223" s="61">
        <v>3764</v>
      </c>
      <c r="B1223" s="61">
        <v>88162</v>
      </c>
      <c r="C1223" s="62">
        <v>62.1</v>
      </c>
      <c r="D1223" s="62">
        <v>2242.8000000000002</v>
      </c>
    </row>
    <row r="1224" spans="1:4">
      <c r="A1224" s="61">
        <v>3765</v>
      </c>
      <c r="B1224" s="61">
        <v>86104</v>
      </c>
      <c r="C1224" s="62">
        <v>167.2</v>
      </c>
      <c r="D1224" s="62">
        <v>1465.5</v>
      </c>
    </row>
    <row r="1225" spans="1:4">
      <c r="A1225" s="61">
        <v>3766</v>
      </c>
      <c r="B1225" s="61">
        <v>86383</v>
      </c>
      <c r="C1225" s="62">
        <v>147.9</v>
      </c>
      <c r="D1225" s="62">
        <v>1758</v>
      </c>
    </row>
    <row r="1226" spans="1:4">
      <c r="A1226" s="61">
        <v>3767</v>
      </c>
      <c r="B1226" s="61">
        <v>86104</v>
      </c>
      <c r="C1226" s="62">
        <v>167.2</v>
      </c>
      <c r="D1226" s="62">
        <v>1465.5</v>
      </c>
    </row>
    <row r="1227" spans="1:4">
      <c r="A1227" s="61">
        <v>3770</v>
      </c>
      <c r="B1227" s="61">
        <v>86383</v>
      </c>
      <c r="C1227" s="62">
        <v>147.9</v>
      </c>
      <c r="D1227" s="62">
        <v>1758</v>
      </c>
    </row>
    <row r="1228" spans="1:4">
      <c r="A1228" s="61">
        <v>3775</v>
      </c>
      <c r="B1228" s="61">
        <v>86383</v>
      </c>
      <c r="C1228" s="62">
        <v>147.9</v>
      </c>
      <c r="D1228" s="62">
        <v>1758</v>
      </c>
    </row>
    <row r="1229" spans="1:4">
      <c r="A1229" s="61">
        <v>3777</v>
      </c>
      <c r="B1229" s="61">
        <v>86383</v>
      </c>
      <c r="C1229" s="62">
        <v>147.9</v>
      </c>
      <c r="D1229" s="62">
        <v>1758</v>
      </c>
    </row>
    <row r="1230" spans="1:4">
      <c r="A1230" s="61">
        <v>3778</v>
      </c>
      <c r="B1230" s="61">
        <v>86383</v>
      </c>
      <c r="C1230" s="62">
        <v>147.9</v>
      </c>
      <c r="D1230" s="62">
        <v>1758</v>
      </c>
    </row>
    <row r="1231" spans="1:4">
      <c r="A1231" s="61">
        <v>3779</v>
      </c>
      <c r="B1231" s="61">
        <v>88164</v>
      </c>
      <c r="C1231" s="62">
        <v>66.900000000000006</v>
      </c>
      <c r="D1231" s="62">
        <v>2101.3000000000002</v>
      </c>
    </row>
    <row r="1232" spans="1:4">
      <c r="A1232" s="61">
        <v>3781</v>
      </c>
      <c r="B1232" s="61">
        <v>86104</v>
      </c>
      <c r="C1232" s="62">
        <v>167.2</v>
      </c>
      <c r="D1232" s="62">
        <v>1465.5</v>
      </c>
    </row>
    <row r="1233" spans="1:4">
      <c r="A1233" s="61">
        <v>3782</v>
      </c>
      <c r="B1233" s="61">
        <v>86104</v>
      </c>
      <c r="C1233" s="62">
        <v>167.2</v>
      </c>
      <c r="D1233" s="62">
        <v>1465.5</v>
      </c>
    </row>
    <row r="1234" spans="1:4">
      <c r="A1234" s="61">
        <v>3783</v>
      </c>
      <c r="B1234" s="61">
        <v>86104</v>
      </c>
      <c r="C1234" s="62">
        <v>167.2</v>
      </c>
      <c r="D1234" s="62">
        <v>1465.5</v>
      </c>
    </row>
    <row r="1235" spans="1:4">
      <c r="A1235" s="61">
        <v>3785</v>
      </c>
      <c r="B1235" s="61">
        <v>86104</v>
      </c>
      <c r="C1235" s="62">
        <v>167.2</v>
      </c>
      <c r="D1235" s="62">
        <v>1465.5</v>
      </c>
    </row>
    <row r="1236" spans="1:4">
      <c r="A1236" s="61">
        <v>3786</v>
      </c>
      <c r="B1236" s="61">
        <v>86104</v>
      </c>
      <c r="C1236" s="62">
        <v>167.2</v>
      </c>
      <c r="D1236" s="62">
        <v>1465.5</v>
      </c>
    </row>
    <row r="1237" spans="1:4">
      <c r="A1237" s="61">
        <v>3787</v>
      </c>
      <c r="B1237" s="61">
        <v>86104</v>
      </c>
      <c r="C1237" s="62">
        <v>167.2</v>
      </c>
      <c r="D1237" s="62">
        <v>1465.5</v>
      </c>
    </row>
    <row r="1238" spans="1:4">
      <c r="A1238" s="61">
        <v>3788</v>
      </c>
      <c r="B1238" s="61">
        <v>86104</v>
      </c>
      <c r="C1238" s="62">
        <v>167.2</v>
      </c>
      <c r="D1238" s="62">
        <v>1465.5</v>
      </c>
    </row>
    <row r="1239" spans="1:4">
      <c r="A1239" s="61">
        <v>3789</v>
      </c>
      <c r="B1239" s="61">
        <v>86104</v>
      </c>
      <c r="C1239" s="62">
        <v>167.2</v>
      </c>
      <c r="D1239" s="62">
        <v>1465.5</v>
      </c>
    </row>
    <row r="1240" spans="1:4">
      <c r="A1240" s="61">
        <v>3791</v>
      </c>
      <c r="B1240" s="61">
        <v>86104</v>
      </c>
      <c r="C1240" s="62">
        <v>167.2</v>
      </c>
      <c r="D1240" s="62">
        <v>1465.5</v>
      </c>
    </row>
    <row r="1241" spans="1:4">
      <c r="A1241" s="61">
        <v>3792</v>
      </c>
      <c r="B1241" s="61">
        <v>86104</v>
      </c>
      <c r="C1241" s="62">
        <v>167.2</v>
      </c>
      <c r="D1241" s="62">
        <v>1465.5</v>
      </c>
    </row>
    <row r="1242" spans="1:4">
      <c r="A1242" s="61">
        <v>3793</v>
      </c>
      <c r="B1242" s="61">
        <v>86104</v>
      </c>
      <c r="C1242" s="62">
        <v>167.2</v>
      </c>
      <c r="D1242" s="62">
        <v>1465.5</v>
      </c>
    </row>
    <row r="1243" spans="1:4">
      <c r="A1243" s="61">
        <v>3795</v>
      </c>
      <c r="B1243" s="61">
        <v>86383</v>
      </c>
      <c r="C1243" s="62">
        <v>147.9</v>
      </c>
      <c r="D1243" s="62">
        <v>1758</v>
      </c>
    </row>
    <row r="1244" spans="1:4">
      <c r="A1244" s="61">
        <v>3796</v>
      </c>
      <c r="B1244" s="61">
        <v>86383</v>
      </c>
      <c r="C1244" s="62">
        <v>147.9</v>
      </c>
      <c r="D1244" s="62">
        <v>1758</v>
      </c>
    </row>
    <row r="1245" spans="1:4">
      <c r="A1245" s="61">
        <v>3797</v>
      </c>
      <c r="B1245" s="61">
        <v>86383</v>
      </c>
      <c r="C1245" s="62">
        <v>147.9</v>
      </c>
      <c r="D1245" s="62">
        <v>1758</v>
      </c>
    </row>
    <row r="1246" spans="1:4">
      <c r="A1246" s="61">
        <v>3799</v>
      </c>
      <c r="B1246" s="61">
        <v>86383</v>
      </c>
      <c r="C1246" s="62">
        <v>147.9</v>
      </c>
      <c r="D1246" s="62">
        <v>1758</v>
      </c>
    </row>
    <row r="1247" spans="1:4">
      <c r="A1247" s="61">
        <v>3800</v>
      </c>
      <c r="B1247" s="61">
        <v>86077</v>
      </c>
      <c r="C1247" s="62">
        <v>169.4</v>
      </c>
      <c r="D1247" s="62">
        <v>1355.6</v>
      </c>
    </row>
    <row r="1248" spans="1:4">
      <c r="A1248" s="61">
        <v>3802</v>
      </c>
      <c r="B1248" s="61">
        <v>86104</v>
      </c>
      <c r="C1248" s="62">
        <v>167.2</v>
      </c>
      <c r="D1248" s="62">
        <v>1465.5</v>
      </c>
    </row>
    <row r="1249" spans="1:4">
      <c r="A1249" s="61">
        <v>3803</v>
      </c>
      <c r="B1249" s="61">
        <v>86077</v>
      </c>
      <c r="C1249" s="62">
        <v>169.4</v>
      </c>
      <c r="D1249" s="62">
        <v>1355.6</v>
      </c>
    </row>
    <row r="1250" spans="1:4">
      <c r="A1250" s="61">
        <v>3804</v>
      </c>
      <c r="B1250" s="61">
        <v>86104</v>
      </c>
      <c r="C1250" s="62">
        <v>167.2</v>
      </c>
      <c r="D1250" s="62">
        <v>1465.5</v>
      </c>
    </row>
    <row r="1251" spans="1:4">
      <c r="A1251" s="61">
        <v>3805</v>
      </c>
      <c r="B1251" s="61">
        <v>86104</v>
      </c>
      <c r="C1251" s="62">
        <v>167.2</v>
      </c>
      <c r="D1251" s="62">
        <v>1465.5</v>
      </c>
    </row>
    <row r="1252" spans="1:4">
      <c r="A1252" s="61">
        <v>3806</v>
      </c>
      <c r="B1252" s="61">
        <v>86104</v>
      </c>
      <c r="C1252" s="62">
        <v>167.2</v>
      </c>
      <c r="D1252" s="62">
        <v>1465.5</v>
      </c>
    </row>
    <row r="1253" spans="1:4">
      <c r="A1253" s="61">
        <v>3807</v>
      </c>
      <c r="B1253" s="61">
        <v>86104</v>
      </c>
      <c r="C1253" s="62">
        <v>167.2</v>
      </c>
      <c r="D1253" s="62">
        <v>1465.5</v>
      </c>
    </row>
    <row r="1254" spans="1:4">
      <c r="A1254" s="61">
        <v>3808</v>
      </c>
      <c r="B1254" s="61">
        <v>86104</v>
      </c>
      <c r="C1254" s="62">
        <v>167.2</v>
      </c>
      <c r="D1254" s="62">
        <v>1465.5</v>
      </c>
    </row>
    <row r="1255" spans="1:4">
      <c r="A1255" s="61">
        <v>3809</v>
      </c>
      <c r="B1255" s="61">
        <v>86104</v>
      </c>
      <c r="C1255" s="62">
        <v>167.2</v>
      </c>
      <c r="D1255" s="62">
        <v>1465.5</v>
      </c>
    </row>
    <row r="1256" spans="1:4">
      <c r="A1256" s="61">
        <v>3810</v>
      </c>
      <c r="B1256" s="61">
        <v>86104</v>
      </c>
      <c r="C1256" s="62">
        <v>167.2</v>
      </c>
      <c r="D1256" s="62">
        <v>1465.5</v>
      </c>
    </row>
    <row r="1257" spans="1:4">
      <c r="A1257" s="61">
        <v>3812</v>
      </c>
      <c r="B1257" s="61">
        <v>86104</v>
      </c>
      <c r="C1257" s="62">
        <v>167.2</v>
      </c>
      <c r="D1257" s="62">
        <v>1465.5</v>
      </c>
    </row>
    <row r="1258" spans="1:4">
      <c r="A1258" s="61">
        <v>3813</v>
      </c>
      <c r="B1258" s="61">
        <v>86104</v>
      </c>
      <c r="C1258" s="62">
        <v>167.2</v>
      </c>
      <c r="D1258" s="62">
        <v>1465.5</v>
      </c>
    </row>
    <row r="1259" spans="1:4">
      <c r="A1259" s="61">
        <v>3814</v>
      </c>
      <c r="B1259" s="61">
        <v>86371</v>
      </c>
      <c r="C1259" s="62">
        <v>167.7</v>
      </c>
      <c r="D1259" s="62">
        <v>1314.6</v>
      </c>
    </row>
    <row r="1260" spans="1:4">
      <c r="A1260" s="61">
        <v>3815</v>
      </c>
      <c r="B1260" s="61">
        <v>86104</v>
      </c>
      <c r="C1260" s="62">
        <v>167.2</v>
      </c>
      <c r="D1260" s="62">
        <v>1465.5</v>
      </c>
    </row>
    <row r="1261" spans="1:4">
      <c r="A1261" s="61">
        <v>3816</v>
      </c>
      <c r="B1261" s="61">
        <v>85291</v>
      </c>
      <c r="C1261" s="62">
        <v>1.8</v>
      </c>
      <c r="D1261" s="62">
        <v>4391.8</v>
      </c>
    </row>
    <row r="1262" spans="1:4">
      <c r="A1262" s="61">
        <v>3818</v>
      </c>
      <c r="B1262" s="61">
        <v>86373</v>
      </c>
      <c r="C1262" s="62">
        <v>216.6</v>
      </c>
      <c r="D1262" s="62">
        <v>1239.3</v>
      </c>
    </row>
    <row r="1263" spans="1:4">
      <c r="A1263" s="61">
        <v>3820</v>
      </c>
      <c r="B1263" s="61">
        <v>85280</v>
      </c>
      <c r="C1263" s="62">
        <v>131.80000000000001</v>
      </c>
      <c r="D1263" s="62">
        <v>1628.3</v>
      </c>
    </row>
    <row r="1264" spans="1:4">
      <c r="A1264" s="61">
        <v>3821</v>
      </c>
      <c r="B1264" s="61">
        <v>85291</v>
      </c>
      <c r="C1264" s="62">
        <v>1.8</v>
      </c>
      <c r="D1264" s="62">
        <v>4391.8</v>
      </c>
    </row>
    <row r="1265" spans="1:4">
      <c r="A1265" s="61">
        <v>3822</v>
      </c>
      <c r="B1265" s="61">
        <v>85280</v>
      </c>
      <c r="C1265" s="62">
        <v>131.80000000000001</v>
      </c>
      <c r="D1265" s="62">
        <v>1628.3</v>
      </c>
    </row>
    <row r="1266" spans="1:4">
      <c r="A1266" s="61">
        <v>3823</v>
      </c>
      <c r="B1266" s="61">
        <v>85280</v>
      </c>
      <c r="C1266" s="62">
        <v>131.80000000000001</v>
      </c>
      <c r="D1266" s="62">
        <v>1628.3</v>
      </c>
    </row>
    <row r="1267" spans="1:4">
      <c r="A1267" s="61">
        <v>3824</v>
      </c>
      <c r="B1267" s="61">
        <v>85280</v>
      </c>
      <c r="C1267" s="62">
        <v>131.80000000000001</v>
      </c>
      <c r="D1267" s="62">
        <v>1628.3</v>
      </c>
    </row>
    <row r="1268" spans="1:4">
      <c r="A1268" s="61">
        <v>3825</v>
      </c>
      <c r="B1268" s="61">
        <v>85291</v>
      </c>
      <c r="C1268" s="62">
        <v>1.8</v>
      </c>
      <c r="D1268" s="62">
        <v>4391.8</v>
      </c>
    </row>
    <row r="1269" spans="1:4">
      <c r="A1269" s="61">
        <v>3831</v>
      </c>
      <c r="B1269" s="61">
        <v>85291</v>
      </c>
      <c r="C1269" s="62">
        <v>1.8</v>
      </c>
      <c r="D1269" s="62">
        <v>4391.8</v>
      </c>
    </row>
    <row r="1270" spans="1:4">
      <c r="A1270" s="61">
        <v>3832</v>
      </c>
      <c r="B1270" s="61">
        <v>85291</v>
      </c>
      <c r="C1270" s="62">
        <v>1.8</v>
      </c>
      <c r="D1270" s="62">
        <v>4391.8</v>
      </c>
    </row>
    <row r="1271" spans="1:4">
      <c r="A1271" s="61">
        <v>3833</v>
      </c>
      <c r="B1271" s="61">
        <v>85291</v>
      </c>
      <c r="C1271" s="62">
        <v>1.8</v>
      </c>
      <c r="D1271" s="62">
        <v>4391.8</v>
      </c>
    </row>
    <row r="1272" spans="1:4">
      <c r="A1272" s="61">
        <v>3835</v>
      </c>
      <c r="B1272" s="61">
        <v>85280</v>
      </c>
      <c r="C1272" s="62">
        <v>131.80000000000001</v>
      </c>
      <c r="D1272" s="62">
        <v>1628.3</v>
      </c>
    </row>
    <row r="1273" spans="1:4">
      <c r="A1273" s="61">
        <v>3840</v>
      </c>
      <c r="B1273" s="61">
        <v>85280</v>
      </c>
      <c r="C1273" s="62">
        <v>131.80000000000001</v>
      </c>
      <c r="D1273" s="62">
        <v>1628.3</v>
      </c>
    </row>
    <row r="1274" spans="1:4">
      <c r="A1274" s="61">
        <v>3842</v>
      </c>
      <c r="B1274" s="61">
        <v>85280</v>
      </c>
      <c r="C1274" s="62">
        <v>131.80000000000001</v>
      </c>
      <c r="D1274" s="62">
        <v>1628.3</v>
      </c>
    </row>
    <row r="1275" spans="1:4">
      <c r="A1275" s="61">
        <v>3844</v>
      </c>
      <c r="B1275" s="61">
        <v>85151</v>
      </c>
      <c r="C1275" s="62">
        <v>143</v>
      </c>
      <c r="D1275" s="62">
        <v>1666.3</v>
      </c>
    </row>
    <row r="1276" spans="1:4">
      <c r="A1276" s="61">
        <v>3847</v>
      </c>
      <c r="B1276" s="61">
        <v>85280</v>
      </c>
      <c r="C1276" s="62">
        <v>131.80000000000001</v>
      </c>
      <c r="D1276" s="62">
        <v>1628.3</v>
      </c>
    </row>
    <row r="1277" spans="1:4">
      <c r="A1277" s="61">
        <v>3850</v>
      </c>
      <c r="B1277" s="61">
        <v>85072</v>
      </c>
      <c r="C1277" s="62">
        <v>131.19999999999999</v>
      </c>
      <c r="D1277" s="62">
        <v>1632.3</v>
      </c>
    </row>
    <row r="1278" spans="1:4">
      <c r="A1278" s="61">
        <v>3851</v>
      </c>
      <c r="B1278" s="61">
        <v>85072</v>
      </c>
      <c r="C1278" s="62">
        <v>131.19999999999999</v>
      </c>
      <c r="D1278" s="62">
        <v>1632.3</v>
      </c>
    </row>
    <row r="1279" spans="1:4">
      <c r="A1279" s="61">
        <v>3852</v>
      </c>
      <c r="B1279" s="61">
        <v>85072</v>
      </c>
      <c r="C1279" s="62">
        <v>131.19999999999999</v>
      </c>
      <c r="D1279" s="62">
        <v>1632.3</v>
      </c>
    </row>
    <row r="1280" spans="1:4">
      <c r="A1280" s="61">
        <v>3854</v>
      </c>
      <c r="B1280" s="61">
        <v>85280</v>
      </c>
      <c r="C1280" s="62">
        <v>131.80000000000001</v>
      </c>
      <c r="D1280" s="62">
        <v>1628.3</v>
      </c>
    </row>
    <row r="1281" spans="1:4">
      <c r="A1281" s="61">
        <v>3856</v>
      </c>
      <c r="B1281" s="61">
        <v>85280</v>
      </c>
      <c r="C1281" s="62">
        <v>131.80000000000001</v>
      </c>
      <c r="D1281" s="62">
        <v>1628.3</v>
      </c>
    </row>
    <row r="1282" spans="1:4">
      <c r="A1282" s="61">
        <v>3857</v>
      </c>
      <c r="B1282" s="61">
        <v>85280</v>
      </c>
      <c r="C1282" s="62">
        <v>131.80000000000001</v>
      </c>
      <c r="D1282" s="62">
        <v>1628.3</v>
      </c>
    </row>
    <row r="1283" spans="1:4">
      <c r="A1283" s="61">
        <v>3858</v>
      </c>
      <c r="B1283" s="61">
        <v>83024</v>
      </c>
      <c r="C1283" s="62">
        <v>0.5</v>
      </c>
      <c r="D1283" s="62">
        <v>4297</v>
      </c>
    </row>
    <row r="1284" spans="1:4">
      <c r="A1284" s="61">
        <v>3859</v>
      </c>
      <c r="B1284" s="61">
        <v>85296</v>
      </c>
      <c r="C1284" s="62">
        <v>102</v>
      </c>
      <c r="D1284" s="62">
        <v>1753.4</v>
      </c>
    </row>
    <row r="1285" spans="1:4">
      <c r="A1285" s="61">
        <v>3860</v>
      </c>
      <c r="B1285" s="61">
        <v>85296</v>
      </c>
      <c r="C1285" s="62">
        <v>102</v>
      </c>
      <c r="D1285" s="62">
        <v>1753.4</v>
      </c>
    </row>
    <row r="1286" spans="1:4">
      <c r="A1286" s="61">
        <v>3862</v>
      </c>
      <c r="B1286" s="61">
        <v>85296</v>
      </c>
      <c r="C1286" s="62">
        <v>102</v>
      </c>
      <c r="D1286" s="62">
        <v>1753.4</v>
      </c>
    </row>
    <row r="1287" spans="1:4">
      <c r="A1287" s="61">
        <v>3864</v>
      </c>
      <c r="B1287" s="61">
        <v>85296</v>
      </c>
      <c r="C1287" s="62">
        <v>102</v>
      </c>
      <c r="D1287" s="62">
        <v>1753.4</v>
      </c>
    </row>
    <row r="1288" spans="1:4">
      <c r="A1288" s="61">
        <v>3865</v>
      </c>
      <c r="B1288" s="61">
        <v>85279</v>
      </c>
      <c r="C1288" s="62">
        <v>161.1</v>
      </c>
      <c r="D1288" s="62">
        <v>1551.5</v>
      </c>
    </row>
    <row r="1289" spans="1:4">
      <c r="A1289" s="61">
        <v>3869</v>
      </c>
      <c r="B1289" s="61">
        <v>85280</v>
      </c>
      <c r="C1289" s="62">
        <v>131.80000000000001</v>
      </c>
      <c r="D1289" s="62">
        <v>1628.3</v>
      </c>
    </row>
    <row r="1290" spans="1:4">
      <c r="A1290" s="61">
        <v>3870</v>
      </c>
      <c r="B1290" s="61">
        <v>85280</v>
      </c>
      <c r="C1290" s="62">
        <v>131.80000000000001</v>
      </c>
      <c r="D1290" s="62">
        <v>1628.3</v>
      </c>
    </row>
    <row r="1291" spans="1:4">
      <c r="A1291" s="61">
        <v>3871</v>
      </c>
      <c r="B1291" s="61">
        <v>85280</v>
      </c>
      <c r="C1291" s="62">
        <v>131.80000000000001</v>
      </c>
      <c r="D1291" s="62">
        <v>1628.3</v>
      </c>
    </row>
    <row r="1292" spans="1:4">
      <c r="A1292" s="61">
        <v>3873</v>
      </c>
      <c r="B1292" s="61">
        <v>85280</v>
      </c>
      <c r="C1292" s="62">
        <v>131.80000000000001</v>
      </c>
      <c r="D1292" s="62">
        <v>1628.3</v>
      </c>
    </row>
    <row r="1293" spans="1:4">
      <c r="A1293" s="61">
        <v>3874</v>
      </c>
      <c r="B1293" s="61">
        <v>85151</v>
      </c>
      <c r="C1293" s="62">
        <v>143</v>
      </c>
      <c r="D1293" s="62">
        <v>1666.3</v>
      </c>
    </row>
    <row r="1294" spans="1:4">
      <c r="A1294" s="61">
        <v>3875</v>
      </c>
      <c r="B1294" s="61">
        <v>85279</v>
      </c>
      <c r="C1294" s="62">
        <v>161.1</v>
      </c>
      <c r="D1294" s="62">
        <v>1551.5</v>
      </c>
    </row>
    <row r="1295" spans="1:4">
      <c r="A1295" s="61">
        <v>3878</v>
      </c>
      <c r="B1295" s="61">
        <v>85279</v>
      </c>
      <c r="C1295" s="62">
        <v>161.1</v>
      </c>
      <c r="D1295" s="62">
        <v>1551.5</v>
      </c>
    </row>
    <row r="1296" spans="1:4">
      <c r="A1296" s="61">
        <v>3880</v>
      </c>
      <c r="B1296" s="61">
        <v>85279</v>
      </c>
      <c r="C1296" s="62">
        <v>161.1</v>
      </c>
      <c r="D1296" s="62">
        <v>1551.5</v>
      </c>
    </row>
    <row r="1297" spans="1:4">
      <c r="A1297" s="61">
        <v>3882</v>
      </c>
      <c r="B1297" s="61">
        <v>85279</v>
      </c>
      <c r="C1297" s="62">
        <v>161.1</v>
      </c>
      <c r="D1297" s="62">
        <v>1551.5</v>
      </c>
    </row>
    <row r="1298" spans="1:4">
      <c r="A1298" s="61">
        <v>3885</v>
      </c>
      <c r="B1298" s="61">
        <v>84142</v>
      </c>
      <c r="C1298" s="62">
        <v>49.9</v>
      </c>
      <c r="D1298" s="62">
        <v>2437.6</v>
      </c>
    </row>
    <row r="1299" spans="1:4">
      <c r="A1299" s="61">
        <v>3886</v>
      </c>
      <c r="B1299" s="61">
        <v>84145</v>
      </c>
      <c r="C1299" s="62">
        <v>214.4</v>
      </c>
      <c r="D1299" s="62">
        <v>1367</v>
      </c>
    </row>
    <row r="1300" spans="1:4">
      <c r="A1300" s="61">
        <v>3887</v>
      </c>
      <c r="B1300" s="61">
        <v>84144</v>
      </c>
      <c r="C1300" s="62">
        <v>115.2</v>
      </c>
      <c r="D1300" s="62">
        <v>1561.7</v>
      </c>
    </row>
    <row r="1301" spans="1:4">
      <c r="A1301" s="61">
        <v>3888</v>
      </c>
      <c r="B1301" s="61">
        <v>84143</v>
      </c>
      <c r="C1301" s="62">
        <v>95.6</v>
      </c>
      <c r="D1301" s="62">
        <v>1880.8</v>
      </c>
    </row>
    <row r="1302" spans="1:4">
      <c r="A1302" s="61">
        <v>3889</v>
      </c>
      <c r="B1302" s="61">
        <v>84145</v>
      </c>
      <c r="C1302" s="62">
        <v>214.4</v>
      </c>
      <c r="D1302" s="62">
        <v>1367</v>
      </c>
    </row>
    <row r="1303" spans="1:4">
      <c r="A1303" s="61">
        <v>3890</v>
      </c>
      <c r="B1303" s="61">
        <v>84143</v>
      </c>
      <c r="C1303" s="62">
        <v>95.6</v>
      </c>
      <c r="D1303" s="62">
        <v>1880.8</v>
      </c>
    </row>
    <row r="1304" spans="1:4">
      <c r="A1304" s="61">
        <v>3891</v>
      </c>
      <c r="B1304" s="61">
        <v>84084</v>
      </c>
      <c r="C1304" s="62">
        <v>238.4</v>
      </c>
      <c r="D1304" s="62">
        <v>1290.2</v>
      </c>
    </row>
    <row r="1305" spans="1:4">
      <c r="A1305" s="61">
        <v>3892</v>
      </c>
      <c r="B1305" s="61">
        <v>84084</v>
      </c>
      <c r="C1305" s="62">
        <v>238.4</v>
      </c>
      <c r="D1305" s="62">
        <v>1290.2</v>
      </c>
    </row>
    <row r="1306" spans="1:4">
      <c r="A1306" s="61">
        <v>3893</v>
      </c>
      <c r="B1306" s="61">
        <v>84144</v>
      </c>
      <c r="C1306" s="62">
        <v>115.2</v>
      </c>
      <c r="D1306" s="62">
        <v>1561.7</v>
      </c>
    </row>
    <row r="1307" spans="1:4">
      <c r="A1307" s="61">
        <v>3895</v>
      </c>
      <c r="B1307" s="61">
        <v>83090</v>
      </c>
      <c r="C1307" s="62">
        <v>49.5</v>
      </c>
      <c r="D1307" s="62">
        <v>2356.9</v>
      </c>
    </row>
    <row r="1308" spans="1:4">
      <c r="A1308" s="61">
        <v>3896</v>
      </c>
      <c r="B1308" s="61">
        <v>83090</v>
      </c>
      <c r="C1308" s="62">
        <v>49.5</v>
      </c>
      <c r="D1308" s="62">
        <v>2356.9</v>
      </c>
    </row>
    <row r="1309" spans="1:4">
      <c r="A1309" s="61">
        <v>3898</v>
      </c>
      <c r="B1309" s="61">
        <v>83055</v>
      </c>
      <c r="C1309" s="62">
        <v>4.8</v>
      </c>
      <c r="D1309" s="62">
        <v>3427.4</v>
      </c>
    </row>
    <row r="1310" spans="1:4">
      <c r="A1310" s="61">
        <v>3900</v>
      </c>
      <c r="B1310" s="61">
        <v>83090</v>
      </c>
      <c r="C1310" s="62">
        <v>49.5</v>
      </c>
      <c r="D1310" s="62">
        <v>2356.9</v>
      </c>
    </row>
    <row r="1311" spans="1:4">
      <c r="A1311" s="61">
        <v>3902</v>
      </c>
      <c r="B1311" s="61">
        <v>85279</v>
      </c>
      <c r="C1311" s="62">
        <v>161.1</v>
      </c>
      <c r="D1311" s="62">
        <v>1551.5</v>
      </c>
    </row>
    <row r="1312" spans="1:4">
      <c r="A1312" s="61">
        <v>3903</v>
      </c>
      <c r="B1312" s="61">
        <v>84144</v>
      </c>
      <c r="C1312" s="62">
        <v>115.2</v>
      </c>
      <c r="D1312" s="62">
        <v>1561.7</v>
      </c>
    </row>
    <row r="1313" spans="1:4">
      <c r="A1313" s="61">
        <v>3904</v>
      </c>
      <c r="B1313" s="61">
        <v>85279</v>
      </c>
      <c r="C1313" s="62">
        <v>161.1</v>
      </c>
      <c r="D1313" s="62">
        <v>1551.5</v>
      </c>
    </row>
    <row r="1314" spans="1:4">
      <c r="A1314" s="61">
        <v>3909</v>
      </c>
      <c r="B1314" s="61">
        <v>84144</v>
      </c>
      <c r="C1314" s="62">
        <v>115.2</v>
      </c>
      <c r="D1314" s="62">
        <v>1561.7</v>
      </c>
    </row>
    <row r="1315" spans="1:4">
      <c r="A1315" s="61">
        <v>3910</v>
      </c>
      <c r="B1315" s="61">
        <v>86371</v>
      </c>
      <c r="C1315" s="62">
        <v>167.7</v>
      </c>
      <c r="D1315" s="62">
        <v>1314.6</v>
      </c>
    </row>
    <row r="1316" spans="1:4">
      <c r="A1316" s="61">
        <v>3911</v>
      </c>
      <c r="B1316" s="61">
        <v>86371</v>
      </c>
      <c r="C1316" s="62">
        <v>167.7</v>
      </c>
      <c r="D1316" s="62">
        <v>1314.6</v>
      </c>
    </row>
    <row r="1317" spans="1:4">
      <c r="A1317" s="61">
        <v>3912</v>
      </c>
      <c r="B1317" s="61">
        <v>86371</v>
      </c>
      <c r="C1317" s="62">
        <v>167.7</v>
      </c>
      <c r="D1317" s="62">
        <v>1314.6</v>
      </c>
    </row>
    <row r="1318" spans="1:4">
      <c r="A1318" s="61">
        <v>3913</v>
      </c>
      <c r="B1318" s="61">
        <v>86361</v>
      </c>
      <c r="C1318" s="62">
        <v>126.9</v>
      </c>
      <c r="D1318" s="62">
        <v>1517.7</v>
      </c>
    </row>
    <row r="1319" spans="1:4">
      <c r="A1319" s="61">
        <v>3915</v>
      </c>
      <c r="B1319" s="61">
        <v>86361</v>
      </c>
      <c r="C1319" s="62">
        <v>126.9</v>
      </c>
      <c r="D1319" s="62">
        <v>1517.7</v>
      </c>
    </row>
    <row r="1320" spans="1:4">
      <c r="A1320" s="61">
        <v>3916</v>
      </c>
      <c r="B1320" s="61">
        <v>86361</v>
      </c>
      <c r="C1320" s="62">
        <v>126.9</v>
      </c>
      <c r="D1320" s="62">
        <v>1517.7</v>
      </c>
    </row>
    <row r="1321" spans="1:4">
      <c r="A1321" s="61">
        <v>3918</v>
      </c>
      <c r="B1321" s="61">
        <v>86361</v>
      </c>
      <c r="C1321" s="62">
        <v>126.9</v>
      </c>
      <c r="D1321" s="62">
        <v>1517.7</v>
      </c>
    </row>
    <row r="1322" spans="1:4">
      <c r="A1322" s="61">
        <v>3919</v>
      </c>
      <c r="B1322" s="61">
        <v>86361</v>
      </c>
      <c r="C1322" s="62">
        <v>126.9</v>
      </c>
      <c r="D1322" s="62">
        <v>1517.7</v>
      </c>
    </row>
    <row r="1323" spans="1:4">
      <c r="A1323" s="61">
        <v>3920</v>
      </c>
      <c r="B1323" s="61">
        <v>86361</v>
      </c>
      <c r="C1323" s="62">
        <v>126.9</v>
      </c>
      <c r="D1323" s="62">
        <v>1517.7</v>
      </c>
    </row>
    <row r="1324" spans="1:4">
      <c r="A1324" s="61">
        <v>3921</v>
      </c>
      <c r="B1324" s="61">
        <v>77094</v>
      </c>
      <c r="C1324" s="62">
        <v>151.4</v>
      </c>
      <c r="D1324" s="62">
        <v>1292.2</v>
      </c>
    </row>
    <row r="1325" spans="1:4">
      <c r="A1325" s="61">
        <v>3922</v>
      </c>
      <c r="B1325" s="61">
        <v>86373</v>
      </c>
      <c r="C1325" s="62">
        <v>216.6</v>
      </c>
      <c r="D1325" s="62">
        <v>1239.3</v>
      </c>
    </row>
    <row r="1326" spans="1:4">
      <c r="A1326" s="61">
        <v>3923</v>
      </c>
      <c r="B1326" s="61">
        <v>86373</v>
      </c>
      <c r="C1326" s="62">
        <v>216.6</v>
      </c>
      <c r="D1326" s="62">
        <v>1239.3</v>
      </c>
    </row>
    <row r="1327" spans="1:4">
      <c r="A1327" s="61">
        <v>3925</v>
      </c>
      <c r="B1327" s="61">
        <v>86373</v>
      </c>
      <c r="C1327" s="62">
        <v>216.6</v>
      </c>
      <c r="D1327" s="62">
        <v>1239.3</v>
      </c>
    </row>
    <row r="1328" spans="1:4">
      <c r="A1328" s="61">
        <v>3926</v>
      </c>
      <c r="B1328" s="61">
        <v>86361</v>
      </c>
      <c r="C1328" s="62">
        <v>126.9</v>
      </c>
      <c r="D1328" s="62">
        <v>1517.7</v>
      </c>
    </row>
    <row r="1329" spans="1:4">
      <c r="A1329" s="61">
        <v>3927</v>
      </c>
      <c r="B1329" s="61">
        <v>86361</v>
      </c>
      <c r="C1329" s="62">
        <v>126.9</v>
      </c>
      <c r="D1329" s="62">
        <v>1517.7</v>
      </c>
    </row>
    <row r="1330" spans="1:4">
      <c r="A1330" s="61">
        <v>3928</v>
      </c>
      <c r="B1330" s="61">
        <v>86361</v>
      </c>
      <c r="C1330" s="62">
        <v>126.9</v>
      </c>
      <c r="D1330" s="62">
        <v>1517.7</v>
      </c>
    </row>
    <row r="1331" spans="1:4">
      <c r="A1331" s="61">
        <v>3929</v>
      </c>
      <c r="B1331" s="61">
        <v>86361</v>
      </c>
      <c r="C1331" s="62">
        <v>126.9</v>
      </c>
      <c r="D1331" s="62">
        <v>1517.7</v>
      </c>
    </row>
    <row r="1332" spans="1:4">
      <c r="A1332" s="61">
        <v>3930</v>
      </c>
      <c r="B1332" s="61">
        <v>86371</v>
      </c>
      <c r="C1332" s="62">
        <v>167.7</v>
      </c>
      <c r="D1332" s="62">
        <v>1314.6</v>
      </c>
    </row>
    <row r="1333" spans="1:4">
      <c r="A1333" s="61">
        <v>3931</v>
      </c>
      <c r="B1333" s="61">
        <v>86371</v>
      </c>
      <c r="C1333" s="62">
        <v>167.7</v>
      </c>
      <c r="D1333" s="62">
        <v>1314.6</v>
      </c>
    </row>
    <row r="1334" spans="1:4">
      <c r="A1334" s="61">
        <v>3933</v>
      </c>
      <c r="B1334" s="61">
        <v>86371</v>
      </c>
      <c r="C1334" s="62">
        <v>167.7</v>
      </c>
      <c r="D1334" s="62">
        <v>1314.6</v>
      </c>
    </row>
    <row r="1335" spans="1:4">
      <c r="A1335" s="61">
        <v>3934</v>
      </c>
      <c r="B1335" s="61">
        <v>86371</v>
      </c>
      <c r="C1335" s="62">
        <v>167.7</v>
      </c>
      <c r="D1335" s="62">
        <v>1314.6</v>
      </c>
    </row>
    <row r="1336" spans="1:4">
      <c r="A1336" s="61">
        <v>3936</v>
      </c>
      <c r="B1336" s="61">
        <v>86361</v>
      </c>
      <c r="C1336" s="62">
        <v>126.9</v>
      </c>
      <c r="D1336" s="62">
        <v>1517.7</v>
      </c>
    </row>
    <row r="1337" spans="1:4">
      <c r="A1337" s="61">
        <v>3937</v>
      </c>
      <c r="B1337" s="61">
        <v>86361</v>
      </c>
      <c r="C1337" s="62">
        <v>126.9</v>
      </c>
      <c r="D1337" s="62">
        <v>1517.7</v>
      </c>
    </row>
    <row r="1338" spans="1:4">
      <c r="A1338" s="61">
        <v>3938</v>
      </c>
      <c r="B1338" s="61">
        <v>86361</v>
      </c>
      <c r="C1338" s="62">
        <v>126.9</v>
      </c>
      <c r="D1338" s="62">
        <v>1517.7</v>
      </c>
    </row>
    <row r="1339" spans="1:4">
      <c r="A1339" s="61">
        <v>3939</v>
      </c>
      <c r="B1339" s="61">
        <v>86361</v>
      </c>
      <c r="C1339" s="62">
        <v>126.9</v>
      </c>
      <c r="D1339" s="62">
        <v>1517.7</v>
      </c>
    </row>
    <row r="1340" spans="1:4">
      <c r="A1340" s="61">
        <v>3940</v>
      </c>
      <c r="B1340" s="61">
        <v>86361</v>
      </c>
      <c r="C1340" s="62">
        <v>126.9</v>
      </c>
      <c r="D1340" s="62">
        <v>1517.7</v>
      </c>
    </row>
    <row r="1341" spans="1:4">
      <c r="A1341" s="61">
        <v>3941</v>
      </c>
      <c r="B1341" s="61">
        <v>86361</v>
      </c>
      <c r="C1341" s="62">
        <v>126.9</v>
      </c>
      <c r="D1341" s="62">
        <v>1517.7</v>
      </c>
    </row>
    <row r="1342" spans="1:4">
      <c r="A1342" s="61">
        <v>3942</v>
      </c>
      <c r="B1342" s="61">
        <v>86361</v>
      </c>
      <c r="C1342" s="62">
        <v>126.9</v>
      </c>
      <c r="D1342" s="62">
        <v>1517.7</v>
      </c>
    </row>
    <row r="1343" spans="1:4">
      <c r="A1343" s="61">
        <v>3943</v>
      </c>
      <c r="B1343" s="61">
        <v>86361</v>
      </c>
      <c r="C1343" s="62">
        <v>126.9</v>
      </c>
      <c r="D1343" s="62">
        <v>1517.7</v>
      </c>
    </row>
    <row r="1344" spans="1:4">
      <c r="A1344" s="61">
        <v>3944</v>
      </c>
      <c r="B1344" s="61">
        <v>87113</v>
      </c>
      <c r="C1344" s="62">
        <v>144</v>
      </c>
      <c r="D1344" s="62">
        <v>1461.7</v>
      </c>
    </row>
    <row r="1345" spans="1:4">
      <c r="A1345" s="61">
        <v>3945</v>
      </c>
      <c r="B1345" s="61">
        <v>86373</v>
      </c>
      <c r="C1345" s="62">
        <v>216.6</v>
      </c>
      <c r="D1345" s="62">
        <v>1239.3</v>
      </c>
    </row>
    <row r="1346" spans="1:4">
      <c r="A1346" s="61">
        <v>3946</v>
      </c>
      <c r="B1346" s="61">
        <v>86373</v>
      </c>
      <c r="C1346" s="62">
        <v>216.6</v>
      </c>
      <c r="D1346" s="62">
        <v>1239.3</v>
      </c>
    </row>
    <row r="1347" spans="1:4">
      <c r="A1347" s="61">
        <v>3950</v>
      </c>
      <c r="B1347" s="61">
        <v>86373</v>
      </c>
      <c r="C1347" s="62">
        <v>216.6</v>
      </c>
      <c r="D1347" s="62">
        <v>1239.3</v>
      </c>
    </row>
    <row r="1348" spans="1:4">
      <c r="A1348" s="61">
        <v>3951</v>
      </c>
      <c r="B1348" s="61">
        <v>86373</v>
      </c>
      <c r="C1348" s="62">
        <v>216.6</v>
      </c>
      <c r="D1348" s="62">
        <v>1239.3</v>
      </c>
    </row>
    <row r="1349" spans="1:4">
      <c r="A1349" s="61">
        <v>3953</v>
      </c>
      <c r="B1349" s="61">
        <v>85280</v>
      </c>
      <c r="C1349" s="62">
        <v>131.80000000000001</v>
      </c>
      <c r="D1349" s="62">
        <v>1628.3</v>
      </c>
    </row>
    <row r="1350" spans="1:4">
      <c r="A1350" s="61">
        <v>3954</v>
      </c>
      <c r="B1350" s="61">
        <v>86373</v>
      </c>
      <c r="C1350" s="62">
        <v>216.6</v>
      </c>
      <c r="D1350" s="62">
        <v>1239.3</v>
      </c>
    </row>
    <row r="1351" spans="1:4">
      <c r="A1351" s="61">
        <v>3956</v>
      </c>
      <c r="B1351" s="61">
        <v>85280</v>
      </c>
      <c r="C1351" s="62">
        <v>131.80000000000001</v>
      </c>
      <c r="D1351" s="62">
        <v>1628.3</v>
      </c>
    </row>
    <row r="1352" spans="1:4">
      <c r="A1352" s="61">
        <v>3957</v>
      </c>
      <c r="B1352" s="61">
        <v>85280</v>
      </c>
      <c r="C1352" s="62">
        <v>131.80000000000001</v>
      </c>
      <c r="D1352" s="62">
        <v>1628.3</v>
      </c>
    </row>
    <row r="1353" spans="1:4">
      <c r="A1353" s="61">
        <v>3958</v>
      </c>
      <c r="B1353" s="61">
        <v>85280</v>
      </c>
      <c r="C1353" s="62">
        <v>131.80000000000001</v>
      </c>
      <c r="D1353" s="62">
        <v>1628.3</v>
      </c>
    </row>
    <row r="1354" spans="1:4">
      <c r="A1354" s="61">
        <v>3959</v>
      </c>
      <c r="B1354" s="61">
        <v>85151</v>
      </c>
      <c r="C1354" s="62">
        <v>143</v>
      </c>
      <c r="D1354" s="62">
        <v>1666.3</v>
      </c>
    </row>
    <row r="1355" spans="1:4">
      <c r="A1355" s="61">
        <v>3960</v>
      </c>
      <c r="B1355" s="61">
        <v>85151</v>
      </c>
      <c r="C1355" s="62">
        <v>143</v>
      </c>
      <c r="D1355" s="62">
        <v>1666.3</v>
      </c>
    </row>
    <row r="1356" spans="1:4">
      <c r="A1356" s="61">
        <v>3962</v>
      </c>
      <c r="B1356" s="61">
        <v>85151</v>
      </c>
      <c r="C1356" s="62">
        <v>143</v>
      </c>
      <c r="D1356" s="62">
        <v>1666.3</v>
      </c>
    </row>
    <row r="1357" spans="1:4">
      <c r="A1357" s="61">
        <v>3964</v>
      </c>
      <c r="B1357" s="61">
        <v>85151</v>
      </c>
      <c r="C1357" s="62">
        <v>143</v>
      </c>
      <c r="D1357" s="62">
        <v>1666.3</v>
      </c>
    </row>
    <row r="1358" spans="1:4">
      <c r="A1358" s="61">
        <v>3965</v>
      </c>
      <c r="B1358" s="61">
        <v>85151</v>
      </c>
      <c r="C1358" s="62">
        <v>143</v>
      </c>
      <c r="D1358" s="62">
        <v>1666.3</v>
      </c>
    </row>
    <row r="1359" spans="1:4">
      <c r="A1359" s="61">
        <v>3966</v>
      </c>
      <c r="B1359" s="61">
        <v>85151</v>
      </c>
      <c r="C1359" s="62">
        <v>143</v>
      </c>
      <c r="D1359" s="62">
        <v>1666.3</v>
      </c>
    </row>
    <row r="1360" spans="1:4">
      <c r="A1360" s="61">
        <v>3967</v>
      </c>
      <c r="B1360" s="61">
        <v>85151</v>
      </c>
      <c r="C1360" s="62">
        <v>143</v>
      </c>
      <c r="D1360" s="62">
        <v>1666.3</v>
      </c>
    </row>
    <row r="1361" spans="1:4">
      <c r="A1361" s="61">
        <v>3971</v>
      </c>
      <c r="B1361" s="61">
        <v>85151</v>
      </c>
      <c r="C1361" s="62">
        <v>143</v>
      </c>
      <c r="D1361" s="62">
        <v>1666.3</v>
      </c>
    </row>
    <row r="1362" spans="1:4">
      <c r="A1362" s="61">
        <v>3975</v>
      </c>
      <c r="B1362" s="61">
        <v>86077</v>
      </c>
      <c r="C1362" s="62">
        <v>169.4</v>
      </c>
      <c r="D1362" s="62">
        <v>1355.6</v>
      </c>
    </row>
    <row r="1363" spans="1:4">
      <c r="A1363" s="61">
        <v>3976</v>
      </c>
      <c r="B1363" s="61">
        <v>86077</v>
      </c>
      <c r="C1363" s="62">
        <v>169.4</v>
      </c>
      <c r="D1363" s="62">
        <v>1355.6</v>
      </c>
    </row>
    <row r="1364" spans="1:4">
      <c r="A1364" s="61">
        <v>3977</v>
      </c>
      <c r="B1364" s="61">
        <v>86371</v>
      </c>
      <c r="C1364" s="62">
        <v>167.7</v>
      </c>
      <c r="D1364" s="62">
        <v>1314.6</v>
      </c>
    </row>
    <row r="1365" spans="1:4">
      <c r="A1365" s="61">
        <v>3978</v>
      </c>
      <c r="B1365" s="61">
        <v>86371</v>
      </c>
      <c r="C1365" s="62">
        <v>167.7</v>
      </c>
      <c r="D1365" s="62">
        <v>1314.6</v>
      </c>
    </row>
    <row r="1366" spans="1:4">
      <c r="A1366" s="61">
        <v>3979</v>
      </c>
      <c r="B1366" s="61">
        <v>86373</v>
      </c>
      <c r="C1366" s="62">
        <v>216.6</v>
      </c>
      <c r="D1366" s="62">
        <v>1239.3</v>
      </c>
    </row>
    <row r="1367" spans="1:4">
      <c r="A1367" s="61">
        <v>3980</v>
      </c>
      <c r="B1367" s="61">
        <v>86371</v>
      </c>
      <c r="C1367" s="62">
        <v>167.7</v>
      </c>
      <c r="D1367" s="62">
        <v>1314.6</v>
      </c>
    </row>
    <row r="1368" spans="1:4">
      <c r="A1368" s="61">
        <v>3981</v>
      </c>
      <c r="B1368" s="61">
        <v>86373</v>
      </c>
      <c r="C1368" s="62">
        <v>216.6</v>
      </c>
      <c r="D1368" s="62">
        <v>1239.3</v>
      </c>
    </row>
    <row r="1369" spans="1:4">
      <c r="A1369" s="61">
        <v>3984</v>
      </c>
      <c r="B1369" s="61">
        <v>86373</v>
      </c>
      <c r="C1369" s="62">
        <v>216.6</v>
      </c>
      <c r="D1369" s="62">
        <v>1239.3</v>
      </c>
    </row>
    <row r="1370" spans="1:4">
      <c r="A1370" s="61">
        <v>3987</v>
      </c>
      <c r="B1370" s="61">
        <v>86373</v>
      </c>
      <c r="C1370" s="62">
        <v>216.6</v>
      </c>
      <c r="D1370" s="62">
        <v>1239.3</v>
      </c>
    </row>
    <row r="1371" spans="1:4">
      <c r="A1371" s="61">
        <v>3988</v>
      </c>
      <c r="B1371" s="61">
        <v>86373</v>
      </c>
      <c r="C1371" s="62">
        <v>216.6</v>
      </c>
      <c r="D1371" s="62">
        <v>1239.3</v>
      </c>
    </row>
    <row r="1372" spans="1:4">
      <c r="A1372" s="61">
        <v>3990</v>
      </c>
      <c r="B1372" s="61">
        <v>86373</v>
      </c>
      <c r="C1372" s="62">
        <v>216.6</v>
      </c>
      <c r="D1372" s="62">
        <v>1239.3</v>
      </c>
    </row>
    <row r="1373" spans="1:4">
      <c r="A1373" s="61">
        <v>3991</v>
      </c>
      <c r="B1373" s="61">
        <v>86373</v>
      </c>
      <c r="C1373" s="62">
        <v>216.6</v>
      </c>
      <c r="D1373" s="62">
        <v>1239.3</v>
      </c>
    </row>
    <row r="1374" spans="1:4">
      <c r="A1374" s="61">
        <v>3992</v>
      </c>
      <c r="B1374" s="61">
        <v>86373</v>
      </c>
      <c r="C1374" s="62">
        <v>216.6</v>
      </c>
      <c r="D1374" s="62">
        <v>1239.3</v>
      </c>
    </row>
    <row r="1375" spans="1:4">
      <c r="A1375" s="61">
        <v>3995</v>
      </c>
      <c r="B1375" s="61">
        <v>86373</v>
      </c>
      <c r="C1375" s="62">
        <v>216.6</v>
      </c>
      <c r="D1375" s="62">
        <v>1239.3</v>
      </c>
    </row>
    <row r="1376" spans="1:4">
      <c r="A1376" s="61">
        <v>3996</v>
      </c>
      <c r="B1376" s="61">
        <v>86373</v>
      </c>
      <c r="C1376" s="62">
        <v>216.6</v>
      </c>
      <c r="D1376" s="62">
        <v>1239.3</v>
      </c>
    </row>
    <row r="1377" spans="1:4">
      <c r="A1377" s="61">
        <v>4000</v>
      </c>
      <c r="B1377" s="61">
        <v>40913</v>
      </c>
      <c r="C1377" s="62">
        <v>1054.5</v>
      </c>
      <c r="D1377" s="62">
        <v>176.8</v>
      </c>
    </row>
    <row r="1378" spans="1:4">
      <c r="A1378" s="61">
        <v>4005</v>
      </c>
      <c r="B1378" s="61">
        <v>40913</v>
      </c>
      <c r="C1378" s="62">
        <v>1054.5</v>
      </c>
      <c r="D1378" s="62">
        <v>176.8</v>
      </c>
    </row>
    <row r="1379" spans="1:4">
      <c r="A1379" s="61">
        <v>4006</v>
      </c>
      <c r="B1379" s="61">
        <v>40913</v>
      </c>
      <c r="C1379" s="62">
        <v>1054.5</v>
      </c>
      <c r="D1379" s="62">
        <v>176.8</v>
      </c>
    </row>
    <row r="1380" spans="1:4">
      <c r="A1380" s="61">
        <v>4007</v>
      </c>
      <c r="B1380" s="61">
        <v>40913</v>
      </c>
      <c r="C1380" s="62">
        <v>1054.5</v>
      </c>
      <c r="D1380" s="62">
        <v>176.8</v>
      </c>
    </row>
    <row r="1381" spans="1:4">
      <c r="A1381" s="61">
        <v>4008</v>
      </c>
      <c r="B1381" s="61">
        <v>40842</v>
      </c>
      <c r="C1381" s="62">
        <v>1073.5999999999999</v>
      </c>
      <c r="D1381" s="62">
        <v>277.89999999999998</v>
      </c>
    </row>
    <row r="1382" spans="1:4">
      <c r="A1382" s="61">
        <v>4009</v>
      </c>
      <c r="B1382" s="61">
        <v>40842</v>
      </c>
      <c r="C1382" s="62">
        <v>1073.5999999999999</v>
      </c>
      <c r="D1382" s="62">
        <v>277.89999999999998</v>
      </c>
    </row>
    <row r="1383" spans="1:4">
      <c r="A1383" s="61">
        <v>4010</v>
      </c>
      <c r="B1383" s="61">
        <v>40913</v>
      </c>
      <c r="C1383" s="62">
        <v>1054.5</v>
      </c>
      <c r="D1383" s="62">
        <v>176.8</v>
      </c>
    </row>
    <row r="1384" spans="1:4">
      <c r="A1384" s="61">
        <v>4011</v>
      </c>
      <c r="B1384" s="61">
        <v>40913</v>
      </c>
      <c r="C1384" s="62">
        <v>1054.5</v>
      </c>
      <c r="D1384" s="62">
        <v>176.8</v>
      </c>
    </row>
    <row r="1385" spans="1:4">
      <c r="A1385" s="61">
        <v>4012</v>
      </c>
      <c r="B1385" s="61">
        <v>40842</v>
      </c>
      <c r="C1385" s="62">
        <v>1073.5999999999999</v>
      </c>
      <c r="D1385" s="62">
        <v>277.89999999999998</v>
      </c>
    </row>
    <row r="1386" spans="1:4">
      <c r="A1386" s="61">
        <v>4013</v>
      </c>
      <c r="B1386" s="61">
        <v>40842</v>
      </c>
      <c r="C1386" s="62">
        <v>1073.5999999999999</v>
      </c>
      <c r="D1386" s="62">
        <v>277.89999999999998</v>
      </c>
    </row>
    <row r="1387" spans="1:4">
      <c r="A1387" s="61">
        <v>4014</v>
      </c>
      <c r="B1387" s="61">
        <v>40842</v>
      </c>
      <c r="C1387" s="62">
        <v>1073.5999999999999</v>
      </c>
      <c r="D1387" s="62">
        <v>277.89999999999998</v>
      </c>
    </row>
    <row r="1388" spans="1:4">
      <c r="A1388" s="61">
        <v>4017</v>
      </c>
      <c r="B1388" s="61">
        <v>40842</v>
      </c>
      <c r="C1388" s="62">
        <v>1073.5999999999999</v>
      </c>
      <c r="D1388" s="62">
        <v>277.89999999999998</v>
      </c>
    </row>
    <row r="1389" spans="1:4">
      <c r="A1389" s="61">
        <v>4018</v>
      </c>
      <c r="B1389" s="61">
        <v>40842</v>
      </c>
      <c r="C1389" s="62">
        <v>1073.5999999999999</v>
      </c>
      <c r="D1389" s="62">
        <v>277.89999999999998</v>
      </c>
    </row>
    <row r="1390" spans="1:4">
      <c r="A1390" s="61">
        <v>4019</v>
      </c>
      <c r="B1390" s="61">
        <v>40958</v>
      </c>
      <c r="C1390" s="62">
        <v>1035.5999999999999</v>
      </c>
      <c r="D1390" s="62">
        <v>207.3</v>
      </c>
    </row>
    <row r="1391" spans="1:4">
      <c r="A1391" s="61">
        <v>4020</v>
      </c>
      <c r="B1391" s="61">
        <v>40958</v>
      </c>
      <c r="C1391" s="62">
        <v>1035.5999999999999</v>
      </c>
      <c r="D1391" s="62">
        <v>207.3</v>
      </c>
    </row>
    <row r="1392" spans="1:4">
      <c r="A1392" s="61">
        <v>4021</v>
      </c>
      <c r="B1392" s="61">
        <v>40958</v>
      </c>
      <c r="C1392" s="62">
        <v>1035.5999999999999</v>
      </c>
      <c r="D1392" s="62">
        <v>207.3</v>
      </c>
    </row>
    <row r="1393" spans="1:4">
      <c r="A1393" s="61">
        <v>4022</v>
      </c>
      <c r="B1393" s="61">
        <v>40958</v>
      </c>
      <c r="C1393" s="62">
        <v>1035.5999999999999</v>
      </c>
      <c r="D1393" s="62">
        <v>207.3</v>
      </c>
    </row>
    <row r="1394" spans="1:4">
      <c r="A1394" s="61">
        <v>4025</v>
      </c>
      <c r="B1394" s="61">
        <v>40043</v>
      </c>
      <c r="C1394" s="62">
        <v>1245.2</v>
      </c>
      <c r="D1394" s="62">
        <v>116</v>
      </c>
    </row>
    <row r="1395" spans="1:4">
      <c r="A1395" s="61">
        <v>4029</v>
      </c>
      <c r="B1395" s="61">
        <v>40913</v>
      </c>
      <c r="C1395" s="62">
        <v>1054.5</v>
      </c>
      <c r="D1395" s="62">
        <v>176.8</v>
      </c>
    </row>
    <row r="1396" spans="1:4">
      <c r="A1396" s="61">
        <v>4030</v>
      </c>
      <c r="B1396" s="61">
        <v>40913</v>
      </c>
      <c r="C1396" s="62">
        <v>1054.5</v>
      </c>
      <c r="D1396" s="62">
        <v>176.8</v>
      </c>
    </row>
    <row r="1397" spans="1:4">
      <c r="A1397" s="61">
        <v>4031</v>
      </c>
      <c r="B1397" s="61">
        <v>40913</v>
      </c>
      <c r="C1397" s="62">
        <v>1054.5</v>
      </c>
      <c r="D1397" s="62">
        <v>176.8</v>
      </c>
    </row>
    <row r="1398" spans="1:4">
      <c r="A1398" s="61">
        <v>4032</v>
      </c>
      <c r="B1398" s="61">
        <v>40842</v>
      </c>
      <c r="C1398" s="62">
        <v>1073.5999999999999</v>
      </c>
      <c r="D1398" s="62">
        <v>277.89999999999998</v>
      </c>
    </row>
    <row r="1399" spans="1:4">
      <c r="A1399" s="61">
        <v>4034</v>
      </c>
      <c r="B1399" s="61">
        <v>40842</v>
      </c>
      <c r="C1399" s="62">
        <v>1073.5999999999999</v>
      </c>
      <c r="D1399" s="62">
        <v>277.89999999999998</v>
      </c>
    </row>
    <row r="1400" spans="1:4">
      <c r="A1400" s="61">
        <v>4035</v>
      </c>
      <c r="B1400" s="61">
        <v>40913</v>
      </c>
      <c r="C1400" s="62">
        <v>1054.5</v>
      </c>
      <c r="D1400" s="62">
        <v>176.8</v>
      </c>
    </row>
    <row r="1401" spans="1:4">
      <c r="A1401" s="61">
        <v>4036</v>
      </c>
      <c r="B1401" s="61">
        <v>40958</v>
      </c>
      <c r="C1401" s="62">
        <v>1035.5999999999999</v>
      </c>
      <c r="D1401" s="62">
        <v>207.3</v>
      </c>
    </row>
    <row r="1402" spans="1:4">
      <c r="A1402" s="61">
        <v>4037</v>
      </c>
      <c r="B1402" s="61">
        <v>40913</v>
      </c>
      <c r="C1402" s="62">
        <v>1054.5</v>
      </c>
      <c r="D1402" s="62">
        <v>176.8</v>
      </c>
    </row>
    <row r="1403" spans="1:4">
      <c r="A1403" s="61">
        <v>4051</v>
      </c>
      <c r="B1403" s="61">
        <v>40913</v>
      </c>
      <c r="C1403" s="62">
        <v>1054.5</v>
      </c>
      <c r="D1403" s="62">
        <v>176.8</v>
      </c>
    </row>
    <row r="1404" spans="1:4">
      <c r="A1404" s="61">
        <v>4053</v>
      </c>
      <c r="B1404" s="61">
        <v>40913</v>
      </c>
      <c r="C1404" s="62">
        <v>1054.5</v>
      </c>
      <c r="D1404" s="62">
        <v>176.8</v>
      </c>
    </row>
    <row r="1405" spans="1:4">
      <c r="A1405" s="61">
        <v>4054</v>
      </c>
      <c r="B1405" s="61">
        <v>40913</v>
      </c>
      <c r="C1405" s="62">
        <v>1054.5</v>
      </c>
      <c r="D1405" s="62">
        <v>176.8</v>
      </c>
    </row>
    <row r="1406" spans="1:4">
      <c r="A1406" s="61">
        <v>4055</v>
      </c>
      <c r="B1406" s="61">
        <v>40913</v>
      </c>
      <c r="C1406" s="62">
        <v>1054.5</v>
      </c>
      <c r="D1406" s="62">
        <v>176.8</v>
      </c>
    </row>
    <row r="1407" spans="1:4">
      <c r="A1407" s="61">
        <v>4059</v>
      </c>
      <c r="B1407" s="61">
        <v>40913</v>
      </c>
      <c r="C1407" s="62">
        <v>1054.5</v>
      </c>
      <c r="D1407" s="62">
        <v>176.8</v>
      </c>
    </row>
    <row r="1408" spans="1:4">
      <c r="A1408" s="61">
        <v>4060</v>
      </c>
      <c r="B1408" s="61">
        <v>40913</v>
      </c>
      <c r="C1408" s="62">
        <v>1054.5</v>
      </c>
      <c r="D1408" s="62">
        <v>176.8</v>
      </c>
    </row>
    <row r="1409" spans="1:4">
      <c r="A1409" s="61">
        <v>4061</v>
      </c>
      <c r="B1409" s="61">
        <v>40913</v>
      </c>
      <c r="C1409" s="62">
        <v>1054.5</v>
      </c>
      <c r="D1409" s="62">
        <v>176.8</v>
      </c>
    </row>
    <row r="1410" spans="1:4">
      <c r="A1410" s="61">
        <v>4064</v>
      </c>
      <c r="B1410" s="61">
        <v>40913</v>
      </c>
      <c r="C1410" s="62">
        <v>1054.5</v>
      </c>
      <c r="D1410" s="62">
        <v>176.8</v>
      </c>
    </row>
    <row r="1411" spans="1:4">
      <c r="A1411" s="61">
        <v>4065</v>
      </c>
      <c r="B1411" s="61">
        <v>40913</v>
      </c>
      <c r="C1411" s="62">
        <v>1054.5</v>
      </c>
      <c r="D1411" s="62">
        <v>176.8</v>
      </c>
    </row>
    <row r="1412" spans="1:4">
      <c r="A1412" s="61">
        <v>4066</v>
      </c>
      <c r="B1412" s="61">
        <v>40913</v>
      </c>
      <c r="C1412" s="62">
        <v>1054.5</v>
      </c>
      <c r="D1412" s="62">
        <v>176.8</v>
      </c>
    </row>
    <row r="1413" spans="1:4">
      <c r="A1413" s="61">
        <v>4067</v>
      </c>
      <c r="B1413" s="61">
        <v>40913</v>
      </c>
      <c r="C1413" s="62">
        <v>1054.5</v>
      </c>
      <c r="D1413" s="62">
        <v>176.8</v>
      </c>
    </row>
    <row r="1414" spans="1:4">
      <c r="A1414" s="61">
        <v>4068</v>
      </c>
      <c r="B1414" s="61">
        <v>40913</v>
      </c>
      <c r="C1414" s="62">
        <v>1054.5</v>
      </c>
      <c r="D1414" s="62">
        <v>176.8</v>
      </c>
    </row>
    <row r="1415" spans="1:4">
      <c r="A1415" s="61">
        <v>4069</v>
      </c>
      <c r="B1415" s="61">
        <v>40913</v>
      </c>
      <c r="C1415" s="62">
        <v>1054.5</v>
      </c>
      <c r="D1415" s="62">
        <v>176.8</v>
      </c>
    </row>
    <row r="1416" spans="1:4">
      <c r="A1416" s="61">
        <v>4070</v>
      </c>
      <c r="B1416" s="61">
        <v>40211</v>
      </c>
      <c r="C1416" s="62">
        <v>967</v>
      </c>
      <c r="D1416" s="62">
        <v>306.5</v>
      </c>
    </row>
    <row r="1417" spans="1:4">
      <c r="A1417" s="61">
        <v>4072</v>
      </c>
      <c r="B1417" s="61">
        <v>40913</v>
      </c>
      <c r="C1417" s="62">
        <v>1054.5</v>
      </c>
      <c r="D1417" s="62">
        <v>176.8</v>
      </c>
    </row>
    <row r="1418" spans="1:4">
      <c r="A1418" s="61">
        <v>4073</v>
      </c>
      <c r="B1418" s="61">
        <v>40211</v>
      </c>
      <c r="C1418" s="62">
        <v>967</v>
      </c>
      <c r="D1418" s="62">
        <v>306.5</v>
      </c>
    </row>
    <row r="1419" spans="1:4">
      <c r="A1419" s="61">
        <v>4074</v>
      </c>
      <c r="B1419" s="61">
        <v>40211</v>
      </c>
      <c r="C1419" s="62">
        <v>967</v>
      </c>
      <c r="D1419" s="62">
        <v>306.5</v>
      </c>
    </row>
    <row r="1420" spans="1:4">
      <c r="A1420" s="61">
        <v>4075</v>
      </c>
      <c r="B1420" s="61">
        <v>40211</v>
      </c>
      <c r="C1420" s="62">
        <v>967</v>
      </c>
      <c r="D1420" s="62">
        <v>306.5</v>
      </c>
    </row>
    <row r="1421" spans="1:4">
      <c r="A1421" s="61">
        <v>4076</v>
      </c>
      <c r="B1421" s="61">
        <v>40211</v>
      </c>
      <c r="C1421" s="62">
        <v>967</v>
      </c>
      <c r="D1421" s="62">
        <v>306.5</v>
      </c>
    </row>
    <row r="1422" spans="1:4">
      <c r="A1422" s="61">
        <v>4077</v>
      </c>
      <c r="B1422" s="61">
        <v>40211</v>
      </c>
      <c r="C1422" s="62">
        <v>967</v>
      </c>
      <c r="D1422" s="62">
        <v>306.5</v>
      </c>
    </row>
    <row r="1423" spans="1:4">
      <c r="A1423" s="61">
        <v>4078</v>
      </c>
      <c r="B1423" s="61">
        <v>40211</v>
      </c>
      <c r="C1423" s="62">
        <v>967</v>
      </c>
      <c r="D1423" s="62">
        <v>306.5</v>
      </c>
    </row>
    <row r="1424" spans="1:4">
      <c r="A1424" s="61">
        <v>4101</v>
      </c>
      <c r="B1424" s="61">
        <v>40913</v>
      </c>
      <c r="C1424" s="62">
        <v>1054.5</v>
      </c>
      <c r="D1424" s="62">
        <v>176.8</v>
      </c>
    </row>
    <row r="1425" spans="1:4">
      <c r="A1425" s="61">
        <v>4102</v>
      </c>
      <c r="B1425" s="61">
        <v>40913</v>
      </c>
      <c r="C1425" s="62">
        <v>1054.5</v>
      </c>
      <c r="D1425" s="62">
        <v>176.8</v>
      </c>
    </row>
    <row r="1426" spans="1:4">
      <c r="A1426" s="61">
        <v>4103</v>
      </c>
      <c r="B1426" s="61">
        <v>40913</v>
      </c>
      <c r="C1426" s="62">
        <v>1054.5</v>
      </c>
      <c r="D1426" s="62">
        <v>176.8</v>
      </c>
    </row>
    <row r="1427" spans="1:4">
      <c r="A1427" s="61">
        <v>4104</v>
      </c>
      <c r="B1427" s="61">
        <v>40913</v>
      </c>
      <c r="C1427" s="62">
        <v>1054.5</v>
      </c>
      <c r="D1427" s="62">
        <v>176.8</v>
      </c>
    </row>
    <row r="1428" spans="1:4">
      <c r="A1428" s="61">
        <v>4105</v>
      </c>
      <c r="B1428" s="61">
        <v>40211</v>
      </c>
      <c r="C1428" s="62">
        <v>967</v>
      </c>
      <c r="D1428" s="62">
        <v>306.5</v>
      </c>
    </row>
    <row r="1429" spans="1:4">
      <c r="A1429" s="61">
        <v>4106</v>
      </c>
      <c r="B1429" s="61">
        <v>40211</v>
      </c>
      <c r="C1429" s="62">
        <v>967</v>
      </c>
      <c r="D1429" s="62">
        <v>306.5</v>
      </c>
    </row>
    <row r="1430" spans="1:4">
      <c r="A1430" s="61">
        <v>4107</v>
      </c>
      <c r="B1430" s="61">
        <v>40211</v>
      </c>
      <c r="C1430" s="62">
        <v>967</v>
      </c>
      <c r="D1430" s="62">
        <v>306.5</v>
      </c>
    </row>
    <row r="1431" spans="1:4">
      <c r="A1431" s="61">
        <v>4108</v>
      </c>
      <c r="B1431" s="61">
        <v>40211</v>
      </c>
      <c r="C1431" s="62">
        <v>967</v>
      </c>
      <c r="D1431" s="62">
        <v>306.5</v>
      </c>
    </row>
    <row r="1432" spans="1:4">
      <c r="A1432" s="61">
        <v>4109</v>
      </c>
      <c r="B1432" s="61">
        <v>40211</v>
      </c>
      <c r="C1432" s="62">
        <v>967</v>
      </c>
      <c r="D1432" s="62">
        <v>306.5</v>
      </c>
    </row>
    <row r="1433" spans="1:4">
      <c r="A1433" s="61">
        <v>4110</v>
      </c>
      <c r="B1433" s="61">
        <v>40211</v>
      </c>
      <c r="C1433" s="62">
        <v>967</v>
      </c>
      <c r="D1433" s="62">
        <v>306.5</v>
      </c>
    </row>
    <row r="1434" spans="1:4">
      <c r="A1434" s="61">
        <v>4111</v>
      </c>
      <c r="B1434" s="61">
        <v>40211</v>
      </c>
      <c r="C1434" s="62">
        <v>967</v>
      </c>
      <c r="D1434" s="62">
        <v>306.5</v>
      </c>
    </row>
    <row r="1435" spans="1:4">
      <c r="A1435" s="61">
        <v>4112</v>
      </c>
      <c r="B1435" s="61">
        <v>40211</v>
      </c>
      <c r="C1435" s="62">
        <v>967</v>
      </c>
      <c r="D1435" s="62">
        <v>306.5</v>
      </c>
    </row>
    <row r="1436" spans="1:4">
      <c r="A1436" s="61">
        <v>4113</v>
      </c>
      <c r="B1436" s="61">
        <v>40211</v>
      </c>
      <c r="C1436" s="62">
        <v>967</v>
      </c>
      <c r="D1436" s="62">
        <v>306.5</v>
      </c>
    </row>
    <row r="1437" spans="1:4">
      <c r="A1437" s="61">
        <v>4114</v>
      </c>
      <c r="B1437" s="61">
        <v>40211</v>
      </c>
      <c r="C1437" s="62">
        <v>967</v>
      </c>
      <c r="D1437" s="62">
        <v>306.5</v>
      </c>
    </row>
    <row r="1438" spans="1:4">
      <c r="A1438" s="61">
        <v>4115</v>
      </c>
      <c r="B1438" s="61">
        <v>40211</v>
      </c>
      <c r="C1438" s="62">
        <v>967</v>
      </c>
      <c r="D1438" s="62">
        <v>306.5</v>
      </c>
    </row>
    <row r="1439" spans="1:4">
      <c r="A1439" s="61">
        <v>4116</v>
      </c>
      <c r="B1439" s="61">
        <v>40211</v>
      </c>
      <c r="C1439" s="62">
        <v>967</v>
      </c>
      <c r="D1439" s="62">
        <v>306.5</v>
      </c>
    </row>
    <row r="1440" spans="1:4">
      <c r="A1440" s="61">
        <v>4117</v>
      </c>
      <c r="B1440" s="61">
        <v>40211</v>
      </c>
      <c r="C1440" s="62">
        <v>967</v>
      </c>
      <c r="D1440" s="62">
        <v>306.5</v>
      </c>
    </row>
    <row r="1441" spans="1:4">
      <c r="A1441" s="61">
        <v>4118</v>
      </c>
      <c r="B1441" s="61">
        <v>40211</v>
      </c>
      <c r="C1441" s="62">
        <v>967</v>
      </c>
      <c r="D1441" s="62">
        <v>306.5</v>
      </c>
    </row>
    <row r="1442" spans="1:4">
      <c r="A1442" s="61">
        <v>4119</v>
      </c>
      <c r="B1442" s="61">
        <v>40211</v>
      </c>
      <c r="C1442" s="62">
        <v>967</v>
      </c>
      <c r="D1442" s="62">
        <v>306.5</v>
      </c>
    </row>
    <row r="1443" spans="1:4">
      <c r="A1443" s="61">
        <v>4120</v>
      </c>
      <c r="B1443" s="61">
        <v>40913</v>
      </c>
      <c r="C1443" s="62">
        <v>1054.5</v>
      </c>
      <c r="D1443" s="62">
        <v>176.8</v>
      </c>
    </row>
    <row r="1444" spans="1:4">
      <c r="A1444" s="61">
        <v>4121</v>
      </c>
      <c r="B1444" s="61">
        <v>40913</v>
      </c>
      <c r="C1444" s="62">
        <v>1054.5</v>
      </c>
      <c r="D1444" s="62">
        <v>176.8</v>
      </c>
    </row>
    <row r="1445" spans="1:4">
      <c r="A1445" s="61">
        <v>4122</v>
      </c>
      <c r="B1445" s="61">
        <v>40913</v>
      </c>
      <c r="C1445" s="62">
        <v>1054.5</v>
      </c>
      <c r="D1445" s="62">
        <v>176.8</v>
      </c>
    </row>
    <row r="1446" spans="1:4">
      <c r="A1446" s="61">
        <v>4123</v>
      </c>
      <c r="B1446" s="61">
        <v>40211</v>
      </c>
      <c r="C1446" s="62">
        <v>967</v>
      </c>
      <c r="D1446" s="62">
        <v>306.5</v>
      </c>
    </row>
    <row r="1447" spans="1:4">
      <c r="A1447" s="61">
        <v>4124</v>
      </c>
      <c r="B1447" s="61">
        <v>40211</v>
      </c>
      <c r="C1447" s="62">
        <v>967</v>
      </c>
      <c r="D1447" s="62">
        <v>306.5</v>
      </c>
    </row>
    <row r="1448" spans="1:4">
      <c r="A1448" s="61">
        <v>4125</v>
      </c>
      <c r="B1448" s="61">
        <v>40211</v>
      </c>
      <c r="C1448" s="62">
        <v>967</v>
      </c>
      <c r="D1448" s="62">
        <v>306.5</v>
      </c>
    </row>
    <row r="1449" spans="1:4">
      <c r="A1449" s="61">
        <v>4127</v>
      </c>
      <c r="B1449" s="61">
        <v>40211</v>
      </c>
      <c r="C1449" s="62">
        <v>967</v>
      </c>
      <c r="D1449" s="62">
        <v>306.5</v>
      </c>
    </row>
    <row r="1450" spans="1:4">
      <c r="A1450" s="61">
        <v>4128</v>
      </c>
      <c r="B1450" s="61">
        <v>40211</v>
      </c>
      <c r="C1450" s="62">
        <v>967</v>
      </c>
      <c r="D1450" s="62">
        <v>306.5</v>
      </c>
    </row>
    <row r="1451" spans="1:4">
      <c r="A1451" s="61">
        <v>4129</v>
      </c>
      <c r="B1451" s="61">
        <v>40211</v>
      </c>
      <c r="C1451" s="62">
        <v>967</v>
      </c>
      <c r="D1451" s="62">
        <v>306.5</v>
      </c>
    </row>
    <row r="1452" spans="1:4">
      <c r="A1452" s="61">
        <v>4130</v>
      </c>
      <c r="B1452" s="61">
        <v>40211</v>
      </c>
      <c r="C1452" s="62">
        <v>967</v>
      </c>
      <c r="D1452" s="62">
        <v>306.5</v>
      </c>
    </row>
    <row r="1453" spans="1:4">
      <c r="A1453" s="61">
        <v>4131</v>
      </c>
      <c r="B1453" s="61">
        <v>40211</v>
      </c>
      <c r="C1453" s="62">
        <v>967</v>
      </c>
      <c r="D1453" s="62">
        <v>306.5</v>
      </c>
    </row>
    <row r="1454" spans="1:4">
      <c r="A1454" s="61">
        <v>4132</v>
      </c>
      <c r="B1454" s="61">
        <v>40211</v>
      </c>
      <c r="C1454" s="62">
        <v>967</v>
      </c>
      <c r="D1454" s="62">
        <v>306.5</v>
      </c>
    </row>
    <row r="1455" spans="1:4">
      <c r="A1455" s="61">
        <v>4133</v>
      </c>
      <c r="B1455" s="61">
        <v>40211</v>
      </c>
      <c r="C1455" s="62">
        <v>967</v>
      </c>
      <c r="D1455" s="62">
        <v>306.5</v>
      </c>
    </row>
    <row r="1456" spans="1:4">
      <c r="A1456" s="61">
        <v>4151</v>
      </c>
      <c r="B1456" s="61">
        <v>40913</v>
      </c>
      <c r="C1456" s="62">
        <v>1054.5</v>
      </c>
      <c r="D1456" s="62">
        <v>176.8</v>
      </c>
    </row>
    <row r="1457" spans="1:4">
      <c r="A1457" s="61">
        <v>4152</v>
      </c>
      <c r="B1457" s="61">
        <v>40913</v>
      </c>
      <c r="C1457" s="62">
        <v>1054.5</v>
      </c>
      <c r="D1457" s="62">
        <v>176.8</v>
      </c>
    </row>
    <row r="1458" spans="1:4">
      <c r="A1458" s="61">
        <v>4153</v>
      </c>
      <c r="B1458" s="61">
        <v>40913</v>
      </c>
      <c r="C1458" s="62">
        <v>1054.5</v>
      </c>
      <c r="D1458" s="62">
        <v>176.8</v>
      </c>
    </row>
    <row r="1459" spans="1:4">
      <c r="A1459" s="61">
        <v>4154</v>
      </c>
      <c r="B1459" s="61">
        <v>40842</v>
      </c>
      <c r="C1459" s="62">
        <v>1073.5999999999999</v>
      </c>
      <c r="D1459" s="62">
        <v>277.89999999999998</v>
      </c>
    </row>
    <row r="1460" spans="1:4">
      <c r="A1460" s="61">
        <v>4155</v>
      </c>
      <c r="B1460" s="61">
        <v>40913</v>
      </c>
      <c r="C1460" s="62">
        <v>1054.5</v>
      </c>
      <c r="D1460" s="62">
        <v>176.8</v>
      </c>
    </row>
    <row r="1461" spans="1:4">
      <c r="A1461" s="61">
        <v>4156</v>
      </c>
      <c r="B1461" s="61">
        <v>40913</v>
      </c>
      <c r="C1461" s="62">
        <v>1054.5</v>
      </c>
      <c r="D1461" s="62">
        <v>176.8</v>
      </c>
    </row>
    <row r="1462" spans="1:4">
      <c r="A1462" s="61">
        <v>4157</v>
      </c>
      <c r="B1462" s="61">
        <v>40913</v>
      </c>
      <c r="C1462" s="62">
        <v>1054.5</v>
      </c>
      <c r="D1462" s="62">
        <v>176.8</v>
      </c>
    </row>
    <row r="1463" spans="1:4">
      <c r="A1463" s="61">
        <v>4158</v>
      </c>
      <c r="B1463" s="61">
        <v>40842</v>
      </c>
      <c r="C1463" s="62">
        <v>1073.5999999999999</v>
      </c>
      <c r="D1463" s="62">
        <v>277.89999999999998</v>
      </c>
    </row>
    <row r="1464" spans="1:4">
      <c r="A1464" s="61">
        <v>4159</v>
      </c>
      <c r="B1464" s="61">
        <v>40842</v>
      </c>
      <c r="C1464" s="62">
        <v>1073.5999999999999</v>
      </c>
      <c r="D1464" s="62">
        <v>277.89999999999998</v>
      </c>
    </row>
    <row r="1465" spans="1:4">
      <c r="A1465" s="61">
        <v>4160</v>
      </c>
      <c r="B1465" s="61">
        <v>40842</v>
      </c>
      <c r="C1465" s="62">
        <v>1073.5999999999999</v>
      </c>
      <c r="D1465" s="62">
        <v>277.89999999999998</v>
      </c>
    </row>
    <row r="1466" spans="1:4">
      <c r="A1466" s="61">
        <v>4161</v>
      </c>
      <c r="B1466" s="61">
        <v>40842</v>
      </c>
      <c r="C1466" s="62">
        <v>1073.5999999999999</v>
      </c>
      <c r="D1466" s="62">
        <v>277.89999999999998</v>
      </c>
    </row>
    <row r="1467" spans="1:4">
      <c r="A1467" s="61">
        <v>4163</v>
      </c>
      <c r="B1467" s="61">
        <v>40842</v>
      </c>
      <c r="C1467" s="62">
        <v>1073.5999999999999</v>
      </c>
      <c r="D1467" s="62">
        <v>277.89999999999998</v>
      </c>
    </row>
    <row r="1468" spans="1:4">
      <c r="A1468" s="61">
        <v>4164</v>
      </c>
      <c r="B1468" s="61">
        <v>40842</v>
      </c>
      <c r="C1468" s="62">
        <v>1073.5999999999999</v>
      </c>
      <c r="D1468" s="62">
        <v>277.89999999999998</v>
      </c>
    </row>
    <row r="1469" spans="1:4">
      <c r="A1469" s="61">
        <v>4165</v>
      </c>
      <c r="B1469" s="61">
        <v>40211</v>
      </c>
      <c r="C1469" s="62">
        <v>967</v>
      </c>
      <c r="D1469" s="62">
        <v>306.5</v>
      </c>
    </row>
    <row r="1470" spans="1:4">
      <c r="A1470" s="61">
        <v>4169</v>
      </c>
      <c r="B1470" s="61">
        <v>40913</v>
      </c>
      <c r="C1470" s="62">
        <v>1054.5</v>
      </c>
      <c r="D1470" s="62">
        <v>176.8</v>
      </c>
    </row>
    <row r="1471" spans="1:4">
      <c r="A1471" s="61">
        <v>4170</v>
      </c>
      <c r="B1471" s="61">
        <v>40913</v>
      </c>
      <c r="C1471" s="62">
        <v>1054.5</v>
      </c>
      <c r="D1471" s="62">
        <v>176.8</v>
      </c>
    </row>
    <row r="1472" spans="1:4">
      <c r="A1472" s="61">
        <v>4171</v>
      </c>
      <c r="B1472" s="61">
        <v>40913</v>
      </c>
      <c r="C1472" s="62">
        <v>1054.5</v>
      </c>
      <c r="D1472" s="62">
        <v>176.8</v>
      </c>
    </row>
    <row r="1473" spans="1:4">
      <c r="A1473" s="61">
        <v>4172</v>
      </c>
      <c r="B1473" s="61">
        <v>40913</v>
      </c>
      <c r="C1473" s="62">
        <v>1054.5</v>
      </c>
      <c r="D1473" s="62">
        <v>176.8</v>
      </c>
    </row>
    <row r="1474" spans="1:4">
      <c r="A1474" s="61">
        <v>4173</v>
      </c>
      <c r="B1474" s="61">
        <v>40842</v>
      </c>
      <c r="C1474" s="62">
        <v>1073.5999999999999</v>
      </c>
      <c r="D1474" s="62">
        <v>277.89999999999998</v>
      </c>
    </row>
    <row r="1475" spans="1:4">
      <c r="A1475" s="61">
        <v>4174</v>
      </c>
      <c r="B1475" s="61">
        <v>40842</v>
      </c>
      <c r="C1475" s="62">
        <v>1073.5999999999999</v>
      </c>
      <c r="D1475" s="62">
        <v>277.89999999999998</v>
      </c>
    </row>
    <row r="1476" spans="1:4">
      <c r="A1476" s="61">
        <v>4178</v>
      </c>
      <c r="B1476" s="61">
        <v>40842</v>
      </c>
      <c r="C1476" s="62">
        <v>1073.5999999999999</v>
      </c>
      <c r="D1476" s="62">
        <v>277.89999999999998</v>
      </c>
    </row>
    <row r="1477" spans="1:4">
      <c r="A1477" s="61">
        <v>4179</v>
      </c>
      <c r="B1477" s="61">
        <v>40842</v>
      </c>
      <c r="C1477" s="62">
        <v>1073.5999999999999</v>
      </c>
      <c r="D1477" s="62">
        <v>277.89999999999998</v>
      </c>
    </row>
    <row r="1478" spans="1:4">
      <c r="A1478" s="61">
        <v>4183</v>
      </c>
      <c r="B1478" s="61">
        <v>40842</v>
      </c>
      <c r="C1478" s="62">
        <v>1073.5999999999999</v>
      </c>
      <c r="D1478" s="62">
        <v>277.89999999999998</v>
      </c>
    </row>
    <row r="1479" spans="1:4">
      <c r="A1479" s="61">
        <v>4184</v>
      </c>
      <c r="B1479" s="61">
        <v>40764</v>
      </c>
      <c r="C1479" s="62">
        <v>1163.3</v>
      </c>
      <c r="D1479" s="62">
        <v>135.9</v>
      </c>
    </row>
    <row r="1480" spans="1:4">
      <c r="A1480" s="61">
        <v>4205</v>
      </c>
      <c r="B1480" s="61">
        <v>40211</v>
      </c>
      <c r="C1480" s="62">
        <v>967</v>
      </c>
      <c r="D1480" s="62">
        <v>306.5</v>
      </c>
    </row>
    <row r="1481" spans="1:4">
      <c r="A1481" s="61">
        <v>4207</v>
      </c>
      <c r="B1481" s="61">
        <v>40211</v>
      </c>
      <c r="C1481" s="62">
        <v>967</v>
      </c>
      <c r="D1481" s="62">
        <v>306.5</v>
      </c>
    </row>
    <row r="1482" spans="1:4">
      <c r="A1482" s="61">
        <v>4208</v>
      </c>
      <c r="B1482" s="61">
        <v>40764</v>
      </c>
      <c r="C1482" s="62">
        <v>1163.3</v>
      </c>
      <c r="D1482" s="62">
        <v>135.9</v>
      </c>
    </row>
    <row r="1483" spans="1:4">
      <c r="A1483" s="61">
        <v>4209</v>
      </c>
      <c r="B1483" s="61">
        <v>40764</v>
      </c>
      <c r="C1483" s="62">
        <v>1163.3</v>
      </c>
      <c r="D1483" s="62">
        <v>135.9</v>
      </c>
    </row>
    <row r="1484" spans="1:4">
      <c r="A1484" s="61">
        <v>4210</v>
      </c>
      <c r="B1484" s="61">
        <v>40764</v>
      </c>
      <c r="C1484" s="62">
        <v>1163.3</v>
      </c>
      <c r="D1484" s="62">
        <v>135.9</v>
      </c>
    </row>
    <row r="1485" spans="1:4">
      <c r="A1485" s="61">
        <v>4211</v>
      </c>
      <c r="B1485" s="61">
        <v>40983</v>
      </c>
      <c r="C1485" s="62">
        <v>886.9</v>
      </c>
      <c r="D1485" s="62">
        <v>492.9</v>
      </c>
    </row>
    <row r="1486" spans="1:4">
      <c r="A1486" s="61">
        <v>4212</v>
      </c>
      <c r="B1486" s="61">
        <v>40764</v>
      </c>
      <c r="C1486" s="62">
        <v>1163.3</v>
      </c>
      <c r="D1486" s="62">
        <v>135.9</v>
      </c>
    </row>
    <row r="1487" spans="1:4">
      <c r="A1487" s="61">
        <v>4213</v>
      </c>
      <c r="B1487" s="61">
        <v>40717</v>
      </c>
      <c r="C1487" s="62">
        <v>1023.9</v>
      </c>
      <c r="D1487" s="62">
        <v>260.2</v>
      </c>
    </row>
    <row r="1488" spans="1:4">
      <c r="A1488" s="61">
        <v>4214</v>
      </c>
      <c r="B1488" s="61">
        <v>40764</v>
      </c>
      <c r="C1488" s="62">
        <v>1163.3</v>
      </c>
      <c r="D1488" s="62">
        <v>135.9</v>
      </c>
    </row>
    <row r="1489" spans="1:4">
      <c r="A1489" s="61">
        <v>4215</v>
      </c>
      <c r="B1489" s="61">
        <v>40764</v>
      </c>
      <c r="C1489" s="62">
        <v>1163.3</v>
      </c>
      <c r="D1489" s="62">
        <v>135.9</v>
      </c>
    </row>
    <row r="1490" spans="1:4">
      <c r="A1490" s="61">
        <v>4216</v>
      </c>
      <c r="B1490" s="61">
        <v>40764</v>
      </c>
      <c r="C1490" s="62">
        <v>1163.3</v>
      </c>
      <c r="D1490" s="62">
        <v>135.9</v>
      </c>
    </row>
    <row r="1491" spans="1:4">
      <c r="A1491" s="61">
        <v>4217</v>
      </c>
      <c r="B1491" s="61">
        <v>40764</v>
      </c>
      <c r="C1491" s="62">
        <v>1163.3</v>
      </c>
      <c r="D1491" s="62">
        <v>135.9</v>
      </c>
    </row>
    <row r="1492" spans="1:4">
      <c r="A1492" s="61">
        <v>4218</v>
      </c>
      <c r="B1492" s="61">
        <v>40764</v>
      </c>
      <c r="C1492" s="62">
        <v>1163.3</v>
      </c>
      <c r="D1492" s="62">
        <v>135.9</v>
      </c>
    </row>
    <row r="1493" spans="1:4">
      <c r="A1493" s="61">
        <v>4219</v>
      </c>
      <c r="B1493" s="61">
        <v>40717</v>
      </c>
      <c r="C1493" s="62">
        <v>1023.9</v>
      </c>
      <c r="D1493" s="62">
        <v>260.2</v>
      </c>
    </row>
    <row r="1494" spans="1:4">
      <c r="A1494" s="61">
        <v>4220</v>
      </c>
      <c r="B1494" s="61">
        <v>40717</v>
      </c>
      <c r="C1494" s="62">
        <v>1023.9</v>
      </c>
      <c r="D1494" s="62">
        <v>260.2</v>
      </c>
    </row>
    <row r="1495" spans="1:4">
      <c r="A1495" s="61">
        <v>4221</v>
      </c>
      <c r="B1495" s="61">
        <v>40717</v>
      </c>
      <c r="C1495" s="62">
        <v>1023.9</v>
      </c>
      <c r="D1495" s="62">
        <v>260.2</v>
      </c>
    </row>
    <row r="1496" spans="1:4">
      <c r="A1496" s="61">
        <v>4222</v>
      </c>
      <c r="B1496" s="61">
        <v>40211</v>
      </c>
      <c r="C1496" s="62">
        <v>967</v>
      </c>
      <c r="D1496" s="62">
        <v>306.5</v>
      </c>
    </row>
    <row r="1497" spans="1:4">
      <c r="A1497" s="61">
        <v>4223</v>
      </c>
      <c r="B1497" s="61">
        <v>40717</v>
      </c>
      <c r="C1497" s="62">
        <v>1023.9</v>
      </c>
      <c r="D1497" s="62">
        <v>260.2</v>
      </c>
    </row>
    <row r="1498" spans="1:4">
      <c r="A1498" s="61">
        <v>4224</v>
      </c>
      <c r="B1498" s="61">
        <v>40717</v>
      </c>
      <c r="C1498" s="62">
        <v>1023.9</v>
      </c>
      <c r="D1498" s="62">
        <v>260.2</v>
      </c>
    </row>
    <row r="1499" spans="1:4">
      <c r="A1499" s="61">
        <v>4225</v>
      </c>
      <c r="B1499" s="61">
        <v>40717</v>
      </c>
      <c r="C1499" s="62">
        <v>1023.9</v>
      </c>
      <c r="D1499" s="62">
        <v>260.2</v>
      </c>
    </row>
    <row r="1500" spans="1:4">
      <c r="A1500" s="61">
        <v>4226</v>
      </c>
      <c r="B1500" s="61">
        <v>40764</v>
      </c>
      <c r="C1500" s="62">
        <v>1163.3</v>
      </c>
      <c r="D1500" s="62">
        <v>135.9</v>
      </c>
    </row>
    <row r="1501" spans="1:4">
      <c r="A1501" s="61">
        <v>4227</v>
      </c>
      <c r="B1501" s="61">
        <v>40717</v>
      </c>
      <c r="C1501" s="62">
        <v>1023.9</v>
      </c>
      <c r="D1501" s="62">
        <v>260.2</v>
      </c>
    </row>
    <row r="1502" spans="1:4">
      <c r="A1502" s="61">
        <v>4228</v>
      </c>
      <c r="B1502" s="61">
        <v>40717</v>
      </c>
      <c r="C1502" s="62">
        <v>1023.9</v>
      </c>
      <c r="D1502" s="62">
        <v>260.2</v>
      </c>
    </row>
    <row r="1503" spans="1:4">
      <c r="A1503" s="61">
        <v>4229</v>
      </c>
      <c r="B1503" s="61">
        <v>40717</v>
      </c>
      <c r="C1503" s="62">
        <v>1023.9</v>
      </c>
      <c r="D1503" s="62">
        <v>260.2</v>
      </c>
    </row>
    <row r="1504" spans="1:4">
      <c r="A1504" s="61">
        <v>4230</v>
      </c>
      <c r="B1504" s="61">
        <v>40764</v>
      </c>
      <c r="C1504" s="62">
        <v>1163.3</v>
      </c>
      <c r="D1504" s="62">
        <v>135.9</v>
      </c>
    </row>
    <row r="1505" spans="1:4">
      <c r="A1505" s="61">
        <v>4270</v>
      </c>
      <c r="B1505" s="61">
        <v>40983</v>
      </c>
      <c r="C1505" s="62">
        <v>886.9</v>
      </c>
      <c r="D1505" s="62">
        <v>492.9</v>
      </c>
    </row>
    <row r="1506" spans="1:4">
      <c r="A1506" s="61">
        <v>4271</v>
      </c>
      <c r="B1506" s="61">
        <v>40983</v>
      </c>
      <c r="C1506" s="62">
        <v>886.9</v>
      </c>
      <c r="D1506" s="62">
        <v>492.9</v>
      </c>
    </row>
    <row r="1507" spans="1:4">
      <c r="A1507" s="61">
        <v>4272</v>
      </c>
      <c r="B1507" s="61">
        <v>40983</v>
      </c>
      <c r="C1507" s="62">
        <v>886.9</v>
      </c>
      <c r="D1507" s="62">
        <v>492.9</v>
      </c>
    </row>
    <row r="1508" spans="1:4">
      <c r="A1508" s="61">
        <v>4275</v>
      </c>
      <c r="B1508" s="61">
        <v>40983</v>
      </c>
      <c r="C1508" s="62">
        <v>886.9</v>
      </c>
      <c r="D1508" s="62">
        <v>492.9</v>
      </c>
    </row>
    <row r="1509" spans="1:4">
      <c r="A1509" s="61">
        <v>4280</v>
      </c>
      <c r="B1509" s="61">
        <v>40211</v>
      </c>
      <c r="C1509" s="62">
        <v>967</v>
      </c>
      <c r="D1509" s="62">
        <v>306.5</v>
      </c>
    </row>
    <row r="1510" spans="1:4">
      <c r="A1510" s="61">
        <v>4285</v>
      </c>
      <c r="B1510" s="61">
        <v>40983</v>
      </c>
      <c r="C1510" s="62">
        <v>886.9</v>
      </c>
      <c r="D1510" s="62">
        <v>492.9</v>
      </c>
    </row>
    <row r="1511" spans="1:4">
      <c r="A1511" s="61">
        <v>4287</v>
      </c>
      <c r="B1511" s="61">
        <v>40983</v>
      </c>
      <c r="C1511" s="62">
        <v>886.9</v>
      </c>
      <c r="D1511" s="62">
        <v>492.9</v>
      </c>
    </row>
    <row r="1512" spans="1:4">
      <c r="A1512" s="61">
        <v>4300</v>
      </c>
      <c r="B1512" s="61">
        <v>40211</v>
      </c>
      <c r="C1512" s="62">
        <v>967</v>
      </c>
      <c r="D1512" s="62">
        <v>306.5</v>
      </c>
    </row>
    <row r="1513" spans="1:4">
      <c r="A1513" s="61">
        <v>4301</v>
      </c>
      <c r="B1513" s="61">
        <v>40211</v>
      </c>
      <c r="C1513" s="62">
        <v>967</v>
      </c>
      <c r="D1513" s="62">
        <v>306.5</v>
      </c>
    </row>
    <row r="1514" spans="1:4">
      <c r="A1514" s="61">
        <v>4303</v>
      </c>
      <c r="B1514" s="61">
        <v>40004</v>
      </c>
      <c r="C1514" s="62">
        <v>877.6</v>
      </c>
      <c r="D1514" s="62">
        <v>479.9</v>
      </c>
    </row>
    <row r="1515" spans="1:4">
      <c r="A1515" s="61">
        <v>4304</v>
      </c>
      <c r="B1515" s="61">
        <v>40004</v>
      </c>
      <c r="C1515" s="62">
        <v>877.6</v>
      </c>
      <c r="D1515" s="62">
        <v>479.9</v>
      </c>
    </row>
    <row r="1516" spans="1:4">
      <c r="A1516" s="61">
        <v>4305</v>
      </c>
      <c r="B1516" s="61">
        <v>40004</v>
      </c>
      <c r="C1516" s="62">
        <v>877.6</v>
      </c>
      <c r="D1516" s="62">
        <v>479.9</v>
      </c>
    </row>
    <row r="1517" spans="1:4">
      <c r="A1517" s="61">
        <v>4306</v>
      </c>
      <c r="B1517" s="61">
        <v>40651</v>
      </c>
      <c r="C1517" s="62">
        <v>522.29999999999995</v>
      </c>
      <c r="D1517" s="62">
        <v>770.6</v>
      </c>
    </row>
    <row r="1518" spans="1:4">
      <c r="A1518" s="61">
        <v>4307</v>
      </c>
      <c r="B1518" s="61">
        <v>40004</v>
      </c>
      <c r="C1518" s="62">
        <v>877.6</v>
      </c>
      <c r="D1518" s="62">
        <v>479.9</v>
      </c>
    </row>
    <row r="1519" spans="1:4">
      <c r="A1519" s="61">
        <v>4309</v>
      </c>
      <c r="B1519" s="61">
        <v>40983</v>
      </c>
      <c r="C1519" s="62">
        <v>886.9</v>
      </c>
      <c r="D1519" s="62">
        <v>492.9</v>
      </c>
    </row>
    <row r="1520" spans="1:4">
      <c r="A1520" s="61">
        <v>4310</v>
      </c>
      <c r="B1520" s="61">
        <v>40004</v>
      </c>
      <c r="C1520" s="62">
        <v>877.6</v>
      </c>
      <c r="D1520" s="62">
        <v>479.9</v>
      </c>
    </row>
    <row r="1521" spans="1:4">
      <c r="A1521" s="61">
        <v>4311</v>
      </c>
      <c r="B1521" s="61">
        <v>40082</v>
      </c>
      <c r="C1521" s="62">
        <v>775.1</v>
      </c>
      <c r="D1521" s="62">
        <v>410.4</v>
      </c>
    </row>
    <row r="1522" spans="1:4">
      <c r="A1522" s="61">
        <v>4312</v>
      </c>
      <c r="B1522" s="61">
        <v>40082</v>
      </c>
      <c r="C1522" s="62">
        <v>775.1</v>
      </c>
      <c r="D1522" s="62">
        <v>410.4</v>
      </c>
    </row>
    <row r="1523" spans="1:4">
      <c r="A1523" s="61">
        <v>4313</v>
      </c>
      <c r="B1523" s="61">
        <v>40651</v>
      </c>
      <c r="C1523" s="62">
        <v>522.29999999999995</v>
      </c>
      <c r="D1523" s="62">
        <v>770.6</v>
      </c>
    </row>
    <row r="1524" spans="1:4">
      <c r="A1524" s="61">
        <v>4340</v>
      </c>
      <c r="B1524" s="61">
        <v>40004</v>
      </c>
      <c r="C1524" s="62">
        <v>877.6</v>
      </c>
      <c r="D1524" s="62">
        <v>479.9</v>
      </c>
    </row>
    <row r="1525" spans="1:4">
      <c r="A1525" s="61">
        <v>4341</v>
      </c>
      <c r="B1525" s="61">
        <v>40082</v>
      </c>
      <c r="C1525" s="62">
        <v>775.1</v>
      </c>
      <c r="D1525" s="62">
        <v>410.4</v>
      </c>
    </row>
    <row r="1526" spans="1:4">
      <c r="A1526" s="61">
        <v>4342</v>
      </c>
      <c r="B1526" s="61">
        <v>40082</v>
      </c>
      <c r="C1526" s="62">
        <v>775.1</v>
      </c>
      <c r="D1526" s="62">
        <v>410.4</v>
      </c>
    </row>
    <row r="1527" spans="1:4">
      <c r="A1527" s="61">
        <v>4343</v>
      </c>
      <c r="B1527" s="61">
        <v>40082</v>
      </c>
      <c r="C1527" s="62">
        <v>775.1</v>
      </c>
      <c r="D1527" s="62">
        <v>410.4</v>
      </c>
    </row>
    <row r="1528" spans="1:4">
      <c r="A1528" s="61">
        <v>4344</v>
      </c>
      <c r="B1528" s="61">
        <v>41529</v>
      </c>
      <c r="C1528" s="62">
        <v>388.1</v>
      </c>
      <c r="D1528" s="62">
        <v>762.6</v>
      </c>
    </row>
    <row r="1529" spans="1:4">
      <c r="A1529" s="61">
        <v>4345</v>
      </c>
      <c r="B1529" s="61">
        <v>40082</v>
      </c>
      <c r="C1529" s="62">
        <v>775.1</v>
      </c>
      <c r="D1529" s="62">
        <v>410.4</v>
      </c>
    </row>
    <row r="1530" spans="1:4">
      <c r="A1530" s="61">
        <v>4346</v>
      </c>
      <c r="B1530" s="61">
        <v>40004</v>
      </c>
      <c r="C1530" s="62">
        <v>877.6</v>
      </c>
      <c r="D1530" s="62">
        <v>479.9</v>
      </c>
    </row>
    <row r="1531" spans="1:4">
      <c r="A1531" s="61">
        <v>4347</v>
      </c>
      <c r="B1531" s="61">
        <v>40082</v>
      </c>
      <c r="C1531" s="62">
        <v>775.1</v>
      </c>
      <c r="D1531" s="62">
        <v>410.4</v>
      </c>
    </row>
    <row r="1532" spans="1:4">
      <c r="A1532" s="61">
        <v>4350</v>
      </c>
      <c r="B1532" s="61">
        <v>41529</v>
      </c>
      <c r="C1532" s="62">
        <v>388.1</v>
      </c>
      <c r="D1532" s="62">
        <v>762.6</v>
      </c>
    </row>
    <row r="1533" spans="1:4">
      <c r="A1533" s="61">
        <v>4352</v>
      </c>
      <c r="B1533" s="61">
        <v>41175</v>
      </c>
      <c r="C1533" s="62">
        <v>210.4</v>
      </c>
      <c r="D1533" s="62">
        <v>1395.1</v>
      </c>
    </row>
    <row r="1534" spans="1:4">
      <c r="A1534" s="61">
        <v>4353</v>
      </c>
      <c r="B1534" s="61">
        <v>41359</v>
      </c>
      <c r="C1534" s="62">
        <v>521.9</v>
      </c>
      <c r="D1534" s="62">
        <v>803.5</v>
      </c>
    </row>
    <row r="1535" spans="1:4">
      <c r="A1535" s="61">
        <v>4354</v>
      </c>
      <c r="B1535" s="61">
        <v>41359</v>
      </c>
      <c r="C1535" s="62">
        <v>521.9</v>
      </c>
      <c r="D1535" s="62">
        <v>803.5</v>
      </c>
    </row>
    <row r="1536" spans="1:4">
      <c r="A1536" s="61">
        <v>4355</v>
      </c>
      <c r="B1536" s="61">
        <v>40082</v>
      </c>
      <c r="C1536" s="62">
        <v>775.1</v>
      </c>
      <c r="D1536" s="62">
        <v>410.4</v>
      </c>
    </row>
    <row r="1537" spans="1:4">
      <c r="A1537" s="61">
        <v>4356</v>
      </c>
      <c r="B1537" s="61">
        <v>41529</v>
      </c>
      <c r="C1537" s="62">
        <v>388.1</v>
      </c>
      <c r="D1537" s="62">
        <v>762.6</v>
      </c>
    </row>
    <row r="1538" spans="1:4">
      <c r="A1538" s="61">
        <v>4357</v>
      </c>
      <c r="B1538" s="61">
        <v>41521</v>
      </c>
      <c r="C1538" s="62">
        <v>746.4</v>
      </c>
      <c r="D1538" s="62">
        <v>632.1</v>
      </c>
    </row>
    <row r="1539" spans="1:4">
      <c r="A1539" s="61">
        <v>4358</v>
      </c>
      <c r="B1539" s="61">
        <v>41529</v>
      </c>
      <c r="C1539" s="62">
        <v>388.1</v>
      </c>
      <c r="D1539" s="62">
        <v>762.6</v>
      </c>
    </row>
    <row r="1540" spans="1:4">
      <c r="A1540" s="61">
        <v>4359</v>
      </c>
      <c r="B1540" s="61">
        <v>41529</v>
      </c>
      <c r="C1540" s="62">
        <v>388.1</v>
      </c>
      <c r="D1540" s="62">
        <v>762.6</v>
      </c>
    </row>
    <row r="1541" spans="1:4">
      <c r="A1541" s="61">
        <v>4360</v>
      </c>
      <c r="B1541" s="61">
        <v>41529</v>
      </c>
      <c r="C1541" s="62">
        <v>388.1</v>
      </c>
      <c r="D1541" s="62">
        <v>762.6</v>
      </c>
    </row>
    <row r="1542" spans="1:4">
      <c r="A1542" s="61">
        <v>4361</v>
      </c>
      <c r="B1542" s="61">
        <v>41525</v>
      </c>
      <c r="C1542" s="62">
        <v>456.8</v>
      </c>
      <c r="D1542" s="62">
        <v>920.4</v>
      </c>
    </row>
    <row r="1543" spans="1:4">
      <c r="A1543" s="61">
        <v>4362</v>
      </c>
      <c r="B1543" s="61">
        <v>41525</v>
      </c>
      <c r="C1543" s="62">
        <v>456.8</v>
      </c>
      <c r="D1543" s="62">
        <v>920.4</v>
      </c>
    </row>
    <row r="1544" spans="1:4">
      <c r="A1544" s="61">
        <v>4363</v>
      </c>
      <c r="B1544" s="61">
        <v>41529</v>
      </c>
      <c r="C1544" s="62">
        <v>388.1</v>
      </c>
      <c r="D1544" s="62">
        <v>762.6</v>
      </c>
    </row>
    <row r="1545" spans="1:4">
      <c r="A1545" s="61">
        <v>4364</v>
      </c>
      <c r="B1545" s="61">
        <v>41359</v>
      </c>
      <c r="C1545" s="62">
        <v>521.9</v>
      </c>
      <c r="D1545" s="62">
        <v>803.5</v>
      </c>
    </row>
    <row r="1546" spans="1:4">
      <c r="A1546" s="61">
        <v>4365</v>
      </c>
      <c r="B1546" s="61">
        <v>41525</v>
      </c>
      <c r="C1546" s="62">
        <v>456.8</v>
      </c>
      <c r="D1546" s="62">
        <v>920.4</v>
      </c>
    </row>
    <row r="1547" spans="1:4">
      <c r="A1547" s="61">
        <v>4370</v>
      </c>
      <c r="B1547" s="61">
        <v>41525</v>
      </c>
      <c r="C1547" s="62">
        <v>456.8</v>
      </c>
      <c r="D1547" s="62">
        <v>920.4</v>
      </c>
    </row>
    <row r="1548" spans="1:4">
      <c r="A1548" s="61">
        <v>4371</v>
      </c>
      <c r="B1548" s="61">
        <v>41525</v>
      </c>
      <c r="C1548" s="62">
        <v>456.8</v>
      </c>
      <c r="D1548" s="62">
        <v>920.4</v>
      </c>
    </row>
    <row r="1549" spans="1:4">
      <c r="A1549" s="61">
        <v>4372</v>
      </c>
      <c r="B1549" s="61">
        <v>41525</v>
      </c>
      <c r="C1549" s="62">
        <v>456.8</v>
      </c>
      <c r="D1549" s="62">
        <v>920.4</v>
      </c>
    </row>
    <row r="1550" spans="1:4">
      <c r="A1550" s="61">
        <v>4373</v>
      </c>
      <c r="B1550" s="61">
        <v>41525</v>
      </c>
      <c r="C1550" s="62">
        <v>456.8</v>
      </c>
      <c r="D1550" s="62">
        <v>920.4</v>
      </c>
    </row>
    <row r="1551" spans="1:4">
      <c r="A1551" s="61">
        <v>4374</v>
      </c>
      <c r="B1551" s="61">
        <v>41175</v>
      </c>
      <c r="C1551" s="62">
        <v>210.4</v>
      </c>
      <c r="D1551" s="62">
        <v>1395.1</v>
      </c>
    </row>
    <row r="1552" spans="1:4">
      <c r="A1552" s="61">
        <v>4375</v>
      </c>
      <c r="B1552" s="61">
        <v>41175</v>
      </c>
      <c r="C1552" s="62">
        <v>210.4</v>
      </c>
      <c r="D1552" s="62">
        <v>1395.1</v>
      </c>
    </row>
    <row r="1553" spans="1:4">
      <c r="A1553" s="61">
        <v>4376</v>
      </c>
      <c r="B1553" s="61">
        <v>41175</v>
      </c>
      <c r="C1553" s="62">
        <v>210.4</v>
      </c>
      <c r="D1553" s="62">
        <v>1395.1</v>
      </c>
    </row>
    <row r="1554" spans="1:4">
      <c r="A1554" s="61">
        <v>4377</v>
      </c>
      <c r="B1554" s="61">
        <v>41175</v>
      </c>
      <c r="C1554" s="62">
        <v>210.4</v>
      </c>
      <c r="D1554" s="62">
        <v>1395.1</v>
      </c>
    </row>
    <row r="1555" spans="1:4">
      <c r="A1555" s="61">
        <v>4378</v>
      </c>
      <c r="B1555" s="61">
        <v>41175</v>
      </c>
      <c r="C1555" s="62">
        <v>210.4</v>
      </c>
      <c r="D1555" s="62">
        <v>1395.1</v>
      </c>
    </row>
    <row r="1556" spans="1:4">
      <c r="A1556" s="61">
        <v>4380</v>
      </c>
      <c r="B1556" s="61">
        <v>41175</v>
      </c>
      <c r="C1556" s="62">
        <v>210.4</v>
      </c>
      <c r="D1556" s="62">
        <v>1395.1</v>
      </c>
    </row>
    <row r="1557" spans="1:4">
      <c r="A1557" s="61">
        <v>4381</v>
      </c>
      <c r="B1557" s="61">
        <v>41175</v>
      </c>
      <c r="C1557" s="62">
        <v>210.4</v>
      </c>
      <c r="D1557" s="62">
        <v>1395.1</v>
      </c>
    </row>
    <row r="1558" spans="1:4">
      <c r="A1558" s="61">
        <v>4382</v>
      </c>
      <c r="B1558" s="61">
        <v>41175</v>
      </c>
      <c r="C1558" s="62">
        <v>210.4</v>
      </c>
      <c r="D1558" s="62">
        <v>1395.1</v>
      </c>
    </row>
    <row r="1559" spans="1:4">
      <c r="A1559" s="61">
        <v>4383</v>
      </c>
      <c r="B1559" s="61">
        <v>41175</v>
      </c>
      <c r="C1559" s="62">
        <v>210.4</v>
      </c>
      <c r="D1559" s="62">
        <v>1395.1</v>
      </c>
    </row>
    <row r="1560" spans="1:4">
      <c r="A1560" s="61">
        <v>4384</v>
      </c>
      <c r="B1560" s="61">
        <v>41175</v>
      </c>
      <c r="C1560" s="62">
        <v>210.4</v>
      </c>
      <c r="D1560" s="62">
        <v>1395.1</v>
      </c>
    </row>
    <row r="1561" spans="1:4">
      <c r="A1561" s="61">
        <v>4385</v>
      </c>
      <c r="B1561" s="61">
        <v>41175</v>
      </c>
      <c r="C1561" s="62">
        <v>210.4</v>
      </c>
      <c r="D1561" s="62">
        <v>1395.1</v>
      </c>
    </row>
    <row r="1562" spans="1:4">
      <c r="A1562" s="61">
        <v>4387</v>
      </c>
      <c r="B1562" s="61">
        <v>41521</v>
      </c>
      <c r="C1562" s="62">
        <v>746.4</v>
      </c>
      <c r="D1562" s="62">
        <v>632.1</v>
      </c>
    </row>
    <row r="1563" spans="1:4">
      <c r="A1563" s="61">
        <v>4388</v>
      </c>
      <c r="B1563" s="61">
        <v>41521</v>
      </c>
      <c r="C1563" s="62">
        <v>746.4</v>
      </c>
      <c r="D1563" s="62">
        <v>632.1</v>
      </c>
    </row>
    <row r="1564" spans="1:4">
      <c r="A1564" s="61">
        <v>4390</v>
      </c>
      <c r="B1564" s="61">
        <v>41521</v>
      </c>
      <c r="C1564" s="62">
        <v>746.4</v>
      </c>
      <c r="D1564" s="62">
        <v>632.1</v>
      </c>
    </row>
    <row r="1565" spans="1:4">
      <c r="A1565" s="61">
        <v>4400</v>
      </c>
      <c r="B1565" s="61">
        <v>41359</v>
      </c>
      <c r="C1565" s="62">
        <v>521.9</v>
      </c>
      <c r="D1565" s="62">
        <v>803.5</v>
      </c>
    </row>
    <row r="1566" spans="1:4">
      <c r="A1566" s="61">
        <v>4401</v>
      </c>
      <c r="B1566" s="61">
        <v>41359</v>
      </c>
      <c r="C1566" s="62">
        <v>521.9</v>
      </c>
      <c r="D1566" s="62">
        <v>803.5</v>
      </c>
    </row>
    <row r="1567" spans="1:4">
      <c r="A1567" s="61">
        <v>4402</v>
      </c>
      <c r="B1567" s="61">
        <v>41359</v>
      </c>
      <c r="C1567" s="62">
        <v>521.9</v>
      </c>
      <c r="D1567" s="62">
        <v>803.5</v>
      </c>
    </row>
    <row r="1568" spans="1:4">
      <c r="A1568" s="61">
        <v>4403</v>
      </c>
      <c r="B1568" s="61">
        <v>41359</v>
      </c>
      <c r="C1568" s="62">
        <v>521.9</v>
      </c>
      <c r="D1568" s="62">
        <v>803.5</v>
      </c>
    </row>
    <row r="1569" spans="1:4">
      <c r="A1569" s="61">
        <v>4404</v>
      </c>
      <c r="B1569" s="61">
        <v>41522</v>
      </c>
      <c r="C1569" s="62">
        <v>649.9</v>
      </c>
      <c r="D1569" s="62">
        <v>667.2</v>
      </c>
    </row>
    <row r="1570" spans="1:4">
      <c r="A1570" s="61">
        <v>4405</v>
      </c>
      <c r="B1570" s="61">
        <v>41522</v>
      </c>
      <c r="C1570" s="62">
        <v>649.9</v>
      </c>
      <c r="D1570" s="62">
        <v>667.2</v>
      </c>
    </row>
    <row r="1571" spans="1:4">
      <c r="A1571" s="61">
        <v>4406</v>
      </c>
      <c r="B1571" s="61">
        <v>42112</v>
      </c>
      <c r="C1571" s="62">
        <v>694</v>
      </c>
      <c r="D1571" s="62">
        <v>610.9</v>
      </c>
    </row>
    <row r="1572" spans="1:4">
      <c r="A1572" s="61">
        <v>4407</v>
      </c>
      <c r="B1572" s="61">
        <v>41522</v>
      </c>
      <c r="C1572" s="62">
        <v>649.9</v>
      </c>
      <c r="D1572" s="62">
        <v>667.2</v>
      </c>
    </row>
    <row r="1573" spans="1:4">
      <c r="A1573" s="61">
        <v>4408</v>
      </c>
      <c r="B1573" s="61">
        <v>41522</v>
      </c>
      <c r="C1573" s="62">
        <v>649.9</v>
      </c>
      <c r="D1573" s="62">
        <v>667.2</v>
      </c>
    </row>
    <row r="1574" spans="1:4">
      <c r="A1574" s="61">
        <v>4410</v>
      </c>
      <c r="B1574" s="61">
        <v>41522</v>
      </c>
      <c r="C1574" s="62">
        <v>649.9</v>
      </c>
      <c r="D1574" s="62">
        <v>667.2</v>
      </c>
    </row>
    <row r="1575" spans="1:4">
      <c r="A1575" s="61">
        <v>4411</v>
      </c>
      <c r="B1575" s="61">
        <v>41522</v>
      </c>
      <c r="C1575" s="62">
        <v>649.9</v>
      </c>
      <c r="D1575" s="62">
        <v>667.2</v>
      </c>
    </row>
    <row r="1576" spans="1:4">
      <c r="A1576" s="61">
        <v>4412</v>
      </c>
      <c r="B1576" s="61">
        <v>41522</v>
      </c>
      <c r="C1576" s="62">
        <v>649.9</v>
      </c>
      <c r="D1576" s="62">
        <v>667.2</v>
      </c>
    </row>
    <row r="1577" spans="1:4">
      <c r="A1577" s="61">
        <v>4413</v>
      </c>
      <c r="B1577" s="61">
        <v>42112</v>
      </c>
      <c r="C1577" s="62">
        <v>694</v>
      </c>
      <c r="D1577" s="62">
        <v>610.9</v>
      </c>
    </row>
    <row r="1578" spans="1:4">
      <c r="A1578" s="61">
        <v>4415</v>
      </c>
      <c r="B1578" s="61">
        <v>42112</v>
      </c>
      <c r="C1578" s="62">
        <v>694</v>
      </c>
      <c r="D1578" s="62">
        <v>610.9</v>
      </c>
    </row>
    <row r="1579" spans="1:4">
      <c r="A1579" s="61">
        <v>4416</v>
      </c>
      <c r="B1579" s="61">
        <v>42112</v>
      </c>
      <c r="C1579" s="62">
        <v>694</v>
      </c>
      <c r="D1579" s="62">
        <v>610.9</v>
      </c>
    </row>
    <row r="1580" spans="1:4">
      <c r="A1580" s="61">
        <v>4417</v>
      </c>
      <c r="B1580" s="61">
        <v>43091</v>
      </c>
      <c r="C1580" s="62">
        <v>659.9</v>
      </c>
      <c r="D1580" s="62">
        <v>654.9</v>
      </c>
    </row>
    <row r="1581" spans="1:4">
      <c r="A1581" s="61">
        <v>4418</v>
      </c>
      <c r="B1581" s="61">
        <v>42112</v>
      </c>
      <c r="C1581" s="62">
        <v>694</v>
      </c>
      <c r="D1581" s="62">
        <v>610.9</v>
      </c>
    </row>
    <row r="1582" spans="1:4">
      <c r="A1582" s="61">
        <v>4419</v>
      </c>
      <c r="B1582" s="61">
        <v>42112</v>
      </c>
      <c r="C1582" s="62">
        <v>694</v>
      </c>
      <c r="D1582" s="62">
        <v>610.9</v>
      </c>
    </row>
    <row r="1583" spans="1:4">
      <c r="A1583" s="61">
        <v>4420</v>
      </c>
      <c r="B1583" s="61">
        <v>39089</v>
      </c>
      <c r="C1583" s="62">
        <v>977.8</v>
      </c>
      <c r="D1583" s="62">
        <v>344.4</v>
      </c>
    </row>
    <row r="1584" spans="1:4">
      <c r="A1584" s="61">
        <v>4421</v>
      </c>
      <c r="B1584" s="61">
        <v>42112</v>
      </c>
      <c r="C1584" s="62">
        <v>694</v>
      </c>
      <c r="D1584" s="62">
        <v>610.9</v>
      </c>
    </row>
    <row r="1585" spans="1:4">
      <c r="A1585" s="61">
        <v>4422</v>
      </c>
      <c r="B1585" s="61">
        <v>43109</v>
      </c>
      <c r="C1585" s="62">
        <v>676.8</v>
      </c>
      <c r="D1585" s="62">
        <v>592</v>
      </c>
    </row>
    <row r="1586" spans="1:4">
      <c r="A1586" s="61">
        <v>4423</v>
      </c>
      <c r="B1586" s="61">
        <v>43109</v>
      </c>
      <c r="C1586" s="62">
        <v>676.8</v>
      </c>
      <c r="D1586" s="62">
        <v>592</v>
      </c>
    </row>
    <row r="1587" spans="1:4">
      <c r="A1587" s="61">
        <v>4424</v>
      </c>
      <c r="B1587" s="61">
        <v>42112</v>
      </c>
      <c r="C1587" s="62">
        <v>694</v>
      </c>
      <c r="D1587" s="62">
        <v>610.9</v>
      </c>
    </row>
    <row r="1588" spans="1:4">
      <c r="A1588" s="61">
        <v>4425</v>
      </c>
      <c r="B1588" s="61">
        <v>42112</v>
      </c>
      <c r="C1588" s="62">
        <v>694</v>
      </c>
      <c r="D1588" s="62">
        <v>610.9</v>
      </c>
    </row>
    <row r="1589" spans="1:4">
      <c r="A1589" s="61">
        <v>4426</v>
      </c>
      <c r="B1589" s="61">
        <v>42112</v>
      </c>
      <c r="C1589" s="62">
        <v>694</v>
      </c>
      <c r="D1589" s="62">
        <v>610.9</v>
      </c>
    </row>
    <row r="1590" spans="1:4">
      <c r="A1590" s="61">
        <v>4427</v>
      </c>
      <c r="B1590" s="61">
        <v>43091</v>
      </c>
      <c r="C1590" s="62">
        <v>659.9</v>
      </c>
      <c r="D1590" s="62">
        <v>654.9</v>
      </c>
    </row>
    <row r="1591" spans="1:4">
      <c r="A1591" s="61">
        <v>4428</v>
      </c>
      <c r="B1591" s="61">
        <v>43091</v>
      </c>
      <c r="C1591" s="62">
        <v>659.9</v>
      </c>
      <c r="D1591" s="62">
        <v>654.9</v>
      </c>
    </row>
    <row r="1592" spans="1:4">
      <c r="A1592" s="61">
        <v>4454</v>
      </c>
      <c r="B1592" s="61">
        <v>43015</v>
      </c>
      <c r="C1592" s="62">
        <v>696.8</v>
      </c>
      <c r="D1592" s="62">
        <v>648.5</v>
      </c>
    </row>
    <row r="1593" spans="1:4">
      <c r="A1593" s="61">
        <v>4455</v>
      </c>
      <c r="B1593" s="61">
        <v>43091</v>
      </c>
      <c r="C1593" s="62">
        <v>659.9</v>
      </c>
      <c r="D1593" s="62">
        <v>654.9</v>
      </c>
    </row>
    <row r="1594" spans="1:4">
      <c r="A1594" s="61">
        <v>4461</v>
      </c>
      <c r="B1594" s="61">
        <v>43091</v>
      </c>
      <c r="C1594" s="62">
        <v>659.9</v>
      </c>
      <c r="D1594" s="62">
        <v>654.9</v>
      </c>
    </row>
    <row r="1595" spans="1:4">
      <c r="A1595" s="61">
        <v>4462</v>
      </c>
      <c r="B1595" s="61">
        <v>43091</v>
      </c>
      <c r="C1595" s="62">
        <v>659.9</v>
      </c>
      <c r="D1595" s="62">
        <v>654.9</v>
      </c>
    </row>
    <row r="1596" spans="1:4">
      <c r="A1596" s="61">
        <v>4465</v>
      </c>
      <c r="B1596" s="61">
        <v>43015</v>
      </c>
      <c r="C1596" s="62">
        <v>696.8</v>
      </c>
      <c r="D1596" s="62">
        <v>648.5</v>
      </c>
    </row>
    <row r="1597" spans="1:4">
      <c r="A1597" s="61">
        <v>4467</v>
      </c>
      <c r="B1597" s="61">
        <v>43015</v>
      </c>
      <c r="C1597" s="62">
        <v>696.8</v>
      </c>
      <c r="D1597" s="62">
        <v>648.5</v>
      </c>
    </row>
    <row r="1598" spans="1:4">
      <c r="A1598" s="61">
        <v>4468</v>
      </c>
      <c r="B1598" s="61">
        <v>44021</v>
      </c>
      <c r="C1598" s="62">
        <v>665.9</v>
      </c>
      <c r="D1598" s="62">
        <v>577.70000000000005</v>
      </c>
    </row>
    <row r="1599" spans="1:4">
      <c r="A1599" s="61">
        <v>4470</v>
      </c>
      <c r="B1599" s="61">
        <v>44021</v>
      </c>
      <c r="C1599" s="62">
        <v>665.9</v>
      </c>
      <c r="D1599" s="62">
        <v>577.70000000000005</v>
      </c>
    </row>
    <row r="1600" spans="1:4">
      <c r="A1600" s="61">
        <v>4471</v>
      </c>
      <c r="B1600" s="61">
        <v>44021</v>
      </c>
      <c r="C1600" s="62">
        <v>665.9</v>
      </c>
      <c r="D1600" s="62">
        <v>577.70000000000005</v>
      </c>
    </row>
    <row r="1601" spans="1:4">
      <c r="A1601" s="61">
        <v>4472</v>
      </c>
      <c r="B1601" s="61">
        <v>36034</v>
      </c>
      <c r="C1601" s="62">
        <v>846</v>
      </c>
      <c r="D1601" s="62">
        <v>345.8</v>
      </c>
    </row>
    <row r="1602" spans="1:4">
      <c r="A1602" s="61">
        <v>4474</v>
      </c>
      <c r="B1602" s="61">
        <v>44021</v>
      </c>
      <c r="C1602" s="62">
        <v>665.9</v>
      </c>
      <c r="D1602" s="62">
        <v>577.70000000000005</v>
      </c>
    </row>
    <row r="1603" spans="1:4">
      <c r="A1603" s="61">
        <v>4475</v>
      </c>
      <c r="B1603" s="61">
        <v>44021</v>
      </c>
      <c r="C1603" s="62">
        <v>665.9</v>
      </c>
      <c r="D1603" s="62">
        <v>577.70000000000005</v>
      </c>
    </row>
    <row r="1604" spans="1:4">
      <c r="A1604" s="61">
        <v>4477</v>
      </c>
      <c r="B1604" s="61">
        <v>44021</v>
      </c>
      <c r="C1604" s="62">
        <v>665.9</v>
      </c>
      <c r="D1604" s="62">
        <v>577.70000000000005</v>
      </c>
    </row>
    <row r="1605" spans="1:4">
      <c r="A1605" s="61">
        <v>4478</v>
      </c>
      <c r="B1605" s="61">
        <v>36034</v>
      </c>
      <c r="C1605" s="62">
        <v>846</v>
      </c>
      <c r="D1605" s="62">
        <v>345.8</v>
      </c>
    </row>
    <row r="1606" spans="1:4">
      <c r="A1606" s="61">
        <v>4479</v>
      </c>
      <c r="B1606" s="61">
        <v>44021</v>
      </c>
      <c r="C1606" s="62">
        <v>665.9</v>
      </c>
      <c r="D1606" s="62">
        <v>577.70000000000005</v>
      </c>
    </row>
    <row r="1607" spans="1:4">
      <c r="A1607" s="61">
        <v>4480</v>
      </c>
      <c r="B1607" s="61">
        <v>45025</v>
      </c>
      <c r="C1607" s="62">
        <v>576.1</v>
      </c>
      <c r="D1607" s="62">
        <v>469.4</v>
      </c>
    </row>
    <row r="1608" spans="1:4">
      <c r="A1608" s="61">
        <v>4481</v>
      </c>
      <c r="B1608" s="61">
        <v>45009</v>
      </c>
      <c r="C1608" s="62">
        <v>704.2</v>
      </c>
      <c r="D1608" s="62">
        <v>399.1</v>
      </c>
    </row>
    <row r="1609" spans="1:4">
      <c r="A1609" s="61">
        <v>4482</v>
      </c>
      <c r="B1609" s="61">
        <v>38026</v>
      </c>
      <c r="C1609" s="62">
        <v>644.20000000000005</v>
      </c>
      <c r="D1609" s="62">
        <v>363.3</v>
      </c>
    </row>
    <row r="1610" spans="1:4">
      <c r="A1610" s="61">
        <v>4486</v>
      </c>
      <c r="B1610" s="61">
        <v>43109</v>
      </c>
      <c r="C1610" s="62">
        <v>676.8</v>
      </c>
      <c r="D1610" s="62">
        <v>592</v>
      </c>
    </row>
    <row r="1611" spans="1:4">
      <c r="A1611" s="61">
        <v>4487</v>
      </c>
      <c r="B1611" s="61">
        <v>43109</v>
      </c>
      <c r="C1611" s="62">
        <v>676.8</v>
      </c>
      <c r="D1611" s="62">
        <v>592</v>
      </c>
    </row>
    <row r="1612" spans="1:4">
      <c r="A1612" s="61">
        <v>4488</v>
      </c>
      <c r="B1612" s="61">
        <v>43109</v>
      </c>
      <c r="C1612" s="62">
        <v>676.8</v>
      </c>
      <c r="D1612" s="62">
        <v>592</v>
      </c>
    </row>
    <row r="1613" spans="1:4">
      <c r="A1613" s="61">
        <v>4489</v>
      </c>
      <c r="B1613" s="61">
        <v>44021</v>
      </c>
      <c r="C1613" s="62">
        <v>665.9</v>
      </c>
      <c r="D1613" s="62">
        <v>577.70000000000005</v>
      </c>
    </row>
    <row r="1614" spans="1:4">
      <c r="A1614" s="61">
        <v>4490</v>
      </c>
      <c r="B1614" s="61">
        <v>44021</v>
      </c>
      <c r="C1614" s="62">
        <v>665.9</v>
      </c>
      <c r="D1614" s="62">
        <v>577.70000000000005</v>
      </c>
    </row>
    <row r="1615" spans="1:4">
      <c r="A1615" s="61">
        <v>4491</v>
      </c>
      <c r="B1615" s="61">
        <v>45025</v>
      </c>
      <c r="C1615" s="62">
        <v>576.1</v>
      </c>
      <c r="D1615" s="62">
        <v>469.4</v>
      </c>
    </row>
    <row r="1616" spans="1:4">
      <c r="A1616" s="61">
        <v>4492</v>
      </c>
      <c r="B1616" s="61">
        <v>45025</v>
      </c>
      <c r="C1616" s="62">
        <v>576.1</v>
      </c>
      <c r="D1616" s="62">
        <v>469.4</v>
      </c>
    </row>
    <row r="1617" spans="1:4">
      <c r="A1617" s="61">
        <v>4493</v>
      </c>
      <c r="B1617" s="61">
        <v>45025</v>
      </c>
      <c r="C1617" s="62">
        <v>576.1</v>
      </c>
      <c r="D1617" s="62">
        <v>469.4</v>
      </c>
    </row>
    <row r="1618" spans="1:4">
      <c r="A1618" s="61">
        <v>4494</v>
      </c>
      <c r="B1618" s="61">
        <v>43109</v>
      </c>
      <c r="C1618" s="62">
        <v>676.8</v>
      </c>
      <c r="D1618" s="62">
        <v>592</v>
      </c>
    </row>
    <row r="1619" spans="1:4">
      <c r="A1619" s="61">
        <v>4496</v>
      </c>
      <c r="B1619" s="61">
        <v>43109</v>
      </c>
      <c r="C1619" s="62">
        <v>676.8</v>
      </c>
      <c r="D1619" s="62">
        <v>592</v>
      </c>
    </row>
    <row r="1620" spans="1:4">
      <c r="A1620" s="61">
        <v>4497</v>
      </c>
      <c r="B1620" s="61">
        <v>43109</v>
      </c>
      <c r="C1620" s="62">
        <v>676.8</v>
      </c>
      <c r="D1620" s="62">
        <v>592</v>
      </c>
    </row>
    <row r="1621" spans="1:4">
      <c r="A1621" s="61">
        <v>4498</v>
      </c>
      <c r="B1621" s="61">
        <v>41521</v>
      </c>
      <c r="C1621" s="62">
        <v>746.4</v>
      </c>
      <c r="D1621" s="62">
        <v>632.1</v>
      </c>
    </row>
    <row r="1622" spans="1:4">
      <c r="A1622" s="61">
        <v>4500</v>
      </c>
      <c r="B1622" s="61">
        <v>40958</v>
      </c>
      <c r="C1622" s="62">
        <v>1035.5999999999999</v>
      </c>
      <c r="D1622" s="62">
        <v>207.3</v>
      </c>
    </row>
    <row r="1623" spans="1:4">
      <c r="A1623" s="61">
        <v>4501</v>
      </c>
      <c r="B1623" s="61">
        <v>40958</v>
      </c>
      <c r="C1623" s="62">
        <v>1035.5999999999999</v>
      </c>
      <c r="D1623" s="62">
        <v>207.3</v>
      </c>
    </row>
    <row r="1624" spans="1:4">
      <c r="A1624" s="61">
        <v>4502</v>
      </c>
      <c r="B1624" s="61">
        <v>40958</v>
      </c>
      <c r="C1624" s="62">
        <v>1035.5999999999999</v>
      </c>
      <c r="D1624" s="62">
        <v>207.3</v>
      </c>
    </row>
    <row r="1625" spans="1:4">
      <c r="A1625" s="61">
        <v>4503</v>
      </c>
      <c r="B1625" s="61">
        <v>40958</v>
      </c>
      <c r="C1625" s="62">
        <v>1035.5999999999999</v>
      </c>
      <c r="D1625" s="62">
        <v>207.3</v>
      </c>
    </row>
    <row r="1626" spans="1:4">
      <c r="A1626" s="61">
        <v>4504</v>
      </c>
      <c r="B1626" s="61">
        <v>40958</v>
      </c>
      <c r="C1626" s="62">
        <v>1035.5999999999999</v>
      </c>
      <c r="D1626" s="62">
        <v>207.3</v>
      </c>
    </row>
    <row r="1627" spans="1:4">
      <c r="A1627" s="61">
        <v>4505</v>
      </c>
      <c r="B1627" s="61">
        <v>40958</v>
      </c>
      <c r="C1627" s="62">
        <v>1035.5999999999999</v>
      </c>
      <c r="D1627" s="62">
        <v>207.3</v>
      </c>
    </row>
    <row r="1628" spans="1:4">
      <c r="A1628" s="61">
        <v>4506</v>
      </c>
      <c r="B1628" s="61">
        <v>40284</v>
      </c>
      <c r="C1628" s="62">
        <v>922.2</v>
      </c>
      <c r="D1628" s="62">
        <v>249.7</v>
      </c>
    </row>
    <row r="1629" spans="1:4">
      <c r="A1629" s="61">
        <v>4507</v>
      </c>
      <c r="B1629" s="61">
        <v>40958</v>
      </c>
      <c r="C1629" s="62">
        <v>1035.5999999999999</v>
      </c>
      <c r="D1629" s="62">
        <v>207.3</v>
      </c>
    </row>
    <row r="1630" spans="1:4">
      <c r="A1630" s="61">
        <v>4508</v>
      </c>
      <c r="B1630" s="61">
        <v>40958</v>
      </c>
      <c r="C1630" s="62">
        <v>1035.5999999999999</v>
      </c>
      <c r="D1630" s="62">
        <v>207.3</v>
      </c>
    </row>
    <row r="1631" spans="1:4">
      <c r="A1631" s="61">
        <v>4509</v>
      </c>
      <c r="B1631" s="61">
        <v>40958</v>
      </c>
      <c r="C1631" s="62">
        <v>1035.5999999999999</v>
      </c>
      <c r="D1631" s="62">
        <v>207.3</v>
      </c>
    </row>
    <row r="1632" spans="1:4">
      <c r="A1632" s="61">
        <v>4510</v>
      </c>
      <c r="B1632" s="61">
        <v>40284</v>
      </c>
      <c r="C1632" s="62">
        <v>922.2</v>
      </c>
      <c r="D1632" s="62">
        <v>249.7</v>
      </c>
    </row>
    <row r="1633" spans="1:4">
      <c r="A1633" s="61">
        <v>4511</v>
      </c>
      <c r="B1633" s="61">
        <v>40958</v>
      </c>
      <c r="C1633" s="62">
        <v>1035.5999999999999</v>
      </c>
      <c r="D1633" s="62">
        <v>207.3</v>
      </c>
    </row>
    <row r="1634" spans="1:4">
      <c r="A1634" s="61">
        <v>4512</v>
      </c>
      <c r="B1634" s="61">
        <v>40284</v>
      </c>
      <c r="C1634" s="62">
        <v>922.2</v>
      </c>
      <c r="D1634" s="62">
        <v>249.7</v>
      </c>
    </row>
    <row r="1635" spans="1:4">
      <c r="A1635" s="61">
        <v>4514</v>
      </c>
      <c r="B1635" s="61">
        <v>40284</v>
      </c>
      <c r="C1635" s="62">
        <v>922.2</v>
      </c>
      <c r="D1635" s="62">
        <v>249.7</v>
      </c>
    </row>
    <row r="1636" spans="1:4">
      <c r="A1636" s="61">
        <v>4515</v>
      </c>
      <c r="B1636" s="61">
        <v>40651</v>
      </c>
      <c r="C1636" s="62">
        <v>522.29999999999995</v>
      </c>
      <c r="D1636" s="62">
        <v>770.6</v>
      </c>
    </row>
    <row r="1637" spans="1:4">
      <c r="A1637" s="61">
        <v>4516</v>
      </c>
      <c r="B1637" s="61">
        <v>40284</v>
      </c>
      <c r="C1637" s="62">
        <v>922.2</v>
      </c>
      <c r="D1637" s="62">
        <v>249.7</v>
      </c>
    </row>
    <row r="1638" spans="1:4">
      <c r="A1638" s="61">
        <v>4517</v>
      </c>
      <c r="B1638" s="61">
        <v>40284</v>
      </c>
      <c r="C1638" s="62">
        <v>922.2</v>
      </c>
      <c r="D1638" s="62">
        <v>249.7</v>
      </c>
    </row>
    <row r="1639" spans="1:4">
      <c r="A1639" s="61">
        <v>4518</v>
      </c>
      <c r="B1639" s="61">
        <v>40284</v>
      </c>
      <c r="C1639" s="62">
        <v>922.2</v>
      </c>
      <c r="D1639" s="62">
        <v>249.7</v>
      </c>
    </row>
    <row r="1640" spans="1:4">
      <c r="A1640" s="61">
        <v>4519</v>
      </c>
      <c r="B1640" s="61">
        <v>40284</v>
      </c>
      <c r="C1640" s="62">
        <v>922.2</v>
      </c>
      <c r="D1640" s="62">
        <v>249.7</v>
      </c>
    </row>
    <row r="1641" spans="1:4">
      <c r="A1641" s="61">
        <v>4520</v>
      </c>
      <c r="B1641" s="61">
        <v>40913</v>
      </c>
      <c r="C1641" s="62">
        <v>1054.5</v>
      </c>
      <c r="D1641" s="62">
        <v>176.8</v>
      </c>
    </row>
    <row r="1642" spans="1:4">
      <c r="A1642" s="61">
        <v>4521</v>
      </c>
      <c r="B1642" s="61">
        <v>40958</v>
      </c>
      <c r="C1642" s="62">
        <v>1035.5999999999999</v>
      </c>
      <c r="D1642" s="62">
        <v>207.3</v>
      </c>
    </row>
    <row r="1643" spans="1:4">
      <c r="A1643" s="61">
        <v>4550</v>
      </c>
      <c r="B1643" s="61">
        <v>40988</v>
      </c>
      <c r="C1643" s="62">
        <v>1013.4</v>
      </c>
      <c r="D1643" s="62">
        <v>224.9</v>
      </c>
    </row>
    <row r="1644" spans="1:4">
      <c r="A1644" s="61">
        <v>4551</v>
      </c>
      <c r="B1644" s="61">
        <v>40861</v>
      </c>
      <c r="C1644" s="62">
        <v>1205.7</v>
      </c>
      <c r="D1644" s="62">
        <v>269.7</v>
      </c>
    </row>
    <row r="1645" spans="1:4">
      <c r="A1645" s="61">
        <v>4552</v>
      </c>
      <c r="B1645" s="61">
        <v>40988</v>
      </c>
      <c r="C1645" s="62">
        <v>1013.4</v>
      </c>
      <c r="D1645" s="62">
        <v>224.9</v>
      </c>
    </row>
    <row r="1646" spans="1:4">
      <c r="A1646" s="61">
        <v>4553</v>
      </c>
      <c r="B1646" s="61">
        <v>40988</v>
      </c>
      <c r="C1646" s="62">
        <v>1013.4</v>
      </c>
      <c r="D1646" s="62">
        <v>224.9</v>
      </c>
    </row>
    <row r="1647" spans="1:4">
      <c r="A1647" s="61">
        <v>4554</v>
      </c>
      <c r="B1647" s="61">
        <v>40988</v>
      </c>
      <c r="C1647" s="62">
        <v>1013.4</v>
      </c>
      <c r="D1647" s="62">
        <v>224.9</v>
      </c>
    </row>
    <row r="1648" spans="1:4">
      <c r="A1648" s="61">
        <v>4555</v>
      </c>
      <c r="B1648" s="61">
        <v>40988</v>
      </c>
      <c r="C1648" s="62">
        <v>1013.4</v>
      </c>
      <c r="D1648" s="62">
        <v>224.9</v>
      </c>
    </row>
    <row r="1649" spans="1:4">
      <c r="A1649" s="61">
        <v>4556</v>
      </c>
      <c r="B1649" s="61">
        <v>40988</v>
      </c>
      <c r="C1649" s="62">
        <v>1013.4</v>
      </c>
      <c r="D1649" s="62">
        <v>224.9</v>
      </c>
    </row>
    <row r="1650" spans="1:4">
      <c r="A1650" s="61">
        <v>4557</v>
      </c>
      <c r="B1650" s="61">
        <v>40861</v>
      </c>
      <c r="C1650" s="62">
        <v>1205.7</v>
      </c>
      <c r="D1650" s="62">
        <v>269.7</v>
      </c>
    </row>
    <row r="1651" spans="1:4">
      <c r="A1651" s="61">
        <v>4558</v>
      </c>
      <c r="B1651" s="61">
        <v>40861</v>
      </c>
      <c r="C1651" s="62">
        <v>1205.7</v>
      </c>
      <c r="D1651" s="62">
        <v>269.7</v>
      </c>
    </row>
    <row r="1652" spans="1:4">
      <c r="A1652" s="61">
        <v>4559</v>
      </c>
      <c r="B1652" s="61">
        <v>40988</v>
      </c>
      <c r="C1652" s="62">
        <v>1013.4</v>
      </c>
      <c r="D1652" s="62">
        <v>224.9</v>
      </c>
    </row>
    <row r="1653" spans="1:4">
      <c r="A1653" s="61">
        <v>4560</v>
      </c>
      <c r="B1653" s="61">
        <v>40988</v>
      </c>
      <c r="C1653" s="62">
        <v>1013.4</v>
      </c>
      <c r="D1653" s="62">
        <v>224.9</v>
      </c>
    </row>
    <row r="1654" spans="1:4">
      <c r="A1654" s="61">
        <v>4561</v>
      </c>
      <c r="B1654" s="61">
        <v>40861</v>
      </c>
      <c r="C1654" s="62">
        <v>1205.7</v>
      </c>
      <c r="D1654" s="62">
        <v>269.7</v>
      </c>
    </row>
    <row r="1655" spans="1:4">
      <c r="A1655" s="61">
        <v>4562</v>
      </c>
      <c r="B1655" s="61">
        <v>40908</v>
      </c>
      <c r="C1655" s="62">
        <v>1217.3</v>
      </c>
      <c r="D1655" s="62">
        <v>182.6</v>
      </c>
    </row>
    <row r="1656" spans="1:4">
      <c r="A1656" s="61">
        <v>4563</v>
      </c>
      <c r="B1656" s="61">
        <v>40988</v>
      </c>
      <c r="C1656" s="62">
        <v>1013.4</v>
      </c>
      <c r="D1656" s="62">
        <v>224.9</v>
      </c>
    </row>
    <row r="1657" spans="1:4">
      <c r="A1657" s="61">
        <v>4564</v>
      </c>
      <c r="B1657" s="61">
        <v>40861</v>
      </c>
      <c r="C1657" s="62">
        <v>1205.7</v>
      </c>
      <c r="D1657" s="62">
        <v>269.7</v>
      </c>
    </row>
    <row r="1658" spans="1:4">
      <c r="A1658" s="61">
        <v>4565</v>
      </c>
      <c r="B1658" s="61">
        <v>40908</v>
      </c>
      <c r="C1658" s="62">
        <v>1217.3</v>
      </c>
      <c r="D1658" s="62">
        <v>182.6</v>
      </c>
    </row>
    <row r="1659" spans="1:4">
      <c r="A1659" s="61">
        <v>4566</v>
      </c>
      <c r="B1659" s="61">
        <v>40908</v>
      </c>
      <c r="C1659" s="62">
        <v>1217.3</v>
      </c>
      <c r="D1659" s="62">
        <v>182.6</v>
      </c>
    </row>
    <row r="1660" spans="1:4">
      <c r="A1660" s="61">
        <v>4567</v>
      </c>
      <c r="B1660" s="61">
        <v>40908</v>
      </c>
      <c r="C1660" s="62">
        <v>1217.3</v>
      </c>
      <c r="D1660" s="62">
        <v>182.6</v>
      </c>
    </row>
    <row r="1661" spans="1:4">
      <c r="A1661" s="61">
        <v>4568</v>
      </c>
      <c r="B1661" s="61">
        <v>40908</v>
      </c>
      <c r="C1661" s="62">
        <v>1217.3</v>
      </c>
      <c r="D1661" s="62">
        <v>182.6</v>
      </c>
    </row>
    <row r="1662" spans="1:4">
      <c r="A1662" s="61">
        <v>4569</v>
      </c>
      <c r="B1662" s="61">
        <v>40908</v>
      </c>
      <c r="C1662" s="62">
        <v>1217.3</v>
      </c>
      <c r="D1662" s="62">
        <v>182.6</v>
      </c>
    </row>
    <row r="1663" spans="1:4">
      <c r="A1663" s="61">
        <v>4570</v>
      </c>
      <c r="B1663" s="61">
        <v>40093</v>
      </c>
      <c r="C1663" s="62">
        <v>905.4</v>
      </c>
      <c r="D1663" s="62">
        <v>388.4</v>
      </c>
    </row>
    <row r="1664" spans="1:4">
      <c r="A1664" s="61">
        <v>4571</v>
      </c>
      <c r="B1664" s="61">
        <v>40908</v>
      </c>
      <c r="C1664" s="62">
        <v>1217.3</v>
      </c>
      <c r="D1664" s="62">
        <v>182.6</v>
      </c>
    </row>
    <row r="1665" spans="1:4">
      <c r="A1665" s="61">
        <v>4572</v>
      </c>
      <c r="B1665" s="61">
        <v>40861</v>
      </c>
      <c r="C1665" s="62">
        <v>1205.7</v>
      </c>
      <c r="D1665" s="62">
        <v>269.7</v>
      </c>
    </row>
    <row r="1666" spans="1:4">
      <c r="A1666" s="61">
        <v>4573</v>
      </c>
      <c r="B1666" s="61">
        <v>40861</v>
      </c>
      <c r="C1666" s="62">
        <v>1205.7</v>
      </c>
      <c r="D1666" s="62">
        <v>269.7</v>
      </c>
    </row>
    <row r="1667" spans="1:4">
      <c r="A1667" s="61">
        <v>4574</v>
      </c>
      <c r="B1667" s="61">
        <v>40988</v>
      </c>
      <c r="C1667" s="62">
        <v>1013.4</v>
      </c>
      <c r="D1667" s="62">
        <v>224.9</v>
      </c>
    </row>
    <row r="1668" spans="1:4">
      <c r="A1668" s="61">
        <v>4575</v>
      </c>
      <c r="B1668" s="61">
        <v>40861</v>
      </c>
      <c r="C1668" s="62">
        <v>1205.7</v>
      </c>
      <c r="D1668" s="62">
        <v>269.7</v>
      </c>
    </row>
    <row r="1669" spans="1:4">
      <c r="A1669" s="61">
        <v>4580</v>
      </c>
      <c r="B1669" s="61">
        <v>40555</v>
      </c>
      <c r="C1669" s="62">
        <v>1113</v>
      </c>
      <c r="D1669" s="62">
        <v>151</v>
      </c>
    </row>
    <row r="1670" spans="1:4">
      <c r="A1670" s="61">
        <v>4581</v>
      </c>
      <c r="B1670" s="61">
        <v>40405</v>
      </c>
      <c r="C1670" s="62">
        <v>1356.9</v>
      </c>
      <c r="D1670" s="62">
        <v>198.4</v>
      </c>
    </row>
    <row r="1671" spans="1:4">
      <c r="A1671" s="61">
        <v>4600</v>
      </c>
      <c r="B1671" s="61">
        <v>40093</v>
      </c>
      <c r="C1671" s="62">
        <v>905.4</v>
      </c>
      <c r="D1671" s="62">
        <v>388.4</v>
      </c>
    </row>
    <row r="1672" spans="1:4">
      <c r="A1672" s="61">
        <v>4601</v>
      </c>
      <c r="B1672" s="61">
        <v>39066</v>
      </c>
      <c r="C1672" s="62">
        <v>871.4</v>
      </c>
      <c r="D1672" s="62">
        <v>315.7</v>
      </c>
    </row>
    <row r="1673" spans="1:4">
      <c r="A1673" s="61">
        <v>4605</v>
      </c>
      <c r="B1673" s="61">
        <v>39066</v>
      </c>
      <c r="C1673" s="62">
        <v>871.4</v>
      </c>
      <c r="D1673" s="62">
        <v>315.7</v>
      </c>
    </row>
    <row r="1674" spans="1:4">
      <c r="A1674" s="61">
        <v>4606</v>
      </c>
      <c r="B1674" s="61">
        <v>39066</v>
      </c>
      <c r="C1674" s="62">
        <v>871.4</v>
      </c>
      <c r="D1674" s="62">
        <v>315.7</v>
      </c>
    </row>
    <row r="1675" spans="1:4">
      <c r="A1675" s="61">
        <v>4608</v>
      </c>
      <c r="B1675" s="61">
        <v>40651</v>
      </c>
      <c r="C1675" s="62">
        <v>522.29999999999995</v>
      </c>
      <c r="D1675" s="62">
        <v>770.6</v>
      </c>
    </row>
    <row r="1676" spans="1:4">
      <c r="A1676" s="61">
        <v>4610</v>
      </c>
      <c r="B1676" s="61">
        <v>39066</v>
      </c>
      <c r="C1676" s="62">
        <v>871.4</v>
      </c>
      <c r="D1676" s="62">
        <v>315.7</v>
      </c>
    </row>
    <row r="1677" spans="1:4">
      <c r="A1677" s="61">
        <v>4611</v>
      </c>
      <c r="B1677" s="61">
        <v>39066</v>
      </c>
      <c r="C1677" s="62">
        <v>871.4</v>
      </c>
      <c r="D1677" s="62">
        <v>315.7</v>
      </c>
    </row>
    <row r="1678" spans="1:4">
      <c r="A1678" s="61">
        <v>4612</v>
      </c>
      <c r="B1678" s="61">
        <v>39066</v>
      </c>
      <c r="C1678" s="62">
        <v>871.4</v>
      </c>
      <c r="D1678" s="62">
        <v>315.7</v>
      </c>
    </row>
    <row r="1679" spans="1:4">
      <c r="A1679" s="61">
        <v>4613</v>
      </c>
      <c r="B1679" s="61">
        <v>39066</v>
      </c>
      <c r="C1679" s="62">
        <v>871.4</v>
      </c>
      <c r="D1679" s="62">
        <v>315.7</v>
      </c>
    </row>
    <row r="1680" spans="1:4">
      <c r="A1680" s="61">
        <v>4614</v>
      </c>
      <c r="B1680" s="61">
        <v>41359</v>
      </c>
      <c r="C1680" s="62">
        <v>521.9</v>
      </c>
      <c r="D1680" s="62">
        <v>803.5</v>
      </c>
    </row>
    <row r="1681" spans="1:4">
      <c r="A1681" s="61">
        <v>4615</v>
      </c>
      <c r="B1681" s="61">
        <v>40651</v>
      </c>
      <c r="C1681" s="62">
        <v>522.29999999999995</v>
      </c>
      <c r="D1681" s="62">
        <v>770.6</v>
      </c>
    </row>
    <row r="1682" spans="1:4">
      <c r="A1682" s="61">
        <v>4620</v>
      </c>
      <c r="B1682" s="61">
        <v>40126</v>
      </c>
      <c r="C1682" s="62">
        <v>1221.8</v>
      </c>
      <c r="D1682" s="62">
        <v>209.6</v>
      </c>
    </row>
    <row r="1683" spans="1:4">
      <c r="A1683" s="61">
        <v>4621</v>
      </c>
      <c r="B1683" s="61">
        <v>39066</v>
      </c>
      <c r="C1683" s="62">
        <v>871.4</v>
      </c>
      <c r="D1683" s="62">
        <v>315.7</v>
      </c>
    </row>
    <row r="1684" spans="1:4">
      <c r="A1684" s="61">
        <v>4625</v>
      </c>
      <c r="B1684" s="61">
        <v>39066</v>
      </c>
      <c r="C1684" s="62">
        <v>871.4</v>
      </c>
      <c r="D1684" s="62">
        <v>315.7</v>
      </c>
    </row>
    <row r="1685" spans="1:4">
      <c r="A1685" s="61">
        <v>4626</v>
      </c>
      <c r="B1685" s="61">
        <v>39066</v>
      </c>
      <c r="C1685" s="62">
        <v>871.4</v>
      </c>
      <c r="D1685" s="62">
        <v>315.7</v>
      </c>
    </row>
    <row r="1686" spans="1:4">
      <c r="A1686" s="61">
        <v>4627</v>
      </c>
      <c r="B1686" s="61">
        <v>39066</v>
      </c>
      <c r="C1686" s="62">
        <v>871.4</v>
      </c>
      <c r="D1686" s="62">
        <v>315.7</v>
      </c>
    </row>
    <row r="1687" spans="1:4">
      <c r="A1687" s="61">
        <v>4630</v>
      </c>
      <c r="B1687" s="61">
        <v>39089</v>
      </c>
      <c r="C1687" s="62">
        <v>977.8</v>
      </c>
      <c r="D1687" s="62">
        <v>344.4</v>
      </c>
    </row>
    <row r="1688" spans="1:4">
      <c r="A1688" s="61">
        <v>4650</v>
      </c>
      <c r="B1688" s="61">
        <v>40126</v>
      </c>
      <c r="C1688" s="62">
        <v>1221.8</v>
      </c>
      <c r="D1688" s="62">
        <v>209.6</v>
      </c>
    </row>
    <row r="1689" spans="1:4">
      <c r="A1689" s="61">
        <v>4655</v>
      </c>
      <c r="B1689" s="61">
        <v>40405</v>
      </c>
      <c r="C1689" s="62">
        <v>1356.9</v>
      </c>
      <c r="D1689" s="62">
        <v>198.4</v>
      </c>
    </row>
    <row r="1690" spans="1:4">
      <c r="A1690" s="61">
        <v>4659</v>
      </c>
      <c r="B1690" s="61">
        <v>40126</v>
      </c>
      <c r="C1690" s="62">
        <v>1221.8</v>
      </c>
      <c r="D1690" s="62">
        <v>209.6</v>
      </c>
    </row>
    <row r="1691" spans="1:4">
      <c r="A1691" s="61">
        <v>4660</v>
      </c>
      <c r="B1691" s="61">
        <v>39128</v>
      </c>
      <c r="C1691" s="62">
        <v>1293.7</v>
      </c>
      <c r="D1691" s="62">
        <v>136.80000000000001</v>
      </c>
    </row>
    <row r="1692" spans="1:4">
      <c r="A1692" s="61">
        <v>4662</v>
      </c>
      <c r="B1692" s="61">
        <v>40126</v>
      </c>
      <c r="C1692" s="62">
        <v>1221.8</v>
      </c>
      <c r="D1692" s="62">
        <v>209.6</v>
      </c>
    </row>
    <row r="1693" spans="1:4">
      <c r="A1693" s="61">
        <v>4670</v>
      </c>
      <c r="B1693" s="61">
        <v>39128</v>
      </c>
      <c r="C1693" s="62">
        <v>1293.7</v>
      </c>
      <c r="D1693" s="62">
        <v>136.80000000000001</v>
      </c>
    </row>
    <row r="1694" spans="1:4">
      <c r="A1694" s="61">
        <v>4671</v>
      </c>
      <c r="B1694" s="61">
        <v>39128</v>
      </c>
      <c r="C1694" s="62">
        <v>1293.7</v>
      </c>
      <c r="D1694" s="62">
        <v>136.80000000000001</v>
      </c>
    </row>
    <row r="1695" spans="1:4">
      <c r="A1695" s="61">
        <v>4673</v>
      </c>
      <c r="B1695" s="61">
        <v>39128</v>
      </c>
      <c r="C1695" s="62">
        <v>1293.7</v>
      </c>
      <c r="D1695" s="62">
        <v>136.80000000000001</v>
      </c>
    </row>
    <row r="1696" spans="1:4">
      <c r="A1696" s="61">
        <v>4674</v>
      </c>
      <c r="B1696" s="61">
        <v>39314</v>
      </c>
      <c r="C1696" s="62">
        <v>1706.7</v>
      </c>
      <c r="D1696" s="62">
        <v>63.5</v>
      </c>
    </row>
    <row r="1697" spans="1:4">
      <c r="A1697" s="61">
        <v>4676</v>
      </c>
      <c r="B1697" s="61">
        <v>39314</v>
      </c>
      <c r="C1697" s="62">
        <v>1706.7</v>
      </c>
      <c r="D1697" s="62">
        <v>63.5</v>
      </c>
    </row>
    <row r="1698" spans="1:4">
      <c r="A1698" s="61">
        <v>4677</v>
      </c>
      <c r="B1698" s="61">
        <v>39314</v>
      </c>
      <c r="C1698" s="62">
        <v>1706.7</v>
      </c>
      <c r="D1698" s="62">
        <v>63.5</v>
      </c>
    </row>
    <row r="1699" spans="1:4">
      <c r="A1699" s="61">
        <v>4678</v>
      </c>
      <c r="B1699" s="61">
        <v>39314</v>
      </c>
      <c r="C1699" s="62">
        <v>1706.7</v>
      </c>
      <c r="D1699" s="62">
        <v>63.5</v>
      </c>
    </row>
    <row r="1700" spans="1:4">
      <c r="A1700" s="61">
        <v>4680</v>
      </c>
      <c r="B1700" s="61">
        <v>39326</v>
      </c>
      <c r="C1700" s="62">
        <v>1457.8</v>
      </c>
      <c r="D1700" s="62">
        <v>91.2</v>
      </c>
    </row>
    <row r="1701" spans="1:4">
      <c r="A1701" s="61">
        <v>4694</v>
      </c>
      <c r="B1701" s="61">
        <v>39326</v>
      </c>
      <c r="C1701" s="62">
        <v>1457.8</v>
      </c>
      <c r="D1701" s="62">
        <v>91.2</v>
      </c>
    </row>
    <row r="1702" spans="1:4">
      <c r="A1702" s="61">
        <v>4695</v>
      </c>
      <c r="B1702" s="61">
        <v>39326</v>
      </c>
      <c r="C1702" s="62">
        <v>1457.8</v>
      </c>
      <c r="D1702" s="62">
        <v>91.2</v>
      </c>
    </row>
    <row r="1703" spans="1:4">
      <c r="A1703" s="61">
        <v>4697</v>
      </c>
      <c r="B1703" s="61">
        <v>39326</v>
      </c>
      <c r="C1703" s="62">
        <v>1457.8</v>
      </c>
      <c r="D1703" s="62">
        <v>91.2</v>
      </c>
    </row>
    <row r="1704" spans="1:4">
      <c r="A1704" s="61">
        <v>4699</v>
      </c>
      <c r="B1704" s="61">
        <v>39083</v>
      </c>
      <c r="C1704" s="62">
        <v>1408.6</v>
      </c>
      <c r="D1704" s="62">
        <v>121.2</v>
      </c>
    </row>
    <row r="1705" spans="1:4">
      <c r="A1705" s="61">
        <v>4700</v>
      </c>
      <c r="B1705" s="61">
        <v>39083</v>
      </c>
      <c r="C1705" s="62">
        <v>1408.6</v>
      </c>
      <c r="D1705" s="62">
        <v>121.2</v>
      </c>
    </row>
    <row r="1706" spans="1:4">
      <c r="A1706" s="61">
        <v>4701</v>
      </c>
      <c r="B1706" s="61">
        <v>39083</v>
      </c>
      <c r="C1706" s="62">
        <v>1408.6</v>
      </c>
      <c r="D1706" s="62">
        <v>121.2</v>
      </c>
    </row>
    <row r="1707" spans="1:4">
      <c r="A1707" s="61">
        <v>4702</v>
      </c>
      <c r="B1707" s="61">
        <v>33210</v>
      </c>
      <c r="C1707" s="62">
        <v>1616</v>
      </c>
      <c r="D1707" s="62">
        <v>119.1</v>
      </c>
    </row>
    <row r="1708" spans="1:4">
      <c r="A1708" s="61">
        <v>4703</v>
      </c>
      <c r="B1708" s="61">
        <v>33294</v>
      </c>
      <c r="C1708" s="62">
        <v>1762</v>
      </c>
      <c r="D1708" s="62">
        <v>150.30000000000001</v>
      </c>
    </row>
    <row r="1709" spans="1:4">
      <c r="A1709" s="61">
        <v>4704</v>
      </c>
      <c r="B1709" s="61">
        <v>39083</v>
      </c>
      <c r="C1709" s="62">
        <v>1408.6</v>
      </c>
      <c r="D1709" s="62">
        <v>121.2</v>
      </c>
    </row>
    <row r="1710" spans="1:4">
      <c r="A1710" s="61">
        <v>4705</v>
      </c>
      <c r="B1710" s="61">
        <v>33210</v>
      </c>
      <c r="C1710" s="62">
        <v>1616</v>
      </c>
      <c r="D1710" s="62">
        <v>119.1</v>
      </c>
    </row>
    <row r="1711" spans="1:4">
      <c r="A1711" s="61">
        <v>4706</v>
      </c>
      <c r="B1711" s="61">
        <v>33065</v>
      </c>
      <c r="C1711" s="62">
        <v>1626.4</v>
      </c>
      <c r="D1711" s="62">
        <v>68</v>
      </c>
    </row>
    <row r="1712" spans="1:4">
      <c r="A1712" s="61">
        <v>4707</v>
      </c>
      <c r="B1712" s="61">
        <v>33210</v>
      </c>
      <c r="C1712" s="62">
        <v>1616</v>
      </c>
      <c r="D1712" s="62">
        <v>119.1</v>
      </c>
    </row>
    <row r="1713" spans="1:4">
      <c r="A1713" s="61">
        <v>4709</v>
      </c>
      <c r="B1713" s="61">
        <v>35264</v>
      </c>
      <c r="C1713" s="62">
        <v>1141.4000000000001</v>
      </c>
      <c r="D1713" s="62">
        <v>196.4</v>
      </c>
    </row>
    <row r="1714" spans="1:4">
      <c r="A1714" s="61">
        <v>4710</v>
      </c>
      <c r="B1714" s="61">
        <v>33294</v>
      </c>
      <c r="C1714" s="62">
        <v>1762</v>
      </c>
      <c r="D1714" s="62">
        <v>150.30000000000001</v>
      </c>
    </row>
    <row r="1715" spans="1:4">
      <c r="A1715" s="61">
        <v>4711</v>
      </c>
      <c r="B1715" s="61">
        <v>39083</v>
      </c>
      <c r="C1715" s="62">
        <v>1408.6</v>
      </c>
      <c r="D1715" s="62">
        <v>121.2</v>
      </c>
    </row>
    <row r="1716" spans="1:4">
      <c r="A1716" s="61">
        <v>4712</v>
      </c>
      <c r="B1716" s="61">
        <v>39083</v>
      </c>
      <c r="C1716" s="62">
        <v>1408.6</v>
      </c>
      <c r="D1716" s="62">
        <v>121.2</v>
      </c>
    </row>
    <row r="1717" spans="1:4">
      <c r="A1717" s="61">
        <v>4713</v>
      </c>
      <c r="B1717" s="61">
        <v>39089</v>
      </c>
      <c r="C1717" s="62">
        <v>977.8</v>
      </c>
      <c r="D1717" s="62">
        <v>344.4</v>
      </c>
    </row>
    <row r="1718" spans="1:4">
      <c r="A1718" s="61">
        <v>4714</v>
      </c>
      <c r="B1718" s="61">
        <v>39083</v>
      </c>
      <c r="C1718" s="62">
        <v>1408.6</v>
      </c>
      <c r="D1718" s="62">
        <v>121.2</v>
      </c>
    </row>
    <row r="1719" spans="1:4">
      <c r="A1719" s="61">
        <v>4715</v>
      </c>
      <c r="B1719" s="61">
        <v>39089</v>
      </c>
      <c r="C1719" s="62">
        <v>977.8</v>
      </c>
      <c r="D1719" s="62">
        <v>344.4</v>
      </c>
    </row>
    <row r="1720" spans="1:4">
      <c r="A1720" s="61">
        <v>4716</v>
      </c>
      <c r="B1720" s="61">
        <v>39089</v>
      </c>
      <c r="C1720" s="62">
        <v>977.8</v>
      </c>
      <c r="D1720" s="62">
        <v>344.4</v>
      </c>
    </row>
    <row r="1721" spans="1:4">
      <c r="A1721" s="61">
        <v>4717</v>
      </c>
      <c r="B1721" s="61">
        <v>35264</v>
      </c>
      <c r="C1721" s="62">
        <v>1141.4000000000001</v>
      </c>
      <c r="D1721" s="62">
        <v>196.4</v>
      </c>
    </row>
    <row r="1722" spans="1:4">
      <c r="A1722" s="61">
        <v>4718</v>
      </c>
      <c r="B1722" s="61">
        <v>43015</v>
      </c>
      <c r="C1722" s="62">
        <v>696.8</v>
      </c>
      <c r="D1722" s="62">
        <v>648.5</v>
      </c>
    </row>
    <row r="1723" spans="1:4">
      <c r="A1723" s="61">
        <v>4719</v>
      </c>
      <c r="B1723" s="61">
        <v>39089</v>
      </c>
      <c r="C1723" s="62">
        <v>977.8</v>
      </c>
      <c r="D1723" s="62">
        <v>344.4</v>
      </c>
    </row>
    <row r="1724" spans="1:4">
      <c r="A1724" s="61">
        <v>4720</v>
      </c>
      <c r="B1724" s="61">
        <v>35264</v>
      </c>
      <c r="C1724" s="62">
        <v>1141.4000000000001</v>
      </c>
      <c r="D1724" s="62">
        <v>196.4</v>
      </c>
    </row>
    <row r="1725" spans="1:4">
      <c r="A1725" s="61">
        <v>4721</v>
      </c>
      <c r="B1725" s="61">
        <v>35264</v>
      </c>
      <c r="C1725" s="62">
        <v>1141.4000000000001</v>
      </c>
      <c r="D1725" s="62">
        <v>196.4</v>
      </c>
    </row>
    <row r="1726" spans="1:4">
      <c r="A1726" s="61">
        <v>4722</v>
      </c>
      <c r="B1726" s="61">
        <v>35264</v>
      </c>
      <c r="C1726" s="62">
        <v>1141.4000000000001</v>
      </c>
      <c r="D1726" s="62">
        <v>196.4</v>
      </c>
    </row>
    <row r="1727" spans="1:4">
      <c r="A1727" s="61">
        <v>4723</v>
      </c>
      <c r="B1727" s="61">
        <v>35264</v>
      </c>
      <c r="C1727" s="62">
        <v>1141.4000000000001</v>
      </c>
      <c r="D1727" s="62">
        <v>196.4</v>
      </c>
    </row>
    <row r="1728" spans="1:4">
      <c r="A1728" s="61">
        <v>4724</v>
      </c>
      <c r="B1728" s="61">
        <v>35264</v>
      </c>
      <c r="C1728" s="62">
        <v>1141.4000000000001</v>
      </c>
      <c r="D1728" s="62">
        <v>196.4</v>
      </c>
    </row>
    <row r="1729" spans="1:4">
      <c r="A1729" s="61">
        <v>4725</v>
      </c>
      <c r="B1729" s="61">
        <v>36031</v>
      </c>
      <c r="C1729" s="62">
        <v>911</v>
      </c>
      <c r="D1729" s="62">
        <v>240.4</v>
      </c>
    </row>
    <row r="1730" spans="1:4">
      <c r="A1730" s="61">
        <v>4726</v>
      </c>
      <c r="B1730" s="61">
        <v>36031</v>
      </c>
      <c r="C1730" s="62">
        <v>911</v>
      </c>
      <c r="D1730" s="62">
        <v>240.4</v>
      </c>
    </row>
    <row r="1731" spans="1:4">
      <c r="A1731" s="61">
        <v>4727</v>
      </c>
      <c r="B1731" s="61">
        <v>36031</v>
      </c>
      <c r="C1731" s="62">
        <v>911</v>
      </c>
      <c r="D1731" s="62">
        <v>240.4</v>
      </c>
    </row>
    <row r="1732" spans="1:4">
      <c r="A1732" s="61">
        <v>4728</v>
      </c>
      <c r="B1732" s="61">
        <v>36034</v>
      </c>
      <c r="C1732" s="62">
        <v>846</v>
      </c>
      <c r="D1732" s="62">
        <v>345.8</v>
      </c>
    </row>
    <row r="1733" spans="1:4">
      <c r="A1733" s="61">
        <v>4730</v>
      </c>
      <c r="B1733" s="61">
        <v>37039</v>
      </c>
      <c r="C1733" s="62">
        <v>1068.7</v>
      </c>
      <c r="D1733" s="62">
        <v>178.6</v>
      </c>
    </row>
    <row r="1734" spans="1:4">
      <c r="A1734" s="61">
        <v>4731</v>
      </c>
      <c r="B1734" s="61">
        <v>36031</v>
      </c>
      <c r="C1734" s="62">
        <v>911</v>
      </c>
      <c r="D1734" s="62">
        <v>240.4</v>
      </c>
    </row>
    <row r="1735" spans="1:4">
      <c r="A1735" s="61">
        <v>4732</v>
      </c>
      <c r="B1735" s="61">
        <v>36031</v>
      </c>
      <c r="C1735" s="62">
        <v>911</v>
      </c>
      <c r="D1735" s="62">
        <v>240.4</v>
      </c>
    </row>
    <row r="1736" spans="1:4">
      <c r="A1736" s="61">
        <v>4733</v>
      </c>
      <c r="B1736" s="61">
        <v>37039</v>
      </c>
      <c r="C1736" s="62">
        <v>1068.7</v>
      </c>
      <c r="D1736" s="62">
        <v>178.6</v>
      </c>
    </row>
    <row r="1737" spans="1:4">
      <c r="A1737" s="61">
        <v>4735</v>
      </c>
      <c r="B1737" s="61">
        <v>37036</v>
      </c>
      <c r="C1737" s="62">
        <v>901</v>
      </c>
      <c r="D1737" s="62">
        <v>226.6</v>
      </c>
    </row>
    <row r="1738" spans="1:4">
      <c r="A1738" s="61">
        <v>4736</v>
      </c>
      <c r="B1738" s="61">
        <v>38024</v>
      </c>
      <c r="C1738" s="62">
        <v>982.7</v>
      </c>
      <c r="D1738" s="62">
        <v>330.9</v>
      </c>
    </row>
    <row r="1739" spans="1:4">
      <c r="A1739" s="61">
        <v>4737</v>
      </c>
      <c r="B1739" s="61">
        <v>33045</v>
      </c>
      <c r="C1739" s="62">
        <v>1751.9</v>
      </c>
      <c r="D1739" s="62">
        <v>118.2</v>
      </c>
    </row>
    <row r="1740" spans="1:4">
      <c r="A1740" s="61">
        <v>4738</v>
      </c>
      <c r="B1740" s="61">
        <v>33045</v>
      </c>
      <c r="C1740" s="62">
        <v>1751.9</v>
      </c>
      <c r="D1740" s="62">
        <v>118.2</v>
      </c>
    </row>
    <row r="1741" spans="1:4">
      <c r="A1741" s="61">
        <v>4739</v>
      </c>
      <c r="B1741" s="61">
        <v>33210</v>
      </c>
      <c r="C1741" s="62">
        <v>1616</v>
      </c>
      <c r="D1741" s="62">
        <v>119.1</v>
      </c>
    </row>
    <row r="1742" spans="1:4">
      <c r="A1742" s="61">
        <v>4740</v>
      </c>
      <c r="B1742" s="61">
        <v>33045</v>
      </c>
      <c r="C1742" s="62">
        <v>1751.9</v>
      </c>
      <c r="D1742" s="62">
        <v>118.2</v>
      </c>
    </row>
    <row r="1743" spans="1:4">
      <c r="A1743" s="61">
        <v>4741</v>
      </c>
      <c r="B1743" s="61">
        <v>33045</v>
      </c>
      <c r="C1743" s="62">
        <v>1751.9</v>
      </c>
      <c r="D1743" s="62">
        <v>118.2</v>
      </c>
    </row>
    <row r="1744" spans="1:4">
      <c r="A1744" s="61">
        <v>4742</v>
      </c>
      <c r="B1744" s="61">
        <v>33247</v>
      </c>
      <c r="C1744" s="62">
        <v>1662.6</v>
      </c>
      <c r="D1744" s="62">
        <v>109</v>
      </c>
    </row>
    <row r="1745" spans="1:4">
      <c r="A1745" s="61">
        <v>4743</v>
      </c>
      <c r="B1745" s="61">
        <v>33247</v>
      </c>
      <c r="C1745" s="62">
        <v>1662.6</v>
      </c>
      <c r="D1745" s="62">
        <v>109</v>
      </c>
    </row>
    <row r="1746" spans="1:4">
      <c r="A1746" s="61">
        <v>4744</v>
      </c>
      <c r="B1746" s="61">
        <v>33045</v>
      </c>
      <c r="C1746" s="62">
        <v>1751.9</v>
      </c>
      <c r="D1746" s="62">
        <v>118.2</v>
      </c>
    </row>
    <row r="1747" spans="1:4">
      <c r="A1747" s="61">
        <v>4745</v>
      </c>
      <c r="B1747" s="61">
        <v>35264</v>
      </c>
      <c r="C1747" s="62">
        <v>1141.4000000000001</v>
      </c>
      <c r="D1747" s="62">
        <v>196.4</v>
      </c>
    </row>
    <row r="1748" spans="1:4">
      <c r="A1748" s="61">
        <v>4746</v>
      </c>
      <c r="B1748" s="61">
        <v>33210</v>
      </c>
      <c r="C1748" s="62">
        <v>1616</v>
      </c>
      <c r="D1748" s="62">
        <v>119.1</v>
      </c>
    </row>
    <row r="1749" spans="1:4">
      <c r="A1749" s="61">
        <v>4750</v>
      </c>
      <c r="B1749" s="61">
        <v>33119</v>
      </c>
      <c r="C1749" s="62">
        <v>1948.1</v>
      </c>
      <c r="D1749" s="62">
        <v>85.3</v>
      </c>
    </row>
    <row r="1750" spans="1:4">
      <c r="A1750" s="61">
        <v>4751</v>
      </c>
      <c r="B1750" s="61">
        <v>33045</v>
      </c>
      <c r="C1750" s="62">
        <v>1751.9</v>
      </c>
      <c r="D1750" s="62">
        <v>118.2</v>
      </c>
    </row>
    <row r="1751" spans="1:4">
      <c r="A1751" s="61">
        <v>4753</v>
      </c>
      <c r="B1751" s="61">
        <v>33045</v>
      </c>
      <c r="C1751" s="62">
        <v>1751.9</v>
      </c>
      <c r="D1751" s="62">
        <v>118.2</v>
      </c>
    </row>
    <row r="1752" spans="1:4">
      <c r="A1752" s="61">
        <v>4754</v>
      </c>
      <c r="B1752" s="61">
        <v>33045</v>
      </c>
      <c r="C1752" s="62">
        <v>1751.9</v>
      </c>
      <c r="D1752" s="62">
        <v>118.2</v>
      </c>
    </row>
    <row r="1753" spans="1:4">
      <c r="A1753" s="61">
        <v>4756</v>
      </c>
      <c r="B1753" s="61">
        <v>33045</v>
      </c>
      <c r="C1753" s="62">
        <v>1751.9</v>
      </c>
      <c r="D1753" s="62">
        <v>118.2</v>
      </c>
    </row>
    <row r="1754" spans="1:4">
      <c r="A1754" s="61">
        <v>4757</v>
      </c>
      <c r="B1754" s="61">
        <v>33045</v>
      </c>
      <c r="C1754" s="62">
        <v>1751.9</v>
      </c>
      <c r="D1754" s="62">
        <v>118.2</v>
      </c>
    </row>
    <row r="1755" spans="1:4">
      <c r="A1755" s="61">
        <v>4798</v>
      </c>
      <c r="B1755" s="61">
        <v>33247</v>
      </c>
      <c r="C1755" s="62">
        <v>1662.6</v>
      </c>
      <c r="D1755" s="62">
        <v>109</v>
      </c>
    </row>
    <row r="1756" spans="1:4">
      <c r="A1756" s="61">
        <v>4799</v>
      </c>
      <c r="B1756" s="61">
        <v>33247</v>
      </c>
      <c r="C1756" s="62">
        <v>1662.6</v>
      </c>
      <c r="D1756" s="62">
        <v>109</v>
      </c>
    </row>
    <row r="1757" spans="1:4">
      <c r="A1757" s="61">
        <v>4800</v>
      </c>
      <c r="B1757" s="61">
        <v>33247</v>
      </c>
      <c r="C1757" s="62">
        <v>1662.6</v>
      </c>
      <c r="D1757" s="62">
        <v>109</v>
      </c>
    </row>
    <row r="1758" spans="1:4">
      <c r="A1758" s="61">
        <v>4801</v>
      </c>
      <c r="B1758" s="61">
        <v>33106</v>
      </c>
      <c r="C1758" s="62">
        <v>1976.9</v>
      </c>
      <c r="D1758" s="62">
        <v>5.7</v>
      </c>
    </row>
    <row r="1759" spans="1:4">
      <c r="A1759" s="61">
        <v>4802</v>
      </c>
      <c r="B1759" s="61">
        <v>33247</v>
      </c>
      <c r="C1759" s="62">
        <v>1662.6</v>
      </c>
      <c r="D1759" s="62">
        <v>109</v>
      </c>
    </row>
    <row r="1760" spans="1:4">
      <c r="A1760" s="61">
        <v>4803</v>
      </c>
      <c r="B1760" s="61">
        <v>33106</v>
      </c>
      <c r="C1760" s="62">
        <v>1976.9</v>
      </c>
      <c r="D1760" s="62">
        <v>5.7</v>
      </c>
    </row>
    <row r="1761" spans="1:4">
      <c r="A1761" s="61">
        <v>4804</v>
      </c>
      <c r="B1761" s="61">
        <v>33247</v>
      </c>
      <c r="C1761" s="62">
        <v>1662.6</v>
      </c>
      <c r="D1761" s="62">
        <v>109</v>
      </c>
    </row>
    <row r="1762" spans="1:4">
      <c r="A1762" s="61">
        <v>4805</v>
      </c>
      <c r="B1762" s="61">
        <v>33247</v>
      </c>
      <c r="C1762" s="62">
        <v>1662.6</v>
      </c>
      <c r="D1762" s="62">
        <v>109</v>
      </c>
    </row>
    <row r="1763" spans="1:4">
      <c r="A1763" s="61">
        <v>4806</v>
      </c>
      <c r="B1763" s="61">
        <v>33002</v>
      </c>
      <c r="C1763" s="62">
        <v>1937.5</v>
      </c>
      <c r="D1763" s="62">
        <v>48.2</v>
      </c>
    </row>
    <row r="1764" spans="1:4">
      <c r="A1764" s="61">
        <v>4807</v>
      </c>
      <c r="B1764" s="61">
        <v>33002</v>
      </c>
      <c r="C1764" s="62">
        <v>1937.5</v>
      </c>
      <c r="D1764" s="62">
        <v>48.2</v>
      </c>
    </row>
    <row r="1765" spans="1:4">
      <c r="A1765" s="61">
        <v>4808</v>
      </c>
      <c r="B1765" s="61">
        <v>33002</v>
      </c>
      <c r="C1765" s="62">
        <v>1937.5</v>
      </c>
      <c r="D1765" s="62">
        <v>48.2</v>
      </c>
    </row>
    <row r="1766" spans="1:4">
      <c r="A1766" s="61">
        <v>4809</v>
      </c>
      <c r="B1766" s="61">
        <v>32040</v>
      </c>
      <c r="C1766" s="62">
        <v>2100.4</v>
      </c>
      <c r="D1766" s="62">
        <v>23.4</v>
      </c>
    </row>
    <row r="1767" spans="1:4">
      <c r="A1767" s="61">
        <v>4810</v>
      </c>
      <c r="B1767" s="61">
        <v>32040</v>
      </c>
      <c r="C1767" s="62">
        <v>2100.4</v>
      </c>
      <c r="D1767" s="62">
        <v>23.4</v>
      </c>
    </row>
    <row r="1768" spans="1:4">
      <c r="A1768" s="61">
        <v>4811</v>
      </c>
      <c r="B1768" s="61">
        <v>32040</v>
      </c>
      <c r="C1768" s="62">
        <v>2100.4</v>
      </c>
      <c r="D1768" s="62">
        <v>23.4</v>
      </c>
    </row>
    <row r="1769" spans="1:4">
      <c r="A1769" s="61">
        <v>4812</v>
      </c>
      <c r="B1769" s="61">
        <v>32040</v>
      </c>
      <c r="C1769" s="62">
        <v>2100.4</v>
      </c>
      <c r="D1769" s="62">
        <v>23.4</v>
      </c>
    </row>
    <row r="1770" spans="1:4">
      <c r="A1770" s="61">
        <v>4813</v>
      </c>
      <c r="B1770" s="61">
        <v>32040</v>
      </c>
      <c r="C1770" s="62">
        <v>2100.4</v>
      </c>
      <c r="D1770" s="62">
        <v>23.4</v>
      </c>
    </row>
    <row r="1771" spans="1:4">
      <c r="A1771" s="61">
        <v>4814</v>
      </c>
      <c r="B1771" s="61">
        <v>32040</v>
      </c>
      <c r="C1771" s="62">
        <v>2100.4</v>
      </c>
      <c r="D1771" s="62">
        <v>23.4</v>
      </c>
    </row>
    <row r="1772" spans="1:4">
      <c r="A1772" s="61">
        <v>4815</v>
      </c>
      <c r="B1772" s="61">
        <v>33307</v>
      </c>
      <c r="C1772" s="62">
        <v>1239.2</v>
      </c>
      <c r="D1772" s="62">
        <v>206.4</v>
      </c>
    </row>
    <row r="1773" spans="1:4">
      <c r="A1773" s="61">
        <v>4816</v>
      </c>
      <c r="B1773" s="61">
        <v>32040</v>
      </c>
      <c r="C1773" s="62">
        <v>2100.4</v>
      </c>
      <c r="D1773" s="62">
        <v>23.4</v>
      </c>
    </row>
    <row r="1774" spans="1:4">
      <c r="A1774" s="61">
        <v>4817</v>
      </c>
      <c r="B1774" s="61">
        <v>32040</v>
      </c>
      <c r="C1774" s="62">
        <v>2100.4</v>
      </c>
      <c r="D1774" s="62">
        <v>23.4</v>
      </c>
    </row>
    <row r="1775" spans="1:4">
      <c r="A1775" s="61">
        <v>4818</v>
      </c>
      <c r="B1775" s="61">
        <v>32040</v>
      </c>
      <c r="C1775" s="62">
        <v>2100.4</v>
      </c>
      <c r="D1775" s="62">
        <v>23.4</v>
      </c>
    </row>
    <row r="1776" spans="1:4">
      <c r="A1776" s="61">
        <v>4819</v>
      </c>
      <c r="B1776" s="61">
        <v>32040</v>
      </c>
      <c r="C1776" s="62">
        <v>2100.4</v>
      </c>
      <c r="D1776" s="62">
        <v>23.4</v>
      </c>
    </row>
    <row r="1777" spans="1:4">
      <c r="A1777" s="61">
        <v>4820</v>
      </c>
      <c r="B1777" s="61">
        <v>33307</v>
      </c>
      <c r="C1777" s="62">
        <v>1239.2</v>
      </c>
      <c r="D1777" s="62">
        <v>206.4</v>
      </c>
    </row>
    <row r="1778" spans="1:4">
      <c r="A1778" s="61">
        <v>4821</v>
      </c>
      <c r="B1778" s="61">
        <v>30022</v>
      </c>
      <c r="C1778" s="62">
        <v>1044.2</v>
      </c>
      <c r="D1778" s="62">
        <v>142.1</v>
      </c>
    </row>
    <row r="1779" spans="1:4">
      <c r="A1779" s="61">
        <v>4822</v>
      </c>
      <c r="B1779" s="61">
        <v>30124</v>
      </c>
      <c r="C1779" s="62">
        <v>1535.3</v>
      </c>
      <c r="D1779" s="62">
        <v>21.4</v>
      </c>
    </row>
    <row r="1780" spans="1:4">
      <c r="A1780" s="61">
        <v>4823</v>
      </c>
      <c r="B1780" s="61">
        <v>29058</v>
      </c>
      <c r="C1780" s="62">
        <v>1153.3</v>
      </c>
      <c r="D1780" s="62">
        <v>123.9</v>
      </c>
    </row>
    <row r="1781" spans="1:4">
      <c r="A1781" s="61">
        <v>4824</v>
      </c>
      <c r="B1781" s="61">
        <v>29141</v>
      </c>
      <c r="C1781" s="62">
        <v>1118.4000000000001</v>
      </c>
      <c r="D1781" s="62">
        <v>83.8</v>
      </c>
    </row>
    <row r="1782" spans="1:4">
      <c r="A1782" s="61">
        <v>4825</v>
      </c>
      <c r="B1782" s="61">
        <v>29127</v>
      </c>
      <c r="C1782" s="62">
        <v>1000.3</v>
      </c>
      <c r="D1782" s="62">
        <v>160.30000000000001</v>
      </c>
    </row>
    <row r="1783" spans="1:4">
      <c r="A1783" s="61">
        <v>4828</v>
      </c>
      <c r="B1783" s="61">
        <v>37010</v>
      </c>
      <c r="C1783" s="62">
        <v>1097.5</v>
      </c>
      <c r="D1783" s="62">
        <v>134</v>
      </c>
    </row>
    <row r="1784" spans="1:4">
      <c r="A1784" s="61">
        <v>4829</v>
      </c>
      <c r="B1784" s="61">
        <v>38026</v>
      </c>
      <c r="C1784" s="62">
        <v>644.20000000000005</v>
      </c>
      <c r="D1784" s="62">
        <v>363.3</v>
      </c>
    </row>
    <row r="1785" spans="1:4">
      <c r="A1785" s="61">
        <v>4830</v>
      </c>
      <c r="B1785" s="61">
        <v>29077</v>
      </c>
      <c r="C1785" s="62">
        <v>2102.1999999999998</v>
      </c>
      <c r="D1785" s="62">
        <v>7</v>
      </c>
    </row>
    <row r="1786" spans="1:4">
      <c r="A1786" s="61">
        <v>4849</v>
      </c>
      <c r="B1786" s="61">
        <v>32037</v>
      </c>
      <c r="C1786" s="62">
        <v>2260.9</v>
      </c>
      <c r="D1786" s="62">
        <v>16</v>
      </c>
    </row>
    <row r="1787" spans="1:4">
      <c r="A1787" s="61">
        <v>4850</v>
      </c>
      <c r="B1787" s="61">
        <v>32040</v>
      </c>
      <c r="C1787" s="62">
        <v>2100.4</v>
      </c>
      <c r="D1787" s="62">
        <v>23.4</v>
      </c>
    </row>
    <row r="1788" spans="1:4">
      <c r="A1788" s="61">
        <v>4852</v>
      </c>
      <c r="B1788" s="61">
        <v>32037</v>
      </c>
      <c r="C1788" s="62">
        <v>2260.9</v>
      </c>
      <c r="D1788" s="62">
        <v>16</v>
      </c>
    </row>
    <row r="1789" spans="1:4">
      <c r="A1789" s="61">
        <v>4854</v>
      </c>
      <c r="B1789" s="61">
        <v>32037</v>
      </c>
      <c r="C1789" s="62">
        <v>2260.9</v>
      </c>
      <c r="D1789" s="62">
        <v>16</v>
      </c>
    </row>
    <row r="1790" spans="1:4">
      <c r="A1790" s="61">
        <v>4855</v>
      </c>
      <c r="B1790" s="61">
        <v>32037</v>
      </c>
      <c r="C1790" s="62">
        <v>2260.9</v>
      </c>
      <c r="D1790" s="62">
        <v>16</v>
      </c>
    </row>
    <row r="1791" spans="1:4">
      <c r="A1791" s="61">
        <v>4856</v>
      </c>
      <c r="B1791" s="61">
        <v>32037</v>
      </c>
      <c r="C1791" s="62">
        <v>2260.9</v>
      </c>
      <c r="D1791" s="62">
        <v>16</v>
      </c>
    </row>
    <row r="1792" spans="1:4">
      <c r="A1792" s="61">
        <v>4857</v>
      </c>
      <c r="B1792" s="61">
        <v>40764</v>
      </c>
      <c r="C1792" s="62">
        <v>1163.3</v>
      </c>
      <c r="D1792" s="62">
        <v>135.9</v>
      </c>
    </row>
    <row r="1793" spans="1:4">
      <c r="A1793" s="61">
        <v>4858</v>
      </c>
      <c r="B1793" s="61">
        <v>32037</v>
      </c>
      <c r="C1793" s="62">
        <v>2260.9</v>
      </c>
      <c r="D1793" s="62">
        <v>16</v>
      </c>
    </row>
    <row r="1794" spans="1:4">
      <c r="A1794" s="61">
        <v>4859</v>
      </c>
      <c r="B1794" s="61">
        <v>32037</v>
      </c>
      <c r="C1794" s="62">
        <v>2260.9</v>
      </c>
      <c r="D1794" s="62">
        <v>16</v>
      </c>
    </row>
    <row r="1795" spans="1:4">
      <c r="A1795" s="61">
        <v>4860</v>
      </c>
      <c r="B1795" s="61">
        <v>32037</v>
      </c>
      <c r="C1795" s="62">
        <v>2260.9</v>
      </c>
      <c r="D1795" s="62">
        <v>16</v>
      </c>
    </row>
    <row r="1796" spans="1:4">
      <c r="A1796" s="61">
        <v>4861</v>
      </c>
      <c r="B1796" s="61">
        <v>32037</v>
      </c>
      <c r="C1796" s="62">
        <v>2260.9</v>
      </c>
      <c r="D1796" s="62">
        <v>16</v>
      </c>
    </row>
    <row r="1797" spans="1:4">
      <c r="A1797" s="61">
        <v>4865</v>
      </c>
      <c r="B1797" s="61">
        <v>31011</v>
      </c>
      <c r="C1797" s="62">
        <v>2320.5</v>
      </c>
      <c r="D1797" s="62">
        <v>2.2999999999999998</v>
      </c>
    </row>
    <row r="1798" spans="1:4">
      <c r="A1798" s="61">
        <v>4868</v>
      </c>
      <c r="B1798" s="61">
        <v>31011</v>
      </c>
      <c r="C1798" s="62">
        <v>2320.5</v>
      </c>
      <c r="D1798" s="62">
        <v>2.2999999999999998</v>
      </c>
    </row>
    <row r="1799" spans="1:4">
      <c r="A1799" s="61">
        <v>4869</v>
      </c>
      <c r="B1799" s="61">
        <v>31011</v>
      </c>
      <c r="C1799" s="62">
        <v>2320.5</v>
      </c>
      <c r="D1799" s="62">
        <v>2.2999999999999998</v>
      </c>
    </row>
    <row r="1800" spans="1:4">
      <c r="A1800" s="61">
        <v>4870</v>
      </c>
      <c r="B1800" s="61">
        <v>31011</v>
      </c>
      <c r="C1800" s="62">
        <v>2320.5</v>
      </c>
      <c r="D1800" s="62">
        <v>2.2999999999999998</v>
      </c>
    </row>
    <row r="1801" spans="1:4">
      <c r="A1801" s="61">
        <v>4871</v>
      </c>
      <c r="B1801" s="61">
        <v>31011</v>
      </c>
      <c r="C1801" s="62">
        <v>2320.5</v>
      </c>
      <c r="D1801" s="62">
        <v>2.2999999999999998</v>
      </c>
    </row>
    <row r="1802" spans="1:4">
      <c r="A1802" s="61">
        <v>4872</v>
      </c>
      <c r="B1802" s="61">
        <v>31210</v>
      </c>
      <c r="C1802" s="62">
        <v>1523.8</v>
      </c>
      <c r="D1802" s="62">
        <v>19.3</v>
      </c>
    </row>
    <row r="1803" spans="1:4">
      <c r="A1803" s="61">
        <v>4873</v>
      </c>
      <c r="B1803" s="61">
        <v>31037</v>
      </c>
      <c r="C1803" s="62">
        <v>2870.7</v>
      </c>
      <c r="D1803" s="62">
        <v>0</v>
      </c>
    </row>
    <row r="1804" spans="1:4">
      <c r="A1804" s="61">
        <v>4874</v>
      </c>
      <c r="B1804" s="61">
        <v>27058</v>
      </c>
      <c r="C1804" s="62">
        <v>3394.5</v>
      </c>
      <c r="D1804" s="62">
        <v>0</v>
      </c>
    </row>
    <row r="1805" spans="1:4">
      <c r="A1805" s="61">
        <v>4875</v>
      </c>
      <c r="B1805" s="61">
        <v>27058</v>
      </c>
      <c r="C1805" s="62">
        <v>3394.5</v>
      </c>
      <c r="D1805" s="62">
        <v>0</v>
      </c>
    </row>
    <row r="1806" spans="1:4">
      <c r="A1806" s="61">
        <v>4876</v>
      </c>
      <c r="B1806" s="61">
        <v>27058</v>
      </c>
      <c r="C1806" s="62">
        <v>3394.5</v>
      </c>
      <c r="D1806" s="62">
        <v>0</v>
      </c>
    </row>
    <row r="1807" spans="1:4">
      <c r="A1807" s="61">
        <v>4877</v>
      </c>
      <c r="B1807" s="61">
        <v>31037</v>
      </c>
      <c r="C1807" s="62">
        <v>2870.7</v>
      </c>
      <c r="D1807" s="62">
        <v>0</v>
      </c>
    </row>
    <row r="1808" spans="1:4">
      <c r="A1808" s="61">
        <v>4878</v>
      </c>
      <c r="B1808" s="61">
        <v>31011</v>
      </c>
      <c r="C1808" s="62">
        <v>2320.5</v>
      </c>
      <c r="D1808" s="62">
        <v>2.2999999999999998</v>
      </c>
    </row>
    <row r="1809" spans="1:4">
      <c r="A1809" s="61">
        <v>4879</v>
      </c>
      <c r="B1809" s="61">
        <v>31011</v>
      </c>
      <c r="C1809" s="62">
        <v>2320.5</v>
      </c>
      <c r="D1809" s="62">
        <v>2.2999999999999998</v>
      </c>
    </row>
    <row r="1810" spans="1:4">
      <c r="A1810" s="61">
        <v>4880</v>
      </c>
      <c r="B1810" s="61">
        <v>31210</v>
      </c>
      <c r="C1810" s="62">
        <v>1523.8</v>
      </c>
      <c r="D1810" s="62">
        <v>19.3</v>
      </c>
    </row>
    <row r="1811" spans="1:4">
      <c r="A1811" s="61">
        <v>4881</v>
      </c>
      <c r="B1811" s="61">
        <v>31011</v>
      </c>
      <c r="C1811" s="62">
        <v>2320.5</v>
      </c>
      <c r="D1811" s="62">
        <v>2.2999999999999998</v>
      </c>
    </row>
    <row r="1812" spans="1:4">
      <c r="A1812" s="61">
        <v>4882</v>
      </c>
      <c r="B1812" s="61">
        <v>31210</v>
      </c>
      <c r="C1812" s="62">
        <v>1523.8</v>
      </c>
      <c r="D1812" s="62">
        <v>19.3</v>
      </c>
    </row>
    <row r="1813" spans="1:4">
      <c r="A1813" s="61">
        <v>4883</v>
      </c>
      <c r="B1813" s="61">
        <v>31210</v>
      </c>
      <c r="C1813" s="62">
        <v>1523.8</v>
      </c>
      <c r="D1813" s="62">
        <v>19.3</v>
      </c>
    </row>
    <row r="1814" spans="1:4">
      <c r="A1814" s="61">
        <v>4884</v>
      </c>
      <c r="B1814" s="61">
        <v>31210</v>
      </c>
      <c r="C1814" s="62">
        <v>1523.8</v>
      </c>
      <c r="D1814" s="62">
        <v>19.3</v>
      </c>
    </row>
    <row r="1815" spans="1:4">
      <c r="A1815" s="12">
        <v>4885</v>
      </c>
      <c r="B1815" s="12">
        <v>31210</v>
      </c>
      <c r="C1815" s="12">
        <v>1523.8</v>
      </c>
      <c r="D1815" s="12">
        <v>19.3</v>
      </c>
    </row>
    <row r="1816" spans="1:4">
      <c r="A1816" s="61">
        <v>4886</v>
      </c>
      <c r="B1816" s="61">
        <v>32037</v>
      </c>
      <c r="C1816" s="62">
        <v>2260.9</v>
      </c>
      <c r="D1816" s="62">
        <v>16</v>
      </c>
    </row>
    <row r="1817" spans="1:4">
      <c r="A1817" s="61">
        <v>4887</v>
      </c>
      <c r="B1817" s="61">
        <v>31210</v>
      </c>
      <c r="C1817" s="62">
        <v>1523.8</v>
      </c>
      <c r="D1817" s="62">
        <v>19.3</v>
      </c>
    </row>
    <row r="1818" spans="1:4">
      <c r="A1818" s="61">
        <v>4888</v>
      </c>
      <c r="B1818" s="61">
        <v>31210</v>
      </c>
      <c r="C1818" s="62">
        <v>1523.8</v>
      </c>
      <c r="D1818" s="62">
        <v>19.3</v>
      </c>
    </row>
    <row r="1819" spans="1:4">
      <c r="A1819" s="61">
        <v>4890</v>
      </c>
      <c r="B1819" s="61">
        <v>29063</v>
      </c>
      <c r="C1819" s="62">
        <v>2174.5</v>
      </c>
      <c r="D1819" s="62">
        <v>4.0999999999999996</v>
      </c>
    </row>
    <row r="1820" spans="1:4">
      <c r="A1820" s="61">
        <v>4891</v>
      </c>
      <c r="B1820" s="61">
        <v>29063</v>
      </c>
      <c r="C1820" s="62">
        <v>2174.5</v>
      </c>
      <c r="D1820" s="62">
        <v>4.0999999999999996</v>
      </c>
    </row>
    <row r="1821" spans="1:4">
      <c r="A1821" s="61">
        <v>4892</v>
      </c>
      <c r="B1821" s="61">
        <v>31011</v>
      </c>
      <c r="C1821" s="62">
        <v>2320.5</v>
      </c>
      <c r="D1821" s="62">
        <v>2.2999999999999998</v>
      </c>
    </row>
    <row r="1822" spans="1:4">
      <c r="A1822" s="61">
        <v>4895</v>
      </c>
      <c r="B1822" s="61">
        <v>31209</v>
      </c>
      <c r="C1822" s="62">
        <v>2607.5</v>
      </c>
      <c r="D1822" s="62">
        <v>3.4</v>
      </c>
    </row>
    <row r="1823" spans="1:4">
      <c r="A1823" s="61">
        <v>5000</v>
      </c>
      <c r="B1823" s="61">
        <v>23034</v>
      </c>
      <c r="C1823" s="62">
        <v>159.69999999999999</v>
      </c>
      <c r="D1823" s="62">
        <v>995.6</v>
      </c>
    </row>
    <row r="1824" spans="1:4">
      <c r="A1824" s="61">
        <v>5005</v>
      </c>
      <c r="B1824" s="61">
        <v>23090</v>
      </c>
      <c r="C1824" s="62">
        <v>164.9</v>
      </c>
      <c r="D1824" s="62">
        <v>900.5</v>
      </c>
    </row>
    <row r="1825" spans="1:4">
      <c r="A1825" s="61">
        <v>5006</v>
      </c>
      <c r="B1825" s="61">
        <v>23090</v>
      </c>
      <c r="C1825" s="62">
        <v>164.9</v>
      </c>
      <c r="D1825" s="62">
        <v>900.5</v>
      </c>
    </row>
    <row r="1826" spans="1:4">
      <c r="A1826" s="61">
        <v>5007</v>
      </c>
      <c r="B1826" s="61">
        <v>23090</v>
      </c>
      <c r="C1826" s="62">
        <v>164.9</v>
      </c>
      <c r="D1826" s="62">
        <v>900.5</v>
      </c>
    </row>
    <row r="1827" spans="1:4">
      <c r="A1827" s="61">
        <v>5008</v>
      </c>
      <c r="B1827" s="61">
        <v>23090</v>
      </c>
      <c r="C1827" s="62">
        <v>164.9</v>
      </c>
      <c r="D1827" s="62">
        <v>900.5</v>
      </c>
    </row>
    <row r="1828" spans="1:4">
      <c r="A1828" s="61">
        <v>5009</v>
      </c>
      <c r="B1828" s="61">
        <v>23034</v>
      </c>
      <c r="C1828" s="62">
        <v>159.69999999999999</v>
      </c>
      <c r="D1828" s="62">
        <v>995.6</v>
      </c>
    </row>
    <row r="1829" spans="1:4">
      <c r="A1829" s="61">
        <v>5010</v>
      </c>
      <c r="B1829" s="61">
        <v>23090</v>
      </c>
      <c r="C1829" s="62">
        <v>164.9</v>
      </c>
      <c r="D1829" s="62">
        <v>900.5</v>
      </c>
    </row>
    <row r="1830" spans="1:4">
      <c r="A1830" s="61">
        <v>5011</v>
      </c>
      <c r="B1830" s="61">
        <v>23034</v>
      </c>
      <c r="C1830" s="62">
        <v>159.69999999999999</v>
      </c>
      <c r="D1830" s="62">
        <v>995.6</v>
      </c>
    </row>
    <row r="1831" spans="1:4">
      <c r="A1831" s="61">
        <v>5012</v>
      </c>
      <c r="B1831" s="61">
        <v>23013</v>
      </c>
      <c r="C1831" s="62">
        <v>158.19999999999999</v>
      </c>
      <c r="D1831" s="62">
        <v>1017.3</v>
      </c>
    </row>
    <row r="1832" spans="1:4">
      <c r="A1832" s="61">
        <v>5013</v>
      </c>
      <c r="B1832" s="61">
        <v>23013</v>
      </c>
      <c r="C1832" s="62">
        <v>158.19999999999999</v>
      </c>
      <c r="D1832" s="62">
        <v>1017.3</v>
      </c>
    </row>
    <row r="1833" spans="1:4">
      <c r="A1833" s="61">
        <v>5014</v>
      </c>
      <c r="B1833" s="61">
        <v>23034</v>
      </c>
      <c r="C1833" s="62">
        <v>159.69999999999999</v>
      </c>
      <c r="D1833" s="62">
        <v>995.6</v>
      </c>
    </row>
    <row r="1834" spans="1:4">
      <c r="A1834" s="61">
        <v>5015</v>
      </c>
      <c r="B1834" s="61">
        <v>23034</v>
      </c>
      <c r="C1834" s="62">
        <v>159.69999999999999</v>
      </c>
      <c r="D1834" s="62">
        <v>995.6</v>
      </c>
    </row>
    <row r="1835" spans="1:4">
      <c r="A1835" s="61">
        <v>5016</v>
      </c>
      <c r="B1835" s="61">
        <v>23013</v>
      </c>
      <c r="C1835" s="62">
        <v>158.19999999999999</v>
      </c>
      <c r="D1835" s="62">
        <v>1017.3</v>
      </c>
    </row>
    <row r="1836" spans="1:4">
      <c r="A1836" s="61">
        <v>5017</v>
      </c>
      <c r="B1836" s="61">
        <v>23013</v>
      </c>
      <c r="C1836" s="62">
        <v>158.19999999999999</v>
      </c>
      <c r="D1836" s="62">
        <v>1017.3</v>
      </c>
    </row>
    <row r="1837" spans="1:4">
      <c r="A1837" s="61">
        <v>5018</v>
      </c>
      <c r="B1837" s="61">
        <v>23013</v>
      </c>
      <c r="C1837" s="62">
        <v>158.19999999999999</v>
      </c>
      <c r="D1837" s="62">
        <v>1017.3</v>
      </c>
    </row>
    <row r="1838" spans="1:4">
      <c r="A1838" s="61">
        <v>5019</v>
      </c>
      <c r="B1838" s="61">
        <v>23034</v>
      </c>
      <c r="C1838" s="62">
        <v>159.69999999999999</v>
      </c>
      <c r="D1838" s="62">
        <v>995.6</v>
      </c>
    </row>
    <row r="1839" spans="1:4">
      <c r="A1839" s="61">
        <v>5020</v>
      </c>
      <c r="B1839" s="61">
        <v>23034</v>
      </c>
      <c r="C1839" s="62">
        <v>159.69999999999999</v>
      </c>
      <c r="D1839" s="62">
        <v>995.6</v>
      </c>
    </row>
    <row r="1840" spans="1:4">
      <c r="A1840" s="61">
        <v>5021</v>
      </c>
      <c r="B1840" s="61">
        <v>23034</v>
      </c>
      <c r="C1840" s="62">
        <v>159.69999999999999</v>
      </c>
      <c r="D1840" s="62">
        <v>995.6</v>
      </c>
    </row>
    <row r="1841" spans="1:4">
      <c r="A1841" s="61">
        <v>5022</v>
      </c>
      <c r="B1841" s="61">
        <v>23034</v>
      </c>
      <c r="C1841" s="62">
        <v>159.69999999999999</v>
      </c>
      <c r="D1841" s="62">
        <v>995.6</v>
      </c>
    </row>
    <row r="1842" spans="1:4">
      <c r="A1842" s="61">
        <v>5023</v>
      </c>
      <c r="B1842" s="61">
        <v>23034</v>
      </c>
      <c r="C1842" s="62">
        <v>159.69999999999999</v>
      </c>
      <c r="D1842" s="62">
        <v>995.6</v>
      </c>
    </row>
    <row r="1843" spans="1:4">
      <c r="A1843" s="61">
        <v>5024</v>
      </c>
      <c r="B1843" s="61">
        <v>23034</v>
      </c>
      <c r="C1843" s="62">
        <v>159.69999999999999</v>
      </c>
      <c r="D1843" s="62">
        <v>995.6</v>
      </c>
    </row>
    <row r="1844" spans="1:4">
      <c r="A1844" s="61">
        <v>5025</v>
      </c>
      <c r="B1844" s="61">
        <v>23034</v>
      </c>
      <c r="C1844" s="62">
        <v>159.69999999999999</v>
      </c>
      <c r="D1844" s="62">
        <v>995.6</v>
      </c>
    </row>
    <row r="1845" spans="1:4">
      <c r="A1845" s="61">
        <v>5031</v>
      </c>
      <c r="B1845" s="61">
        <v>23034</v>
      </c>
      <c r="C1845" s="62">
        <v>159.69999999999999</v>
      </c>
      <c r="D1845" s="62">
        <v>995.6</v>
      </c>
    </row>
    <row r="1846" spans="1:4">
      <c r="A1846" s="61">
        <v>5032</v>
      </c>
      <c r="B1846" s="61">
        <v>23034</v>
      </c>
      <c r="C1846" s="62">
        <v>159.69999999999999</v>
      </c>
      <c r="D1846" s="62">
        <v>995.6</v>
      </c>
    </row>
    <row r="1847" spans="1:4">
      <c r="A1847" s="61">
        <v>5033</v>
      </c>
      <c r="B1847" s="61">
        <v>23034</v>
      </c>
      <c r="C1847" s="62">
        <v>159.69999999999999</v>
      </c>
      <c r="D1847" s="62">
        <v>995.6</v>
      </c>
    </row>
    <row r="1848" spans="1:4">
      <c r="A1848" s="61">
        <v>5034</v>
      </c>
      <c r="B1848" s="61">
        <v>23090</v>
      </c>
      <c r="C1848" s="62">
        <v>164.9</v>
      </c>
      <c r="D1848" s="62">
        <v>900.5</v>
      </c>
    </row>
    <row r="1849" spans="1:4">
      <c r="A1849" s="61">
        <v>5035</v>
      </c>
      <c r="B1849" s="61">
        <v>23034</v>
      </c>
      <c r="C1849" s="62">
        <v>159.69999999999999</v>
      </c>
      <c r="D1849" s="62">
        <v>995.6</v>
      </c>
    </row>
    <row r="1850" spans="1:4">
      <c r="A1850" s="61">
        <v>5037</v>
      </c>
      <c r="B1850" s="61">
        <v>23034</v>
      </c>
      <c r="C1850" s="62">
        <v>159.69999999999999</v>
      </c>
      <c r="D1850" s="62">
        <v>995.6</v>
      </c>
    </row>
    <row r="1851" spans="1:4">
      <c r="A1851" s="61">
        <v>5038</v>
      </c>
      <c r="B1851" s="61">
        <v>23034</v>
      </c>
      <c r="C1851" s="62">
        <v>159.69999999999999</v>
      </c>
      <c r="D1851" s="62">
        <v>995.6</v>
      </c>
    </row>
    <row r="1852" spans="1:4">
      <c r="A1852" s="61">
        <v>5039</v>
      </c>
      <c r="B1852" s="61">
        <v>23034</v>
      </c>
      <c r="C1852" s="62">
        <v>159.69999999999999</v>
      </c>
      <c r="D1852" s="62">
        <v>995.6</v>
      </c>
    </row>
    <row r="1853" spans="1:4">
      <c r="A1853" s="61">
        <v>5040</v>
      </c>
      <c r="B1853" s="61">
        <v>23034</v>
      </c>
      <c r="C1853" s="62">
        <v>159.69999999999999</v>
      </c>
      <c r="D1853" s="62">
        <v>995.6</v>
      </c>
    </row>
    <row r="1854" spans="1:4">
      <c r="A1854" s="61">
        <v>5041</v>
      </c>
      <c r="B1854" s="61">
        <v>23090</v>
      </c>
      <c r="C1854" s="62">
        <v>164.9</v>
      </c>
      <c r="D1854" s="62">
        <v>900.5</v>
      </c>
    </row>
    <row r="1855" spans="1:4">
      <c r="A1855" s="61">
        <v>5042</v>
      </c>
      <c r="B1855" s="61">
        <v>23034</v>
      </c>
      <c r="C1855" s="62">
        <v>159.69999999999999</v>
      </c>
      <c r="D1855" s="62">
        <v>995.6</v>
      </c>
    </row>
    <row r="1856" spans="1:4">
      <c r="A1856" s="61">
        <v>5043</v>
      </c>
      <c r="B1856" s="61">
        <v>23034</v>
      </c>
      <c r="C1856" s="62">
        <v>159.69999999999999</v>
      </c>
      <c r="D1856" s="62">
        <v>995.6</v>
      </c>
    </row>
    <row r="1857" spans="1:4">
      <c r="A1857" s="61">
        <v>5044</v>
      </c>
      <c r="B1857" s="61">
        <v>23034</v>
      </c>
      <c r="C1857" s="62">
        <v>159.69999999999999</v>
      </c>
      <c r="D1857" s="62">
        <v>995.6</v>
      </c>
    </row>
    <row r="1858" spans="1:4">
      <c r="A1858" s="61">
        <v>5045</v>
      </c>
      <c r="B1858" s="61">
        <v>23034</v>
      </c>
      <c r="C1858" s="62">
        <v>159.69999999999999</v>
      </c>
      <c r="D1858" s="62">
        <v>995.6</v>
      </c>
    </row>
    <row r="1859" spans="1:4">
      <c r="A1859" s="61">
        <v>5046</v>
      </c>
      <c r="B1859" s="61">
        <v>23034</v>
      </c>
      <c r="C1859" s="62">
        <v>159.69999999999999</v>
      </c>
      <c r="D1859" s="62">
        <v>995.6</v>
      </c>
    </row>
    <row r="1860" spans="1:4">
      <c r="A1860" s="61">
        <v>5047</v>
      </c>
      <c r="B1860" s="61">
        <v>23034</v>
      </c>
      <c r="C1860" s="62">
        <v>159.69999999999999</v>
      </c>
      <c r="D1860" s="62">
        <v>995.6</v>
      </c>
    </row>
    <row r="1861" spans="1:4">
      <c r="A1861" s="61">
        <v>5048</v>
      </c>
      <c r="B1861" s="61">
        <v>23034</v>
      </c>
      <c r="C1861" s="62">
        <v>159.69999999999999</v>
      </c>
      <c r="D1861" s="62">
        <v>995.6</v>
      </c>
    </row>
    <row r="1862" spans="1:4">
      <c r="A1862" s="61">
        <v>5049</v>
      </c>
      <c r="B1862" s="61">
        <v>23034</v>
      </c>
      <c r="C1862" s="62">
        <v>159.69999999999999</v>
      </c>
      <c r="D1862" s="62">
        <v>995.6</v>
      </c>
    </row>
    <row r="1863" spans="1:4">
      <c r="A1863" s="61">
        <v>5050</v>
      </c>
      <c r="B1863" s="61">
        <v>23842</v>
      </c>
      <c r="C1863" s="62">
        <v>30.8</v>
      </c>
      <c r="D1863" s="62">
        <v>2317.1999999999998</v>
      </c>
    </row>
    <row r="1864" spans="1:4">
      <c r="A1864" s="61">
        <v>5051</v>
      </c>
      <c r="B1864" s="61">
        <v>23842</v>
      </c>
      <c r="C1864" s="62">
        <v>30.8</v>
      </c>
      <c r="D1864" s="62">
        <v>2317.1999999999998</v>
      </c>
    </row>
    <row r="1865" spans="1:4">
      <c r="A1865" s="61">
        <v>5052</v>
      </c>
      <c r="B1865" s="61">
        <v>23842</v>
      </c>
      <c r="C1865" s="62">
        <v>30.8</v>
      </c>
      <c r="D1865" s="62">
        <v>2317.1999999999998</v>
      </c>
    </row>
    <row r="1866" spans="1:4">
      <c r="A1866" s="61">
        <v>5061</v>
      </c>
      <c r="B1866" s="61">
        <v>23090</v>
      </c>
      <c r="C1866" s="62">
        <v>164.9</v>
      </c>
      <c r="D1866" s="62">
        <v>900.5</v>
      </c>
    </row>
    <row r="1867" spans="1:4">
      <c r="A1867" s="61">
        <v>5062</v>
      </c>
      <c r="B1867" s="61">
        <v>23090</v>
      </c>
      <c r="C1867" s="62">
        <v>164.9</v>
      </c>
      <c r="D1867" s="62">
        <v>900.5</v>
      </c>
    </row>
    <row r="1868" spans="1:4">
      <c r="A1868" s="61">
        <v>5063</v>
      </c>
      <c r="B1868" s="61">
        <v>23090</v>
      </c>
      <c r="C1868" s="62">
        <v>164.9</v>
      </c>
      <c r="D1868" s="62">
        <v>900.5</v>
      </c>
    </row>
    <row r="1869" spans="1:4">
      <c r="A1869" s="61">
        <v>5064</v>
      </c>
      <c r="B1869" s="61">
        <v>23090</v>
      </c>
      <c r="C1869" s="62">
        <v>164.9</v>
      </c>
      <c r="D1869" s="62">
        <v>900.5</v>
      </c>
    </row>
    <row r="1870" spans="1:4">
      <c r="A1870" s="61">
        <v>5065</v>
      </c>
      <c r="B1870" s="61">
        <v>23090</v>
      </c>
      <c r="C1870" s="62">
        <v>164.9</v>
      </c>
      <c r="D1870" s="62">
        <v>900.5</v>
      </c>
    </row>
    <row r="1871" spans="1:4">
      <c r="A1871" s="61">
        <v>5066</v>
      </c>
      <c r="B1871" s="61">
        <v>23090</v>
      </c>
      <c r="C1871" s="62">
        <v>164.9</v>
      </c>
      <c r="D1871" s="62">
        <v>900.5</v>
      </c>
    </row>
    <row r="1872" spans="1:4">
      <c r="A1872" s="61">
        <v>5067</v>
      </c>
      <c r="B1872" s="61">
        <v>23090</v>
      </c>
      <c r="C1872" s="62">
        <v>164.9</v>
      </c>
      <c r="D1872" s="62">
        <v>900.5</v>
      </c>
    </row>
    <row r="1873" spans="1:4">
      <c r="A1873" s="61">
        <v>5068</v>
      </c>
      <c r="B1873" s="61">
        <v>23090</v>
      </c>
      <c r="C1873" s="62">
        <v>164.9</v>
      </c>
      <c r="D1873" s="62">
        <v>900.5</v>
      </c>
    </row>
    <row r="1874" spans="1:4">
      <c r="A1874" s="61">
        <v>5069</v>
      </c>
      <c r="B1874" s="61">
        <v>23090</v>
      </c>
      <c r="C1874" s="62">
        <v>164.9</v>
      </c>
      <c r="D1874" s="62">
        <v>900.5</v>
      </c>
    </row>
    <row r="1875" spans="1:4">
      <c r="A1875" s="61">
        <v>5070</v>
      </c>
      <c r="B1875" s="61">
        <v>23090</v>
      </c>
      <c r="C1875" s="62">
        <v>164.9</v>
      </c>
      <c r="D1875" s="62">
        <v>900.5</v>
      </c>
    </row>
    <row r="1876" spans="1:4">
      <c r="A1876" s="61">
        <v>5072</v>
      </c>
      <c r="B1876" s="61">
        <v>23090</v>
      </c>
      <c r="C1876" s="62">
        <v>164.9</v>
      </c>
      <c r="D1876" s="62">
        <v>900.5</v>
      </c>
    </row>
    <row r="1877" spans="1:4">
      <c r="A1877" s="61">
        <v>5073</v>
      </c>
      <c r="B1877" s="61">
        <v>23090</v>
      </c>
      <c r="C1877" s="62">
        <v>164.9</v>
      </c>
      <c r="D1877" s="62">
        <v>900.5</v>
      </c>
    </row>
    <row r="1878" spans="1:4">
      <c r="A1878" s="61">
        <v>5074</v>
      </c>
      <c r="B1878" s="61">
        <v>23090</v>
      </c>
      <c r="C1878" s="62">
        <v>164.9</v>
      </c>
      <c r="D1878" s="62">
        <v>900.5</v>
      </c>
    </row>
    <row r="1879" spans="1:4">
      <c r="A1879" s="61">
        <v>5075</v>
      </c>
      <c r="B1879" s="61">
        <v>23090</v>
      </c>
      <c r="C1879" s="62">
        <v>164.9</v>
      </c>
      <c r="D1879" s="62">
        <v>900.5</v>
      </c>
    </row>
    <row r="1880" spans="1:4">
      <c r="A1880" s="61">
        <v>5076</v>
      </c>
      <c r="B1880" s="61">
        <v>23842</v>
      </c>
      <c r="C1880" s="62">
        <v>30.8</v>
      </c>
      <c r="D1880" s="62">
        <v>2317.1999999999998</v>
      </c>
    </row>
    <row r="1881" spans="1:4">
      <c r="A1881" s="61">
        <v>5081</v>
      </c>
      <c r="B1881" s="61">
        <v>23090</v>
      </c>
      <c r="C1881" s="62">
        <v>164.9</v>
      </c>
      <c r="D1881" s="62">
        <v>900.5</v>
      </c>
    </row>
    <row r="1882" spans="1:4">
      <c r="A1882" s="61">
        <v>5082</v>
      </c>
      <c r="B1882" s="61">
        <v>23090</v>
      </c>
      <c r="C1882" s="62">
        <v>164.9</v>
      </c>
      <c r="D1882" s="62">
        <v>900.5</v>
      </c>
    </row>
    <row r="1883" spans="1:4">
      <c r="A1883" s="61">
        <v>5083</v>
      </c>
      <c r="B1883" s="61">
        <v>23090</v>
      </c>
      <c r="C1883" s="62">
        <v>164.9</v>
      </c>
      <c r="D1883" s="62">
        <v>900.5</v>
      </c>
    </row>
    <row r="1884" spans="1:4">
      <c r="A1884" s="61">
        <v>5084</v>
      </c>
      <c r="B1884" s="61">
        <v>23090</v>
      </c>
      <c r="C1884" s="62">
        <v>164.9</v>
      </c>
      <c r="D1884" s="62">
        <v>900.5</v>
      </c>
    </row>
    <row r="1885" spans="1:4">
      <c r="A1885" s="61">
        <v>5085</v>
      </c>
      <c r="B1885" s="61">
        <v>23013</v>
      </c>
      <c r="C1885" s="62">
        <v>158.19999999999999</v>
      </c>
      <c r="D1885" s="62">
        <v>1017.3</v>
      </c>
    </row>
    <row r="1886" spans="1:4">
      <c r="A1886" s="61">
        <v>5086</v>
      </c>
      <c r="B1886" s="61">
        <v>23090</v>
      </c>
      <c r="C1886" s="62">
        <v>164.9</v>
      </c>
      <c r="D1886" s="62">
        <v>900.5</v>
      </c>
    </row>
    <row r="1887" spans="1:4">
      <c r="A1887" s="61">
        <v>5087</v>
      </c>
      <c r="B1887" s="61">
        <v>23090</v>
      </c>
      <c r="C1887" s="62">
        <v>164.9</v>
      </c>
      <c r="D1887" s="62">
        <v>900.5</v>
      </c>
    </row>
    <row r="1888" spans="1:4">
      <c r="A1888" s="61">
        <v>5088</v>
      </c>
      <c r="B1888" s="61">
        <v>23013</v>
      </c>
      <c r="C1888" s="62">
        <v>158.19999999999999</v>
      </c>
      <c r="D1888" s="62">
        <v>1017.3</v>
      </c>
    </row>
    <row r="1889" spans="1:4">
      <c r="A1889" s="61">
        <v>5089</v>
      </c>
      <c r="B1889" s="61">
        <v>23013</v>
      </c>
      <c r="C1889" s="62">
        <v>158.19999999999999</v>
      </c>
      <c r="D1889" s="62">
        <v>1017.3</v>
      </c>
    </row>
    <row r="1890" spans="1:4">
      <c r="A1890" s="61">
        <v>5090</v>
      </c>
      <c r="B1890" s="61">
        <v>23013</v>
      </c>
      <c r="C1890" s="62">
        <v>158.19999999999999</v>
      </c>
      <c r="D1890" s="62">
        <v>1017.3</v>
      </c>
    </row>
    <row r="1891" spans="1:4">
      <c r="A1891" s="61">
        <v>5091</v>
      </c>
      <c r="B1891" s="61">
        <v>23013</v>
      </c>
      <c r="C1891" s="62">
        <v>158.19999999999999</v>
      </c>
      <c r="D1891" s="62">
        <v>1017.3</v>
      </c>
    </row>
    <row r="1892" spans="1:4">
      <c r="A1892" s="61">
        <v>5092</v>
      </c>
      <c r="B1892" s="61">
        <v>23013</v>
      </c>
      <c r="C1892" s="62">
        <v>158.19999999999999</v>
      </c>
      <c r="D1892" s="62">
        <v>1017.3</v>
      </c>
    </row>
    <row r="1893" spans="1:4">
      <c r="A1893" s="61">
        <v>5093</v>
      </c>
      <c r="B1893" s="61">
        <v>23013</v>
      </c>
      <c r="C1893" s="62">
        <v>158.19999999999999</v>
      </c>
      <c r="D1893" s="62">
        <v>1017.3</v>
      </c>
    </row>
    <row r="1894" spans="1:4">
      <c r="A1894" s="61">
        <v>5094</v>
      </c>
      <c r="B1894" s="61">
        <v>23013</v>
      </c>
      <c r="C1894" s="62">
        <v>158.19999999999999</v>
      </c>
      <c r="D1894" s="62">
        <v>1017.3</v>
      </c>
    </row>
    <row r="1895" spans="1:4">
      <c r="A1895" s="61">
        <v>5095</v>
      </c>
      <c r="B1895" s="61">
        <v>23013</v>
      </c>
      <c r="C1895" s="62">
        <v>158.19999999999999</v>
      </c>
      <c r="D1895" s="62">
        <v>1017.3</v>
      </c>
    </row>
    <row r="1896" spans="1:4">
      <c r="A1896" s="61">
        <v>5096</v>
      </c>
      <c r="B1896" s="61">
        <v>23013</v>
      </c>
      <c r="C1896" s="62">
        <v>158.19999999999999</v>
      </c>
      <c r="D1896" s="62">
        <v>1017.3</v>
      </c>
    </row>
    <row r="1897" spans="1:4">
      <c r="A1897" s="61">
        <v>5097</v>
      </c>
      <c r="B1897" s="61">
        <v>23013</v>
      </c>
      <c r="C1897" s="62">
        <v>158.19999999999999</v>
      </c>
      <c r="D1897" s="62">
        <v>1017.3</v>
      </c>
    </row>
    <row r="1898" spans="1:4">
      <c r="A1898" s="61">
        <v>5098</v>
      </c>
      <c r="B1898" s="61">
        <v>23013</v>
      </c>
      <c r="C1898" s="62">
        <v>158.19999999999999</v>
      </c>
      <c r="D1898" s="62">
        <v>1017.3</v>
      </c>
    </row>
    <row r="1899" spans="1:4">
      <c r="A1899" s="61">
        <v>5106</v>
      </c>
      <c r="B1899" s="61">
        <v>23013</v>
      </c>
      <c r="C1899" s="62">
        <v>158.19999999999999</v>
      </c>
      <c r="D1899" s="62">
        <v>1017.3</v>
      </c>
    </row>
    <row r="1900" spans="1:4">
      <c r="A1900" s="61">
        <v>5107</v>
      </c>
      <c r="B1900" s="61">
        <v>23013</v>
      </c>
      <c r="C1900" s="62">
        <v>158.19999999999999</v>
      </c>
      <c r="D1900" s="62">
        <v>1017.3</v>
      </c>
    </row>
    <row r="1901" spans="1:4">
      <c r="A1901" s="61">
        <v>5108</v>
      </c>
      <c r="B1901" s="61">
        <v>23013</v>
      </c>
      <c r="C1901" s="62">
        <v>158.19999999999999</v>
      </c>
      <c r="D1901" s="62">
        <v>1017.3</v>
      </c>
    </row>
    <row r="1902" spans="1:4">
      <c r="A1902" s="61">
        <v>5109</v>
      </c>
      <c r="B1902" s="61">
        <v>23013</v>
      </c>
      <c r="C1902" s="62">
        <v>158.19999999999999</v>
      </c>
      <c r="D1902" s="62">
        <v>1017.3</v>
      </c>
    </row>
    <row r="1903" spans="1:4">
      <c r="A1903" s="61">
        <v>5110</v>
      </c>
      <c r="B1903" s="61">
        <v>23083</v>
      </c>
      <c r="C1903" s="62">
        <v>163.30000000000001</v>
      </c>
      <c r="D1903" s="62">
        <v>1035.5999999999999</v>
      </c>
    </row>
    <row r="1904" spans="1:4">
      <c r="A1904" s="61">
        <v>5111</v>
      </c>
      <c r="B1904" s="61">
        <v>23083</v>
      </c>
      <c r="C1904" s="62">
        <v>163.30000000000001</v>
      </c>
      <c r="D1904" s="62">
        <v>1035.5999999999999</v>
      </c>
    </row>
    <row r="1905" spans="1:4">
      <c r="A1905" s="61">
        <v>5112</v>
      </c>
      <c r="B1905" s="61">
        <v>23083</v>
      </c>
      <c r="C1905" s="62">
        <v>163.30000000000001</v>
      </c>
      <c r="D1905" s="62">
        <v>1035.5999999999999</v>
      </c>
    </row>
    <row r="1906" spans="1:4">
      <c r="A1906" s="61">
        <v>5113</v>
      </c>
      <c r="B1906" s="61">
        <v>23083</v>
      </c>
      <c r="C1906" s="62">
        <v>163.30000000000001</v>
      </c>
      <c r="D1906" s="62">
        <v>1035.5999999999999</v>
      </c>
    </row>
    <row r="1907" spans="1:4">
      <c r="A1907" s="61">
        <v>5114</v>
      </c>
      <c r="B1907" s="61">
        <v>23083</v>
      </c>
      <c r="C1907" s="62">
        <v>163.30000000000001</v>
      </c>
      <c r="D1907" s="62">
        <v>1035.5999999999999</v>
      </c>
    </row>
    <row r="1908" spans="1:4">
      <c r="A1908" s="61">
        <v>5115</v>
      </c>
      <c r="B1908" s="61">
        <v>23083</v>
      </c>
      <c r="C1908" s="62">
        <v>163.30000000000001</v>
      </c>
      <c r="D1908" s="62">
        <v>1035.5999999999999</v>
      </c>
    </row>
    <row r="1909" spans="1:4">
      <c r="A1909" s="61">
        <v>5116</v>
      </c>
      <c r="B1909" s="61">
        <v>23122</v>
      </c>
      <c r="C1909" s="62">
        <v>127.3</v>
      </c>
      <c r="D1909" s="62">
        <v>1177.3</v>
      </c>
    </row>
    <row r="1910" spans="1:4">
      <c r="A1910" s="61">
        <v>5117</v>
      </c>
      <c r="B1910" s="61">
        <v>23083</v>
      </c>
      <c r="C1910" s="62">
        <v>163.30000000000001</v>
      </c>
      <c r="D1910" s="62">
        <v>1035.5999999999999</v>
      </c>
    </row>
    <row r="1911" spans="1:4">
      <c r="A1911" s="61">
        <v>5118</v>
      </c>
      <c r="B1911" s="61">
        <v>23122</v>
      </c>
      <c r="C1911" s="62">
        <v>127.3</v>
      </c>
      <c r="D1911" s="62">
        <v>1177.3</v>
      </c>
    </row>
    <row r="1912" spans="1:4">
      <c r="A1912" s="61">
        <v>5120</v>
      </c>
      <c r="B1912" s="61">
        <v>23083</v>
      </c>
      <c r="C1912" s="62">
        <v>163.30000000000001</v>
      </c>
      <c r="D1912" s="62">
        <v>1035.5999999999999</v>
      </c>
    </row>
    <row r="1913" spans="1:4">
      <c r="A1913" s="61">
        <v>5121</v>
      </c>
      <c r="B1913" s="61">
        <v>23083</v>
      </c>
      <c r="C1913" s="62">
        <v>163.30000000000001</v>
      </c>
      <c r="D1913" s="62">
        <v>1035.5999999999999</v>
      </c>
    </row>
    <row r="1914" spans="1:4">
      <c r="A1914" s="61">
        <v>5125</v>
      </c>
      <c r="B1914" s="61">
        <v>23013</v>
      </c>
      <c r="C1914" s="62">
        <v>158.19999999999999</v>
      </c>
      <c r="D1914" s="62">
        <v>1017.3</v>
      </c>
    </row>
    <row r="1915" spans="1:4">
      <c r="A1915" s="61">
        <v>5126</v>
      </c>
      <c r="B1915" s="61">
        <v>23013</v>
      </c>
      <c r="C1915" s="62">
        <v>158.19999999999999</v>
      </c>
      <c r="D1915" s="62">
        <v>1017.3</v>
      </c>
    </row>
    <row r="1916" spans="1:4">
      <c r="A1916" s="61">
        <v>5127</v>
      </c>
      <c r="B1916" s="61">
        <v>23013</v>
      </c>
      <c r="C1916" s="62">
        <v>158.19999999999999</v>
      </c>
      <c r="D1916" s="62">
        <v>1017.3</v>
      </c>
    </row>
    <row r="1917" spans="1:4">
      <c r="A1917" s="61">
        <v>5131</v>
      </c>
      <c r="B1917" s="61">
        <v>23013</v>
      </c>
      <c r="C1917" s="62">
        <v>158.19999999999999</v>
      </c>
      <c r="D1917" s="62">
        <v>1017.3</v>
      </c>
    </row>
    <row r="1918" spans="1:4">
      <c r="A1918" s="61">
        <v>5132</v>
      </c>
      <c r="B1918" s="61">
        <v>23013</v>
      </c>
      <c r="C1918" s="62">
        <v>158.19999999999999</v>
      </c>
      <c r="D1918" s="62">
        <v>1017.3</v>
      </c>
    </row>
    <row r="1919" spans="1:4">
      <c r="A1919" s="61">
        <v>5133</v>
      </c>
      <c r="B1919" s="61">
        <v>23013</v>
      </c>
      <c r="C1919" s="62">
        <v>158.19999999999999</v>
      </c>
      <c r="D1919" s="62">
        <v>1017.3</v>
      </c>
    </row>
    <row r="1920" spans="1:4">
      <c r="A1920" s="61">
        <v>5134</v>
      </c>
      <c r="B1920" s="61">
        <v>23842</v>
      </c>
      <c r="C1920" s="62">
        <v>30.8</v>
      </c>
      <c r="D1920" s="62">
        <v>2317.1999999999998</v>
      </c>
    </row>
    <row r="1921" spans="1:4">
      <c r="A1921" s="61">
        <v>5136</v>
      </c>
      <c r="B1921" s="61">
        <v>23842</v>
      </c>
      <c r="C1921" s="62">
        <v>30.8</v>
      </c>
      <c r="D1921" s="62">
        <v>2317.1999999999998</v>
      </c>
    </row>
    <row r="1922" spans="1:4">
      <c r="A1922" s="61">
        <v>5137</v>
      </c>
      <c r="B1922" s="61">
        <v>23842</v>
      </c>
      <c r="C1922" s="62">
        <v>30.8</v>
      </c>
      <c r="D1922" s="62">
        <v>2317.1999999999998</v>
      </c>
    </row>
    <row r="1923" spans="1:4">
      <c r="A1923" s="61">
        <v>5138</v>
      </c>
      <c r="B1923" s="61">
        <v>23842</v>
      </c>
      <c r="C1923" s="62">
        <v>30.8</v>
      </c>
      <c r="D1923" s="62">
        <v>2317.1999999999998</v>
      </c>
    </row>
    <row r="1924" spans="1:4">
      <c r="A1924" s="61">
        <v>5139</v>
      </c>
      <c r="B1924" s="61">
        <v>23842</v>
      </c>
      <c r="C1924" s="62">
        <v>30.8</v>
      </c>
      <c r="D1924" s="62">
        <v>2317.1999999999998</v>
      </c>
    </row>
    <row r="1925" spans="1:4">
      <c r="A1925" s="61">
        <v>5140</v>
      </c>
      <c r="B1925" s="61">
        <v>23842</v>
      </c>
      <c r="C1925" s="62">
        <v>30.8</v>
      </c>
      <c r="D1925" s="62">
        <v>2317.1999999999998</v>
      </c>
    </row>
    <row r="1926" spans="1:4">
      <c r="A1926" s="61">
        <v>5141</v>
      </c>
      <c r="B1926" s="61">
        <v>23842</v>
      </c>
      <c r="C1926" s="62">
        <v>30.8</v>
      </c>
      <c r="D1926" s="62">
        <v>2317.1999999999998</v>
      </c>
    </row>
    <row r="1927" spans="1:4">
      <c r="A1927" s="61">
        <v>5142</v>
      </c>
      <c r="B1927" s="61">
        <v>23842</v>
      </c>
      <c r="C1927" s="62">
        <v>30.8</v>
      </c>
      <c r="D1927" s="62">
        <v>2317.1999999999998</v>
      </c>
    </row>
    <row r="1928" spans="1:4">
      <c r="A1928" s="61">
        <v>5144</v>
      </c>
      <c r="B1928" s="61">
        <v>23842</v>
      </c>
      <c r="C1928" s="62">
        <v>30.8</v>
      </c>
      <c r="D1928" s="62">
        <v>2317.1999999999998</v>
      </c>
    </row>
    <row r="1929" spans="1:4">
      <c r="A1929" s="61">
        <v>5150</v>
      </c>
      <c r="B1929" s="61">
        <v>23842</v>
      </c>
      <c r="C1929" s="62">
        <v>30.8</v>
      </c>
      <c r="D1929" s="62">
        <v>2317.1999999999998</v>
      </c>
    </row>
    <row r="1930" spans="1:4">
      <c r="A1930" s="61">
        <v>5151</v>
      </c>
      <c r="B1930" s="61">
        <v>23842</v>
      </c>
      <c r="C1930" s="62">
        <v>30.8</v>
      </c>
      <c r="D1930" s="62">
        <v>2317.1999999999998</v>
      </c>
    </row>
    <row r="1931" spans="1:4">
      <c r="A1931" s="61">
        <v>5152</v>
      </c>
      <c r="B1931" s="61">
        <v>23842</v>
      </c>
      <c r="C1931" s="62">
        <v>30.8</v>
      </c>
      <c r="D1931" s="62">
        <v>2317.1999999999998</v>
      </c>
    </row>
    <row r="1932" spans="1:4">
      <c r="A1932" s="61">
        <v>5153</v>
      </c>
      <c r="B1932" s="61">
        <v>23842</v>
      </c>
      <c r="C1932" s="62">
        <v>30.8</v>
      </c>
      <c r="D1932" s="62">
        <v>2317.1999999999998</v>
      </c>
    </row>
    <row r="1933" spans="1:4">
      <c r="A1933" s="61">
        <v>5154</v>
      </c>
      <c r="B1933" s="61">
        <v>23842</v>
      </c>
      <c r="C1933" s="62">
        <v>30.8</v>
      </c>
      <c r="D1933" s="62">
        <v>2317.1999999999998</v>
      </c>
    </row>
    <row r="1934" spans="1:4">
      <c r="A1934" s="61">
        <v>5155</v>
      </c>
      <c r="B1934" s="61">
        <v>23842</v>
      </c>
      <c r="C1934" s="62">
        <v>30.8</v>
      </c>
      <c r="D1934" s="62">
        <v>2317.1999999999998</v>
      </c>
    </row>
    <row r="1935" spans="1:4">
      <c r="A1935" s="61">
        <v>5156</v>
      </c>
      <c r="B1935" s="61">
        <v>23842</v>
      </c>
      <c r="C1935" s="62">
        <v>30.8</v>
      </c>
      <c r="D1935" s="62">
        <v>2317.1999999999998</v>
      </c>
    </row>
    <row r="1936" spans="1:4">
      <c r="A1936" s="61">
        <v>5157</v>
      </c>
      <c r="B1936" s="61">
        <v>23887</v>
      </c>
      <c r="C1936" s="62">
        <v>63.1</v>
      </c>
      <c r="D1936" s="62">
        <v>1560.6</v>
      </c>
    </row>
    <row r="1937" spans="1:4">
      <c r="A1937" s="61">
        <v>5158</v>
      </c>
      <c r="B1937" s="61">
        <v>23034</v>
      </c>
      <c r="C1937" s="62">
        <v>159.69999999999999</v>
      </c>
      <c r="D1937" s="62">
        <v>995.6</v>
      </c>
    </row>
    <row r="1938" spans="1:4">
      <c r="A1938" s="61">
        <v>5159</v>
      </c>
      <c r="B1938" s="61">
        <v>23887</v>
      </c>
      <c r="C1938" s="62">
        <v>63.1</v>
      </c>
      <c r="D1938" s="62">
        <v>1560.6</v>
      </c>
    </row>
    <row r="1939" spans="1:4">
      <c r="A1939" s="61">
        <v>5160</v>
      </c>
      <c r="B1939" s="61">
        <v>23885</v>
      </c>
      <c r="C1939" s="62">
        <v>133.5</v>
      </c>
      <c r="D1939" s="62">
        <v>956.2</v>
      </c>
    </row>
    <row r="1940" spans="1:4">
      <c r="A1940" s="61">
        <v>5161</v>
      </c>
      <c r="B1940" s="61">
        <v>23885</v>
      </c>
      <c r="C1940" s="62">
        <v>133.5</v>
      </c>
      <c r="D1940" s="62">
        <v>956.2</v>
      </c>
    </row>
    <row r="1941" spans="1:4">
      <c r="A1941" s="61">
        <v>5162</v>
      </c>
      <c r="B1941" s="61">
        <v>23885</v>
      </c>
      <c r="C1941" s="62">
        <v>133.5</v>
      </c>
      <c r="D1941" s="62">
        <v>956.2</v>
      </c>
    </row>
    <row r="1942" spans="1:4">
      <c r="A1942" s="61">
        <v>5163</v>
      </c>
      <c r="B1942" s="61">
        <v>23885</v>
      </c>
      <c r="C1942" s="62">
        <v>133.5</v>
      </c>
      <c r="D1942" s="62">
        <v>956.2</v>
      </c>
    </row>
    <row r="1943" spans="1:4">
      <c r="A1943" s="61">
        <v>5164</v>
      </c>
      <c r="B1943" s="61">
        <v>23885</v>
      </c>
      <c r="C1943" s="62">
        <v>133.5</v>
      </c>
      <c r="D1943" s="62">
        <v>956.2</v>
      </c>
    </row>
    <row r="1944" spans="1:4">
      <c r="A1944" s="61">
        <v>5165</v>
      </c>
      <c r="B1944" s="61">
        <v>23885</v>
      </c>
      <c r="C1944" s="62">
        <v>133.5</v>
      </c>
      <c r="D1944" s="62">
        <v>956.2</v>
      </c>
    </row>
    <row r="1945" spans="1:4">
      <c r="A1945" s="61">
        <v>5166</v>
      </c>
      <c r="B1945" s="61">
        <v>23885</v>
      </c>
      <c r="C1945" s="62">
        <v>133.5</v>
      </c>
      <c r="D1945" s="62">
        <v>956.2</v>
      </c>
    </row>
    <row r="1946" spans="1:4">
      <c r="A1946" s="61">
        <v>5167</v>
      </c>
      <c r="B1946" s="61">
        <v>23885</v>
      </c>
      <c r="C1946" s="62">
        <v>133.5</v>
      </c>
      <c r="D1946" s="62">
        <v>956.2</v>
      </c>
    </row>
    <row r="1947" spans="1:4">
      <c r="A1947" s="61">
        <v>5168</v>
      </c>
      <c r="B1947" s="61">
        <v>23885</v>
      </c>
      <c r="C1947" s="62">
        <v>133.5</v>
      </c>
      <c r="D1947" s="62">
        <v>956.2</v>
      </c>
    </row>
    <row r="1948" spans="1:4">
      <c r="A1948" s="61">
        <v>5169</v>
      </c>
      <c r="B1948" s="61">
        <v>23885</v>
      </c>
      <c r="C1948" s="62">
        <v>133.5</v>
      </c>
      <c r="D1948" s="62">
        <v>956.2</v>
      </c>
    </row>
    <row r="1949" spans="1:4">
      <c r="A1949" s="61">
        <v>5170</v>
      </c>
      <c r="B1949" s="61">
        <v>23885</v>
      </c>
      <c r="C1949" s="62">
        <v>133.5</v>
      </c>
      <c r="D1949" s="62">
        <v>956.2</v>
      </c>
    </row>
    <row r="1950" spans="1:4">
      <c r="A1950" s="61">
        <v>5171</v>
      </c>
      <c r="B1950" s="61">
        <v>23887</v>
      </c>
      <c r="C1950" s="62">
        <v>63.1</v>
      </c>
      <c r="D1950" s="62">
        <v>1560.6</v>
      </c>
    </row>
    <row r="1951" spans="1:4">
      <c r="A1951" s="61">
        <v>5172</v>
      </c>
      <c r="B1951" s="61">
        <v>23887</v>
      </c>
      <c r="C1951" s="62">
        <v>63.1</v>
      </c>
      <c r="D1951" s="62">
        <v>1560.6</v>
      </c>
    </row>
    <row r="1952" spans="1:4">
      <c r="A1952" s="61">
        <v>5173</v>
      </c>
      <c r="B1952" s="61">
        <v>23885</v>
      </c>
      <c r="C1952" s="62">
        <v>133.5</v>
      </c>
      <c r="D1952" s="62">
        <v>956.2</v>
      </c>
    </row>
    <row r="1953" spans="1:4">
      <c r="A1953" s="61">
        <v>5174</v>
      </c>
      <c r="B1953" s="61">
        <v>23885</v>
      </c>
      <c r="C1953" s="62">
        <v>133.5</v>
      </c>
      <c r="D1953" s="62">
        <v>956.2</v>
      </c>
    </row>
    <row r="1954" spans="1:4">
      <c r="A1954" s="61">
        <v>5201</v>
      </c>
      <c r="B1954" s="61">
        <v>23887</v>
      </c>
      <c r="C1954" s="62">
        <v>63.1</v>
      </c>
      <c r="D1954" s="62">
        <v>1560.6</v>
      </c>
    </row>
    <row r="1955" spans="1:4">
      <c r="A1955" s="61">
        <v>5202</v>
      </c>
      <c r="B1955" s="61">
        <v>23875</v>
      </c>
      <c r="C1955" s="62">
        <v>54.3</v>
      </c>
      <c r="D1955" s="62">
        <v>1698.6</v>
      </c>
    </row>
    <row r="1956" spans="1:4">
      <c r="A1956" s="61">
        <v>5203</v>
      </c>
      <c r="B1956" s="61">
        <v>23875</v>
      </c>
      <c r="C1956" s="62">
        <v>54.3</v>
      </c>
      <c r="D1956" s="62">
        <v>1698.6</v>
      </c>
    </row>
    <row r="1957" spans="1:4">
      <c r="A1957" s="61">
        <v>5204</v>
      </c>
      <c r="B1957" s="61">
        <v>23875</v>
      </c>
      <c r="C1957" s="62">
        <v>54.3</v>
      </c>
      <c r="D1957" s="62">
        <v>1698.6</v>
      </c>
    </row>
    <row r="1958" spans="1:4">
      <c r="A1958" s="61">
        <v>5210</v>
      </c>
      <c r="B1958" s="61">
        <v>23887</v>
      </c>
      <c r="C1958" s="62">
        <v>63.1</v>
      </c>
      <c r="D1958" s="62">
        <v>1560.6</v>
      </c>
    </row>
    <row r="1959" spans="1:4">
      <c r="A1959" s="61">
        <v>5211</v>
      </c>
      <c r="B1959" s="61">
        <v>23894</v>
      </c>
      <c r="C1959" s="62">
        <v>146.5</v>
      </c>
      <c r="D1959" s="62">
        <v>1029.5</v>
      </c>
    </row>
    <row r="1960" spans="1:4">
      <c r="A1960" s="61">
        <v>5212</v>
      </c>
      <c r="B1960" s="61">
        <v>23894</v>
      </c>
      <c r="C1960" s="62">
        <v>146.5</v>
      </c>
      <c r="D1960" s="62">
        <v>1029.5</v>
      </c>
    </row>
    <row r="1961" spans="1:4">
      <c r="A1961" s="61">
        <v>5213</v>
      </c>
      <c r="B1961" s="61">
        <v>23894</v>
      </c>
      <c r="C1961" s="62">
        <v>146.5</v>
      </c>
      <c r="D1961" s="62">
        <v>1029.5</v>
      </c>
    </row>
    <row r="1962" spans="1:4">
      <c r="A1962" s="61">
        <v>5214</v>
      </c>
      <c r="B1962" s="61">
        <v>23894</v>
      </c>
      <c r="C1962" s="62">
        <v>146.5</v>
      </c>
      <c r="D1962" s="62">
        <v>1029.5</v>
      </c>
    </row>
    <row r="1963" spans="1:4">
      <c r="A1963" s="61">
        <v>5220</v>
      </c>
      <c r="B1963" s="61">
        <v>22841</v>
      </c>
      <c r="C1963" s="62">
        <v>81.8</v>
      </c>
      <c r="D1963" s="62">
        <v>1331.8</v>
      </c>
    </row>
    <row r="1964" spans="1:4">
      <c r="A1964" s="61">
        <v>5221</v>
      </c>
      <c r="B1964" s="61">
        <v>22841</v>
      </c>
      <c r="C1964" s="62">
        <v>81.8</v>
      </c>
      <c r="D1964" s="62">
        <v>1331.8</v>
      </c>
    </row>
    <row r="1965" spans="1:4">
      <c r="A1965" s="61">
        <v>5222</v>
      </c>
      <c r="B1965" s="61">
        <v>22803</v>
      </c>
      <c r="C1965" s="62">
        <v>98.8</v>
      </c>
      <c r="D1965" s="62">
        <v>1028.7</v>
      </c>
    </row>
    <row r="1966" spans="1:4">
      <c r="A1966" s="61">
        <v>5223</v>
      </c>
      <c r="B1966" s="61">
        <v>22841</v>
      </c>
      <c r="C1966" s="62">
        <v>81.8</v>
      </c>
      <c r="D1966" s="62">
        <v>1331.8</v>
      </c>
    </row>
    <row r="1967" spans="1:4">
      <c r="A1967" s="61">
        <v>5231</v>
      </c>
      <c r="B1967" s="61">
        <v>23878</v>
      </c>
      <c r="C1967" s="62">
        <v>57.3</v>
      </c>
      <c r="D1967" s="62">
        <v>1768.4</v>
      </c>
    </row>
    <row r="1968" spans="1:4">
      <c r="A1968" s="61">
        <v>5232</v>
      </c>
      <c r="B1968" s="61">
        <v>23878</v>
      </c>
      <c r="C1968" s="62">
        <v>57.3</v>
      </c>
      <c r="D1968" s="62">
        <v>1768.4</v>
      </c>
    </row>
    <row r="1969" spans="1:4">
      <c r="A1969" s="61">
        <v>5233</v>
      </c>
      <c r="B1969" s="61">
        <v>23878</v>
      </c>
      <c r="C1969" s="62">
        <v>57.3</v>
      </c>
      <c r="D1969" s="62">
        <v>1768.4</v>
      </c>
    </row>
    <row r="1970" spans="1:4">
      <c r="A1970" s="61">
        <v>5234</v>
      </c>
      <c r="B1970" s="61">
        <v>23878</v>
      </c>
      <c r="C1970" s="62">
        <v>57.3</v>
      </c>
      <c r="D1970" s="62">
        <v>1768.4</v>
      </c>
    </row>
    <row r="1971" spans="1:4">
      <c r="A1971" s="61">
        <v>5235</v>
      </c>
      <c r="B1971" s="61">
        <v>23878</v>
      </c>
      <c r="C1971" s="62">
        <v>57.3</v>
      </c>
      <c r="D1971" s="62">
        <v>1768.4</v>
      </c>
    </row>
    <row r="1972" spans="1:4">
      <c r="A1972" s="61">
        <v>5236</v>
      </c>
      <c r="B1972" s="61">
        <v>23878</v>
      </c>
      <c r="C1972" s="62">
        <v>57.3</v>
      </c>
      <c r="D1972" s="62">
        <v>1768.4</v>
      </c>
    </row>
    <row r="1973" spans="1:4">
      <c r="A1973" s="61">
        <v>5237</v>
      </c>
      <c r="B1973" s="61">
        <v>24584</v>
      </c>
      <c r="C1973" s="62">
        <v>121.4</v>
      </c>
      <c r="D1973" s="62">
        <v>1230.3</v>
      </c>
    </row>
    <row r="1974" spans="1:4">
      <c r="A1974" s="61">
        <v>5238</v>
      </c>
      <c r="B1974" s="61">
        <v>23373</v>
      </c>
      <c r="C1974" s="62">
        <v>81</v>
      </c>
      <c r="D1974" s="62">
        <v>1463.7</v>
      </c>
    </row>
    <row r="1975" spans="1:4">
      <c r="A1975" s="61">
        <v>5240</v>
      </c>
      <c r="B1975" s="61">
        <v>23842</v>
      </c>
      <c r="C1975" s="62">
        <v>30.8</v>
      </c>
      <c r="D1975" s="62">
        <v>2317.1999999999998</v>
      </c>
    </row>
    <row r="1976" spans="1:4">
      <c r="A1976" s="61">
        <v>5241</v>
      </c>
      <c r="B1976" s="61">
        <v>23842</v>
      </c>
      <c r="C1976" s="62">
        <v>30.8</v>
      </c>
      <c r="D1976" s="62">
        <v>2317.1999999999998</v>
      </c>
    </row>
    <row r="1977" spans="1:4">
      <c r="A1977" s="61">
        <v>5242</v>
      </c>
      <c r="B1977" s="61">
        <v>23842</v>
      </c>
      <c r="C1977" s="62">
        <v>30.8</v>
      </c>
      <c r="D1977" s="62">
        <v>2317.1999999999998</v>
      </c>
    </row>
    <row r="1978" spans="1:4">
      <c r="A1978" s="61">
        <v>5243</v>
      </c>
      <c r="B1978" s="61">
        <v>23842</v>
      </c>
      <c r="C1978" s="62">
        <v>30.8</v>
      </c>
      <c r="D1978" s="62">
        <v>2317.1999999999998</v>
      </c>
    </row>
    <row r="1979" spans="1:4">
      <c r="A1979" s="61">
        <v>5244</v>
      </c>
      <c r="B1979" s="61">
        <v>24584</v>
      </c>
      <c r="C1979" s="62">
        <v>121.4</v>
      </c>
      <c r="D1979" s="62">
        <v>1230.3</v>
      </c>
    </row>
    <row r="1980" spans="1:4">
      <c r="A1980" s="61">
        <v>5245</v>
      </c>
      <c r="B1980" s="61">
        <v>23842</v>
      </c>
      <c r="C1980" s="62">
        <v>30.8</v>
      </c>
      <c r="D1980" s="62">
        <v>2317.1999999999998</v>
      </c>
    </row>
    <row r="1981" spans="1:4">
      <c r="A1981" s="61">
        <v>5250</v>
      </c>
      <c r="B1981" s="61">
        <v>23842</v>
      </c>
      <c r="C1981" s="62">
        <v>30.8</v>
      </c>
      <c r="D1981" s="62">
        <v>2317.1999999999998</v>
      </c>
    </row>
    <row r="1982" spans="1:4">
      <c r="A1982" s="61">
        <v>5251</v>
      </c>
      <c r="B1982" s="61">
        <v>23842</v>
      </c>
      <c r="C1982" s="62">
        <v>30.8</v>
      </c>
      <c r="D1982" s="62">
        <v>2317.1999999999998</v>
      </c>
    </row>
    <row r="1983" spans="1:4">
      <c r="A1983" s="61">
        <v>5252</v>
      </c>
      <c r="B1983" s="61">
        <v>23842</v>
      </c>
      <c r="C1983" s="62">
        <v>30.8</v>
      </c>
      <c r="D1983" s="62">
        <v>2317.1999999999998</v>
      </c>
    </row>
    <row r="1984" spans="1:4">
      <c r="A1984" s="61">
        <v>5253</v>
      </c>
      <c r="B1984" s="61">
        <v>24584</v>
      </c>
      <c r="C1984" s="62">
        <v>121.4</v>
      </c>
      <c r="D1984" s="62">
        <v>1230.3</v>
      </c>
    </row>
    <row r="1985" spans="1:4">
      <c r="A1985" s="61">
        <v>5254</v>
      </c>
      <c r="B1985" s="61">
        <v>24584</v>
      </c>
      <c r="C1985" s="62">
        <v>121.4</v>
      </c>
      <c r="D1985" s="62">
        <v>1230.3</v>
      </c>
    </row>
    <row r="1986" spans="1:4">
      <c r="A1986" s="61">
        <v>5255</v>
      </c>
      <c r="B1986" s="61">
        <v>24580</v>
      </c>
      <c r="C1986" s="62">
        <v>94.1</v>
      </c>
      <c r="D1986" s="62">
        <v>1186.3</v>
      </c>
    </row>
    <row r="1987" spans="1:4">
      <c r="A1987" s="61">
        <v>5256</v>
      </c>
      <c r="B1987" s="61">
        <v>24580</v>
      </c>
      <c r="C1987" s="62">
        <v>94.1</v>
      </c>
      <c r="D1987" s="62">
        <v>1186.3</v>
      </c>
    </row>
    <row r="1988" spans="1:4">
      <c r="A1988" s="61">
        <v>5259</v>
      </c>
      <c r="B1988" s="61">
        <v>24584</v>
      </c>
      <c r="C1988" s="62">
        <v>121.4</v>
      </c>
      <c r="D1988" s="62">
        <v>1230.3</v>
      </c>
    </row>
    <row r="1989" spans="1:4">
      <c r="A1989" s="61">
        <v>5260</v>
      </c>
      <c r="B1989" s="61">
        <v>24584</v>
      </c>
      <c r="C1989" s="62">
        <v>121.4</v>
      </c>
      <c r="D1989" s="62">
        <v>1230.3</v>
      </c>
    </row>
    <row r="1990" spans="1:4">
      <c r="A1990" s="61">
        <v>5261</v>
      </c>
      <c r="B1990" s="61">
        <v>24584</v>
      </c>
      <c r="C1990" s="62">
        <v>121.4</v>
      </c>
      <c r="D1990" s="62">
        <v>1230.3</v>
      </c>
    </row>
    <row r="1991" spans="1:4">
      <c r="A1991" s="61">
        <v>5262</v>
      </c>
      <c r="B1991" s="61">
        <v>26099</v>
      </c>
      <c r="C1991" s="62">
        <v>73.8</v>
      </c>
      <c r="D1991" s="62">
        <v>1554.2</v>
      </c>
    </row>
    <row r="1992" spans="1:4">
      <c r="A1992" s="61">
        <v>5263</v>
      </c>
      <c r="B1992" s="61">
        <v>26091</v>
      </c>
      <c r="C1992" s="62">
        <v>82.5</v>
      </c>
      <c r="D1992" s="62">
        <v>1633.4</v>
      </c>
    </row>
    <row r="1993" spans="1:4">
      <c r="A1993" s="61">
        <v>5264</v>
      </c>
      <c r="B1993" s="61">
        <v>23894</v>
      </c>
      <c r="C1993" s="62">
        <v>146.5</v>
      </c>
      <c r="D1993" s="62">
        <v>1029.5</v>
      </c>
    </row>
    <row r="1994" spans="1:4">
      <c r="A1994" s="61">
        <v>5265</v>
      </c>
      <c r="B1994" s="61">
        <v>25557</v>
      </c>
      <c r="C1994" s="62">
        <v>109.5</v>
      </c>
      <c r="D1994" s="62">
        <v>1444.8</v>
      </c>
    </row>
    <row r="1995" spans="1:4">
      <c r="A1995" s="61">
        <v>5266</v>
      </c>
      <c r="B1995" s="61">
        <v>25557</v>
      </c>
      <c r="C1995" s="62">
        <v>109.5</v>
      </c>
      <c r="D1995" s="62">
        <v>1444.8</v>
      </c>
    </row>
    <row r="1996" spans="1:4">
      <c r="A1996" s="61">
        <v>5267</v>
      </c>
      <c r="B1996" s="61">
        <v>25557</v>
      </c>
      <c r="C1996" s="62">
        <v>109.5</v>
      </c>
      <c r="D1996" s="62">
        <v>1444.8</v>
      </c>
    </row>
    <row r="1997" spans="1:4">
      <c r="A1997" s="61">
        <v>5268</v>
      </c>
      <c r="B1997" s="61">
        <v>26100</v>
      </c>
      <c r="C1997" s="62">
        <v>113.6</v>
      </c>
      <c r="D1997" s="62">
        <v>1487.2</v>
      </c>
    </row>
    <row r="1998" spans="1:4">
      <c r="A1998" s="61">
        <v>5269</v>
      </c>
      <c r="B1998" s="61">
        <v>26100</v>
      </c>
      <c r="C1998" s="62">
        <v>113.6</v>
      </c>
      <c r="D1998" s="62">
        <v>1487.2</v>
      </c>
    </row>
    <row r="1999" spans="1:4">
      <c r="A1999" s="61">
        <v>5270</v>
      </c>
      <c r="B1999" s="61">
        <v>25507</v>
      </c>
      <c r="C1999" s="62">
        <v>147.1</v>
      </c>
      <c r="D1999" s="62">
        <v>1276.2</v>
      </c>
    </row>
    <row r="2000" spans="1:4">
      <c r="A2000" s="61">
        <v>5271</v>
      </c>
      <c r="B2000" s="61">
        <v>26100</v>
      </c>
      <c r="C2000" s="62">
        <v>113.6</v>
      </c>
      <c r="D2000" s="62">
        <v>1487.2</v>
      </c>
    </row>
    <row r="2001" spans="1:4">
      <c r="A2001" s="61">
        <v>5272</v>
      </c>
      <c r="B2001" s="61">
        <v>26105</v>
      </c>
      <c r="C2001" s="62">
        <v>63.9</v>
      </c>
      <c r="D2001" s="62">
        <v>1474.4</v>
      </c>
    </row>
    <row r="2002" spans="1:4">
      <c r="A2002" s="61">
        <v>5273</v>
      </c>
      <c r="B2002" s="61">
        <v>26100</v>
      </c>
      <c r="C2002" s="62">
        <v>113.6</v>
      </c>
      <c r="D2002" s="62">
        <v>1487.2</v>
      </c>
    </row>
    <row r="2003" spans="1:4">
      <c r="A2003" s="61">
        <v>5275</v>
      </c>
      <c r="B2003" s="61">
        <v>26095</v>
      </c>
      <c r="C2003" s="62">
        <v>71.5</v>
      </c>
      <c r="D2003" s="62">
        <v>1360.5</v>
      </c>
    </row>
    <row r="2004" spans="1:4">
      <c r="A2004" s="61">
        <v>5276</v>
      </c>
      <c r="B2004" s="61">
        <v>26105</v>
      </c>
      <c r="C2004" s="62">
        <v>63.9</v>
      </c>
      <c r="D2004" s="62">
        <v>1474.4</v>
      </c>
    </row>
    <row r="2005" spans="1:4">
      <c r="A2005" s="61">
        <v>5277</v>
      </c>
      <c r="B2005" s="61">
        <v>26091</v>
      </c>
      <c r="C2005" s="62">
        <v>82.5</v>
      </c>
      <c r="D2005" s="62">
        <v>1633.4</v>
      </c>
    </row>
    <row r="2006" spans="1:4">
      <c r="A2006" s="61">
        <v>5278</v>
      </c>
      <c r="B2006" s="61">
        <v>26091</v>
      </c>
      <c r="C2006" s="62">
        <v>82.5</v>
      </c>
      <c r="D2006" s="62">
        <v>1633.4</v>
      </c>
    </row>
    <row r="2007" spans="1:4">
      <c r="A2007" s="61">
        <v>5279</v>
      </c>
      <c r="B2007" s="61">
        <v>26021</v>
      </c>
      <c r="C2007" s="62">
        <v>55.4</v>
      </c>
      <c r="D2007" s="62">
        <v>1654.6</v>
      </c>
    </row>
    <row r="2008" spans="1:4">
      <c r="A2008" s="61">
        <v>5280</v>
      </c>
      <c r="B2008" s="61">
        <v>26021</v>
      </c>
      <c r="C2008" s="62">
        <v>55.4</v>
      </c>
      <c r="D2008" s="62">
        <v>1654.6</v>
      </c>
    </row>
    <row r="2009" spans="1:4">
      <c r="A2009" s="61">
        <v>5290</v>
      </c>
      <c r="B2009" s="61">
        <v>26021</v>
      </c>
      <c r="C2009" s="62">
        <v>55.4</v>
      </c>
      <c r="D2009" s="62">
        <v>1654.6</v>
      </c>
    </row>
    <row r="2010" spans="1:4">
      <c r="A2010" s="61">
        <v>5291</v>
      </c>
      <c r="B2010" s="61">
        <v>26021</v>
      </c>
      <c r="C2010" s="62">
        <v>55.4</v>
      </c>
      <c r="D2010" s="62">
        <v>1654.6</v>
      </c>
    </row>
    <row r="2011" spans="1:4">
      <c r="A2011" s="61">
        <v>5301</v>
      </c>
      <c r="B2011" s="61">
        <v>25562</v>
      </c>
      <c r="C2011" s="62">
        <v>123.6</v>
      </c>
      <c r="D2011" s="62">
        <v>1339.7</v>
      </c>
    </row>
    <row r="2012" spans="1:4">
      <c r="A2012" s="61">
        <v>5302</v>
      </c>
      <c r="B2012" s="61">
        <v>25562</v>
      </c>
      <c r="C2012" s="62">
        <v>123.6</v>
      </c>
      <c r="D2012" s="62">
        <v>1339.7</v>
      </c>
    </row>
    <row r="2013" spans="1:4">
      <c r="A2013" s="61">
        <v>5303</v>
      </c>
      <c r="B2013" s="61">
        <v>25562</v>
      </c>
      <c r="C2013" s="62">
        <v>123.6</v>
      </c>
      <c r="D2013" s="62">
        <v>1339.7</v>
      </c>
    </row>
    <row r="2014" spans="1:4">
      <c r="A2014" s="61">
        <v>5304</v>
      </c>
      <c r="B2014" s="61">
        <v>24024</v>
      </c>
      <c r="C2014" s="62">
        <v>162</v>
      </c>
      <c r="D2014" s="62">
        <v>1154.7</v>
      </c>
    </row>
    <row r="2015" spans="1:4">
      <c r="A2015" s="61">
        <v>5306</v>
      </c>
      <c r="B2015" s="61">
        <v>24584</v>
      </c>
      <c r="C2015" s="62">
        <v>121.4</v>
      </c>
      <c r="D2015" s="62">
        <v>1230.3</v>
      </c>
    </row>
    <row r="2016" spans="1:4">
      <c r="A2016" s="61">
        <v>5307</v>
      </c>
      <c r="B2016" s="61">
        <v>25562</v>
      </c>
      <c r="C2016" s="62">
        <v>123.6</v>
      </c>
      <c r="D2016" s="62">
        <v>1339.7</v>
      </c>
    </row>
    <row r="2017" spans="1:4">
      <c r="A2017" s="61">
        <v>5308</v>
      </c>
      <c r="B2017" s="61">
        <v>24024</v>
      </c>
      <c r="C2017" s="62">
        <v>162</v>
      </c>
      <c r="D2017" s="62">
        <v>1154.7</v>
      </c>
    </row>
    <row r="2018" spans="1:4">
      <c r="A2018" s="61">
        <v>5309</v>
      </c>
      <c r="B2018" s="61">
        <v>24024</v>
      </c>
      <c r="C2018" s="62">
        <v>162</v>
      </c>
      <c r="D2018" s="62">
        <v>1154.7</v>
      </c>
    </row>
    <row r="2019" spans="1:4">
      <c r="A2019" s="61">
        <v>5310</v>
      </c>
      <c r="B2019" s="61">
        <v>24024</v>
      </c>
      <c r="C2019" s="62">
        <v>162</v>
      </c>
      <c r="D2019" s="62">
        <v>1154.7</v>
      </c>
    </row>
    <row r="2020" spans="1:4">
      <c r="A2020" s="61">
        <v>5311</v>
      </c>
      <c r="B2020" s="61">
        <v>25562</v>
      </c>
      <c r="C2020" s="62">
        <v>123.6</v>
      </c>
      <c r="D2020" s="62">
        <v>1339.7</v>
      </c>
    </row>
    <row r="2021" spans="1:4">
      <c r="A2021" s="61">
        <v>5320</v>
      </c>
      <c r="B2021" s="61">
        <v>24511</v>
      </c>
      <c r="C2021" s="62">
        <v>98</v>
      </c>
      <c r="D2021" s="62">
        <v>1421.5</v>
      </c>
    </row>
    <row r="2022" spans="1:4">
      <c r="A2022" s="61">
        <v>5321</v>
      </c>
      <c r="B2022" s="61">
        <v>24511</v>
      </c>
      <c r="C2022" s="62">
        <v>98</v>
      </c>
      <c r="D2022" s="62">
        <v>1421.5</v>
      </c>
    </row>
    <row r="2023" spans="1:4">
      <c r="A2023" s="61">
        <v>5322</v>
      </c>
      <c r="B2023" s="61">
        <v>24048</v>
      </c>
      <c r="C2023" s="62">
        <v>158.30000000000001</v>
      </c>
      <c r="D2023" s="62">
        <v>1100.8</v>
      </c>
    </row>
    <row r="2024" spans="1:4">
      <c r="A2024" s="61">
        <v>5330</v>
      </c>
      <c r="B2024" s="61">
        <v>24048</v>
      </c>
      <c r="C2024" s="62">
        <v>158.30000000000001</v>
      </c>
      <c r="D2024" s="62">
        <v>1100.8</v>
      </c>
    </row>
    <row r="2025" spans="1:4">
      <c r="A2025" s="61">
        <v>5331</v>
      </c>
      <c r="B2025" s="61">
        <v>24048</v>
      </c>
      <c r="C2025" s="62">
        <v>158.30000000000001</v>
      </c>
      <c r="D2025" s="62">
        <v>1100.8</v>
      </c>
    </row>
    <row r="2026" spans="1:4">
      <c r="A2026" s="61">
        <v>5332</v>
      </c>
      <c r="B2026" s="61">
        <v>24024</v>
      </c>
      <c r="C2026" s="62">
        <v>162</v>
      </c>
      <c r="D2026" s="62">
        <v>1154.7</v>
      </c>
    </row>
    <row r="2027" spans="1:4">
      <c r="A2027" s="61">
        <v>5333</v>
      </c>
      <c r="B2027" s="61">
        <v>24024</v>
      </c>
      <c r="C2027" s="62">
        <v>162</v>
      </c>
      <c r="D2027" s="62">
        <v>1154.7</v>
      </c>
    </row>
    <row r="2028" spans="1:4">
      <c r="A2028" s="61">
        <v>5340</v>
      </c>
      <c r="B2028" s="61">
        <v>24048</v>
      </c>
      <c r="C2028" s="62">
        <v>158.30000000000001</v>
      </c>
      <c r="D2028" s="62">
        <v>1100.8</v>
      </c>
    </row>
    <row r="2029" spans="1:4">
      <c r="A2029" s="61">
        <v>5341</v>
      </c>
      <c r="B2029" s="61">
        <v>24048</v>
      </c>
      <c r="C2029" s="62">
        <v>158.30000000000001</v>
      </c>
      <c r="D2029" s="62">
        <v>1100.8</v>
      </c>
    </row>
    <row r="2030" spans="1:4">
      <c r="A2030" s="61">
        <v>5342</v>
      </c>
      <c r="B2030" s="61">
        <v>24048</v>
      </c>
      <c r="C2030" s="62">
        <v>158.30000000000001</v>
      </c>
      <c r="D2030" s="62">
        <v>1100.8</v>
      </c>
    </row>
    <row r="2031" spans="1:4">
      <c r="A2031" s="61">
        <v>5343</v>
      </c>
      <c r="B2031" s="61">
        <v>24024</v>
      </c>
      <c r="C2031" s="62">
        <v>162</v>
      </c>
      <c r="D2031" s="62">
        <v>1154.7</v>
      </c>
    </row>
    <row r="2032" spans="1:4">
      <c r="A2032" s="61">
        <v>5344</v>
      </c>
      <c r="B2032" s="61">
        <v>24048</v>
      </c>
      <c r="C2032" s="62">
        <v>158.30000000000001</v>
      </c>
      <c r="D2032" s="62">
        <v>1100.8</v>
      </c>
    </row>
    <row r="2033" spans="1:4">
      <c r="A2033" s="61">
        <v>5345</v>
      </c>
      <c r="B2033" s="61">
        <v>24024</v>
      </c>
      <c r="C2033" s="62">
        <v>162</v>
      </c>
      <c r="D2033" s="62">
        <v>1154.7</v>
      </c>
    </row>
    <row r="2034" spans="1:4">
      <c r="A2034" s="61">
        <v>5346</v>
      </c>
      <c r="B2034" s="61">
        <v>24048</v>
      </c>
      <c r="C2034" s="62">
        <v>158.30000000000001</v>
      </c>
      <c r="D2034" s="62">
        <v>1100.8</v>
      </c>
    </row>
    <row r="2035" spans="1:4">
      <c r="A2035" s="61">
        <v>5350</v>
      </c>
      <c r="B2035" s="61">
        <v>23878</v>
      </c>
      <c r="C2035" s="62">
        <v>57.3</v>
      </c>
      <c r="D2035" s="62">
        <v>1768.4</v>
      </c>
    </row>
    <row r="2036" spans="1:4">
      <c r="A2036" s="61">
        <v>5351</v>
      </c>
      <c r="B2036" s="61">
        <v>23878</v>
      </c>
      <c r="C2036" s="62">
        <v>57.3</v>
      </c>
      <c r="D2036" s="62">
        <v>1768.4</v>
      </c>
    </row>
    <row r="2037" spans="1:4">
      <c r="A2037" s="61">
        <v>5352</v>
      </c>
      <c r="B2037" s="61">
        <v>23373</v>
      </c>
      <c r="C2037" s="62">
        <v>81</v>
      </c>
      <c r="D2037" s="62">
        <v>1463.7</v>
      </c>
    </row>
    <row r="2038" spans="1:4">
      <c r="A2038" s="61">
        <v>5353</v>
      </c>
      <c r="B2038" s="61">
        <v>24584</v>
      </c>
      <c r="C2038" s="62">
        <v>121.4</v>
      </c>
      <c r="D2038" s="62">
        <v>1230.3</v>
      </c>
    </row>
    <row r="2039" spans="1:4">
      <c r="A2039" s="61">
        <v>5354</v>
      </c>
      <c r="B2039" s="61">
        <v>24024</v>
      </c>
      <c r="C2039" s="62">
        <v>162</v>
      </c>
      <c r="D2039" s="62">
        <v>1154.7</v>
      </c>
    </row>
    <row r="2040" spans="1:4">
      <c r="A2040" s="61">
        <v>5355</v>
      </c>
      <c r="B2040" s="61">
        <v>23373</v>
      </c>
      <c r="C2040" s="62">
        <v>81</v>
      </c>
      <c r="D2040" s="62">
        <v>1463.7</v>
      </c>
    </row>
    <row r="2041" spans="1:4">
      <c r="A2041" s="61">
        <v>5356</v>
      </c>
      <c r="B2041" s="61">
        <v>23373</v>
      </c>
      <c r="C2041" s="62">
        <v>81</v>
      </c>
      <c r="D2041" s="62">
        <v>1463.7</v>
      </c>
    </row>
    <row r="2042" spans="1:4">
      <c r="A2042" s="61">
        <v>5357</v>
      </c>
      <c r="B2042" s="61">
        <v>24511</v>
      </c>
      <c r="C2042" s="62">
        <v>98</v>
      </c>
      <c r="D2042" s="62">
        <v>1421.5</v>
      </c>
    </row>
    <row r="2043" spans="1:4">
      <c r="A2043" s="61">
        <v>5360</v>
      </c>
      <c r="B2043" s="61">
        <v>23373</v>
      </c>
      <c r="C2043" s="62">
        <v>81</v>
      </c>
      <c r="D2043" s="62">
        <v>1463.7</v>
      </c>
    </row>
    <row r="2044" spans="1:4">
      <c r="A2044" s="61">
        <v>5371</v>
      </c>
      <c r="B2044" s="61">
        <v>23122</v>
      </c>
      <c r="C2044" s="62">
        <v>127.3</v>
      </c>
      <c r="D2044" s="62">
        <v>1177.3</v>
      </c>
    </row>
    <row r="2045" spans="1:4">
      <c r="A2045" s="61">
        <v>5372</v>
      </c>
      <c r="B2045" s="61">
        <v>23122</v>
      </c>
      <c r="C2045" s="62">
        <v>127.3</v>
      </c>
      <c r="D2045" s="62">
        <v>1177.3</v>
      </c>
    </row>
    <row r="2046" spans="1:4">
      <c r="A2046" s="61">
        <v>5373</v>
      </c>
      <c r="B2046" s="61">
        <v>24511</v>
      </c>
      <c r="C2046" s="62">
        <v>98</v>
      </c>
      <c r="D2046" s="62">
        <v>1421.5</v>
      </c>
    </row>
    <row r="2047" spans="1:4">
      <c r="A2047" s="61">
        <v>5374</v>
      </c>
      <c r="B2047" s="61">
        <v>24511</v>
      </c>
      <c r="C2047" s="62">
        <v>98</v>
      </c>
      <c r="D2047" s="62">
        <v>1421.5</v>
      </c>
    </row>
    <row r="2048" spans="1:4">
      <c r="A2048" s="61">
        <v>5381</v>
      </c>
      <c r="B2048" s="61">
        <v>24511</v>
      </c>
      <c r="C2048" s="62">
        <v>98</v>
      </c>
      <c r="D2048" s="62">
        <v>1421.5</v>
      </c>
    </row>
    <row r="2049" spans="1:4">
      <c r="A2049" s="61">
        <v>5400</v>
      </c>
      <c r="B2049" s="61">
        <v>23122</v>
      </c>
      <c r="C2049" s="62">
        <v>127.3</v>
      </c>
      <c r="D2049" s="62">
        <v>1177.3</v>
      </c>
    </row>
    <row r="2050" spans="1:4">
      <c r="A2050" s="61">
        <v>5401</v>
      </c>
      <c r="B2050" s="61">
        <v>23122</v>
      </c>
      <c r="C2050" s="62">
        <v>127.3</v>
      </c>
      <c r="D2050" s="62">
        <v>1177.3</v>
      </c>
    </row>
    <row r="2051" spans="1:4">
      <c r="A2051" s="61">
        <v>5410</v>
      </c>
      <c r="B2051" s="61">
        <v>23122</v>
      </c>
      <c r="C2051" s="62">
        <v>127.3</v>
      </c>
      <c r="D2051" s="62">
        <v>1177.3</v>
      </c>
    </row>
    <row r="2052" spans="1:4">
      <c r="A2052" s="61">
        <v>5411</v>
      </c>
      <c r="B2052" s="61">
        <v>23122</v>
      </c>
      <c r="C2052" s="62">
        <v>127.3</v>
      </c>
      <c r="D2052" s="62">
        <v>1177.3</v>
      </c>
    </row>
    <row r="2053" spans="1:4">
      <c r="A2053" s="61">
        <v>5412</v>
      </c>
      <c r="B2053" s="61">
        <v>24511</v>
      </c>
      <c r="C2053" s="62">
        <v>98</v>
      </c>
      <c r="D2053" s="62">
        <v>1421.5</v>
      </c>
    </row>
    <row r="2054" spans="1:4">
      <c r="A2054" s="61">
        <v>5413</v>
      </c>
      <c r="B2054" s="61">
        <v>21131</v>
      </c>
      <c r="C2054" s="62">
        <v>77.900000000000006</v>
      </c>
      <c r="D2054" s="62">
        <v>1543</v>
      </c>
    </row>
    <row r="2055" spans="1:4">
      <c r="A2055" s="61">
        <v>5414</v>
      </c>
      <c r="B2055" s="61">
        <v>21131</v>
      </c>
      <c r="C2055" s="62">
        <v>77.900000000000006</v>
      </c>
      <c r="D2055" s="62">
        <v>1543</v>
      </c>
    </row>
    <row r="2056" spans="1:4">
      <c r="A2056" s="61">
        <v>5415</v>
      </c>
      <c r="B2056" s="61">
        <v>21131</v>
      </c>
      <c r="C2056" s="62">
        <v>77.900000000000006</v>
      </c>
      <c r="D2056" s="62">
        <v>1543</v>
      </c>
    </row>
    <row r="2057" spans="1:4">
      <c r="A2057" s="61">
        <v>5416</v>
      </c>
      <c r="B2057" s="61">
        <v>21131</v>
      </c>
      <c r="C2057" s="62">
        <v>77.900000000000006</v>
      </c>
      <c r="D2057" s="62">
        <v>1543</v>
      </c>
    </row>
    <row r="2058" spans="1:4">
      <c r="A2058" s="61">
        <v>5417</v>
      </c>
      <c r="B2058" s="61">
        <v>21131</v>
      </c>
      <c r="C2058" s="62">
        <v>77.900000000000006</v>
      </c>
      <c r="D2058" s="62">
        <v>1543</v>
      </c>
    </row>
    <row r="2059" spans="1:4">
      <c r="A2059" s="61">
        <v>5418</v>
      </c>
      <c r="B2059" s="61">
        <v>21131</v>
      </c>
      <c r="C2059" s="62">
        <v>77.900000000000006</v>
      </c>
      <c r="D2059" s="62">
        <v>1543</v>
      </c>
    </row>
    <row r="2060" spans="1:4">
      <c r="A2060" s="61">
        <v>5419</v>
      </c>
      <c r="B2060" s="61">
        <v>21131</v>
      </c>
      <c r="C2060" s="62">
        <v>77.900000000000006</v>
      </c>
      <c r="D2060" s="62">
        <v>1543</v>
      </c>
    </row>
    <row r="2061" spans="1:4">
      <c r="A2061" s="61">
        <v>5420</v>
      </c>
      <c r="B2061" s="61">
        <v>21131</v>
      </c>
      <c r="C2061" s="62">
        <v>77.900000000000006</v>
      </c>
      <c r="D2061" s="62">
        <v>1543</v>
      </c>
    </row>
    <row r="2062" spans="1:4">
      <c r="A2062" s="61">
        <v>5421</v>
      </c>
      <c r="B2062" s="61">
        <v>21131</v>
      </c>
      <c r="C2062" s="62">
        <v>77.900000000000006</v>
      </c>
      <c r="D2062" s="62">
        <v>1543</v>
      </c>
    </row>
    <row r="2063" spans="1:4">
      <c r="A2063" s="61">
        <v>5422</v>
      </c>
      <c r="B2063" s="61">
        <v>20062</v>
      </c>
      <c r="C2063" s="62">
        <v>140.19999999999999</v>
      </c>
      <c r="D2063" s="62">
        <v>1252.3</v>
      </c>
    </row>
    <row r="2064" spans="1:4">
      <c r="A2064" s="61">
        <v>5431</v>
      </c>
      <c r="B2064" s="61">
        <v>20062</v>
      </c>
      <c r="C2064" s="62">
        <v>140.19999999999999</v>
      </c>
      <c r="D2064" s="62">
        <v>1252.3</v>
      </c>
    </row>
    <row r="2065" spans="1:4">
      <c r="A2065" s="61">
        <v>5432</v>
      </c>
      <c r="B2065" s="61">
        <v>18201</v>
      </c>
      <c r="C2065" s="62">
        <v>290.5</v>
      </c>
      <c r="D2065" s="62">
        <v>772.2</v>
      </c>
    </row>
    <row r="2066" spans="1:4">
      <c r="A2066" s="61">
        <v>5433</v>
      </c>
      <c r="B2066" s="61">
        <v>18201</v>
      </c>
      <c r="C2066" s="62">
        <v>290.5</v>
      </c>
      <c r="D2066" s="62">
        <v>772.2</v>
      </c>
    </row>
    <row r="2067" spans="1:4">
      <c r="A2067" s="61">
        <v>5434</v>
      </c>
      <c r="B2067" s="61">
        <v>18201</v>
      </c>
      <c r="C2067" s="62">
        <v>290.5</v>
      </c>
      <c r="D2067" s="62">
        <v>772.2</v>
      </c>
    </row>
    <row r="2068" spans="1:4">
      <c r="A2068" s="61">
        <v>5440</v>
      </c>
      <c r="B2068" s="61">
        <v>20062</v>
      </c>
      <c r="C2068" s="62">
        <v>140.19999999999999</v>
      </c>
      <c r="D2068" s="62">
        <v>1252.3</v>
      </c>
    </row>
    <row r="2069" spans="1:4">
      <c r="A2069" s="61">
        <v>5451</v>
      </c>
      <c r="B2069" s="61">
        <v>21131</v>
      </c>
      <c r="C2069" s="62">
        <v>77.900000000000006</v>
      </c>
      <c r="D2069" s="62">
        <v>1543</v>
      </c>
    </row>
    <row r="2070" spans="1:4">
      <c r="A2070" s="61">
        <v>5452</v>
      </c>
      <c r="B2070" s="61">
        <v>21131</v>
      </c>
      <c r="C2070" s="62">
        <v>77.900000000000006</v>
      </c>
      <c r="D2070" s="62">
        <v>1543</v>
      </c>
    </row>
    <row r="2071" spans="1:4">
      <c r="A2071" s="61">
        <v>5453</v>
      </c>
      <c r="B2071" s="61">
        <v>21131</v>
      </c>
      <c r="C2071" s="62">
        <v>77.900000000000006</v>
      </c>
      <c r="D2071" s="62">
        <v>1543</v>
      </c>
    </row>
    <row r="2072" spans="1:4">
      <c r="A2072" s="61">
        <v>5454</v>
      </c>
      <c r="B2072" s="61">
        <v>21131</v>
      </c>
      <c r="C2072" s="62">
        <v>77.900000000000006</v>
      </c>
      <c r="D2072" s="62">
        <v>1543</v>
      </c>
    </row>
    <row r="2073" spans="1:4">
      <c r="A2073" s="61">
        <v>5455</v>
      </c>
      <c r="B2073" s="61">
        <v>21131</v>
      </c>
      <c r="C2073" s="62">
        <v>77.900000000000006</v>
      </c>
      <c r="D2073" s="62">
        <v>1543</v>
      </c>
    </row>
    <row r="2074" spans="1:4">
      <c r="A2074" s="61">
        <v>5460</v>
      </c>
      <c r="B2074" s="61">
        <v>23122</v>
      </c>
      <c r="C2074" s="62">
        <v>127.3</v>
      </c>
      <c r="D2074" s="62">
        <v>1177.3</v>
      </c>
    </row>
    <row r="2075" spans="1:4">
      <c r="A2075" s="61">
        <v>5461</v>
      </c>
      <c r="B2075" s="61">
        <v>21131</v>
      </c>
      <c r="C2075" s="62">
        <v>77.900000000000006</v>
      </c>
      <c r="D2075" s="62">
        <v>1543</v>
      </c>
    </row>
    <row r="2076" spans="1:4">
      <c r="A2076" s="61">
        <v>5462</v>
      </c>
      <c r="B2076" s="61">
        <v>21131</v>
      </c>
      <c r="C2076" s="62">
        <v>77.900000000000006</v>
      </c>
      <c r="D2076" s="62">
        <v>1543</v>
      </c>
    </row>
    <row r="2077" spans="1:4">
      <c r="A2077" s="61">
        <v>5464</v>
      </c>
      <c r="B2077" s="61">
        <v>21133</v>
      </c>
      <c r="C2077" s="62">
        <v>148.30000000000001</v>
      </c>
      <c r="D2077" s="62">
        <v>1195.5999999999999</v>
      </c>
    </row>
    <row r="2078" spans="1:4">
      <c r="A2078" s="61">
        <v>5470</v>
      </c>
      <c r="B2078" s="61">
        <v>21133</v>
      </c>
      <c r="C2078" s="62">
        <v>148.30000000000001</v>
      </c>
      <c r="D2078" s="62">
        <v>1195.5999999999999</v>
      </c>
    </row>
    <row r="2079" spans="1:4">
      <c r="A2079" s="61">
        <v>5471</v>
      </c>
      <c r="B2079" s="61">
        <v>21133</v>
      </c>
      <c r="C2079" s="62">
        <v>148.30000000000001</v>
      </c>
      <c r="D2079" s="62">
        <v>1195.5999999999999</v>
      </c>
    </row>
    <row r="2080" spans="1:4">
      <c r="A2080" s="61">
        <v>5472</v>
      </c>
      <c r="B2080" s="61">
        <v>21133</v>
      </c>
      <c r="C2080" s="62">
        <v>148.30000000000001</v>
      </c>
      <c r="D2080" s="62">
        <v>1195.5999999999999</v>
      </c>
    </row>
    <row r="2081" spans="1:4">
      <c r="A2081" s="61">
        <v>5473</v>
      </c>
      <c r="B2081" s="61">
        <v>21133</v>
      </c>
      <c r="C2081" s="62">
        <v>148.30000000000001</v>
      </c>
      <c r="D2081" s="62">
        <v>1195.5999999999999</v>
      </c>
    </row>
    <row r="2082" spans="1:4">
      <c r="A2082" s="61">
        <v>5480</v>
      </c>
      <c r="B2082" s="61">
        <v>21133</v>
      </c>
      <c r="C2082" s="62">
        <v>148.30000000000001</v>
      </c>
      <c r="D2082" s="62">
        <v>1195.5999999999999</v>
      </c>
    </row>
    <row r="2083" spans="1:4">
      <c r="A2083" s="61">
        <v>5481</v>
      </c>
      <c r="B2083" s="61">
        <v>18120</v>
      </c>
      <c r="C2083" s="62">
        <v>292.10000000000002</v>
      </c>
      <c r="D2083" s="62">
        <v>902.5</v>
      </c>
    </row>
    <row r="2084" spans="1:4">
      <c r="A2084" s="61">
        <v>5482</v>
      </c>
      <c r="B2084" s="61">
        <v>18201</v>
      </c>
      <c r="C2084" s="62">
        <v>290.5</v>
      </c>
      <c r="D2084" s="62">
        <v>772.2</v>
      </c>
    </row>
    <row r="2085" spans="1:4">
      <c r="A2085" s="61">
        <v>5483</v>
      </c>
      <c r="B2085" s="61">
        <v>18201</v>
      </c>
      <c r="C2085" s="62">
        <v>290.5</v>
      </c>
      <c r="D2085" s="62">
        <v>772.2</v>
      </c>
    </row>
    <row r="2086" spans="1:4">
      <c r="A2086" s="61">
        <v>5485</v>
      </c>
      <c r="B2086" s="61">
        <v>18201</v>
      </c>
      <c r="C2086" s="62">
        <v>290.5</v>
      </c>
      <c r="D2086" s="62">
        <v>772.2</v>
      </c>
    </row>
    <row r="2087" spans="1:4">
      <c r="A2087" s="61">
        <v>5490</v>
      </c>
      <c r="B2087" s="61">
        <v>21133</v>
      </c>
      <c r="C2087" s="62">
        <v>148.30000000000001</v>
      </c>
      <c r="D2087" s="62">
        <v>1195.5999999999999</v>
      </c>
    </row>
    <row r="2088" spans="1:4">
      <c r="A2088" s="61">
        <v>5491</v>
      </c>
      <c r="B2088" s="61">
        <v>21131</v>
      </c>
      <c r="C2088" s="62">
        <v>77.900000000000006</v>
      </c>
      <c r="D2088" s="62">
        <v>1543</v>
      </c>
    </row>
    <row r="2089" spans="1:4">
      <c r="A2089" s="61">
        <v>5493</v>
      </c>
      <c r="B2089" s="61">
        <v>21131</v>
      </c>
      <c r="C2089" s="62">
        <v>77.900000000000006</v>
      </c>
      <c r="D2089" s="62">
        <v>1543</v>
      </c>
    </row>
    <row r="2090" spans="1:4">
      <c r="A2090" s="61">
        <v>5495</v>
      </c>
      <c r="B2090" s="61">
        <v>18120</v>
      </c>
      <c r="C2090" s="62">
        <v>292.10000000000002</v>
      </c>
      <c r="D2090" s="62">
        <v>902.5</v>
      </c>
    </row>
    <row r="2091" spans="1:4">
      <c r="A2091" s="61">
        <v>5501</v>
      </c>
      <c r="B2091" s="61">
        <v>23122</v>
      </c>
      <c r="C2091" s="62">
        <v>127.3</v>
      </c>
      <c r="D2091" s="62">
        <v>1177.3</v>
      </c>
    </row>
    <row r="2092" spans="1:4">
      <c r="A2092" s="61">
        <v>5502</v>
      </c>
      <c r="B2092" s="61">
        <v>23122</v>
      </c>
      <c r="C2092" s="62">
        <v>127.3</v>
      </c>
      <c r="D2092" s="62">
        <v>1177.3</v>
      </c>
    </row>
    <row r="2093" spans="1:4">
      <c r="A2093" s="61">
        <v>5510</v>
      </c>
      <c r="B2093" s="61">
        <v>21133</v>
      </c>
      <c r="C2093" s="62">
        <v>148.30000000000001</v>
      </c>
      <c r="D2093" s="62">
        <v>1195.5999999999999</v>
      </c>
    </row>
    <row r="2094" spans="1:4">
      <c r="A2094" s="61">
        <v>5520</v>
      </c>
      <c r="B2094" s="61">
        <v>21133</v>
      </c>
      <c r="C2094" s="62">
        <v>148.30000000000001</v>
      </c>
      <c r="D2094" s="62">
        <v>1195.5999999999999</v>
      </c>
    </row>
    <row r="2095" spans="1:4">
      <c r="A2095" s="61">
        <v>5521</v>
      </c>
      <c r="B2095" s="61">
        <v>21133</v>
      </c>
      <c r="C2095" s="62">
        <v>148.30000000000001</v>
      </c>
      <c r="D2095" s="62">
        <v>1195.5999999999999</v>
      </c>
    </row>
    <row r="2096" spans="1:4">
      <c r="A2096" s="61">
        <v>5522</v>
      </c>
      <c r="B2096" s="61">
        <v>21133</v>
      </c>
      <c r="C2096" s="62">
        <v>148.30000000000001</v>
      </c>
      <c r="D2096" s="62">
        <v>1195.5999999999999</v>
      </c>
    </row>
    <row r="2097" spans="1:4">
      <c r="A2097" s="61">
        <v>5523</v>
      </c>
      <c r="B2097" s="61">
        <v>21133</v>
      </c>
      <c r="C2097" s="62">
        <v>148.30000000000001</v>
      </c>
      <c r="D2097" s="62">
        <v>1195.5999999999999</v>
      </c>
    </row>
    <row r="2098" spans="1:4">
      <c r="A2098" s="61">
        <v>5540</v>
      </c>
      <c r="B2098" s="61">
        <v>18120</v>
      </c>
      <c r="C2098" s="62">
        <v>292.10000000000002</v>
      </c>
      <c r="D2098" s="62">
        <v>902.5</v>
      </c>
    </row>
    <row r="2099" spans="1:4">
      <c r="A2099" s="61">
        <v>5550</v>
      </c>
      <c r="B2099" s="61">
        <v>21133</v>
      </c>
      <c r="C2099" s="62">
        <v>148.30000000000001</v>
      </c>
      <c r="D2099" s="62">
        <v>1195.5999999999999</v>
      </c>
    </row>
    <row r="2100" spans="1:4">
      <c r="A2100" s="61">
        <v>5552</v>
      </c>
      <c r="B2100" s="61">
        <v>22050</v>
      </c>
      <c r="C2100" s="62">
        <v>174.8</v>
      </c>
      <c r="D2100" s="62">
        <v>1148.2</v>
      </c>
    </row>
    <row r="2101" spans="1:4">
      <c r="A2101" s="61">
        <v>5554</v>
      </c>
      <c r="B2101" s="61">
        <v>22050</v>
      </c>
      <c r="C2101" s="62">
        <v>174.8</v>
      </c>
      <c r="D2101" s="62">
        <v>1148.2</v>
      </c>
    </row>
    <row r="2102" spans="1:4">
      <c r="A2102" s="61">
        <v>5555</v>
      </c>
      <c r="B2102" s="61">
        <v>21133</v>
      </c>
      <c r="C2102" s="62">
        <v>148.30000000000001</v>
      </c>
      <c r="D2102" s="62">
        <v>1195.5999999999999</v>
      </c>
    </row>
    <row r="2103" spans="1:4">
      <c r="A2103" s="61">
        <v>5556</v>
      </c>
      <c r="B2103" s="61">
        <v>22050</v>
      </c>
      <c r="C2103" s="62">
        <v>174.8</v>
      </c>
      <c r="D2103" s="62">
        <v>1148.2</v>
      </c>
    </row>
    <row r="2104" spans="1:4">
      <c r="A2104" s="61">
        <v>5558</v>
      </c>
      <c r="B2104" s="61">
        <v>22050</v>
      </c>
      <c r="C2104" s="62">
        <v>174.8</v>
      </c>
      <c r="D2104" s="62">
        <v>1148.2</v>
      </c>
    </row>
    <row r="2105" spans="1:4">
      <c r="A2105" s="61">
        <v>5560</v>
      </c>
      <c r="B2105" s="61">
        <v>21133</v>
      </c>
      <c r="C2105" s="62">
        <v>148.30000000000001</v>
      </c>
      <c r="D2105" s="62">
        <v>1195.5999999999999</v>
      </c>
    </row>
    <row r="2106" spans="1:4">
      <c r="A2106" s="61">
        <v>5570</v>
      </c>
      <c r="B2106" s="61">
        <v>22008</v>
      </c>
      <c r="C2106" s="62">
        <v>184</v>
      </c>
      <c r="D2106" s="62">
        <v>1021.3</v>
      </c>
    </row>
    <row r="2107" spans="1:4">
      <c r="A2107" s="61">
        <v>5571</v>
      </c>
      <c r="B2107" s="61">
        <v>22008</v>
      </c>
      <c r="C2107" s="62">
        <v>184</v>
      </c>
      <c r="D2107" s="62">
        <v>1021.3</v>
      </c>
    </row>
    <row r="2108" spans="1:4">
      <c r="A2108" s="61">
        <v>5572</v>
      </c>
      <c r="B2108" s="61">
        <v>22008</v>
      </c>
      <c r="C2108" s="62">
        <v>184</v>
      </c>
      <c r="D2108" s="62">
        <v>1021.3</v>
      </c>
    </row>
    <row r="2109" spans="1:4">
      <c r="A2109" s="61">
        <v>5573</v>
      </c>
      <c r="B2109" s="61">
        <v>22008</v>
      </c>
      <c r="C2109" s="62">
        <v>184</v>
      </c>
      <c r="D2109" s="62">
        <v>1021.3</v>
      </c>
    </row>
    <row r="2110" spans="1:4">
      <c r="A2110" s="61">
        <v>5575</v>
      </c>
      <c r="B2110" s="61">
        <v>22031</v>
      </c>
      <c r="C2110" s="62">
        <v>166.5</v>
      </c>
      <c r="D2110" s="62">
        <v>1056</v>
      </c>
    </row>
    <row r="2111" spans="1:4">
      <c r="A2111" s="61">
        <v>5576</v>
      </c>
      <c r="B2111" s="61">
        <v>22046</v>
      </c>
      <c r="C2111" s="62">
        <v>184.3</v>
      </c>
      <c r="D2111" s="62">
        <v>1032.2</v>
      </c>
    </row>
    <row r="2112" spans="1:4">
      <c r="A2112" s="61">
        <v>5577</v>
      </c>
      <c r="B2112" s="61">
        <v>22049</v>
      </c>
      <c r="C2112" s="62">
        <v>200.6</v>
      </c>
      <c r="D2112" s="62">
        <v>868</v>
      </c>
    </row>
    <row r="2113" spans="1:4">
      <c r="A2113" s="61">
        <v>5580</v>
      </c>
      <c r="B2113" s="61">
        <v>22031</v>
      </c>
      <c r="C2113" s="62">
        <v>166.5</v>
      </c>
      <c r="D2113" s="62">
        <v>1056</v>
      </c>
    </row>
    <row r="2114" spans="1:4">
      <c r="A2114" s="61">
        <v>5581</v>
      </c>
      <c r="B2114" s="61">
        <v>22031</v>
      </c>
      <c r="C2114" s="62">
        <v>166.5</v>
      </c>
      <c r="D2114" s="62">
        <v>1056</v>
      </c>
    </row>
    <row r="2115" spans="1:4">
      <c r="A2115" s="61">
        <v>5582</v>
      </c>
      <c r="B2115" s="61">
        <v>22046</v>
      </c>
      <c r="C2115" s="62">
        <v>184.3</v>
      </c>
      <c r="D2115" s="62">
        <v>1032.2</v>
      </c>
    </row>
    <row r="2116" spans="1:4">
      <c r="A2116" s="61">
        <v>5583</v>
      </c>
      <c r="B2116" s="61">
        <v>22046</v>
      </c>
      <c r="C2116" s="62">
        <v>184.3</v>
      </c>
      <c r="D2116" s="62">
        <v>1032.2</v>
      </c>
    </row>
    <row r="2117" spans="1:4">
      <c r="A2117" s="61">
        <v>5600</v>
      </c>
      <c r="B2117" s="61">
        <v>18120</v>
      </c>
      <c r="C2117" s="62">
        <v>292.10000000000002</v>
      </c>
      <c r="D2117" s="62">
        <v>902.5</v>
      </c>
    </row>
    <row r="2118" spans="1:4">
      <c r="A2118" s="61">
        <v>5601</v>
      </c>
      <c r="B2118" s="61">
        <v>18120</v>
      </c>
      <c r="C2118" s="62">
        <v>292.10000000000002</v>
      </c>
      <c r="D2118" s="62">
        <v>902.5</v>
      </c>
    </row>
    <row r="2119" spans="1:4">
      <c r="A2119" s="61">
        <v>5602</v>
      </c>
      <c r="B2119" s="61">
        <v>22050</v>
      </c>
      <c r="C2119" s="62">
        <v>174.8</v>
      </c>
      <c r="D2119" s="62">
        <v>1148.2</v>
      </c>
    </row>
    <row r="2120" spans="1:4">
      <c r="A2120" s="61">
        <v>5603</v>
      </c>
      <c r="B2120" s="61">
        <v>18217</v>
      </c>
      <c r="C2120" s="62">
        <v>151.6</v>
      </c>
      <c r="D2120" s="62">
        <v>1184.4000000000001</v>
      </c>
    </row>
    <row r="2121" spans="1:4">
      <c r="A2121" s="61">
        <v>5604</v>
      </c>
      <c r="B2121" s="61">
        <v>18217</v>
      </c>
      <c r="C2121" s="62">
        <v>151.6</v>
      </c>
      <c r="D2121" s="62">
        <v>1184.4000000000001</v>
      </c>
    </row>
    <row r="2122" spans="1:4">
      <c r="A2122" s="61">
        <v>5605</v>
      </c>
      <c r="B2122" s="61">
        <v>18192</v>
      </c>
      <c r="C2122" s="62">
        <v>172.7</v>
      </c>
      <c r="D2122" s="62">
        <v>975.3</v>
      </c>
    </row>
    <row r="2123" spans="1:4">
      <c r="A2123" s="61">
        <v>5606</v>
      </c>
      <c r="B2123" s="61">
        <v>18192</v>
      </c>
      <c r="C2123" s="62">
        <v>172.7</v>
      </c>
      <c r="D2123" s="62">
        <v>975.3</v>
      </c>
    </row>
    <row r="2124" spans="1:4">
      <c r="A2124" s="61">
        <v>5607</v>
      </c>
      <c r="B2124" s="61">
        <v>18217</v>
      </c>
      <c r="C2124" s="62">
        <v>151.6</v>
      </c>
      <c r="D2124" s="62">
        <v>1184.4000000000001</v>
      </c>
    </row>
    <row r="2125" spans="1:4">
      <c r="A2125" s="61">
        <v>5608</v>
      </c>
      <c r="B2125" s="61">
        <v>18120</v>
      </c>
      <c r="C2125" s="62">
        <v>292.10000000000002</v>
      </c>
      <c r="D2125" s="62">
        <v>902.5</v>
      </c>
    </row>
    <row r="2126" spans="1:4">
      <c r="A2126" s="61">
        <v>5609</v>
      </c>
      <c r="B2126" s="61">
        <v>18120</v>
      </c>
      <c r="C2126" s="62">
        <v>292.10000000000002</v>
      </c>
      <c r="D2126" s="62">
        <v>902.5</v>
      </c>
    </row>
    <row r="2127" spans="1:4">
      <c r="A2127" s="61">
        <v>5630</v>
      </c>
      <c r="B2127" s="61">
        <v>18217</v>
      </c>
      <c r="C2127" s="62">
        <v>151.6</v>
      </c>
      <c r="D2127" s="62">
        <v>1184.4000000000001</v>
      </c>
    </row>
    <row r="2128" spans="1:4">
      <c r="A2128" s="61">
        <v>5631</v>
      </c>
      <c r="B2128" s="61">
        <v>18217</v>
      </c>
      <c r="C2128" s="62">
        <v>151.6</v>
      </c>
      <c r="D2128" s="62">
        <v>1184.4000000000001</v>
      </c>
    </row>
    <row r="2129" spans="1:4">
      <c r="A2129" s="61">
        <v>5632</v>
      </c>
      <c r="B2129" s="61">
        <v>18217</v>
      </c>
      <c r="C2129" s="62">
        <v>151.6</v>
      </c>
      <c r="D2129" s="62">
        <v>1184.4000000000001</v>
      </c>
    </row>
    <row r="2130" spans="1:4">
      <c r="A2130" s="61">
        <v>5633</v>
      </c>
      <c r="B2130" s="61">
        <v>18044</v>
      </c>
      <c r="C2130" s="62">
        <v>192.5</v>
      </c>
      <c r="D2130" s="62">
        <v>972.8</v>
      </c>
    </row>
    <row r="2131" spans="1:4">
      <c r="A2131" s="61">
        <v>5640</v>
      </c>
      <c r="B2131" s="61">
        <v>18217</v>
      </c>
      <c r="C2131" s="62">
        <v>151.6</v>
      </c>
      <c r="D2131" s="62">
        <v>1184.4000000000001</v>
      </c>
    </row>
    <row r="2132" spans="1:4">
      <c r="A2132" s="61">
        <v>5641</v>
      </c>
      <c r="B2132" s="61">
        <v>18044</v>
      </c>
      <c r="C2132" s="62">
        <v>192.5</v>
      </c>
      <c r="D2132" s="62">
        <v>972.8</v>
      </c>
    </row>
    <row r="2133" spans="1:4">
      <c r="A2133" s="61">
        <v>5642</v>
      </c>
      <c r="B2133" s="61">
        <v>18044</v>
      </c>
      <c r="C2133" s="62">
        <v>192.5</v>
      </c>
      <c r="D2133" s="62">
        <v>972.8</v>
      </c>
    </row>
    <row r="2134" spans="1:4">
      <c r="A2134" s="61">
        <v>5650</v>
      </c>
      <c r="B2134" s="61">
        <v>18044</v>
      </c>
      <c r="C2134" s="62">
        <v>192.5</v>
      </c>
      <c r="D2134" s="62">
        <v>972.8</v>
      </c>
    </row>
    <row r="2135" spans="1:4">
      <c r="A2135" s="61">
        <v>5651</v>
      </c>
      <c r="B2135" s="61">
        <v>18044</v>
      </c>
      <c r="C2135" s="62">
        <v>192.5</v>
      </c>
      <c r="D2135" s="62">
        <v>972.8</v>
      </c>
    </row>
    <row r="2136" spans="1:4">
      <c r="A2136" s="61">
        <v>5652</v>
      </c>
      <c r="B2136" s="61">
        <v>18083</v>
      </c>
      <c r="C2136" s="62">
        <v>165.5</v>
      </c>
      <c r="D2136" s="62">
        <v>953.9</v>
      </c>
    </row>
    <row r="2137" spans="1:4">
      <c r="A2137" s="61">
        <v>5653</v>
      </c>
      <c r="B2137" s="61">
        <v>18195</v>
      </c>
      <c r="C2137" s="62">
        <v>136.5</v>
      </c>
      <c r="D2137" s="62">
        <v>903.9</v>
      </c>
    </row>
    <row r="2138" spans="1:4">
      <c r="A2138" s="61">
        <v>5654</v>
      </c>
      <c r="B2138" s="61">
        <v>18195</v>
      </c>
      <c r="C2138" s="62">
        <v>136.5</v>
      </c>
      <c r="D2138" s="62">
        <v>903.9</v>
      </c>
    </row>
    <row r="2139" spans="1:4">
      <c r="A2139" s="61">
        <v>5655</v>
      </c>
      <c r="B2139" s="61">
        <v>18195</v>
      </c>
      <c r="C2139" s="62">
        <v>136.5</v>
      </c>
      <c r="D2139" s="62">
        <v>903.9</v>
      </c>
    </row>
    <row r="2140" spans="1:4">
      <c r="A2140" s="61">
        <v>5660</v>
      </c>
      <c r="B2140" s="61">
        <v>18195</v>
      </c>
      <c r="C2140" s="62">
        <v>136.5</v>
      </c>
      <c r="D2140" s="62">
        <v>903.9</v>
      </c>
    </row>
    <row r="2141" spans="1:4">
      <c r="A2141" s="61">
        <v>5661</v>
      </c>
      <c r="B2141" s="61">
        <v>18012</v>
      </c>
      <c r="C2141" s="62">
        <v>186.1</v>
      </c>
      <c r="D2141" s="62">
        <v>883</v>
      </c>
    </row>
    <row r="2142" spans="1:4">
      <c r="A2142" s="61">
        <v>5670</v>
      </c>
      <c r="B2142" s="61">
        <v>18069</v>
      </c>
      <c r="C2142" s="62">
        <v>191.2</v>
      </c>
      <c r="D2142" s="62">
        <v>838.5</v>
      </c>
    </row>
    <row r="2143" spans="1:4">
      <c r="A2143" s="61">
        <v>5671</v>
      </c>
      <c r="B2143" s="61">
        <v>18195</v>
      </c>
      <c r="C2143" s="62">
        <v>136.5</v>
      </c>
      <c r="D2143" s="62">
        <v>903.9</v>
      </c>
    </row>
    <row r="2144" spans="1:4">
      <c r="A2144" s="61">
        <v>5680</v>
      </c>
      <c r="B2144" s="61">
        <v>18195</v>
      </c>
      <c r="C2144" s="62">
        <v>136.5</v>
      </c>
      <c r="D2144" s="62">
        <v>903.9</v>
      </c>
    </row>
    <row r="2145" spans="1:4">
      <c r="A2145" s="61">
        <v>5690</v>
      </c>
      <c r="B2145" s="61">
        <v>18012</v>
      </c>
      <c r="C2145" s="62">
        <v>186.1</v>
      </c>
      <c r="D2145" s="62">
        <v>883</v>
      </c>
    </row>
    <row r="2146" spans="1:4">
      <c r="A2146" s="61">
        <v>5700</v>
      </c>
      <c r="B2146" s="61">
        <v>18201</v>
      </c>
      <c r="C2146" s="62">
        <v>290.5</v>
      </c>
      <c r="D2146" s="62">
        <v>772.2</v>
      </c>
    </row>
    <row r="2147" spans="1:4">
      <c r="A2147" s="61">
        <v>5701</v>
      </c>
      <c r="B2147" s="61">
        <v>23034</v>
      </c>
      <c r="C2147" s="62">
        <v>159.69999999999999</v>
      </c>
      <c r="D2147" s="62">
        <v>995.6</v>
      </c>
    </row>
    <row r="2148" spans="1:4">
      <c r="A2148" s="61">
        <v>5710</v>
      </c>
      <c r="B2148" s="61">
        <v>18201</v>
      </c>
      <c r="C2148" s="62">
        <v>290.5</v>
      </c>
      <c r="D2148" s="62">
        <v>772.2</v>
      </c>
    </row>
    <row r="2149" spans="1:4">
      <c r="A2149" s="61">
        <v>5720</v>
      </c>
      <c r="B2149" s="61">
        <v>16001</v>
      </c>
      <c r="C2149" s="62">
        <v>227.9</v>
      </c>
      <c r="D2149" s="62">
        <v>722</v>
      </c>
    </row>
    <row r="2150" spans="1:4">
      <c r="A2150" s="61">
        <v>5722</v>
      </c>
      <c r="B2150" s="61">
        <v>16096</v>
      </c>
      <c r="C2150" s="62">
        <v>275.89999999999998</v>
      </c>
      <c r="D2150" s="62">
        <v>765</v>
      </c>
    </row>
    <row r="2151" spans="1:4">
      <c r="A2151" s="61">
        <v>5723</v>
      </c>
      <c r="B2151" s="61">
        <v>16090</v>
      </c>
      <c r="C2151" s="62">
        <v>267.7</v>
      </c>
      <c r="D2151" s="62">
        <v>613.9</v>
      </c>
    </row>
    <row r="2152" spans="1:4">
      <c r="A2152" s="61">
        <v>5724</v>
      </c>
      <c r="B2152" s="61">
        <v>17043</v>
      </c>
      <c r="C2152" s="62">
        <v>497.7</v>
      </c>
      <c r="D2152" s="62">
        <v>507.4</v>
      </c>
    </row>
    <row r="2153" spans="1:4">
      <c r="A2153" s="61">
        <v>5725</v>
      </c>
      <c r="B2153" s="61">
        <v>16096</v>
      </c>
      <c r="C2153" s="62">
        <v>275.89999999999998</v>
      </c>
      <c r="D2153" s="62">
        <v>765</v>
      </c>
    </row>
    <row r="2154" spans="1:4">
      <c r="A2154" s="61">
        <v>5730</v>
      </c>
      <c r="B2154" s="61">
        <v>17110</v>
      </c>
      <c r="C2154" s="62">
        <v>278</v>
      </c>
      <c r="D2154" s="62">
        <v>794</v>
      </c>
    </row>
    <row r="2155" spans="1:4">
      <c r="A2155" s="61">
        <v>5731</v>
      </c>
      <c r="B2155" s="61">
        <v>22823</v>
      </c>
      <c r="C2155" s="62">
        <v>60.5</v>
      </c>
      <c r="D2155" s="62">
        <v>1224.8</v>
      </c>
    </row>
    <row r="2156" spans="1:4">
      <c r="A2156" s="61">
        <v>5732</v>
      </c>
      <c r="B2156" s="61">
        <v>17110</v>
      </c>
      <c r="C2156" s="62">
        <v>278</v>
      </c>
      <c r="D2156" s="62">
        <v>794</v>
      </c>
    </row>
    <row r="2157" spans="1:4">
      <c r="A2157" s="61">
        <v>5733</v>
      </c>
      <c r="B2157" s="61">
        <v>17126</v>
      </c>
      <c r="C2157" s="62">
        <v>435.6</v>
      </c>
      <c r="D2157" s="62">
        <v>618.5</v>
      </c>
    </row>
    <row r="2158" spans="1:4">
      <c r="A2158" s="61">
        <v>5734</v>
      </c>
      <c r="B2158" s="61">
        <v>17043</v>
      </c>
      <c r="C2158" s="62">
        <v>497.7</v>
      </c>
      <c r="D2158" s="62">
        <v>507.4</v>
      </c>
    </row>
    <row r="2159" spans="1:4">
      <c r="A2159" s="61">
        <v>5950</v>
      </c>
      <c r="B2159" s="61">
        <v>23034</v>
      </c>
      <c r="C2159" s="62">
        <v>159.69999999999999</v>
      </c>
      <c r="D2159" s="62">
        <v>995.6</v>
      </c>
    </row>
    <row r="2160" spans="1:4">
      <c r="A2160" s="61">
        <v>6000</v>
      </c>
      <c r="B2160" s="61">
        <v>9225</v>
      </c>
      <c r="C2160" s="62">
        <v>375.9</v>
      </c>
      <c r="D2160" s="62">
        <v>651.20000000000005</v>
      </c>
    </row>
    <row r="2161" spans="1:4">
      <c r="A2161" s="61">
        <v>6003</v>
      </c>
      <c r="B2161" s="61">
        <v>9225</v>
      </c>
      <c r="C2161" s="62">
        <v>375.9</v>
      </c>
      <c r="D2161" s="62">
        <v>651.20000000000005</v>
      </c>
    </row>
    <row r="2162" spans="1:4">
      <c r="A2162" s="61">
        <v>6004</v>
      </c>
      <c r="B2162" s="61">
        <v>9225</v>
      </c>
      <c r="C2162" s="62">
        <v>375.9</v>
      </c>
      <c r="D2162" s="62">
        <v>651.20000000000005</v>
      </c>
    </row>
    <row r="2163" spans="1:4">
      <c r="A2163" s="61">
        <v>6005</v>
      </c>
      <c r="B2163" s="61">
        <v>9225</v>
      </c>
      <c r="C2163" s="62">
        <v>375.9</v>
      </c>
      <c r="D2163" s="62">
        <v>651.20000000000005</v>
      </c>
    </row>
    <row r="2164" spans="1:4">
      <c r="A2164" s="61">
        <v>6006</v>
      </c>
      <c r="B2164" s="61">
        <v>9225</v>
      </c>
      <c r="C2164" s="62">
        <v>375.9</v>
      </c>
      <c r="D2164" s="62">
        <v>651.20000000000005</v>
      </c>
    </row>
    <row r="2165" spans="1:4">
      <c r="A2165" s="61">
        <v>6007</v>
      </c>
      <c r="B2165" s="61">
        <v>9225</v>
      </c>
      <c r="C2165" s="62">
        <v>375.9</v>
      </c>
      <c r="D2165" s="62">
        <v>651.20000000000005</v>
      </c>
    </row>
    <row r="2166" spans="1:4">
      <c r="A2166" s="61">
        <v>6008</v>
      </c>
      <c r="B2166" s="61">
        <v>9215</v>
      </c>
      <c r="C2166" s="62">
        <v>450.4</v>
      </c>
      <c r="D2166" s="62">
        <v>511.3</v>
      </c>
    </row>
    <row r="2167" spans="1:4">
      <c r="A2167" s="61">
        <v>6009</v>
      </c>
      <c r="B2167" s="61">
        <v>9215</v>
      </c>
      <c r="C2167" s="62">
        <v>450.4</v>
      </c>
      <c r="D2167" s="62">
        <v>511.3</v>
      </c>
    </row>
    <row r="2168" spans="1:4">
      <c r="A2168" s="61">
        <v>6010</v>
      </c>
      <c r="B2168" s="61">
        <v>9215</v>
      </c>
      <c r="C2168" s="62">
        <v>450.4</v>
      </c>
      <c r="D2168" s="62">
        <v>511.3</v>
      </c>
    </row>
    <row r="2169" spans="1:4">
      <c r="A2169" s="61">
        <v>6011</v>
      </c>
      <c r="B2169" s="61">
        <v>9215</v>
      </c>
      <c r="C2169" s="62">
        <v>450.4</v>
      </c>
      <c r="D2169" s="62">
        <v>511.3</v>
      </c>
    </row>
    <row r="2170" spans="1:4">
      <c r="A2170" s="61">
        <v>6012</v>
      </c>
      <c r="B2170" s="61">
        <v>9215</v>
      </c>
      <c r="C2170" s="62">
        <v>450.4</v>
      </c>
      <c r="D2170" s="62">
        <v>511.3</v>
      </c>
    </row>
    <row r="2171" spans="1:4">
      <c r="A2171" s="61">
        <v>6014</v>
      </c>
      <c r="B2171" s="61">
        <v>9215</v>
      </c>
      <c r="C2171" s="62">
        <v>450.4</v>
      </c>
      <c r="D2171" s="62">
        <v>511.3</v>
      </c>
    </row>
    <row r="2172" spans="1:4">
      <c r="A2172" s="61">
        <v>6015</v>
      </c>
      <c r="B2172" s="61">
        <v>9215</v>
      </c>
      <c r="C2172" s="62">
        <v>450.4</v>
      </c>
      <c r="D2172" s="62">
        <v>511.3</v>
      </c>
    </row>
    <row r="2173" spans="1:4">
      <c r="A2173" s="61">
        <v>6016</v>
      </c>
      <c r="B2173" s="61">
        <v>9225</v>
      </c>
      <c r="C2173" s="62">
        <v>375.9</v>
      </c>
      <c r="D2173" s="62">
        <v>651.20000000000005</v>
      </c>
    </row>
    <row r="2174" spans="1:4">
      <c r="A2174" s="61">
        <v>6017</v>
      </c>
      <c r="B2174" s="61">
        <v>9225</v>
      </c>
      <c r="C2174" s="62">
        <v>375.9</v>
      </c>
      <c r="D2174" s="62">
        <v>651.20000000000005</v>
      </c>
    </row>
    <row r="2175" spans="1:4">
      <c r="A2175" s="61">
        <v>6018</v>
      </c>
      <c r="B2175" s="61">
        <v>9215</v>
      </c>
      <c r="C2175" s="62">
        <v>450.4</v>
      </c>
      <c r="D2175" s="62">
        <v>511.3</v>
      </c>
    </row>
    <row r="2176" spans="1:4">
      <c r="A2176" s="61">
        <v>6019</v>
      </c>
      <c r="B2176" s="61">
        <v>9215</v>
      </c>
      <c r="C2176" s="62">
        <v>450.4</v>
      </c>
      <c r="D2176" s="62">
        <v>511.3</v>
      </c>
    </row>
    <row r="2177" spans="1:4">
      <c r="A2177" s="61">
        <v>6020</v>
      </c>
      <c r="B2177" s="61">
        <v>9215</v>
      </c>
      <c r="C2177" s="62">
        <v>450.4</v>
      </c>
      <c r="D2177" s="62">
        <v>511.3</v>
      </c>
    </row>
    <row r="2178" spans="1:4">
      <c r="A2178" s="61">
        <v>6021</v>
      </c>
      <c r="B2178" s="61">
        <v>9225</v>
      </c>
      <c r="C2178" s="62">
        <v>375.9</v>
      </c>
      <c r="D2178" s="62">
        <v>651.20000000000005</v>
      </c>
    </row>
    <row r="2179" spans="1:4">
      <c r="A2179" s="61">
        <v>6022</v>
      </c>
      <c r="B2179" s="61">
        <v>9225</v>
      </c>
      <c r="C2179" s="62">
        <v>375.9</v>
      </c>
      <c r="D2179" s="62">
        <v>651.20000000000005</v>
      </c>
    </row>
    <row r="2180" spans="1:4">
      <c r="A2180" s="61">
        <v>6023</v>
      </c>
      <c r="B2180" s="61">
        <v>9225</v>
      </c>
      <c r="C2180" s="62">
        <v>375.9</v>
      </c>
      <c r="D2180" s="62">
        <v>651.20000000000005</v>
      </c>
    </row>
    <row r="2181" spans="1:4">
      <c r="A2181" s="61">
        <v>6024</v>
      </c>
      <c r="B2181" s="61">
        <v>9225</v>
      </c>
      <c r="C2181" s="62">
        <v>375.9</v>
      </c>
      <c r="D2181" s="62">
        <v>651.20000000000005</v>
      </c>
    </row>
    <row r="2182" spans="1:4">
      <c r="A2182" s="61">
        <v>6025</v>
      </c>
      <c r="B2182" s="61">
        <v>9215</v>
      </c>
      <c r="C2182" s="62">
        <v>450.4</v>
      </c>
      <c r="D2182" s="62">
        <v>511.3</v>
      </c>
    </row>
    <row r="2183" spans="1:4">
      <c r="A2183" s="61">
        <v>6026</v>
      </c>
      <c r="B2183" s="61">
        <v>9225</v>
      </c>
      <c r="C2183" s="62">
        <v>375.9</v>
      </c>
      <c r="D2183" s="62">
        <v>651.20000000000005</v>
      </c>
    </row>
    <row r="2184" spans="1:4">
      <c r="A2184" s="61">
        <v>6027</v>
      </c>
      <c r="B2184" s="61">
        <v>9225</v>
      </c>
      <c r="C2184" s="62">
        <v>375.9</v>
      </c>
      <c r="D2184" s="62">
        <v>651.20000000000005</v>
      </c>
    </row>
    <row r="2185" spans="1:4">
      <c r="A2185" s="61">
        <v>6028</v>
      </c>
      <c r="B2185" s="61">
        <v>9225</v>
      </c>
      <c r="C2185" s="62">
        <v>375.9</v>
      </c>
      <c r="D2185" s="62">
        <v>651.20000000000005</v>
      </c>
    </row>
    <row r="2186" spans="1:4">
      <c r="A2186" s="61">
        <v>6029</v>
      </c>
      <c r="B2186" s="61">
        <v>9215</v>
      </c>
      <c r="C2186" s="62">
        <v>450.4</v>
      </c>
      <c r="D2186" s="62">
        <v>511.3</v>
      </c>
    </row>
    <row r="2187" spans="1:4">
      <c r="A2187" s="61">
        <v>6030</v>
      </c>
      <c r="B2187" s="61">
        <v>9178</v>
      </c>
      <c r="C2187" s="62">
        <v>302.39999999999998</v>
      </c>
      <c r="D2187" s="62">
        <v>823.7</v>
      </c>
    </row>
    <row r="2188" spans="1:4">
      <c r="A2188" s="61">
        <v>6031</v>
      </c>
      <c r="B2188" s="61">
        <v>9053</v>
      </c>
      <c r="C2188" s="62">
        <v>308.5</v>
      </c>
      <c r="D2188" s="62">
        <v>692.8</v>
      </c>
    </row>
    <row r="2189" spans="1:4">
      <c r="A2189" s="61">
        <v>6032</v>
      </c>
      <c r="B2189" s="61">
        <v>9178</v>
      </c>
      <c r="C2189" s="62">
        <v>302.39999999999998</v>
      </c>
      <c r="D2189" s="62">
        <v>823.7</v>
      </c>
    </row>
    <row r="2190" spans="1:4">
      <c r="A2190" s="61">
        <v>6033</v>
      </c>
      <c r="B2190" s="61">
        <v>9178</v>
      </c>
      <c r="C2190" s="62">
        <v>302.39999999999998</v>
      </c>
      <c r="D2190" s="62">
        <v>823.7</v>
      </c>
    </row>
    <row r="2191" spans="1:4">
      <c r="A2191" s="61">
        <v>6034</v>
      </c>
      <c r="B2191" s="61">
        <v>9178</v>
      </c>
      <c r="C2191" s="62">
        <v>302.39999999999998</v>
      </c>
      <c r="D2191" s="62">
        <v>823.7</v>
      </c>
    </row>
    <row r="2192" spans="1:4">
      <c r="A2192" s="61">
        <v>6035</v>
      </c>
      <c r="B2192" s="61">
        <v>9178</v>
      </c>
      <c r="C2192" s="62">
        <v>302.39999999999998</v>
      </c>
      <c r="D2192" s="62">
        <v>823.7</v>
      </c>
    </row>
    <row r="2193" spans="1:4">
      <c r="A2193" s="61">
        <v>6036</v>
      </c>
      <c r="B2193" s="61">
        <v>9178</v>
      </c>
      <c r="C2193" s="62">
        <v>302.39999999999998</v>
      </c>
      <c r="D2193" s="62">
        <v>823.7</v>
      </c>
    </row>
    <row r="2194" spans="1:4">
      <c r="A2194" s="61">
        <v>6037</v>
      </c>
      <c r="B2194" s="61">
        <v>9178</v>
      </c>
      <c r="C2194" s="62">
        <v>302.39999999999998</v>
      </c>
      <c r="D2194" s="62">
        <v>823.7</v>
      </c>
    </row>
    <row r="2195" spans="1:4">
      <c r="A2195" s="61">
        <v>6038</v>
      </c>
      <c r="B2195" s="61">
        <v>9178</v>
      </c>
      <c r="C2195" s="62">
        <v>302.39999999999998</v>
      </c>
      <c r="D2195" s="62">
        <v>823.7</v>
      </c>
    </row>
    <row r="2196" spans="1:4">
      <c r="A2196" s="61">
        <v>6041</v>
      </c>
      <c r="B2196" s="61">
        <v>9178</v>
      </c>
      <c r="C2196" s="62">
        <v>302.39999999999998</v>
      </c>
      <c r="D2196" s="62">
        <v>823.7</v>
      </c>
    </row>
    <row r="2197" spans="1:4">
      <c r="A2197" s="61">
        <v>6042</v>
      </c>
      <c r="B2197" s="61">
        <v>9114</v>
      </c>
      <c r="C2197" s="62">
        <v>587.79999999999995</v>
      </c>
      <c r="D2197" s="62">
        <v>431.4</v>
      </c>
    </row>
    <row r="2198" spans="1:4">
      <c r="A2198" s="61">
        <v>6043</v>
      </c>
      <c r="B2198" s="61">
        <v>9114</v>
      </c>
      <c r="C2198" s="62">
        <v>587.79999999999995</v>
      </c>
      <c r="D2198" s="62">
        <v>431.4</v>
      </c>
    </row>
    <row r="2199" spans="1:4">
      <c r="A2199" s="61">
        <v>6044</v>
      </c>
      <c r="B2199" s="61">
        <v>9114</v>
      </c>
      <c r="C2199" s="62">
        <v>587.79999999999995</v>
      </c>
      <c r="D2199" s="62">
        <v>431.4</v>
      </c>
    </row>
    <row r="2200" spans="1:4">
      <c r="A2200" s="61">
        <v>6050</v>
      </c>
      <c r="B2200" s="61">
        <v>9225</v>
      </c>
      <c r="C2200" s="62">
        <v>375.9</v>
      </c>
      <c r="D2200" s="62">
        <v>651.20000000000005</v>
      </c>
    </row>
    <row r="2201" spans="1:4">
      <c r="A2201" s="61">
        <v>6051</v>
      </c>
      <c r="B2201" s="61">
        <v>9225</v>
      </c>
      <c r="C2201" s="62">
        <v>375.9</v>
      </c>
      <c r="D2201" s="62">
        <v>651.20000000000005</v>
      </c>
    </row>
    <row r="2202" spans="1:4">
      <c r="A2202" s="61">
        <v>6052</v>
      </c>
      <c r="B2202" s="61">
        <v>9225</v>
      </c>
      <c r="C2202" s="62">
        <v>375.9</v>
      </c>
      <c r="D2202" s="62">
        <v>651.20000000000005</v>
      </c>
    </row>
    <row r="2203" spans="1:4">
      <c r="A2203" s="61">
        <v>6053</v>
      </c>
      <c r="B2203" s="61">
        <v>9225</v>
      </c>
      <c r="C2203" s="62">
        <v>375.9</v>
      </c>
      <c r="D2203" s="62">
        <v>651.20000000000005</v>
      </c>
    </row>
    <row r="2204" spans="1:4">
      <c r="A2204" s="61">
        <v>6054</v>
      </c>
      <c r="B2204" s="61">
        <v>9021</v>
      </c>
      <c r="C2204" s="62">
        <v>321.8</v>
      </c>
      <c r="D2204" s="62">
        <v>665.1</v>
      </c>
    </row>
    <row r="2205" spans="1:4">
      <c r="A2205" s="61">
        <v>6055</v>
      </c>
      <c r="B2205" s="61">
        <v>9021</v>
      </c>
      <c r="C2205" s="62">
        <v>321.8</v>
      </c>
      <c r="D2205" s="62">
        <v>665.1</v>
      </c>
    </row>
    <row r="2206" spans="1:4">
      <c r="A2206" s="61">
        <v>6056</v>
      </c>
      <c r="B2206" s="61">
        <v>9021</v>
      </c>
      <c r="C2206" s="62">
        <v>321.8</v>
      </c>
      <c r="D2206" s="62">
        <v>665.1</v>
      </c>
    </row>
    <row r="2207" spans="1:4">
      <c r="A2207" s="61">
        <v>6057</v>
      </c>
      <c r="B2207" s="61">
        <v>9021</v>
      </c>
      <c r="C2207" s="62">
        <v>321.8</v>
      </c>
      <c r="D2207" s="62">
        <v>665.1</v>
      </c>
    </row>
    <row r="2208" spans="1:4">
      <c r="A2208" s="61">
        <v>6058</v>
      </c>
      <c r="B2208" s="61">
        <v>9021</v>
      </c>
      <c r="C2208" s="62">
        <v>321.8</v>
      </c>
      <c r="D2208" s="62">
        <v>665.1</v>
      </c>
    </row>
    <row r="2209" spans="1:4">
      <c r="A2209" s="61">
        <v>6059</v>
      </c>
      <c r="B2209" s="61">
        <v>9225</v>
      </c>
      <c r="C2209" s="62">
        <v>375.9</v>
      </c>
      <c r="D2209" s="62">
        <v>651.20000000000005</v>
      </c>
    </row>
    <row r="2210" spans="1:4">
      <c r="A2210" s="61">
        <v>6060</v>
      </c>
      <c r="B2210" s="61">
        <v>9225</v>
      </c>
      <c r="C2210" s="62">
        <v>375.9</v>
      </c>
      <c r="D2210" s="62">
        <v>651.20000000000005</v>
      </c>
    </row>
    <row r="2211" spans="1:4">
      <c r="A2211" s="61">
        <v>6061</v>
      </c>
      <c r="B2211" s="61">
        <v>9225</v>
      </c>
      <c r="C2211" s="62">
        <v>375.9</v>
      </c>
      <c r="D2211" s="62">
        <v>651.20000000000005</v>
      </c>
    </row>
    <row r="2212" spans="1:4">
      <c r="A2212" s="61">
        <v>6062</v>
      </c>
      <c r="B2212" s="61">
        <v>9225</v>
      </c>
      <c r="C2212" s="62">
        <v>375.9</v>
      </c>
      <c r="D2212" s="62">
        <v>651.20000000000005</v>
      </c>
    </row>
    <row r="2213" spans="1:4">
      <c r="A2213" s="61">
        <v>6063</v>
      </c>
      <c r="B2213" s="61">
        <v>9021</v>
      </c>
      <c r="C2213" s="62">
        <v>321.8</v>
      </c>
      <c r="D2213" s="62">
        <v>665.1</v>
      </c>
    </row>
    <row r="2214" spans="1:4">
      <c r="A2214" s="61">
        <v>6064</v>
      </c>
      <c r="B2214" s="61">
        <v>9225</v>
      </c>
      <c r="C2214" s="62">
        <v>375.9</v>
      </c>
      <c r="D2214" s="62">
        <v>651.20000000000005</v>
      </c>
    </row>
    <row r="2215" spans="1:4">
      <c r="A2215" s="61">
        <v>6065</v>
      </c>
      <c r="B2215" s="61">
        <v>9225</v>
      </c>
      <c r="C2215" s="62">
        <v>375.9</v>
      </c>
      <c r="D2215" s="62">
        <v>651.20000000000005</v>
      </c>
    </row>
    <row r="2216" spans="1:4">
      <c r="A2216" s="61">
        <v>6066</v>
      </c>
      <c r="B2216" s="61">
        <v>9225</v>
      </c>
      <c r="C2216" s="62">
        <v>375.9</v>
      </c>
      <c r="D2216" s="62">
        <v>651.20000000000005</v>
      </c>
    </row>
    <row r="2217" spans="1:4">
      <c r="A2217" s="61">
        <v>6067</v>
      </c>
      <c r="B2217" s="61">
        <v>9225</v>
      </c>
      <c r="C2217" s="62">
        <v>375.9</v>
      </c>
      <c r="D2217" s="62">
        <v>651.20000000000005</v>
      </c>
    </row>
    <row r="2218" spans="1:4">
      <c r="A2218" s="61">
        <v>6068</v>
      </c>
      <c r="B2218" s="61">
        <v>9021</v>
      </c>
      <c r="C2218" s="62">
        <v>321.8</v>
      </c>
      <c r="D2218" s="62">
        <v>665.1</v>
      </c>
    </row>
    <row r="2219" spans="1:4">
      <c r="A2219" s="61">
        <v>6069</v>
      </c>
      <c r="B2219" s="61">
        <v>9053</v>
      </c>
      <c r="C2219" s="62">
        <v>308.5</v>
      </c>
      <c r="D2219" s="62">
        <v>692.8</v>
      </c>
    </row>
    <row r="2220" spans="1:4">
      <c r="A2220" s="61">
        <v>6070</v>
      </c>
      <c r="B2220" s="61">
        <v>9021</v>
      </c>
      <c r="C2220" s="62">
        <v>321.8</v>
      </c>
      <c r="D2220" s="62">
        <v>665.1</v>
      </c>
    </row>
    <row r="2221" spans="1:4">
      <c r="A2221" s="61">
        <v>6071</v>
      </c>
      <c r="B2221" s="61">
        <v>9240</v>
      </c>
      <c r="C2221" s="62">
        <v>171.4</v>
      </c>
      <c r="D2221" s="62">
        <v>1040.2</v>
      </c>
    </row>
    <row r="2222" spans="1:4">
      <c r="A2222" s="61">
        <v>6072</v>
      </c>
      <c r="B2222" s="61">
        <v>9240</v>
      </c>
      <c r="C2222" s="62">
        <v>171.4</v>
      </c>
      <c r="D2222" s="62">
        <v>1040.2</v>
      </c>
    </row>
    <row r="2223" spans="1:4">
      <c r="A2223" s="61">
        <v>6073</v>
      </c>
      <c r="B2223" s="61">
        <v>9240</v>
      </c>
      <c r="C2223" s="62">
        <v>171.4</v>
      </c>
      <c r="D2223" s="62">
        <v>1040.2</v>
      </c>
    </row>
    <row r="2224" spans="1:4">
      <c r="A2224" s="61">
        <v>6074</v>
      </c>
      <c r="B2224" s="61">
        <v>9240</v>
      </c>
      <c r="C2224" s="62">
        <v>171.4</v>
      </c>
      <c r="D2224" s="62">
        <v>1040.2</v>
      </c>
    </row>
    <row r="2225" spans="1:4">
      <c r="A2225" s="61">
        <v>6076</v>
      </c>
      <c r="B2225" s="61">
        <v>9240</v>
      </c>
      <c r="C2225" s="62">
        <v>171.4</v>
      </c>
      <c r="D2225" s="62">
        <v>1040.2</v>
      </c>
    </row>
    <row r="2226" spans="1:4">
      <c r="A2226" s="61">
        <v>6077</v>
      </c>
      <c r="B2226" s="61">
        <v>9053</v>
      </c>
      <c r="C2226" s="62">
        <v>308.5</v>
      </c>
      <c r="D2226" s="62">
        <v>692.8</v>
      </c>
    </row>
    <row r="2227" spans="1:4">
      <c r="A2227" s="61">
        <v>6078</v>
      </c>
      <c r="B2227" s="61">
        <v>9053</v>
      </c>
      <c r="C2227" s="62">
        <v>308.5</v>
      </c>
      <c r="D2227" s="62">
        <v>692.8</v>
      </c>
    </row>
    <row r="2228" spans="1:4">
      <c r="A2228" s="61">
        <v>6079</v>
      </c>
      <c r="B2228" s="61">
        <v>9053</v>
      </c>
      <c r="C2228" s="62">
        <v>308.5</v>
      </c>
      <c r="D2228" s="62">
        <v>692.8</v>
      </c>
    </row>
    <row r="2229" spans="1:4">
      <c r="A2229" s="61">
        <v>6081</v>
      </c>
      <c r="B2229" s="61">
        <v>9240</v>
      </c>
      <c r="C2229" s="62">
        <v>171.4</v>
      </c>
      <c r="D2229" s="62">
        <v>1040.2</v>
      </c>
    </row>
    <row r="2230" spans="1:4">
      <c r="A2230" s="61">
        <v>6082</v>
      </c>
      <c r="B2230" s="61">
        <v>9240</v>
      </c>
      <c r="C2230" s="62">
        <v>171.4</v>
      </c>
      <c r="D2230" s="62">
        <v>1040.2</v>
      </c>
    </row>
    <row r="2231" spans="1:4">
      <c r="A2231" s="61">
        <v>6083</v>
      </c>
      <c r="B2231" s="61">
        <v>9053</v>
      </c>
      <c r="C2231" s="62">
        <v>308.5</v>
      </c>
      <c r="D2231" s="62">
        <v>692.8</v>
      </c>
    </row>
    <row r="2232" spans="1:4">
      <c r="A2232" s="61">
        <v>6084</v>
      </c>
      <c r="B2232" s="61">
        <v>9053</v>
      </c>
      <c r="C2232" s="62">
        <v>308.5</v>
      </c>
      <c r="D2232" s="62">
        <v>692.8</v>
      </c>
    </row>
    <row r="2233" spans="1:4">
      <c r="A2233" s="61">
        <v>6090</v>
      </c>
      <c r="B2233" s="61">
        <v>9225</v>
      </c>
      <c r="C2233" s="62">
        <v>375.9</v>
      </c>
      <c r="D2233" s="62">
        <v>651.20000000000005</v>
      </c>
    </row>
    <row r="2234" spans="1:4">
      <c r="A2234" s="61">
        <v>6100</v>
      </c>
      <c r="B2234" s="61">
        <v>9225</v>
      </c>
      <c r="C2234" s="62">
        <v>375.9</v>
      </c>
      <c r="D2234" s="62">
        <v>651.20000000000005</v>
      </c>
    </row>
    <row r="2235" spans="1:4">
      <c r="A2235" s="61">
        <v>6101</v>
      </c>
      <c r="B2235" s="61">
        <v>9225</v>
      </c>
      <c r="C2235" s="62">
        <v>375.9</v>
      </c>
      <c r="D2235" s="62">
        <v>651.20000000000005</v>
      </c>
    </row>
    <row r="2236" spans="1:4">
      <c r="A2236" s="61">
        <v>6102</v>
      </c>
      <c r="B2236" s="61">
        <v>9021</v>
      </c>
      <c r="C2236" s="62">
        <v>321.8</v>
      </c>
      <c r="D2236" s="62">
        <v>665.1</v>
      </c>
    </row>
    <row r="2237" spans="1:4">
      <c r="A2237" s="61">
        <v>6103</v>
      </c>
      <c r="B2237" s="61">
        <v>9225</v>
      </c>
      <c r="C2237" s="62">
        <v>375.9</v>
      </c>
      <c r="D2237" s="62">
        <v>651.20000000000005</v>
      </c>
    </row>
    <row r="2238" spans="1:4">
      <c r="A2238" s="61">
        <v>6104</v>
      </c>
      <c r="B2238" s="61">
        <v>9021</v>
      </c>
      <c r="C2238" s="62">
        <v>321.8</v>
      </c>
      <c r="D2238" s="62">
        <v>665.1</v>
      </c>
    </row>
    <row r="2239" spans="1:4">
      <c r="A2239" s="61">
        <v>6105</v>
      </c>
      <c r="B2239" s="61">
        <v>9021</v>
      </c>
      <c r="C2239" s="62">
        <v>321.8</v>
      </c>
      <c r="D2239" s="62">
        <v>665.1</v>
      </c>
    </row>
    <row r="2240" spans="1:4">
      <c r="A2240" s="61">
        <v>6106</v>
      </c>
      <c r="B2240" s="61">
        <v>9021</v>
      </c>
      <c r="C2240" s="62">
        <v>321.8</v>
      </c>
      <c r="D2240" s="62">
        <v>665.1</v>
      </c>
    </row>
    <row r="2241" spans="1:4">
      <c r="A2241" s="61">
        <v>6107</v>
      </c>
      <c r="B2241" s="61">
        <v>9172</v>
      </c>
      <c r="C2241" s="62">
        <v>314</v>
      </c>
      <c r="D2241" s="62">
        <v>820.6</v>
      </c>
    </row>
    <row r="2242" spans="1:4">
      <c r="A2242" s="61">
        <v>6108</v>
      </c>
      <c r="B2242" s="61">
        <v>9172</v>
      </c>
      <c r="C2242" s="62">
        <v>314</v>
      </c>
      <c r="D2242" s="62">
        <v>820.6</v>
      </c>
    </row>
    <row r="2243" spans="1:4">
      <c r="A2243" s="61">
        <v>6109</v>
      </c>
      <c r="B2243" s="61">
        <v>9021</v>
      </c>
      <c r="C2243" s="62">
        <v>321.8</v>
      </c>
      <c r="D2243" s="62">
        <v>665.1</v>
      </c>
    </row>
    <row r="2244" spans="1:4">
      <c r="A2244" s="61">
        <v>6110</v>
      </c>
      <c r="B2244" s="61">
        <v>9172</v>
      </c>
      <c r="C2244" s="62">
        <v>314</v>
      </c>
      <c r="D2244" s="62">
        <v>820.6</v>
      </c>
    </row>
    <row r="2245" spans="1:4">
      <c r="A2245" s="61">
        <v>6111</v>
      </c>
      <c r="B2245" s="61">
        <v>9172</v>
      </c>
      <c r="C2245" s="62">
        <v>314</v>
      </c>
      <c r="D2245" s="62">
        <v>820.6</v>
      </c>
    </row>
    <row r="2246" spans="1:4">
      <c r="A2246" s="61">
        <v>6112</v>
      </c>
      <c r="B2246" s="61">
        <v>9172</v>
      </c>
      <c r="C2246" s="62">
        <v>314</v>
      </c>
      <c r="D2246" s="62">
        <v>820.6</v>
      </c>
    </row>
    <row r="2247" spans="1:4">
      <c r="A2247" s="61">
        <v>6121</v>
      </c>
      <c r="B2247" s="61">
        <v>9172</v>
      </c>
      <c r="C2247" s="62">
        <v>314</v>
      </c>
      <c r="D2247" s="62">
        <v>820.6</v>
      </c>
    </row>
    <row r="2248" spans="1:4">
      <c r="A2248" s="61">
        <v>6122</v>
      </c>
      <c r="B2248" s="61">
        <v>9172</v>
      </c>
      <c r="C2248" s="62">
        <v>314</v>
      </c>
      <c r="D2248" s="62">
        <v>820.6</v>
      </c>
    </row>
    <row r="2249" spans="1:4">
      <c r="A2249" s="61">
        <v>6123</v>
      </c>
      <c r="B2249" s="61">
        <v>9172</v>
      </c>
      <c r="C2249" s="62">
        <v>314</v>
      </c>
      <c r="D2249" s="62">
        <v>820.6</v>
      </c>
    </row>
    <row r="2250" spans="1:4">
      <c r="A2250" s="61">
        <v>6124</v>
      </c>
      <c r="B2250" s="61">
        <v>9538</v>
      </c>
      <c r="C2250" s="62">
        <v>166.1</v>
      </c>
      <c r="D2250" s="62">
        <v>1187.9000000000001</v>
      </c>
    </row>
    <row r="2251" spans="1:4">
      <c r="A2251" s="61">
        <v>6125</v>
      </c>
      <c r="B2251" s="61">
        <v>9172</v>
      </c>
      <c r="C2251" s="62">
        <v>314</v>
      </c>
      <c r="D2251" s="62">
        <v>820.6</v>
      </c>
    </row>
    <row r="2252" spans="1:4">
      <c r="A2252" s="61">
        <v>6126</v>
      </c>
      <c r="B2252" s="61">
        <v>9977</v>
      </c>
      <c r="C2252" s="62">
        <v>421.4</v>
      </c>
      <c r="D2252" s="62">
        <v>501.1</v>
      </c>
    </row>
    <row r="2253" spans="1:4">
      <c r="A2253" s="61">
        <v>6147</v>
      </c>
      <c r="B2253" s="61">
        <v>9172</v>
      </c>
      <c r="C2253" s="62">
        <v>314</v>
      </c>
      <c r="D2253" s="62">
        <v>820.6</v>
      </c>
    </row>
    <row r="2254" spans="1:4">
      <c r="A2254" s="61">
        <v>6148</v>
      </c>
      <c r="B2254" s="61">
        <v>9172</v>
      </c>
      <c r="C2254" s="62">
        <v>314</v>
      </c>
      <c r="D2254" s="62">
        <v>820.6</v>
      </c>
    </row>
    <row r="2255" spans="1:4">
      <c r="A2255" s="61">
        <v>6149</v>
      </c>
      <c r="B2255" s="61">
        <v>9172</v>
      </c>
      <c r="C2255" s="62">
        <v>314</v>
      </c>
      <c r="D2255" s="62">
        <v>820.6</v>
      </c>
    </row>
    <row r="2256" spans="1:4">
      <c r="A2256" s="61">
        <v>6150</v>
      </c>
      <c r="B2256" s="61">
        <v>9172</v>
      </c>
      <c r="C2256" s="62">
        <v>314</v>
      </c>
      <c r="D2256" s="62">
        <v>820.6</v>
      </c>
    </row>
    <row r="2257" spans="1:4">
      <c r="A2257" s="61">
        <v>6151</v>
      </c>
      <c r="B2257" s="61">
        <v>9225</v>
      </c>
      <c r="C2257" s="62">
        <v>375.9</v>
      </c>
      <c r="D2257" s="62">
        <v>651.20000000000005</v>
      </c>
    </row>
    <row r="2258" spans="1:4">
      <c r="A2258" s="61">
        <v>6152</v>
      </c>
      <c r="B2258" s="61">
        <v>9172</v>
      </c>
      <c r="C2258" s="62">
        <v>314</v>
      </c>
      <c r="D2258" s="62">
        <v>820.6</v>
      </c>
    </row>
    <row r="2259" spans="1:4">
      <c r="A2259" s="61">
        <v>6153</v>
      </c>
      <c r="B2259" s="61">
        <v>9172</v>
      </c>
      <c r="C2259" s="62">
        <v>314</v>
      </c>
      <c r="D2259" s="62">
        <v>820.6</v>
      </c>
    </row>
    <row r="2260" spans="1:4">
      <c r="A2260" s="61">
        <v>6154</v>
      </c>
      <c r="B2260" s="61">
        <v>9172</v>
      </c>
      <c r="C2260" s="62">
        <v>314</v>
      </c>
      <c r="D2260" s="62">
        <v>820.6</v>
      </c>
    </row>
    <row r="2261" spans="1:4">
      <c r="A2261" s="61">
        <v>6155</v>
      </c>
      <c r="B2261" s="61">
        <v>9172</v>
      </c>
      <c r="C2261" s="62">
        <v>314</v>
      </c>
      <c r="D2261" s="62">
        <v>820.6</v>
      </c>
    </row>
    <row r="2262" spans="1:4">
      <c r="A2262" s="61">
        <v>6156</v>
      </c>
      <c r="B2262" s="61">
        <v>9172</v>
      </c>
      <c r="C2262" s="62">
        <v>314</v>
      </c>
      <c r="D2262" s="62">
        <v>820.6</v>
      </c>
    </row>
    <row r="2263" spans="1:4">
      <c r="A2263" s="61">
        <v>6157</v>
      </c>
      <c r="B2263" s="61">
        <v>9215</v>
      </c>
      <c r="C2263" s="62">
        <v>450.4</v>
      </c>
      <c r="D2263" s="62">
        <v>511.3</v>
      </c>
    </row>
    <row r="2264" spans="1:4">
      <c r="A2264" s="61">
        <v>6158</v>
      </c>
      <c r="B2264" s="61">
        <v>9215</v>
      </c>
      <c r="C2264" s="62">
        <v>450.4</v>
      </c>
      <c r="D2264" s="62">
        <v>511.3</v>
      </c>
    </row>
    <row r="2265" spans="1:4">
      <c r="A2265" s="61">
        <v>6159</v>
      </c>
      <c r="B2265" s="61">
        <v>9215</v>
      </c>
      <c r="C2265" s="62">
        <v>450.4</v>
      </c>
      <c r="D2265" s="62">
        <v>511.3</v>
      </c>
    </row>
    <row r="2266" spans="1:4">
      <c r="A2266" s="61">
        <v>6160</v>
      </c>
      <c r="B2266" s="61">
        <v>9215</v>
      </c>
      <c r="C2266" s="62">
        <v>450.4</v>
      </c>
      <c r="D2266" s="62">
        <v>511.3</v>
      </c>
    </row>
    <row r="2267" spans="1:4">
      <c r="A2267" s="61">
        <v>6161</v>
      </c>
      <c r="B2267" s="61">
        <v>9193</v>
      </c>
      <c r="C2267" s="62">
        <v>487.4</v>
      </c>
      <c r="D2267" s="62">
        <v>385.1</v>
      </c>
    </row>
    <row r="2268" spans="1:4">
      <c r="A2268" s="61">
        <v>6162</v>
      </c>
      <c r="B2268" s="61">
        <v>9172</v>
      </c>
      <c r="C2268" s="62">
        <v>314</v>
      </c>
      <c r="D2268" s="62">
        <v>820.6</v>
      </c>
    </row>
    <row r="2269" spans="1:4">
      <c r="A2269" s="61">
        <v>6163</v>
      </c>
      <c r="B2269" s="61">
        <v>9172</v>
      </c>
      <c r="C2269" s="62">
        <v>314</v>
      </c>
      <c r="D2269" s="62">
        <v>820.6</v>
      </c>
    </row>
    <row r="2270" spans="1:4">
      <c r="A2270" s="61">
        <v>6164</v>
      </c>
      <c r="B2270" s="61">
        <v>9172</v>
      </c>
      <c r="C2270" s="62">
        <v>314</v>
      </c>
      <c r="D2270" s="62">
        <v>820.6</v>
      </c>
    </row>
    <row r="2271" spans="1:4">
      <c r="A2271" s="61">
        <v>6165</v>
      </c>
      <c r="B2271" s="61">
        <v>9256</v>
      </c>
      <c r="C2271" s="62">
        <v>487.4</v>
      </c>
      <c r="D2271" s="62">
        <v>478.6</v>
      </c>
    </row>
    <row r="2272" spans="1:4">
      <c r="A2272" s="61">
        <v>6166</v>
      </c>
      <c r="B2272" s="61">
        <v>9256</v>
      </c>
      <c r="C2272" s="62">
        <v>487.4</v>
      </c>
      <c r="D2272" s="62">
        <v>478.6</v>
      </c>
    </row>
    <row r="2273" spans="1:4">
      <c r="A2273" s="61">
        <v>6167</v>
      </c>
      <c r="B2273" s="61">
        <v>9256</v>
      </c>
      <c r="C2273" s="62">
        <v>487.4</v>
      </c>
      <c r="D2273" s="62">
        <v>478.6</v>
      </c>
    </row>
    <row r="2274" spans="1:4">
      <c r="A2274" s="61">
        <v>6168</v>
      </c>
      <c r="B2274" s="61">
        <v>9256</v>
      </c>
      <c r="C2274" s="62">
        <v>487.4</v>
      </c>
      <c r="D2274" s="62">
        <v>478.6</v>
      </c>
    </row>
    <row r="2275" spans="1:4">
      <c r="A2275" s="61">
        <v>6169</v>
      </c>
      <c r="B2275" s="61">
        <v>9256</v>
      </c>
      <c r="C2275" s="62">
        <v>487.4</v>
      </c>
      <c r="D2275" s="62">
        <v>478.6</v>
      </c>
    </row>
    <row r="2276" spans="1:4">
      <c r="A2276" s="61">
        <v>6170</v>
      </c>
      <c r="B2276" s="61">
        <v>9256</v>
      </c>
      <c r="C2276" s="62">
        <v>487.4</v>
      </c>
      <c r="D2276" s="62">
        <v>478.6</v>
      </c>
    </row>
    <row r="2277" spans="1:4">
      <c r="A2277" s="61">
        <v>6171</v>
      </c>
      <c r="B2277" s="61">
        <v>9256</v>
      </c>
      <c r="C2277" s="62">
        <v>487.4</v>
      </c>
      <c r="D2277" s="62">
        <v>478.6</v>
      </c>
    </row>
    <row r="2278" spans="1:4">
      <c r="A2278" s="61">
        <v>6172</v>
      </c>
      <c r="B2278" s="61">
        <v>9256</v>
      </c>
      <c r="C2278" s="62">
        <v>487.4</v>
      </c>
      <c r="D2278" s="62">
        <v>478.6</v>
      </c>
    </row>
    <row r="2279" spans="1:4">
      <c r="A2279" s="61">
        <v>6173</v>
      </c>
      <c r="B2279" s="61">
        <v>9977</v>
      </c>
      <c r="C2279" s="62">
        <v>421.4</v>
      </c>
      <c r="D2279" s="62">
        <v>501.1</v>
      </c>
    </row>
    <row r="2280" spans="1:4">
      <c r="A2280" s="61">
        <v>6174</v>
      </c>
      <c r="B2280" s="61">
        <v>9977</v>
      </c>
      <c r="C2280" s="62">
        <v>421.4</v>
      </c>
      <c r="D2280" s="62">
        <v>501.1</v>
      </c>
    </row>
    <row r="2281" spans="1:4">
      <c r="A2281" s="61">
        <v>6175</v>
      </c>
      <c r="B2281" s="61">
        <v>9977</v>
      </c>
      <c r="C2281" s="62">
        <v>421.4</v>
      </c>
      <c r="D2281" s="62">
        <v>501.1</v>
      </c>
    </row>
    <row r="2282" spans="1:4">
      <c r="A2282" s="61">
        <v>6176</v>
      </c>
      <c r="B2282" s="61">
        <v>9977</v>
      </c>
      <c r="C2282" s="62">
        <v>421.4</v>
      </c>
      <c r="D2282" s="62">
        <v>501.1</v>
      </c>
    </row>
    <row r="2283" spans="1:4">
      <c r="A2283" s="61">
        <v>6180</v>
      </c>
      <c r="B2283" s="61">
        <v>9977</v>
      </c>
      <c r="C2283" s="62">
        <v>421.4</v>
      </c>
      <c r="D2283" s="62">
        <v>501.1</v>
      </c>
    </row>
    <row r="2284" spans="1:4">
      <c r="A2284" s="61">
        <v>6181</v>
      </c>
      <c r="B2284" s="61">
        <v>9977</v>
      </c>
      <c r="C2284" s="62">
        <v>421.4</v>
      </c>
      <c r="D2284" s="62">
        <v>501.1</v>
      </c>
    </row>
    <row r="2285" spans="1:4">
      <c r="A2285" s="61">
        <v>6182</v>
      </c>
      <c r="B2285" s="61">
        <v>9977</v>
      </c>
      <c r="C2285" s="62">
        <v>421.4</v>
      </c>
      <c r="D2285" s="62">
        <v>501.1</v>
      </c>
    </row>
    <row r="2286" spans="1:4">
      <c r="A2286" s="61">
        <v>6207</v>
      </c>
      <c r="B2286" s="61">
        <v>9977</v>
      </c>
      <c r="C2286" s="62">
        <v>421.4</v>
      </c>
      <c r="D2286" s="62">
        <v>501.1</v>
      </c>
    </row>
    <row r="2287" spans="1:4">
      <c r="A2287" s="61">
        <v>6208</v>
      </c>
      <c r="B2287" s="61">
        <v>9538</v>
      </c>
      <c r="C2287" s="62">
        <v>166.1</v>
      </c>
      <c r="D2287" s="62">
        <v>1187.9000000000001</v>
      </c>
    </row>
    <row r="2288" spans="1:4">
      <c r="A2288" s="61">
        <v>6209</v>
      </c>
      <c r="B2288" s="61">
        <v>9977</v>
      </c>
      <c r="C2288" s="62">
        <v>421.4</v>
      </c>
      <c r="D2288" s="62">
        <v>501.1</v>
      </c>
    </row>
    <row r="2289" spans="1:4">
      <c r="A2289" s="61">
        <v>6210</v>
      </c>
      <c r="B2289" s="61">
        <v>9977</v>
      </c>
      <c r="C2289" s="62">
        <v>421.4</v>
      </c>
      <c r="D2289" s="62">
        <v>501.1</v>
      </c>
    </row>
    <row r="2290" spans="1:4">
      <c r="A2290" s="61">
        <v>6211</v>
      </c>
      <c r="B2290" s="61">
        <v>9977</v>
      </c>
      <c r="C2290" s="62">
        <v>421.4</v>
      </c>
      <c r="D2290" s="62">
        <v>501.1</v>
      </c>
    </row>
    <row r="2291" spans="1:4">
      <c r="A2291" s="61">
        <v>6213</v>
      </c>
      <c r="B2291" s="61">
        <v>9538</v>
      </c>
      <c r="C2291" s="62">
        <v>166.1</v>
      </c>
      <c r="D2291" s="62">
        <v>1187.9000000000001</v>
      </c>
    </row>
    <row r="2292" spans="1:4">
      <c r="A2292" s="61">
        <v>6214</v>
      </c>
      <c r="B2292" s="61">
        <v>9538</v>
      </c>
      <c r="C2292" s="62">
        <v>166.1</v>
      </c>
      <c r="D2292" s="62">
        <v>1187.9000000000001</v>
      </c>
    </row>
    <row r="2293" spans="1:4">
      <c r="A2293" s="61">
        <v>6215</v>
      </c>
      <c r="B2293" s="61">
        <v>9977</v>
      </c>
      <c r="C2293" s="62">
        <v>421.4</v>
      </c>
      <c r="D2293" s="62">
        <v>501.1</v>
      </c>
    </row>
    <row r="2294" spans="1:4">
      <c r="A2294" s="61">
        <v>6218</v>
      </c>
      <c r="B2294" s="61">
        <v>9538</v>
      </c>
      <c r="C2294" s="62">
        <v>166.1</v>
      </c>
      <c r="D2294" s="62">
        <v>1187.9000000000001</v>
      </c>
    </row>
    <row r="2295" spans="1:4">
      <c r="A2295" s="61">
        <v>6220</v>
      </c>
      <c r="B2295" s="61">
        <v>9965</v>
      </c>
      <c r="C2295" s="62">
        <v>290.2</v>
      </c>
      <c r="D2295" s="62">
        <v>926.6</v>
      </c>
    </row>
    <row r="2296" spans="1:4">
      <c r="A2296" s="61">
        <v>6221</v>
      </c>
      <c r="B2296" s="61">
        <v>9965</v>
      </c>
      <c r="C2296" s="62">
        <v>290.2</v>
      </c>
      <c r="D2296" s="62">
        <v>926.6</v>
      </c>
    </row>
    <row r="2297" spans="1:4">
      <c r="A2297" s="61">
        <v>6223</v>
      </c>
      <c r="B2297" s="61">
        <v>9965</v>
      </c>
      <c r="C2297" s="62">
        <v>290.2</v>
      </c>
      <c r="D2297" s="62">
        <v>926.6</v>
      </c>
    </row>
    <row r="2298" spans="1:4">
      <c r="A2298" s="61">
        <v>6224</v>
      </c>
      <c r="B2298" s="61">
        <v>9965</v>
      </c>
      <c r="C2298" s="62">
        <v>290.2</v>
      </c>
      <c r="D2298" s="62">
        <v>926.6</v>
      </c>
    </row>
    <row r="2299" spans="1:4">
      <c r="A2299" s="61">
        <v>6225</v>
      </c>
      <c r="B2299" s="61">
        <v>9994</v>
      </c>
      <c r="C2299" s="62">
        <v>169.3</v>
      </c>
      <c r="D2299" s="62">
        <v>1321.1</v>
      </c>
    </row>
    <row r="2300" spans="1:4">
      <c r="A2300" s="61">
        <v>6226</v>
      </c>
      <c r="B2300" s="61">
        <v>9965</v>
      </c>
      <c r="C2300" s="62">
        <v>290.2</v>
      </c>
      <c r="D2300" s="62">
        <v>926.6</v>
      </c>
    </row>
    <row r="2301" spans="1:4">
      <c r="A2301" s="61">
        <v>6227</v>
      </c>
      <c r="B2301" s="61">
        <v>9965</v>
      </c>
      <c r="C2301" s="62">
        <v>290.2</v>
      </c>
      <c r="D2301" s="62">
        <v>926.6</v>
      </c>
    </row>
    <row r="2302" spans="1:4">
      <c r="A2302" s="61">
        <v>6228</v>
      </c>
      <c r="B2302" s="61">
        <v>9965</v>
      </c>
      <c r="C2302" s="62">
        <v>290.2</v>
      </c>
      <c r="D2302" s="62">
        <v>926.6</v>
      </c>
    </row>
    <row r="2303" spans="1:4">
      <c r="A2303" s="61">
        <v>6229</v>
      </c>
      <c r="B2303" s="61">
        <v>9965</v>
      </c>
      <c r="C2303" s="62">
        <v>290.2</v>
      </c>
      <c r="D2303" s="62">
        <v>926.6</v>
      </c>
    </row>
    <row r="2304" spans="1:4">
      <c r="A2304" s="61">
        <v>6230</v>
      </c>
      <c r="B2304" s="61">
        <v>9965</v>
      </c>
      <c r="C2304" s="62">
        <v>290.2</v>
      </c>
      <c r="D2304" s="62">
        <v>926.6</v>
      </c>
    </row>
    <row r="2305" spans="1:4">
      <c r="A2305" s="61">
        <v>6232</v>
      </c>
      <c r="B2305" s="61">
        <v>9965</v>
      </c>
      <c r="C2305" s="62">
        <v>290.2</v>
      </c>
      <c r="D2305" s="62">
        <v>926.6</v>
      </c>
    </row>
    <row r="2306" spans="1:4">
      <c r="A2306" s="61">
        <v>6233</v>
      </c>
      <c r="B2306" s="61">
        <v>9965</v>
      </c>
      <c r="C2306" s="62">
        <v>290.2</v>
      </c>
      <c r="D2306" s="62">
        <v>926.6</v>
      </c>
    </row>
    <row r="2307" spans="1:4">
      <c r="A2307" s="61">
        <v>6236</v>
      </c>
      <c r="B2307" s="61">
        <v>9965</v>
      </c>
      <c r="C2307" s="62">
        <v>290.2</v>
      </c>
      <c r="D2307" s="62">
        <v>926.6</v>
      </c>
    </row>
    <row r="2308" spans="1:4">
      <c r="A2308" s="61">
        <v>6237</v>
      </c>
      <c r="B2308" s="61">
        <v>9965</v>
      </c>
      <c r="C2308" s="62">
        <v>290.2</v>
      </c>
      <c r="D2308" s="62">
        <v>926.6</v>
      </c>
    </row>
    <row r="2309" spans="1:4">
      <c r="A2309" s="61">
        <v>6239</v>
      </c>
      <c r="B2309" s="61">
        <v>9965</v>
      </c>
      <c r="C2309" s="62">
        <v>290.2</v>
      </c>
      <c r="D2309" s="62">
        <v>926.6</v>
      </c>
    </row>
    <row r="2310" spans="1:4">
      <c r="A2310" s="61">
        <v>6240</v>
      </c>
      <c r="B2310" s="61">
        <v>9994</v>
      </c>
      <c r="C2310" s="62">
        <v>169.3</v>
      </c>
      <c r="D2310" s="62">
        <v>1321.1</v>
      </c>
    </row>
    <row r="2311" spans="1:4">
      <c r="A2311" s="61">
        <v>6243</v>
      </c>
      <c r="B2311" s="61">
        <v>9994</v>
      </c>
      <c r="C2311" s="62">
        <v>169.3</v>
      </c>
      <c r="D2311" s="62">
        <v>1321.1</v>
      </c>
    </row>
    <row r="2312" spans="1:4">
      <c r="A2312" s="61">
        <v>6244</v>
      </c>
      <c r="B2312" s="61">
        <v>9573</v>
      </c>
      <c r="C2312" s="62">
        <v>126.9</v>
      </c>
      <c r="D2312" s="62">
        <v>1248.8</v>
      </c>
    </row>
    <row r="2313" spans="1:4">
      <c r="A2313" s="61">
        <v>6251</v>
      </c>
      <c r="B2313" s="61">
        <v>9965</v>
      </c>
      <c r="C2313" s="62">
        <v>290.2</v>
      </c>
      <c r="D2313" s="62">
        <v>926.6</v>
      </c>
    </row>
    <row r="2314" spans="1:4">
      <c r="A2314" s="61">
        <v>6252</v>
      </c>
      <c r="B2314" s="61">
        <v>9994</v>
      </c>
      <c r="C2314" s="62">
        <v>169.3</v>
      </c>
      <c r="D2314" s="62">
        <v>1321.1</v>
      </c>
    </row>
    <row r="2315" spans="1:4">
      <c r="A2315" s="61">
        <v>6253</v>
      </c>
      <c r="B2315" s="61">
        <v>9994</v>
      </c>
      <c r="C2315" s="62">
        <v>169.3</v>
      </c>
      <c r="D2315" s="62">
        <v>1321.1</v>
      </c>
    </row>
    <row r="2316" spans="1:4">
      <c r="A2316" s="61">
        <v>6254</v>
      </c>
      <c r="B2316" s="61">
        <v>9573</v>
      </c>
      <c r="C2316" s="62">
        <v>126.9</v>
      </c>
      <c r="D2316" s="62">
        <v>1248.8</v>
      </c>
    </row>
    <row r="2317" spans="1:4">
      <c r="A2317" s="61">
        <v>6255</v>
      </c>
      <c r="B2317" s="61">
        <v>9573</v>
      </c>
      <c r="C2317" s="62">
        <v>126.9</v>
      </c>
      <c r="D2317" s="62">
        <v>1248.8</v>
      </c>
    </row>
    <row r="2318" spans="1:4">
      <c r="A2318" s="61">
        <v>6256</v>
      </c>
      <c r="B2318" s="61">
        <v>9573</v>
      </c>
      <c r="C2318" s="62">
        <v>126.9</v>
      </c>
      <c r="D2318" s="62">
        <v>1248.8</v>
      </c>
    </row>
    <row r="2319" spans="1:4">
      <c r="A2319" s="61">
        <v>6258</v>
      </c>
      <c r="B2319" s="61">
        <v>9573</v>
      </c>
      <c r="C2319" s="62">
        <v>126.9</v>
      </c>
      <c r="D2319" s="62">
        <v>1248.8</v>
      </c>
    </row>
    <row r="2320" spans="1:4">
      <c r="A2320" s="61">
        <v>6260</v>
      </c>
      <c r="B2320" s="61">
        <v>9573</v>
      </c>
      <c r="C2320" s="62">
        <v>126.9</v>
      </c>
      <c r="D2320" s="62">
        <v>1248.8</v>
      </c>
    </row>
    <row r="2321" spans="1:4">
      <c r="A2321" s="61">
        <v>6262</v>
      </c>
      <c r="B2321" s="61">
        <v>9968</v>
      </c>
      <c r="C2321" s="62">
        <v>117</v>
      </c>
      <c r="D2321" s="62">
        <v>1363.1</v>
      </c>
    </row>
    <row r="2322" spans="1:4">
      <c r="A2322" s="61">
        <v>6271</v>
      </c>
      <c r="B2322" s="61">
        <v>9603</v>
      </c>
      <c r="C2322" s="62">
        <v>185.6</v>
      </c>
      <c r="D2322" s="62">
        <v>1011.7</v>
      </c>
    </row>
    <row r="2323" spans="1:4">
      <c r="A2323" s="61">
        <v>6275</v>
      </c>
      <c r="B2323" s="61">
        <v>9573</v>
      </c>
      <c r="C2323" s="62">
        <v>126.9</v>
      </c>
      <c r="D2323" s="62">
        <v>1248.8</v>
      </c>
    </row>
    <row r="2324" spans="1:4">
      <c r="A2324" s="61">
        <v>6280</v>
      </c>
      <c r="B2324" s="61">
        <v>9603</v>
      </c>
      <c r="C2324" s="62">
        <v>185.6</v>
      </c>
      <c r="D2324" s="62">
        <v>1011.7</v>
      </c>
    </row>
    <row r="2325" spans="1:4">
      <c r="A2325" s="61">
        <v>6281</v>
      </c>
      <c r="B2325" s="61">
        <v>9519</v>
      </c>
      <c r="C2325" s="62">
        <v>191.2</v>
      </c>
      <c r="D2325" s="62">
        <v>619.9</v>
      </c>
    </row>
    <row r="2326" spans="1:4">
      <c r="A2326" s="61">
        <v>6282</v>
      </c>
      <c r="B2326" s="61">
        <v>9519</v>
      </c>
      <c r="C2326" s="62">
        <v>191.2</v>
      </c>
      <c r="D2326" s="62">
        <v>619.9</v>
      </c>
    </row>
    <row r="2327" spans="1:4">
      <c r="A2327" s="61">
        <v>6284</v>
      </c>
      <c r="B2327" s="61">
        <v>9603</v>
      </c>
      <c r="C2327" s="62">
        <v>185.6</v>
      </c>
      <c r="D2327" s="62">
        <v>1011.7</v>
      </c>
    </row>
    <row r="2328" spans="1:4">
      <c r="A2328" s="61">
        <v>6285</v>
      </c>
      <c r="B2328" s="61">
        <v>9519</v>
      </c>
      <c r="C2328" s="62">
        <v>191.2</v>
      </c>
      <c r="D2328" s="62">
        <v>619.9</v>
      </c>
    </row>
    <row r="2329" spans="1:4">
      <c r="A2329" s="61">
        <v>6286</v>
      </c>
      <c r="B2329" s="61">
        <v>9518</v>
      </c>
      <c r="C2329" s="62">
        <v>256.60000000000002</v>
      </c>
      <c r="D2329" s="62">
        <v>552.4</v>
      </c>
    </row>
    <row r="2330" spans="1:4">
      <c r="A2330" s="61">
        <v>6288</v>
      </c>
      <c r="B2330" s="61">
        <v>9518</v>
      </c>
      <c r="C2330" s="62">
        <v>256.60000000000002</v>
      </c>
      <c r="D2330" s="62">
        <v>552.4</v>
      </c>
    </row>
    <row r="2331" spans="1:4">
      <c r="A2331" s="61">
        <v>6290</v>
      </c>
      <c r="B2331" s="61">
        <v>9518</v>
      </c>
      <c r="C2331" s="62">
        <v>256.60000000000002</v>
      </c>
      <c r="D2331" s="62">
        <v>552.4</v>
      </c>
    </row>
    <row r="2332" spans="1:4">
      <c r="A2332" s="61">
        <v>6302</v>
      </c>
      <c r="B2332" s="61">
        <v>10286</v>
      </c>
      <c r="C2332" s="62">
        <v>285.8</v>
      </c>
      <c r="D2332" s="62">
        <v>963.7</v>
      </c>
    </row>
    <row r="2333" spans="1:4">
      <c r="A2333" s="61">
        <v>6304</v>
      </c>
      <c r="B2333" s="61">
        <v>10286</v>
      </c>
      <c r="C2333" s="62">
        <v>285.8</v>
      </c>
      <c r="D2333" s="62">
        <v>963.7</v>
      </c>
    </row>
    <row r="2334" spans="1:4">
      <c r="A2334" s="61">
        <v>6306</v>
      </c>
      <c r="B2334" s="61">
        <v>10917</v>
      </c>
      <c r="C2334" s="62">
        <v>153.1</v>
      </c>
      <c r="D2334" s="62">
        <v>1318.6</v>
      </c>
    </row>
    <row r="2335" spans="1:4">
      <c r="A2335" s="61">
        <v>6308</v>
      </c>
      <c r="B2335" s="61">
        <v>10917</v>
      </c>
      <c r="C2335" s="62">
        <v>153.1</v>
      </c>
      <c r="D2335" s="62">
        <v>1318.6</v>
      </c>
    </row>
    <row r="2336" spans="1:4">
      <c r="A2336" s="61">
        <v>6309</v>
      </c>
      <c r="B2336" s="61">
        <v>10917</v>
      </c>
      <c r="C2336" s="62">
        <v>153.1</v>
      </c>
      <c r="D2336" s="62">
        <v>1318.6</v>
      </c>
    </row>
    <row r="2337" spans="1:4">
      <c r="A2337" s="61">
        <v>6311</v>
      </c>
      <c r="B2337" s="61">
        <v>10917</v>
      </c>
      <c r="C2337" s="62">
        <v>153.1</v>
      </c>
      <c r="D2337" s="62">
        <v>1318.6</v>
      </c>
    </row>
    <row r="2338" spans="1:4">
      <c r="A2338" s="61">
        <v>6312</v>
      </c>
      <c r="B2338" s="61">
        <v>10917</v>
      </c>
      <c r="C2338" s="62">
        <v>153.1</v>
      </c>
      <c r="D2338" s="62">
        <v>1318.6</v>
      </c>
    </row>
    <row r="2339" spans="1:4">
      <c r="A2339" s="61">
        <v>6313</v>
      </c>
      <c r="B2339" s="61">
        <v>10917</v>
      </c>
      <c r="C2339" s="62">
        <v>153.1</v>
      </c>
      <c r="D2339" s="62">
        <v>1318.6</v>
      </c>
    </row>
    <row r="2340" spans="1:4">
      <c r="A2340" s="61">
        <v>6315</v>
      </c>
      <c r="B2340" s="61">
        <v>10916</v>
      </c>
      <c r="C2340" s="62">
        <v>89.3</v>
      </c>
      <c r="D2340" s="62">
        <v>1236.2</v>
      </c>
    </row>
    <row r="2341" spans="1:4">
      <c r="A2341" s="61">
        <v>6316</v>
      </c>
      <c r="B2341" s="61">
        <v>10916</v>
      </c>
      <c r="C2341" s="62">
        <v>89.3</v>
      </c>
      <c r="D2341" s="62">
        <v>1236.2</v>
      </c>
    </row>
    <row r="2342" spans="1:4">
      <c r="A2342" s="61">
        <v>6317</v>
      </c>
      <c r="B2342" s="61">
        <v>10916</v>
      </c>
      <c r="C2342" s="62">
        <v>89.3</v>
      </c>
      <c r="D2342" s="62">
        <v>1236.2</v>
      </c>
    </row>
    <row r="2343" spans="1:4">
      <c r="A2343" s="61">
        <v>6318</v>
      </c>
      <c r="B2343" s="61">
        <v>10916</v>
      </c>
      <c r="C2343" s="62">
        <v>89.3</v>
      </c>
      <c r="D2343" s="62">
        <v>1236.2</v>
      </c>
    </row>
    <row r="2344" spans="1:4">
      <c r="A2344" s="61">
        <v>6320</v>
      </c>
      <c r="B2344" s="61">
        <v>10916</v>
      </c>
      <c r="C2344" s="62">
        <v>89.3</v>
      </c>
      <c r="D2344" s="62">
        <v>1236.2</v>
      </c>
    </row>
    <row r="2345" spans="1:4">
      <c r="A2345" s="61">
        <v>6321</v>
      </c>
      <c r="B2345" s="61">
        <v>9964</v>
      </c>
      <c r="C2345" s="62">
        <v>84.9</v>
      </c>
      <c r="D2345" s="62">
        <v>1329.6</v>
      </c>
    </row>
    <row r="2346" spans="1:4">
      <c r="A2346" s="61">
        <v>6322</v>
      </c>
      <c r="B2346" s="61">
        <v>9964</v>
      </c>
      <c r="C2346" s="62">
        <v>84.9</v>
      </c>
      <c r="D2346" s="62">
        <v>1329.6</v>
      </c>
    </row>
    <row r="2347" spans="1:4">
      <c r="A2347" s="61">
        <v>6323</v>
      </c>
      <c r="B2347" s="61">
        <v>9741</v>
      </c>
      <c r="C2347" s="62">
        <v>125</v>
      </c>
      <c r="D2347" s="62">
        <v>1155.7</v>
      </c>
    </row>
    <row r="2348" spans="1:4">
      <c r="A2348" s="61">
        <v>6324</v>
      </c>
      <c r="B2348" s="61">
        <v>9964</v>
      </c>
      <c r="C2348" s="62">
        <v>84.9</v>
      </c>
      <c r="D2348" s="62">
        <v>1329.6</v>
      </c>
    </row>
    <row r="2349" spans="1:4">
      <c r="A2349" s="61">
        <v>6326</v>
      </c>
      <c r="B2349" s="61">
        <v>9741</v>
      </c>
      <c r="C2349" s="62">
        <v>125</v>
      </c>
      <c r="D2349" s="62">
        <v>1155.7</v>
      </c>
    </row>
    <row r="2350" spans="1:4">
      <c r="A2350" s="61">
        <v>6327</v>
      </c>
      <c r="B2350" s="61">
        <v>9741</v>
      </c>
      <c r="C2350" s="62">
        <v>125</v>
      </c>
      <c r="D2350" s="62">
        <v>1155.7</v>
      </c>
    </row>
    <row r="2351" spans="1:4">
      <c r="A2351" s="61">
        <v>6328</v>
      </c>
      <c r="B2351" s="61">
        <v>10905</v>
      </c>
      <c r="C2351" s="62">
        <v>103.1</v>
      </c>
      <c r="D2351" s="62">
        <v>1254</v>
      </c>
    </row>
    <row r="2352" spans="1:4">
      <c r="A2352" s="61">
        <v>6330</v>
      </c>
      <c r="B2352" s="61">
        <v>9741</v>
      </c>
      <c r="C2352" s="62">
        <v>125</v>
      </c>
      <c r="D2352" s="62">
        <v>1155.7</v>
      </c>
    </row>
    <row r="2353" spans="1:4">
      <c r="A2353" s="61">
        <v>6333</v>
      </c>
      <c r="B2353" s="61">
        <v>9741</v>
      </c>
      <c r="C2353" s="62">
        <v>125</v>
      </c>
      <c r="D2353" s="62">
        <v>1155.7</v>
      </c>
    </row>
    <row r="2354" spans="1:4">
      <c r="A2354" s="61">
        <v>6335</v>
      </c>
      <c r="B2354" s="61">
        <v>10916</v>
      </c>
      <c r="C2354" s="62">
        <v>89.3</v>
      </c>
      <c r="D2354" s="62">
        <v>1236.2</v>
      </c>
    </row>
    <row r="2355" spans="1:4">
      <c r="A2355" s="61">
        <v>6336</v>
      </c>
      <c r="B2355" s="61">
        <v>10905</v>
      </c>
      <c r="C2355" s="62">
        <v>103.1</v>
      </c>
      <c r="D2355" s="62">
        <v>1254</v>
      </c>
    </row>
    <row r="2356" spans="1:4">
      <c r="A2356" s="61">
        <v>6337</v>
      </c>
      <c r="B2356" s="61">
        <v>10905</v>
      </c>
      <c r="C2356" s="62">
        <v>103.1</v>
      </c>
      <c r="D2356" s="62">
        <v>1254</v>
      </c>
    </row>
    <row r="2357" spans="1:4">
      <c r="A2357" s="61">
        <v>6338</v>
      </c>
      <c r="B2357" s="61">
        <v>10916</v>
      </c>
      <c r="C2357" s="62">
        <v>89.3</v>
      </c>
      <c r="D2357" s="62">
        <v>1236.2</v>
      </c>
    </row>
    <row r="2358" spans="1:4">
      <c r="A2358" s="61">
        <v>6341</v>
      </c>
      <c r="B2358" s="61">
        <v>10916</v>
      </c>
      <c r="C2358" s="62">
        <v>89.3</v>
      </c>
      <c r="D2358" s="62">
        <v>1236.2</v>
      </c>
    </row>
    <row r="2359" spans="1:4">
      <c r="A2359" s="61">
        <v>6343</v>
      </c>
      <c r="B2359" s="61">
        <v>10905</v>
      </c>
      <c r="C2359" s="62">
        <v>103.1</v>
      </c>
      <c r="D2359" s="62">
        <v>1254</v>
      </c>
    </row>
    <row r="2360" spans="1:4">
      <c r="A2360" s="61">
        <v>6346</v>
      </c>
      <c r="B2360" s="61">
        <v>12044</v>
      </c>
      <c r="C2360" s="62">
        <v>138.1</v>
      </c>
      <c r="D2360" s="62">
        <v>965.9</v>
      </c>
    </row>
    <row r="2361" spans="1:4">
      <c r="A2361" s="61">
        <v>6348</v>
      </c>
      <c r="B2361" s="61">
        <v>9961</v>
      </c>
      <c r="C2361" s="62">
        <v>224.6</v>
      </c>
      <c r="D2361" s="62">
        <v>770.4</v>
      </c>
    </row>
    <row r="2362" spans="1:4">
      <c r="A2362" s="61">
        <v>6350</v>
      </c>
      <c r="B2362" s="61">
        <v>10916</v>
      </c>
      <c r="C2362" s="62">
        <v>89.3</v>
      </c>
      <c r="D2362" s="62">
        <v>1236.2</v>
      </c>
    </row>
    <row r="2363" spans="1:4">
      <c r="A2363" s="61">
        <v>6351</v>
      </c>
      <c r="B2363" s="61">
        <v>10911</v>
      </c>
      <c r="C2363" s="62">
        <v>154.80000000000001</v>
      </c>
      <c r="D2363" s="62">
        <v>1078.3</v>
      </c>
    </row>
    <row r="2364" spans="1:4">
      <c r="A2364" s="61">
        <v>6352</v>
      </c>
      <c r="B2364" s="61">
        <v>10911</v>
      </c>
      <c r="C2364" s="62">
        <v>154.80000000000001</v>
      </c>
      <c r="D2364" s="62">
        <v>1078.3</v>
      </c>
    </row>
    <row r="2365" spans="1:4">
      <c r="A2365" s="61">
        <v>6353</v>
      </c>
      <c r="B2365" s="61">
        <v>10692</v>
      </c>
      <c r="C2365" s="62">
        <v>99.7</v>
      </c>
      <c r="D2365" s="62">
        <v>1268.3</v>
      </c>
    </row>
    <row r="2366" spans="1:4">
      <c r="A2366" s="61">
        <v>6355</v>
      </c>
      <c r="B2366" s="61">
        <v>10692</v>
      </c>
      <c r="C2366" s="62">
        <v>99.7</v>
      </c>
      <c r="D2366" s="62">
        <v>1268.3</v>
      </c>
    </row>
    <row r="2367" spans="1:4">
      <c r="A2367" s="61">
        <v>6356</v>
      </c>
      <c r="B2367" s="61">
        <v>10692</v>
      </c>
      <c r="C2367" s="62">
        <v>99.7</v>
      </c>
      <c r="D2367" s="62">
        <v>1268.3</v>
      </c>
    </row>
    <row r="2368" spans="1:4">
      <c r="A2368" s="61">
        <v>6357</v>
      </c>
      <c r="B2368" s="61">
        <v>10911</v>
      </c>
      <c r="C2368" s="62">
        <v>154.80000000000001</v>
      </c>
      <c r="D2368" s="62">
        <v>1078.3</v>
      </c>
    </row>
    <row r="2369" spans="1:4">
      <c r="A2369" s="61">
        <v>6358</v>
      </c>
      <c r="B2369" s="61">
        <v>10692</v>
      </c>
      <c r="C2369" s="62">
        <v>99.7</v>
      </c>
      <c r="D2369" s="62">
        <v>1268.3</v>
      </c>
    </row>
    <row r="2370" spans="1:4">
      <c r="A2370" s="61">
        <v>6359</v>
      </c>
      <c r="B2370" s="61">
        <v>10692</v>
      </c>
      <c r="C2370" s="62">
        <v>99.7</v>
      </c>
      <c r="D2370" s="62">
        <v>1268.3</v>
      </c>
    </row>
    <row r="2371" spans="1:4">
      <c r="A2371" s="61">
        <v>6361</v>
      </c>
      <c r="B2371" s="61">
        <v>10911</v>
      </c>
      <c r="C2371" s="62">
        <v>154.80000000000001</v>
      </c>
      <c r="D2371" s="62">
        <v>1078.3</v>
      </c>
    </row>
    <row r="2372" spans="1:4">
      <c r="A2372" s="61">
        <v>6363</v>
      </c>
      <c r="B2372" s="61">
        <v>10911</v>
      </c>
      <c r="C2372" s="62">
        <v>154.80000000000001</v>
      </c>
      <c r="D2372" s="62">
        <v>1078.3</v>
      </c>
    </row>
    <row r="2373" spans="1:4">
      <c r="A2373" s="61">
        <v>6365</v>
      </c>
      <c r="B2373" s="61">
        <v>10536</v>
      </c>
      <c r="C2373" s="62">
        <v>259.8</v>
      </c>
      <c r="D2373" s="62">
        <v>1092.5999999999999</v>
      </c>
    </row>
    <row r="2374" spans="1:4">
      <c r="A2374" s="61">
        <v>6367</v>
      </c>
      <c r="B2374" s="61">
        <v>10536</v>
      </c>
      <c r="C2374" s="62">
        <v>259.8</v>
      </c>
      <c r="D2374" s="62">
        <v>1092.5999999999999</v>
      </c>
    </row>
    <row r="2375" spans="1:4">
      <c r="A2375" s="61">
        <v>6368</v>
      </c>
      <c r="B2375" s="61">
        <v>10536</v>
      </c>
      <c r="C2375" s="62">
        <v>259.8</v>
      </c>
      <c r="D2375" s="62">
        <v>1092.5999999999999</v>
      </c>
    </row>
    <row r="2376" spans="1:4">
      <c r="A2376" s="61">
        <v>6369</v>
      </c>
      <c r="B2376" s="61">
        <v>10536</v>
      </c>
      <c r="C2376" s="62">
        <v>259.8</v>
      </c>
      <c r="D2376" s="62">
        <v>1092.5999999999999</v>
      </c>
    </row>
    <row r="2377" spans="1:4">
      <c r="A2377" s="61">
        <v>6370</v>
      </c>
      <c r="B2377" s="61">
        <v>10536</v>
      </c>
      <c r="C2377" s="62">
        <v>259.8</v>
      </c>
      <c r="D2377" s="62">
        <v>1092.5999999999999</v>
      </c>
    </row>
    <row r="2378" spans="1:4">
      <c r="A2378" s="61">
        <v>6372</v>
      </c>
      <c r="B2378" s="61">
        <v>10536</v>
      </c>
      <c r="C2378" s="62">
        <v>259.8</v>
      </c>
      <c r="D2378" s="62">
        <v>1092.5999999999999</v>
      </c>
    </row>
    <row r="2379" spans="1:4">
      <c r="A2379" s="61">
        <v>6373</v>
      </c>
      <c r="B2379" s="61">
        <v>10536</v>
      </c>
      <c r="C2379" s="62">
        <v>259.8</v>
      </c>
      <c r="D2379" s="62">
        <v>1092.5999999999999</v>
      </c>
    </row>
    <row r="2380" spans="1:4">
      <c r="A2380" s="61">
        <v>6375</v>
      </c>
      <c r="B2380" s="61">
        <v>10536</v>
      </c>
      <c r="C2380" s="62">
        <v>259.8</v>
      </c>
      <c r="D2380" s="62">
        <v>1092.5999999999999</v>
      </c>
    </row>
    <row r="2381" spans="1:4">
      <c r="A2381" s="61">
        <v>6383</v>
      </c>
      <c r="B2381" s="61">
        <v>10286</v>
      </c>
      <c r="C2381" s="62">
        <v>285.8</v>
      </c>
      <c r="D2381" s="62">
        <v>963.7</v>
      </c>
    </row>
    <row r="2382" spans="1:4">
      <c r="A2382" s="61">
        <v>6384</v>
      </c>
      <c r="B2382" s="61">
        <v>10536</v>
      </c>
      <c r="C2382" s="62">
        <v>259.8</v>
      </c>
      <c r="D2382" s="62">
        <v>1092.5999999999999</v>
      </c>
    </row>
    <row r="2383" spans="1:4">
      <c r="A2383" s="61">
        <v>6385</v>
      </c>
      <c r="B2383" s="61">
        <v>10536</v>
      </c>
      <c r="C2383" s="62">
        <v>259.8</v>
      </c>
      <c r="D2383" s="62">
        <v>1092.5999999999999</v>
      </c>
    </row>
    <row r="2384" spans="1:4">
      <c r="A2384" s="61">
        <v>6386</v>
      </c>
      <c r="B2384" s="61">
        <v>10536</v>
      </c>
      <c r="C2384" s="62">
        <v>259.8</v>
      </c>
      <c r="D2384" s="62">
        <v>1092.5999999999999</v>
      </c>
    </row>
    <row r="2385" spans="1:4">
      <c r="A2385" s="61">
        <v>6390</v>
      </c>
      <c r="B2385" s="61">
        <v>10917</v>
      </c>
      <c r="C2385" s="62">
        <v>153.1</v>
      </c>
      <c r="D2385" s="62">
        <v>1318.6</v>
      </c>
    </row>
    <row r="2386" spans="1:4">
      <c r="A2386" s="61">
        <v>6391</v>
      </c>
      <c r="B2386" s="61">
        <v>10917</v>
      </c>
      <c r="C2386" s="62">
        <v>153.1</v>
      </c>
      <c r="D2386" s="62">
        <v>1318.6</v>
      </c>
    </row>
    <row r="2387" spans="1:4">
      <c r="A2387" s="61">
        <v>6392</v>
      </c>
      <c r="B2387" s="61">
        <v>9994</v>
      </c>
      <c r="C2387" s="62">
        <v>169.3</v>
      </c>
      <c r="D2387" s="62">
        <v>1321.1</v>
      </c>
    </row>
    <row r="2388" spans="1:4">
      <c r="A2388" s="61">
        <v>6393</v>
      </c>
      <c r="B2388" s="61">
        <v>9994</v>
      </c>
      <c r="C2388" s="62">
        <v>169.3</v>
      </c>
      <c r="D2388" s="62">
        <v>1321.1</v>
      </c>
    </row>
    <row r="2389" spans="1:4">
      <c r="A2389" s="61">
        <v>6394</v>
      </c>
      <c r="B2389" s="61">
        <v>10916</v>
      </c>
      <c r="C2389" s="62">
        <v>89.3</v>
      </c>
      <c r="D2389" s="62">
        <v>1236.2</v>
      </c>
    </row>
    <row r="2390" spans="1:4">
      <c r="A2390" s="61">
        <v>6395</v>
      </c>
      <c r="B2390" s="61">
        <v>10916</v>
      </c>
      <c r="C2390" s="62">
        <v>89.3</v>
      </c>
      <c r="D2390" s="62">
        <v>1236.2</v>
      </c>
    </row>
    <row r="2391" spans="1:4">
      <c r="A2391" s="61">
        <v>6396</v>
      </c>
      <c r="B2391" s="61">
        <v>9964</v>
      </c>
      <c r="C2391" s="62">
        <v>84.9</v>
      </c>
      <c r="D2391" s="62">
        <v>1329.6</v>
      </c>
    </row>
    <row r="2392" spans="1:4">
      <c r="A2392" s="61">
        <v>6397</v>
      </c>
      <c r="B2392" s="61">
        <v>9964</v>
      </c>
      <c r="C2392" s="62">
        <v>84.9</v>
      </c>
      <c r="D2392" s="62">
        <v>1329.6</v>
      </c>
    </row>
    <row r="2393" spans="1:4">
      <c r="A2393" s="61">
        <v>6398</v>
      </c>
      <c r="B2393" s="61">
        <v>9968</v>
      </c>
      <c r="C2393" s="62">
        <v>117</v>
      </c>
      <c r="D2393" s="62">
        <v>1363.1</v>
      </c>
    </row>
    <row r="2394" spans="1:4">
      <c r="A2394" s="61">
        <v>6401</v>
      </c>
      <c r="B2394" s="61">
        <v>9053</v>
      </c>
      <c r="C2394" s="62">
        <v>308.5</v>
      </c>
      <c r="D2394" s="62">
        <v>692.8</v>
      </c>
    </row>
    <row r="2395" spans="1:4">
      <c r="A2395" s="61">
        <v>6403</v>
      </c>
      <c r="B2395" s="61">
        <v>10286</v>
      </c>
      <c r="C2395" s="62">
        <v>285.8</v>
      </c>
      <c r="D2395" s="62">
        <v>963.7</v>
      </c>
    </row>
    <row r="2396" spans="1:4">
      <c r="A2396" s="61">
        <v>6405</v>
      </c>
      <c r="B2396" s="61">
        <v>10286</v>
      </c>
      <c r="C2396" s="62">
        <v>285.8</v>
      </c>
      <c r="D2396" s="62">
        <v>963.7</v>
      </c>
    </row>
    <row r="2397" spans="1:4">
      <c r="A2397" s="61">
        <v>6407</v>
      </c>
      <c r="B2397" s="61">
        <v>10286</v>
      </c>
      <c r="C2397" s="62">
        <v>285.8</v>
      </c>
      <c r="D2397" s="62">
        <v>963.7</v>
      </c>
    </row>
    <row r="2398" spans="1:4">
      <c r="A2398" s="61">
        <v>6409</v>
      </c>
      <c r="B2398" s="61">
        <v>10286</v>
      </c>
      <c r="C2398" s="62">
        <v>285.8</v>
      </c>
      <c r="D2398" s="62">
        <v>963.7</v>
      </c>
    </row>
    <row r="2399" spans="1:4">
      <c r="A2399" s="61">
        <v>6410</v>
      </c>
      <c r="B2399" s="61">
        <v>10286</v>
      </c>
      <c r="C2399" s="62">
        <v>285.8</v>
      </c>
      <c r="D2399" s="62">
        <v>963.7</v>
      </c>
    </row>
    <row r="2400" spans="1:4">
      <c r="A2400" s="61">
        <v>6411</v>
      </c>
      <c r="B2400" s="61">
        <v>10286</v>
      </c>
      <c r="C2400" s="62">
        <v>285.8</v>
      </c>
      <c r="D2400" s="62">
        <v>963.7</v>
      </c>
    </row>
    <row r="2401" spans="1:4">
      <c r="A2401" s="61">
        <v>6412</v>
      </c>
      <c r="B2401" s="61">
        <v>10286</v>
      </c>
      <c r="C2401" s="62">
        <v>285.8</v>
      </c>
      <c r="D2401" s="62">
        <v>963.7</v>
      </c>
    </row>
    <row r="2402" spans="1:4">
      <c r="A2402" s="61">
        <v>6413</v>
      </c>
      <c r="B2402" s="61">
        <v>10286</v>
      </c>
      <c r="C2402" s="62">
        <v>285.8</v>
      </c>
      <c r="D2402" s="62">
        <v>963.7</v>
      </c>
    </row>
    <row r="2403" spans="1:4">
      <c r="A2403" s="61">
        <v>6414</v>
      </c>
      <c r="B2403" s="61">
        <v>10286</v>
      </c>
      <c r="C2403" s="62">
        <v>285.8</v>
      </c>
      <c r="D2403" s="62">
        <v>963.7</v>
      </c>
    </row>
    <row r="2404" spans="1:4">
      <c r="A2404" s="61">
        <v>6415</v>
      </c>
      <c r="B2404" s="61">
        <v>10536</v>
      </c>
      <c r="C2404" s="62">
        <v>259.8</v>
      </c>
      <c r="D2404" s="62">
        <v>1092.5999999999999</v>
      </c>
    </row>
    <row r="2405" spans="1:4">
      <c r="A2405" s="61">
        <v>6418</v>
      </c>
      <c r="B2405" s="61">
        <v>10536</v>
      </c>
      <c r="C2405" s="62">
        <v>259.8</v>
      </c>
      <c r="D2405" s="62">
        <v>1092.5999999999999</v>
      </c>
    </row>
    <row r="2406" spans="1:4">
      <c r="A2406" s="61">
        <v>6419</v>
      </c>
      <c r="B2406" s="61">
        <v>10536</v>
      </c>
      <c r="C2406" s="62">
        <v>259.8</v>
      </c>
      <c r="D2406" s="62">
        <v>1092.5999999999999</v>
      </c>
    </row>
    <row r="2407" spans="1:4">
      <c r="A2407" s="61">
        <v>6420</v>
      </c>
      <c r="B2407" s="61">
        <v>10536</v>
      </c>
      <c r="C2407" s="62">
        <v>259.8</v>
      </c>
      <c r="D2407" s="62">
        <v>1092.5999999999999</v>
      </c>
    </row>
    <row r="2408" spans="1:4">
      <c r="A2408" s="61">
        <v>6421</v>
      </c>
      <c r="B2408" s="61">
        <v>10536</v>
      </c>
      <c r="C2408" s="62">
        <v>259.8</v>
      </c>
      <c r="D2408" s="62">
        <v>1092.5999999999999</v>
      </c>
    </row>
    <row r="2409" spans="1:4">
      <c r="A2409" s="61">
        <v>6422</v>
      </c>
      <c r="B2409" s="61">
        <v>10536</v>
      </c>
      <c r="C2409" s="62">
        <v>259.8</v>
      </c>
      <c r="D2409" s="62">
        <v>1092.5999999999999</v>
      </c>
    </row>
    <row r="2410" spans="1:4">
      <c r="A2410" s="61">
        <v>6423</v>
      </c>
      <c r="B2410" s="61">
        <v>10536</v>
      </c>
      <c r="C2410" s="62">
        <v>259.8</v>
      </c>
      <c r="D2410" s="62">
        <v>1092.5999999999999</v>
      </c>
    </row>
    <row r="2411" spans="1:4">
      <c r="A2411" s="61">
        <v>6424</v>
      </c>
      <c r="B2411" s="61">
        <v>10536</v>
      </c>
      <c r="C2411" s="62">
        <v>259.8</v>
      </c>
      <c r="D2411" s="62">
        <v>1092.5999999999999</v>
      </c>
    </row>
    <row r="2412" spans="1:4">
      <c r="A2412" s="61">
        <v>6425</v>
      </c>
      <c r="B2412" s="61">
        <v>10536</v>
      </c>
      <c r="C2412" s="62">
        <v>259.8</v>
      </c>
      <c r="D2412" s="62">
        <v>1092.5999999999999</v>
      </c>
    </row>
    <row r="2413" spans="1:4">
      <c r="A2413" s="61">
        <v>6426</v>
      </c>
      <c r="B2413" s="61">
        <v>12038</v>
      </c>
      <c r="C2413" s="62">
        <v>221.9</v>
      </c>
      <c r="D2413" s="62">
        <v>774</v>
      </c>
    </row>
    <row r="2414" spans="1:4">
      <c r="A2414" s="61">
        <v>6427</v>
      </c>
      <c r="B2414" s="61">
        <v>12038</v>
      </c>
      <c r="C2414" s="62">
        <v>221.9</v>
      </c>
      <c r="D2414" s="62">
        <v>774</v>
      </c>
    </row>
    <row r="2415" spans="1:4">
      <c r="A2415" s="61">
        <v>6428</v>
      </c>
      <c r="B2415" s="61">
        <v>10536</v>
      </c>
      <c r="C2415" s="62">
        <v>259.8</v>
      </c>
      <c r="D2415" s="62">
        <v>1092.5999999999999</v>
      </c>
    </row>
    <row r="2416" spans="1:4">
      <c r="A2416" s="61">
        <v>6429</v>
      </c>
      <c r="B2416" s="61">
        <v>12038</v>
      </c>
      <c r="C2416" s="62">
        <v>221.9</v>
      </c>
      <c r="D2416" s="62">
        <v>774</v>
      </c>
    </row>
    <row r="2417" spans="1:4">
      <c r="A2417" s="61">
        <v>6430</v>
      </c>
      <c r="B2417" s="61">
        <v>12038</v>
      </c>
      <c r="C2417" s="62">
        <v>221.9</v>
      </c>
      <c r="D2417" s="62">
        <v>774</v>
      </c>
    </row>
    <row r="2418" spans="1:4">
      <c r="A2418" s="12">
        <v>6431</v>
      </c>
      <c r="B2418" s="12">
        <v>12038</v>
      </c>
      <c r="C2418" s="12">
        <v>221.9</v>
      </c>
      <c r="D2418" s="12">
        <v>774</v>
      </c>
    </row>
    <row r="2419" spans="1:4">
      <c r="A2419" s="61">
        <v>6432</v>
      </c>
      <c r="B2419" s="61">
        <v>12038</v>
      </c>
      <c r="C2419" s="62">
        <v>221.9</v>
      </c>
      <c r="D2419" s="62">
        <v>774</v>
      </c>
    </row>
    <row r="2420" spans="1:4">
      <c r="A2420" s="61">
        <v>6434</v>
      </c>
      <c r="B2420" s="61">
        <v>11052</v>
      </c>
      <c r="C2420" s="62">
        <v>235.9</v>
      </c>
      <c r="D2420" s="62">
        <v>753.3</v>
      </c>
    </row>
    <row r="2421" spans="1:4">
      <c r="A2421" s="61">
        <v>6436</v>
      </c>
      <c r="B2421" s="61">
        <v>12038</v>
      </c>
      <c r="C2421" s="62">
        <v>221.9</v>
      </c>
      <c r="D2421" s="62">
        <v>774</v>
      </c>
    </row>
    <row r="2422" spans="1:4">
      <c r="A2422" s="61">
        <v>6437</v>
      </c>
      <c r="B2422" s="61">
        <v>12241</v>
      </c>
      <c r="C2422" s="62">
        <v>348.7</v>
      </c>
      <c r="D2422" s="62">
        <v>574.79999999999995</v>
      </c>
    </row>
    <row r="2423" spans="1:4">
      <c r="A2423" s="61">
        <v>6438</v>
      </c>
      <c r="B2423" s="61">
        <v>12046</v>
      </c>
      <c r="C2423" s="62">
        <v>448.1</v>
      </c>
      <c r="D2423" s="62">
        <v>562.20000000000005</v>
      </c>
    </row>
    <row r="2424" spans="1:4">
      <c r="A2424" s="61">
        <v>6440</v>
      </c>
      <c r="B2424" s="61">
        <v>13011</v>
      </c>
      <c r="C2424" s="62">
        <v>514.6</v>
      </c>
      <c r="D2424" s="62">
        <v>457.2</v>
      </c>
    </row>
    <row r="2425" spans="1:4">
      <c r="A2425" s="61">
        <v>6442</v>
      </c>
      <c r="B2425" s="61">
        <v>12038</v>
      </c>
      <c r="C2425" s="62">
        <v>221.9</v>
      </c>
      <c r="D2425" s="62">
        <v>774</v>
      </c>
    </row>
    <row r="2426" spans="1:4">
      <c r="A2426" s="61">
        <v>6443</v>
      </c>
      <c r="B2426" s="61">
        <v>11052</v>
      </c>
      <c r="C2426" s="62">
        <v>235.9</v>
      </c>
      <c r="D2426" s="62">
        <v>753.3</v>
      </c>
    </row>
    <row r="2427" spans="1:4">
      <c r="A2427" s="61">
        <v>6445</v>
      </c>
      <c r="B2427" s="61">
        <v>9542</v>
      </c>
      <c r="C2427" s="62">
        <v>172.3</v>
      </c>
      <c r="D2427" s="62">
        <v>930</v>
      </c>
    </row>
    <row r="2428" spans="1:4">
      <c r="A2428" s="61">
        <v>6446</v>
      </c>
      <c r="B2428" s="61">
        <v>9542</v>
      </c>
      <c r="C2428" s="62">
        <v>172.3</v>
      </c>
      <c r="D2428" s="62">
        <v>930</v>
      </c>
    </row>
    <row r="2429" spans="1:4">
      <c r="A2429" s="61">
        <v>6447</v>
      </c>
      <c r="B2429" s="61">
        <v>9542</v>
      </c>
      <c r="C2429" s="62">
        <v>172.3</v>
      </c>
      <c r="D2429" s="62">
        <v>930</v>
      </c>
    </row>
    <row r="2430" spans="1:4">
      <c r="A2430" s="61">
        <v>6448</v>
      </c>
      <c r="B2430" s="61">
        <v>9542</v>
      </c>
      <c r="C2430" s="62">
        <v>172.3</v>
      </c>
      <c r="D2430" s="62">
        <v>930</v>
      </c>
    </row>
    <row r="2431" spans="1:4">
      <c r="A2431" s="61">
        <v>6450</v>
      </c>
      <c r="B2431" s="61">
        <v>9542</v>
      </c>
      <c r="C2431" s="62">
        <v>172.3</v>
      </c>
      <c r="D2431" s="62">
        <v>930</v>
      </c>
    </row>
    <row r="2432" spans="1:4">
      <c r="A2432" s="61">
        <v>6452</v>
      </c>
      <c r="B2432" s="61">
        <v>9789</v>
      </c>
      <c r="C2432" s="62">
        <v>182</v>
      </c>
      <c r="D2432" s="62">
        <v>773.8</v>
      </c>
    </row>
    <row r="2433" spans="1:4">
      <c r="A2433" s="61">
        <v>6460</v>
      </c>
      <c r="B2433" s="61">
        <v>10286</v>
      </c>
      <c r="C2433" s="62">
        <v>285.8</v>
      </c>
      <c r="D2433" s="62">
        <v>963.7</v>
      </c>
    </row>
    <row r="2434" spans="1:4">
      <c r="A2434" s="61">
        <v>6461</v>
      </c>
      <c r="B2434" s="61">
        <v>10286</v>
      </c>
      <c r="C2434" s="62">
        <v>285.8</v>
      </c>
      <c r="D2434" s="62">
        <v>963.7</v>
      </c>
    </row>
    <row r="2435" spans="1:4">
      <c r="A2435" s="61">
        <v>6462</v>
      </c>
      <c r="B2435" s="61">
        <v>10286</v>
      </c>
      <c r="C2435" s="62">
        <v>285.8</v>
      </c>
      <c r="D2435" s="62">
        <v>963.7</v>
      </c>
    </row>
    <row r="2436" spans="1:4">
      <c r="A2436" s="61">
        <v>6463</v>
      </c>
      <c r="B2436" s="61">
        <v>10286</v>
      </c>
      <c r="C2436" s="62">
        <v>285.8</v>
      </c>
      <c r="D2436" s="62">
        <v>963.7</v>
      </c>
    </row>
    <row r="2437" spans="1:4">
      <c r="A2437" s="61">
        <v>6465</v>
      </c>
      <c r="B2437" s="61">
        <v>8297</v>
      </c>
      <c r="C2437" s="62">
        <v>259.60000000000002</v>
      </c>
      <c r="D2437" s="62">
        <v>832.6</v>
      </c>
    </row>
    <row r="2438" spans="1:4">
      <c r="A2438" s="61">
        <v>6466</v>
      </c>
      <c r="B2438" s="61">
        <v>8297</v>
      </c>
      <c r="C2438" s="62">
        <v>259.60000000000002</v>
      </c>
      <c r="D2438" s="62">
        <v>832.6</v>
      </c>
    </row>
    <row r="2439" spans="1:4">
      <c r="A2439" s="61">
        <v>6467</v>
      </c>
      <c r="B2439" s="61">
        <v>8297</v>
      </c>
      <c r="C2439" s="62">
        <v>259.60000000000002</v>
      </c>
      <c r="D2439" s="62">
        <v>832.6</v>
      </c>
    </row>
    <row r="2440" spans="1:4">
      <c r="A2440" s="61">
        <v>6468</v>
      </c>
      <c r="B2440" s="61">
        <v>8297</v>
      </c>
      <c r="C2440" s="62">
        <v>259.60000000000002</v>
      </c>
      <c r="D2440" s="62">
        <v>832.6</v>
      </c>
    </row>
    <row r="2441" spans="1:4">
      <c r="A2441" s="61">
        <v>6470</v>
      </c>
      <c r="B2441" s="61">
        <v>8297</v>
      </c>
      <c r="C2441" s="62">
        <v>259.60000000000002</v>
      </c>
      <c r="D2441" s="62">
        <v>832.6</v>
      </c>
    </row>
    <row r="2442" spans="1:4">
      <c r="A2442" s="61">
        <v>6472</v>
      </c>
      <c r="B2442" s="61">
        <v>8297</v>
      </c>
      <c r="C2442" s="62">
        <v>259.60000000000002</v>
      </c>
      <c r="D2442" s="62">
        <v>832.6</v>
      </c>
    </row>
    <row r="2443" spans="1:4">
      <c r="A2443" s="61">
        <v>6473</v>
      </c>
      <c r="B2443" s="61">
        <v>8297</v>
      </c>
      <c r="C2443" s="62">
        <v>259.60000000000002</v>
      </c>
      <c r="D2443" s="62">
        <v>832.6</v>
      </c>
    </row>
    <row r="2444" spans="1:4">
      <c r="A2444" s="61">
        <v>6475</v>
      </c>
      <c r="B2444" s="61">
        <v>10286</v>
      </c>
      <c r="C2444" s="62">
        <v>285.8</v>
      </c>
      <c r="D2444" s="62">
        <v>963.7</v>
      </c>
    </row>
    <row r="2445" spans="1:4">
      <c r="A2445" s="61">
        <v>6476</v>
      </c>
      <c r="B2445" s="61">
        <v>10286</v>
      </c>
      <c r="C2445" s="62">
        <v>285.8</v>
      </c>
      <c r="D2445" s="62">
        <v>963.7</v>
      </c>
    </row>
    <row r="2446" spans="1:4">
      <c r="A2446" s="61">
        <v>6477</v>
      </c>
      <c r="B2446" s="61">
        <v>10286</v>
      </c>
      <c r="C2446" s="62">
        <v>285.8</v>
      </c>
      <c r="D2446" s="62">
        <v>963.7</v>
      </c>
    </row>
    <row r="2447" spans="1:4">
      <c r="A2447" s="61">
        <v>6479</v>
      </c>
      <c r="B2447" s="61">
        <v>10286</v>
      </c>
      <c r="C2447" s="62">
        <v>285.8</v>
      </c>
      <c r="D2447" s="62">
        <v>963.7</v>
      </c>
    </row>
    <row r="2448" spans="1:4">
      <c r="A2448" s="61">
        <v>6480</v>
      </c>
      <c r="B2448" s="61">
        <v>10286</v>
      </c>
      <c r="C2448" s="62">
        <v>285.8</v>
      </c>
      <c r="D2448" s="62">
        <v>963.7</v>
      </c>
    </row>
    <row r="2449" spans="1:4">
      <c r="A2449" s="61">
        <v>6484</v>
      </c>
      <c r="B2449" s="61">
        <v>10286</v>
      </c>
      <c r="C2449" s="62">
        <v>285.8</v>
      </c>
      <c r="D2449" s="62">
        <v>963.7</v>
      </c>
    </row>
    <row r="2450" spans="1:4">
      <c r="A2450" s="61">
        <v>6485</v>
      </c>
      <c r="B2450" s="61">
        <v>10286</v>
      </c>
      <c r="C2450" s="62">
        <v>285.8</v>
      </c>
      <c r="D2450" s="62">
        <v>963.7</v>
      </c>
    </row>
    <row r="2451" spans="1:4">
      <c r="A2451" s="61">
        <v>6487</v>
      </c>
      <c r="B2451" s="61">
        <v>10286</v>
      </c>
      <c r="C2451" s="62">
        <v>285.8</v>
      </c>
      <c r="D2451" s="62">
        <v>963.7</v>
      </c>
    </row>
    <row r="2452" spans="1:4">
      <c r="A2452" s="61">
        <v>6488</v>
      </c>
      <c r="B2452" s="61">
        <v>10286</v>
      </c>
      <c r="C2452" s="62">
        <v>285.8</v>
      </c>
      <c r="D2452" s="62">
        <v>963.7</v>
      </c>
    </row>
    <row r="2453" spans="1:4">
      <c r="A2453" s="61">
        <v>6489</v>
      </c>
      <c r="B2453" s="61">
        <v>10286</v>
      </c>
      <c r="C2453" s="62">
        <v>285.8</v>
      </c>
      <c r="D2453" s="62">
        <v>963.7</v>
      </c>
    </row>
    <row r="2454" spans="1:4">
      <c r="A2454" s="61">
        <v>6490</v>
      </c>
      <c r="B2454" s="61">
        <v>10286</v>
      </c>
      <c r="C2454" s="62">
        <v>285.8</v>
      </c>
      <c r="D2454" s="62">
        <v>963.7</v>
      </c>
    </row>
    <row r="2455" spans="1:4">
      <c r="A2455" s="61">
        <v>6501</v>
      </c>
      <c r="B2455" s="61">
        <v>9053</v>
      </c>
      <c r="C2455" s="62">
        <v>308.5</v>
      </c>
      <c r="D2455" s="62">
        <v>692.8</v>
      </c>
    </row>
    <row r="2456" spans="1:4">
      <c r="A2456" s="61">
        <v>6502</v>
      </c>
      <c r="B2456" s="61">
        <v>9178</v>
      </c>
      <c r="C2456" s="62">
        <v>302.39999999999998</v>
      </c>
      <c r="D2456" s="62">
        <v>823.7</v>
      </c>
    </row>
    <row r="2457" spans="1:4">
      <c r="A2457" s="61">
        <v>6503</v>
      </c>
      <c r="B2457" s="61">
        <v>9178</v>
      </c>
      <c r="C2457" s="62">
        <v>302.39999999999998</v>
      </c>
      <c r="D2457" s="62">
        <v>823.7</v>
      </c>
    </row>
    <row r="2458" spans="1:4">
      <c r="A2458" s="61">
        <v>6504</v>
      </c>
      <c r="B2458" s="61">
        <v>9178</v>
      </c>
      <c r="C2458" s="62">
        <v>302.39999999999998</v>
      </c>
      <c r="D2458" s="62">
        <v>823.7</v>
      </c>
    </row>
    <row r="2459" spans="1:4">
      <c r="A2459" s="61">
        <v>6505</v>
      </c>
      <c r="B2459" s="61">
        <v>9178</v>
      </c>
      <c r="C2459" s="62">
        <v>302.39999999999998</v>
      </c>
      <c r="D2459" s="62">
        <v>823.7</v>
      </c>
    </row>
    <row r="2460" spans="1:4">
      <c r="A2460" s="61">
        <v>6506</v>
      </c>
      <c r="B2460" s="61">
        <v>9178</v>
      </c>
      <c r="C2460" s="62">
        <v>302.39999999999998</v>
      </c>
      <c r="D2460" s="62">
        <v>823.7</v>
      </c>
    </row>
    <row r="2461" spans="1:4">
      <c r="A2461" s="61">
        <v>6507</v>
      </c>
      <c r="B2461" s="61">
        <v>9114</v>
      </c>
      <c r="C2461" s="62">
        <v>587.79999999999995</v>
      </c>
      <c r="D2461" s="62">
        <v>431.4</v>
      </c>
    </row>
    <row r="2462" spans="1:4">
      <c r="A2462" s="61">
        <v>6509</v>
      </c>
      <c r="B2462" s="61">
        <v>9178</v>
      </c>
      <c r="C2462" s="62">
        <v>302.39999999999998</v>
      </c>
      <c r="D2462" s="62">
        <v>823.7</v>
      </c>
    </row>
    <row r="2463" spans="1:4">
      <c r="A2463" s="61">
        <v>6510</v>
      </c>
      <c r="B2463" s="61">
        <v>8297</v>
      </c>
      <c r="C2463" s="62">
        <v>259.60000000000002</v>
      </c>
      <c r="D2463" s="62">
        <v>832.6</v>
      </c>
    </row>
    <row r="2464" spans="1:4">
      <c r="A2464" s="61">
        <v>6511</v>
      </c>
      <c r="B2464" s="61">
        <v>9037</v>
      </c>
      <c r="C2464" s="62">
        <v>286.2</v>
      </c>
      <c r="D2464" s="62">
        <v>737.6</v>
      </c>
    </row>
    <row r="2465" spans="1:4">
      <c r="A2465" s="61">
        <v>6512</v>
      </c>
      <c r="B2465" s="61">
        <v>9037</v>
      </c>
      <c r="C2465" s="62">
        <v>286.2</v>
      </c>
      <c r="D2465" s="62">
        <v>737.6</v>
      </c>
    </row>
    <row r="2466" spans="1:4">
      <c r="A2466" s="61">
        <v>6513</v>
      </c>
      <c r="B2466" s="61">
        <v>9037</v>
      </c>
      <c r="C2466" s="62">
        <v>286.2</v>
      </c>
      <c r="D2466" s="62">
        <v>737.6</v>
      </c>
    </row>
    <row r="2467" spans="1:4">
      <c r="A2467" s="61">
        <v>6514</v>
      </c>
      <c r="B2467" s="61">
        <v>9037</v>
      </c>
      <c r="C2467" s="62">
        <v>286.2</v>
      </c>
      <c r="D2467" s="62">
        <v>737.6</v>
      </c>
    </row>
    <row r="2468" spans="1:4">
      <c r="A2468" s="61">
        <v>6515</v>
      </c>
      <c r="B2468" s="61">
        <v>9037</v>
      </c>
      <c r="C2468" s="62">
        <v>286.2</v>
      </c>
      <c r="D2468" s="62">
        <v>737.6</v>
      </c>
    </row>
    <row r="2469" spans="1:4">
      <c r="A2469" s="61">
        <v>6516</v>
      </c>
      <c r="B2469" s="61">
        <v>9037</v>
      </c>
      <c r="C2469" s="62">
        <v>286.2</v>
      </c>
      <c r="D2469" s="62">
        <v>737.6</v>
      </c>
    </row>
    <row r="2470" spans="1:4">
      <c r="A2470" s="61">
        <v>6517</v>
      </c>
      <c r="B2470" s="61">
        <v>8296</v>
      </c>
      <c r="C2470" s="62">
        <v>409.1</v>
      </c>
      <c r="D2470" s="62">
        <v>619.1</v>
      </c>
    </row>
    <row r="2471" spans="1:4">
      <c r="A2471" s="61">
        <v>6518</v>
      </c>
      <c r="B2471" s="61">
        <v>9037</v>
      </c>
      <c r="C2471" s="62">
        <v>286.2</v>
      </c>
      <c r="D2471" s="62">
        <v>737.6</v>
      </c>
    </row>
    <row r="2472" spans="1:4">
      <c r="A2472" s="61">
        <v>6519</v>
      </c>
      <c r="B2472" s="61">
        <v>8296</v>
      </c>
      <c r="C2472" s="62">
        <v>409.1</v>
      </c>
      <c r="D2472" s="62">
        <v>619.1</v>
      </c>
    </row>
    <row r="2473" spans="1:4">
      <c r="A2473" s="61">
        <v>6521</v>
      </c>
      <c r="B2473" s="61">
        <v>9037</v>
      </c>
      <c r="C2473" s="62">
        <v>286.2</v>
      </c>
      <c r="D2473" s="62">
        <v>737.6</v>
      </c>
    </row>
    <row r="2474" spans="1:4">
      <c r="A2474" s="61">
        <v>6522</v>
      </c>
      <c r="B2474" s="61">
        <v>8296</v>
      </c>
      <c r="C2474" s="62">
        <v>409.1</v>
      </c>
      <c r="D2474" s="62">
        <v>619.1</v>
      </c>
    </row>
    <row r="2475" spans="1:4">
      <c r="A2475" s="61">
        <v>6525</v>
      </c>
      <c r="B2475" s="61">
        <v>9037</v>
      </c>
      <c r="C2475" s="62">
        <v>286.2</v>
      </c>
      <c r="D2475" s="62">
        <v>737.6</v>
      </c>
    </row>
    <row r="2476" spans="1:4">
      <c r="A2476" s="61">
        <v>6528</v>
      </c>
      <c r="B2476" s="61">
        <v>8051</v>
      </c>
      <c r="C2476" s="62">
        <v>563</v>
      </c>
      <c r="D2476" s="62">
        <v>403.4</v>
      </c>
    </row>
    <row r="2477" spans="1:4">
      <c r="A2477" s="61">
        <v>6530</v>
      </c>
      <c r="B2477" s="61">
        <v>8051</v>
      </c>
      <c r="C2477" s="62">
        <v>563</v>
      </c>
      <c r="D2477" s="62">
        <v>403.4</v>
      </c>
    </row>
    <row r="2478" spans="1:4">
      <c r="A2478" s="61">
        <v>6532</v>
      </c>
      <c r="B2478" s="61">
        <v>8251</v>
      </c>
      <c r="C2478" s="62">
        <v>963.6</v>
      </c>
      <c r="D2478" s="62">
        <v>199.5</v>
      </c>
    </row>
    <row r="2479" spans="1:4">
      <c r="A2479" s="61">
        <v>6535</v>
      </c>
      <c r="B2479" s="61">
        <v>8051</v>
      </c>
      <c r="C2479" s="62">
        <v>563</v>
      </c>
      <c r="D2479" s="62">
        <v>403.4</v>
      </c>
    </row>
    <row r="2480" spans="1:4">
      <c r="A2480" s="61">
        <v>6536</v>
      </c>
      <c r="B2480" s="61">
        <v>8251</v>
      </c>
      <c r="C2480" s="62">
        <v>963.6</v>
      </c>
      <c r="D2480" s="62">
        <v>199.5</v>
      </c>
    </row>
    <row r="2481" spans="1:4">
      <c r="A2481" s="61">
        <v>6537</v>
      </c>
      <c r="B2481" s="61">
        <v>6105</v>
      </c>
      <c r="C2481" s="62">
        <v>990.5</v>
      </c>
      <c r="D2481" s="62">
        <v>124.1</v>
      </c>
    </row>
    <row r="2482" spans="1:4">
      <c r="A2482" s="61">
        <v>6556</v>
      </c>
      <c r="B2482" s="61">
        <v>9240</v>
      </c>
      <c r="C2482" s="62">
        <v>171.4</v>
      </c>
      <c r="D2482" s="62">
        <v>1040.2</v>
      </c>
    </row>
    <row r="2483" spans="1:4">
      <c r="A2483" s="61">
        <v>6558</v>
      </c>
      <c r="B2483" s="61">
        <v>9240</v>
      </c>
      <c r="C2483" s="62">
        <v>171.4</v>
      </c>
      <c r="D2483" s="62">
        <v>1040.2</v>
      </c>
    </row>
    <row r="2484" spans="1:4">
      <c r="A2484" s="61">
        <v>6560</v>
      </c>
      <c r="B2484" s="61">
        <v>9053</v>
      </c>
      <c r="C2484" s="62">
        <v>308.5</v>
      </c>
      <c r="D2484" s="62">
        <v>692.8</v>
      </c>
    </row>
    <row r="2485" spans="1:4">
      <c r="A2485" s="61">
        <v>6562</v>
      </c>
      <c r="B2485" s="61">
        <v>9240</v>
      </c>
      <c r="C2485" s="62">
        <v>171.4</v>
      </c>
      <c r="D2485" s="62">
        <v>1040.2</v>
      </c>
    </row>
    <row r="2486" spans="1:4">
      <c r="A2486" s="61">
        <v>6564</v>
      </c>
      <c r="B2486" s="61">
        <v>9053</v>
      </c>
      <c r="C2486" s="62">
        <v>308.5</v>
      </c>
      <c r="D2486" s="62">
        <v>692.8</v>
      </c>
    </row>
    <row r="2487" spans="1:4">
      <c r="A2487" s="61">
        <v>6566</v>
      </c>
      <c r="B2487" s="61">
        <v>9178</v>
      </c>
      <c r="C2487" s="62">
        <v>302.39999999999998</v>
      </c>
      <c r="D2487" s="62">
        <v>823.7</v>
      </c>
    </row>
    <row r="2488" spans="1:4">
      <c r="A2488" s="61">
        <v>6567</v>
      </c>
      <c r="B2488" s="61">
        <v>9053</v>
      </c>
      <c r="C2488" s="62">
        <v>308.5</v>
      </c>
      <c r="D2488" s="62">
        <v>692.8</v>
      </c>
    </row>
    <row r="2489" spans="1:4">
      <c r="A2489" s="61">
        <v>6568</v>
      </c>
      <c r="B2489" s="61">
        <v>9053</v>
      </c>
      <c r="C2489" s="62">
        <v>308.5</v>
      </c>
      <c r="D2489" s="62">
        <v>692.8</v>
      </c>
    </row>
    <row r="2490" spans="1:4">
      <c r="A2490" s="61">
        <v>6569</v>
      </c>
      <c r="B2490" s="61">
        <v>9178</v>
      </c>
      <c r="C2490" s="62">
        <v>302.39999999999998</v>
      </c>
      <c r="D2490" s="62">
        <v>823.7</v>
      </c>
    </row>
    <row r="2491" spans="1:4">
      <c r="A2491" s="61">
        <v>6571</v>
      </c>
      <c r="B2491" s="61">
        <v>8297</v>
      </c>
      <c r="C2491" s="62">
        <v>259.60000000000002</v>
      </c>
      <c r="D2491" s="62">
        <v>832.6</v>
      </c>
    </row>
    <row r="2492" spans="1:4">
      <c r="A2492" s="61">
        <v>6572</v>
      </c>
      <c r="B2492" s="61">
        <v>8297</v>
      </c>
      <c r="C2492" s="62">
        <v>259.60000000000002</v>
      </c>
      <c r="D2492" s="62">
        <v>832.6</v>
      </c>
    </row>
    <row r="2493" spans="1:4">
      <c r="A2493" s="61">
        <v>6574</v>
      </c>
      <c r="B2493" s="61">
        <v>8297</v>
      </c>
      <c r="C2493" s="62">
        <v>259.60000000000002</v>
      </c>
      <c r="D2493" s="62">
        <v>832.6</v>
      </c>
    </row>
    <row r="2494" spans="1:4">
      <c r="A2494" s="61">
        <v>6575</v>
      </c>
      <c r="B2494" s="61">
        <v>8297</v>
      </c>
      <c r="C2494" s="62">
        <v>259.60000000000002</v>
      </c>
      <c r="D2494" s="62">
        <v>832.6</v>
      </c>
    </row>
    <row r="2495" spans="1:4">
      <c r="A2495" s="61">
        <v>6603</v>
      </c>
      <c r="B2495" s="61">
        <v>8297</v>
      </c>
      <c r="C2495" s="62">
        <v>259.60000000000002</v>
      </c>
      <c r="D2495" s="62">
        <v>832.6</v>
      </c>
    </row>
    <row r="2496" spans="1:4">
      <c r="A2496" s="61">
        <v>6605</v>
      </c>
      <c r="B2496" s="61">
        <v>8297</v>
      </c>
      <c r="C2496" s="62">
        <v>259.60000000000002</v>
      </c>
      <c r="D2496" s="62">
        <v>832.6</v>
      </c>
    </row>
    <row r="2497" spans="1:4">
      <c r="A2497" s="61">
        <v>6606</v>
      </c>
      <c r="B2497" s="61">
        <v>8297</v>
      </c>
      <c r="C2497" s="62">
        <v>259.60000000000002</v>
      </c>
      <c r="D2497" s="62">
        <v>832.6</v>
      </c>
    </row>
    <row r="2498" spans="1:4">
      <c r="A2498" s="61">
        <v>6608</v>
      </c>
      <c r="B2498" s="61">
        <v>8297</v>
      </c>
      <c r="C2498" s="62">
        <v>259.60000000000002</v>
      </c>
      <c r="D2498" s="62">
        <v>832.6</v>
      </c>
    </row>
    <row r="2499" spans="1:4">
      <c r="A2499" s="61">
        <v>6609</v>
      </c>
      <c r="B2499" s="61">
        <v>8297</v>
      </c>
      <c r="C2499" s="62">
        <v>259.60000000000002</v>
      </c>
      <c r="D2499" s="62">
        <v>832.6</v>
      </c>
    </row>
    <row r="2500" spans="1:4">
      <c r="A2500" s="61">
        <v>6612</v>
      </c>
      <c r="B2500" s="61">
        <v>8297</v>
      </c>
      <c r="C2500" s="62">
        <v>259.60000000000002</v>
      </c>
      <c r="D2500" s="62">
        <v>832.6</v>
      </c>
    </row>
    <row r="2501" spans="1:4">
      <c r="A2501" s="61">
        <v>6613</v>
      </c>
      <c r="B2501" s="61">
        <v>8297</v>
      </c>
      <c r="C2501" s="62">
        <v>259.60000000000002</v>
      </c>
      <c r="D2501" s="62">
        <v>832.6</v>
      </c>
    </row>
    <row r="2502" spans="1:4">
      <c r="A2502" s="61">
        <v>6614</v>
      </c>
      <c r="B2502" s="61">
        <v>8297</v>
      </c>
      <c r="C2502" s="62">
        <v>259.60000000000002</v>
      </c>
      <c r="D2502" s="62">
        <v>832.6</v>
      </c>
    </row>
    <row r="2503" spans="1:4">
      <c r="A2503" s="61">
        <v>6616</v>
      </c>
      <c r="B2503" s="61">
        <v>8297</v>
      </c>
      <c r="C2503" s="62">
        <v>259.60000000000002</v>
      </c>
      <c r="D2503" s="62">
        <v>832.6</v>
      </c>
    </row>
    <row r="2504" spans="1:4">
      <c r="A2504" s="61">
        <v>6620</v>
      </c>
      <c r="B2504" s="61">
        <v>8296</v>
      </c>
      <c r="C2504" s="62">
        <v>409.1</v>
      </c>
      <c r="D2504" s="62">
        <v>619.1</v>
      </c>
    </row>
    <row r="2505" spans="1:4">
      <c r="A2505" s="61">
        <v>6623</v>
      </c>
      <c r="B2505" s="61">
        <v>8296</v>
      </c>
      <c r="C2505" s="62">
        <v>409.1</v>
      </c>
      <c r="D2505" s="62">
        <v>619.1</v>
      </c>
    </row>
    <row r="2506" spans="1:4">
      <c r="A2506" s="61">
        <v>6625</v>
      </c>
      <c r="B2506" s="61">
        <v>8296</v>
      </c>
      <c r="C2506" s="62">
        <v>409.1</v>
      </c>
      <c r="D2506" s="62">
        <v>619.1</v>
      </c>
    </row>
    <row r="2507" spans="1:4">
      <c r="A2507" s="61">
        <v>6627</v>
      </c>
      <c r="B2507" s="61">
        <v>8296</v>
      </c>
      <c r="C2507" s="62">
        <v>409.1</v>
      </c>
      <c r="D2507" s="62">
        <v>619.1</v>
      </c>
    </row>
    <row r="2508" spans="1:4">
      <c r="A2508" s="61">
        <v>6628</v>
      </c>
      <c r="B2508" s="61">
        <v>8296</v>
      </c>
      <c r="C2508" s="62">
        <v>409.1</v>
      </c>
      <c r="D2508" s="62">
        <v>619.1</v>
      </c>
    </row>
    <row r="2509" spans="1:4">
      <c r="A2509" s="61">
        <v>6630</v>
      </c>
      <c r="B2509" s="61">
        <v>8051</v>
      </c>
      <c r="C2509" s="62">
        <v>563</v>
      </c>
      <c r="D2509" s="62">
        <v>403.4</v>
      </c>
    </row>
    <row r="2510" spans="1:4">
      <c r="A2510" s="61">
        <v>6631</v>
      </c>
      <c r="B2510" s="61">
        <v>8296</v>
      </c>
      <c r="C2510" s="62">
        <v>409.1</v>
      </c>
      <c r="D2510" s="62">
        <v>619.1</v>
      </c>
    </row>
    <row r="2511" spans="1:4">
      <c r="A2511" s="61">
        <v>6632</v>
      </c>
      <c r="B2511" s="61">
        <v>8051</v>
      </c>
      <c r="C2511" s="62">
        <v>563</v>
      </c>
      <c r="D2511" s="62">
        <v>403.4</v>
      </c>
    </row>
    <row r="2512" spans="1:4">
      <c r="A2512" s="61">
        <v>6635</v>
      </c>
      <c r="B2512" s="61">
        <v>8296</v>
      </c>
      <c r="C2512" s="62">
        <v>409.1</v>
      </c>
      <c r="D2512" s="62">
        <v>619.1</v>
      </c>
    </row>
    <row r="2513" spans="1:4">
      <c r="A2513" s="61">
        <v>6638</v>
      </c>
      <c r="B2513" s="61">
        <v>7045</v>
      </c>
      <c r="C2513" s="62">
        <v>424.2</v>
      </c>
      <c r="D2513" s="62">
        <v>382.2</v>
      </c>
    </row>
    <row r="2514" spans="1:4">
      <c r="A2514" s="61">
        <v>6639</v>
      </c>
      <c r="B2514" s="61">
        <v>7045</v>
      </c>
      <c r="C2514" s="62">
        <v>424.2</v>
      </c>
      <c r="D2514" s="62">
        <v>382.2</v>
      </c>
    </row>
    <row r="2515" spans="1:4">
      <c r="A2515" s="61">
        <v>6640</v>
      </c>
      <c r="B2515" s="61">
        <v>7045</v>
      </c>
      <c r="C2515" s="62">
        <v>424.2</v>
      </c>
      <c r="D2515" s="62">
        <v>382.2</v>
      </c>
    </row>
    <row r="2516" spans="1:4">
      <c r="A2516" s="61">
        <v>6642</v>
      </c>
      <c r="B2516" s="61">
        <v>7176</v>
      </c>
      <c r="C2516" s="62">
        <v>729.3</v>
      </c>
      <c r="D2516" s="62">
        <v>275.39999999999998</v>
      </c>
    </row>
    <row r="2517" spans="1:4">
      <c r="A2517" s="61">
        <v>6646</v>
      </c>
      <c r="B2517" s="61">
        <v>13011</v>
      </c>
      <c r="C2517" s="62">
        <v>514.6</v>
      </c>
      <c r="D2517" s="62">
        <v>457.2</v>
      </c>
    </row>
    <row r="2518" spans="1:4">
      <c r="A2518" s="61">
        <v>6701</v>
      </c>
      <c r="B2518" s="61">
        <v>6072</v>
      </c>
      <c r="C2518" s="62">
        <v>1413.3</v>
      </c>
      <c r="D2518" s="62">
        <v>27.1</v>
      </c>
    </row>
    <row r="2519" spans="1:4">
      <c r="A2519" s="61">
        <v>6705</v>
      </c>
      <c r="B2519" s="61">
        <v>6011</v>
      </c>
      <c r="C2519" s="62">
        <v>1174.9000000000001</v>
      </c>
      <c r="D2519" s="62">
        <v>123.6</v>
      </c>
    </row>
    <row r="2520" spans="1:4">
      <c r="A2520" s="61">
        <v>6707</v>
      </c>
      <c r="B2520" s="61">
        <v>5007</v>
      </c>
      <c r="C2520" s="62">
        <v>1336.2</v>
      </c>
      <c r="D2520" s="62">
        <v>46.4</v>
      </c>
    </row>
    <row r="2521" spans="1:4">
      <c r="A2521" s="61">
        <v>6710</v>
      </c>
      <c r="B2521" s="61">
        <v>5017</v>
      </c>
      <c r="C2521" s="62">
        <v>1765.1</v>
      </c>
      <c r="D2521" s="62">
        <v>4.4000000000000004</v>
      </c>
    </row>
    <row r="2522" spans="1:4">
      <c r="A2522" s="61">
        <v>6711</v>
      </c>
      <c r="B2522" s="61">
        <v>5017</v>
      </c>
      <c r="C2522" s="62">
        <v>1765.1</v>
      </c>
      <c r="D2522" s="62">
        <v>4.4000000000000004</v>
      </c>
    </row>
    <row r="2523" spans="1:4">
      <c r="A2523" s="61">
        <v>6712</v>
      </c>
      <c r="B2523" s="61">
        <v>5017</v>
      </c>
      <c r="C2523" s="62">
        <v>1765.1</v>
      </c>
      <c r="D2523" s="62">
        <v>4.4000000000000004</v>
      </c>
    </row>
    <row r="2524" spans="1:4">
      <c r="A2524" s="61">
        <v>6713</v>
      </c>
      <c r="B2524" s="61">
        <v>5017</v>
      </c>
      <c r="C2524" s="62">
        <v>1765.1</v>
      </c>
      <c r="D2524" s="62">
        <v>4.4000000000000004</v>
      </c>
    </row>
    <row r="2525" spans="1:4">
      <c r="A2525" s="61">
        <v>6714</v>
      </c>
      <c r="B2525" s="61">
        <v>4032</v>
      </c>
      <c r="C2525" s="62">
        <v>1972.4</v>
      </c>
      <c r="D2525" s="62">
        <v>10.4</v>
      </c>
    </row>
    <row r="2526" spans="1:4">
      <c r="A2526" s="61">
        <v>6716</v>
      </c>
      <c r="B2526" s="61">
        <v>7185</v>
      </c>
      <c r="C2526" s="62">
        <v>838.8</v>
      </c>
      <c r="D2526" s="62">
        <v>86.3</v>
      </c>
    </row>
    <row r="2527" spans="1:4">
      <c r="A2527" s="61">
        <v>6718</v>
      </c>
      <c r="B2527" s="61">
        <v>4032</v>
      </c>
      <c r="C2527" s="62">
        <v>1972.4</v>
      </c>
      <c r="D2527" s="62">
        <v>10.4</v>
      </c>
    </row>
    <row r="2528" spans="1:4">
      <c r="A2528" s="61">
        <v>6720</v>
      </c>
      <c r="B2528" s="61">
        <v>4032</v>
      </c>
      <c r="C2528" s="62">
        <v>1972.4</v>
      </c>
      <c r="D2528" s="62">
        <v>10.4</v>
      </c>
    </row>
    <row r="2529" spans="1:4">
      <c r="A2529" s="61">
        <v>6721</v>
      </c>
      <c r="B2529" s="61">
        <v>4032</v>
      </c>
      <c r="C2529" s="62">
        <v>1972.4</v>
      </c>
      <c r="D2529" s="62">
        <v>10.4</v>
      </c>
    </row>
    <row r="2530" spans="1:4">
      <c r="A2530" s="61">
        <v>6722</v>
      </c>
      <c r="B2530" s="61">
        <v>4032</v>
      </c>
      <c r="C2530" s="62">
        <v>1972.4</v>
      </c>
      <c r="D2530" s="62">
        <v>10.4</v>
      </c>
    </row>
    <row r="2531" spans="1:4">
      <c r="A2531" s="61">
        <v>6725</v>
      </c>
      <c r="B2531" s="61">
        <v>3003</v>
      </c>
      <c r="C2531" s="62">
        <v>2469.1999999999998</v>
      </c>
      <c r="D2531" s="62">
        <v>3.6</v>
      </c>
    </row>
    <row r="2532" spans="1:4">
      <c r="A2532" s="61">
        <v>6726</v>
      </c>
      <c r="B2532" s="61">
        <v>3003</v>
      </c>
      <c r="C2532" s="62">
        <v>2469.1999999999998</v>
      </c>
      <c r="D2532" s="62">
        <v>3.6</v>
      </c>
    </row>
    <row r="2533" spans="1:4">
      <c r="A2533" s="61">
        <v>6728</v>
      </c>
      <c r="B2533" s="61">
        <v>3032</v>
      </c>
      <c r="C2533" s="62">
        <v>2308.8000000000002</v>
      </c>
      <c r="D2533" s="62">
        <v>2.4</v>
      </c>
    </row>
    <row r="2534" spans="1:4">
      <c r="A2534" s="61">
        <v>6733</v>
      </c>
      <c r="B2534" s="61">
        <v>3032</v>
      </c>
      <c r="C2534" s="62">
        <v>2308.8000000000002</v>
      </c>
      <c r="D2534" s="62">
        <v>2.4</v>
      </c>
    </row>
    <row r="2535" spans="1:4">
      <c r="A2535" s="61">
        <v>6740</v>
      </c>
      <c r="B2535" s="61">
        <v>1020</v>
      </c>
      <c r="C2535" s="62">
        <v>2625.9</v>
      </c>
      <c r="D2535" s="62">
        <v>0.1</v>
      </c>
    </row>
    <row r="2536" spans="1:4">
      <c r="A2536" s="61">
        <v>6743</v>
      </c>
      <c r="B2536" s="61">
        <v>2064</v>
      </c>
      <c r="C2536" s="62">
        <v>1921.5</v>
      </c>
      <c r="D2536" s="62">
        <v>6.1</v>
      </c>
    </row>
    <row r="2537" spans="1:4">
      <c r="A2537" s="61">
        <v>6751</v>
      </c>
      <c r="B2537" s="61">
        <v>7185</v>
      </c>
      <c r="C2537" s="62">
        <v>838.8</v>
      </c>
      <c r="D2537" s="62">
        <v>86.3</v>
      </c>
    </row>
    <row r="2538" spans="1:4">
      <c r="A2538" s="61">
        <v>6753</v>
      </c>
      <c r="B2538" s="61">
        <v>7176</v>
      </c>
      <c r="C2538" s="62">
        <v>729.3</v>
      </c>
      <c r="D2538" s="62">
        <v>275.39999999999998</v>
      </c>
    </row>
    <row r="2539" spans="1:4">
      <c r="A2539" s="61">
        <v>6754</v>
      </c>
      <c r="B2539" s="61">
        <v>7185</v>
      </c>
      <c r="C2539" s="62">
        <v>838.8</v>
      </c>
      <c r="D2539" s="62">
        <v>86.3</v>
      </c>
    </row>
    <row r="2540" spans="1:4">
      <c r="A2540" s="61">
        <v>6758</v>
      </c>
      <c r="B2540" s="61">
        <v>7176</v>
      </c>
      <c r="C2540" s="62">
        <v>729.3</v>
      </c>
      <c r="D2540" s="62">
        <v>275.39999999999998</v>
      </c>
    </row>
    <row r="2541" spans="1:4">
      <c r="A2541" s="61">
        <v>6760</v>
      </c>
      <c r="B2541" s="61">
        <v>4032</v>
      </c>
      <c r="C2541" s="62">
        <v>1972.4</v>
      </c>
      <c r="D2541" s="62">
        <v>10.4</v>
      </c>
    </row>
    <row r="2542" spans="1:4">
      <c r="A2542" s="61">
        <v>6762</v>
      </c>
      <c r="B2542" s="61">
        <v>13030</v>
      </c>
      <c r="C2542" s="62">
        <v>1092.0999999999999</v>
      </c>
      <c r="D2542" s="62">
        <v>72.7</v>
      </c>
    </row>
    <row r="2543" spans="1:4">
      <c r="A2543" s="61">
        <v>6765</v>
      </c>
      <c r="B2543" s="61">
        <v>3093</v>
      </c>
      <c r="C2543" s="62">
        <v>1844.9</v>
      </c>
      <c r="D2543" s="62">
        <v>12.6</v>
      </c>
    </row>
    <row r="2544" spans="1:4">
      <c r="A2544" s="61">
        <v>6770</v>
      </c>
      <c r="B2544" s="61">
        <v>2012</v>
      </c>
      <c r="C2544" s="62">
        <v>1287.2</v>
      </c>
      <c r="D2544" s="62">
        <v>27.4</v>
      </c>
    </row>
    <row r="2545" spans="1:4">
      <c r="A2545" s="61">
        <v>6798</v>
      </c>
      <c r="B2545" s="61">
        <v>32040</v>
      </c>
      <c r="C2545" s="62">
        <v>2100.4</v>
      </c>
      <c r="D2545" s="62">
        <v>23.4</v>
      </c>
    </row>
    <row r="2546" spans="1:4">
      <c r="A2546" s="61">
        <v>6799</v>
      </c>
      <c r="B2546" s="61">
        <v>5007</v>
      </c>
      <c r="C2546" s="62">
        <v>1336.2</v>
      </c>
      <c r="D2546" s="62">
        <v>46.4</v>
      </c>
    </row>
    <row r="2547" spans="1:4">
      <c r="A2547" s="61">
        <v>7000</v>
      </c>
      <c r="B2547" s="61">
        <v>94029</v>
      </c>
      <c r="C2547" s="62">
        <v>26.1</v>
      </c>
      <c r="D2547" s="62">
        <v>1854.4</v>
      </c>
    </row>
    <row r="2548" spans="1:4">
      <c r="A2548" s="61">
        <v>7004</v>
      </c>
      <c r="B2548" s="61">
        <v>94029</v>
      </c>
      <c r="C2548" s="62">
        <v>26.1</v>
      </c>
      <c r="D2548" s="62">
        <v>1854.4</v>
      </c>
    </row>
    <row r="2549" spans="1:4">
      <c r="A2549" s="61">
        <v>7005</v>
      </c>
      <c r="B2549" s="61">
        <v>94029</v>
      </c>
      <c r="C2549" s="62">
        <v>26.1</v>
      </c>
      <c r="D2549" s="62">
        <v>1854.4</v>
      </c>
    </row>
    <row r="2550" spans="1:4">
      <c r="A2550" s="61">
        <v>7007</v>
      </c>
      <c r="B2550" s="61">
        <v>94029</v>
      </c>
      <c r="C2550" s="62">
        <v>26.1</v>
      </c>
      <c r="D2550" s="62">
        <v>1854.4</v>
      </c>
    </row>
    <row r="2551" spans="1:4">
      <c r="A2551" s="61">
        <v>7008</v>
      </c>
      <c r="B2551" s="61">
        <v>94029</v>
      </c>
      <c r="C2551" s="62">
        <v>26.1</v>
      </c>
      <c r="D2551" s="62">
        <v>1854.4</v>
      </c>
    </row>
    <row r="2552" spans="1:4">
      <c r="A2552" s="61">
        <v>7009</v>
      </c>
      <c r="B2552" s="61">
        <v>94029</v>
      </c>
      <c r="C2552" s="62">
        <v>26.1</v>
      </c>
      <c r="D2552" s="62">
        <v>1854.4</v>
      </c>
    </row>
    <row r="2553" spans="1:4">
      <c r="A2553" s="61">
        <v>7010</v>
      </c>
      <c r="B2553" s="61">
        <v>94029</v>
      </c>
      <c r="C2553" s="62">
        <v>26.1</v>
      </c>
      <c r="D2553" s="62">
        <v>1854.4</v>
      </c>
    </row>
    <row r="2554" spans="1:4">
      <c r="A2554" s="61">
        <v>7011</v>
      </c>
      <c r="B2554" s="61">
        <v>94087</v>
      </c>
      <c r="C2554" s="62">
        <v>0.2</v>
      </c>
      <c r="D2554" s="62">
        <v>4803.2</v>
      </c>
    </row>
    <row r="2555" spans="1:4">
      <c r="A2555" s="61">
        <v>7012</v>
      </c>
      <c r="B2555" s="61">
        <v>94087</v>
      </c>
      <c r="C2555" s="62">
        <v>0.2</v>
      </c>
      <c r="D2555" s="62">
        <v>4803.2</v>
      </c>
    </row>
    <row r="2556" spans="1:4">
      <c r="A2556" s="61">
        <v>7015</v>
      </c>
      <c r="B2556" s="61">
        <v>94029</v>
      </c>
      <c r="C2556" s="62">
        <v>26.1</v>
      </c>
      <c r="D2556" s="62">
        <v>1854.4</v>
      </c>
    </row>
    <row r="2557" spans="1:4">
      <c r="A2557" s="61">
        <v>7016</v>
      </c>
      <c r="B2557" s="61">
        <v>94029</v>
      </c>
      <c r="C2557" s="62">
        <v>26.1</v>
      </c>
      <c r="D2557" s="62">
        <v>1854.4</v>
      </c>
    </row>
    <row r="2558" spans="1:4">
      <c r="A2558" s="61">
        <v>7017</v>
      </c>
      <c r="B2558" s="61">
        <v>94212</v>
      </c>
      <c r="C2558" s="62">
        <v>30.9</v>
      </c>
      <c r="D2558" s="62">
        <v>1986.1</v>
      </c>
    </row>
    <row r="2559" spans="1:4">
      <c r="A2559" s="61">
        <v>7018</v>
      </c>
      <c r="B2559" s="61">
        <v>94029</v>
      </c>
      <c r="C2559" s="62">
        <v>26.1</v>
      </c>
      <c r="D2559" s="62">
        <v>1854.4</v>
      </c>
    </row>
    <row r="2560" spans="1:4">
      <c r="A2560" s="61">
        <v>7019</v>
      </c>
      <c r="B2560" s="61">
        <v>94008</v>
      </c>
      <c r="C2560" s="62">
        <v>27.8</v>
      </c>
      <c r="D2560" s="62">
        <v>1861.6</v>
      </c>
    </row>
    <row r="2561" spans="1:4">
      <c r="A2561" s="61">
        <v>7020</v>
      </c>
      <c r="B2561" s="61">
        <v>94008</v>
      </c>
      <c r="C2561" s="62">
        <v>27.8</v>
      </c>
      <c r="D2561" s="62">
        <v>1861.6</v>
      </c>
    </row>
    <row r="2562" spans="1:4">
      <c r="A2562" s="61">
        <v>7021</v>
      </c>
      <c r="B2562" s="61">
        <v>94008</v>
      </c>
      <c r="C2562" s="62">
        <v>27.8</v>
      </c>
      <c r="D2562" s="62">
        <v>1861.6</v>
      </c>
    </row>
    <row r="2563" spans="1:4">
      <c r="A2563" s="61">
        <v>7022</v>
      </c>
      <c r="B2563" s="61">
        <v>94029</v>
      </c>
      <c r="C2563" s="62">
        <v>26.1</v>
      </c>
      <c r="D2563" s="62">
        <v>1854.4</v>
      </c>
    </row>
    <row r="2564" spans="1:4">
      <c r="A2564" s="61">
        <v>7023</v>
      </c>
      <c r="B2564" s="61">
        <v>94029</v>
      </c>
      <c r="C2564" s="62">
        <v>26.1</v>
      </c>
      <c r="D2564" s="62">
        <v>1854.4</v>
      </c>
    </row>
    <row r="2565" spans="1:4">
      <c r="A2565" s="61">
        <v>7024</v>
      </c>
      <c r="B2565" s="61">
        <v>94008</v>
      </c>
      <c r="C2565" s="62">
        <v>27.8</v>
      </c>
      <c r="D2565" s="62">
        <v>1861.6</v>
      </c>
    </row>
    <row r="2566" spans="1:4">
      <c r="A2566" s="61">
        <v>7025</v>
      </c>
      <c r="B2566" s="61">
        <v>94212</v>
      </c>
      <c r="C2566" s="62">
        <v>30.9</v>
      </c>
      <c r="D2566" s="62">
        <v>1986.1</v>
      </c>
    </row>
    <row r="2567" spans="1:4">
      <c r="A2567" s="61">
        <v>7026</v>
      </c>
      <c r="B2567" s="61">
        <v>94212</v>
      </c>
      <c r="C2567" s="62">
        <v>30.9</v>
      </c>
      <c r="D2567" s="62">
        <v>1986.1</v>
      </c>
    </row>
    <row r="2568" spans="1:4">
      <c r="A2568" s="61">
        <v>7027</v>
      </c>
      <c r="B2568" s="61">
        <v>94195</v>
      </c>
      <c r="C2568" s="62">
        <v>6.1</v>
      </c>
      <c r="D2568" s="62">
        <v>2919.3</v>
      </c>
    </row>
    <row r="2569" spans="1:4">
      <c r="A2569" s="61">
        <v>7030</v>
      </c>
      <c r="B2569" s="61">
        <v>96033</v>
      </c>
      <c r="C2569" s="62">
        <v>0.5</v>
      </c>
      <c r="D2569" s="62">
        <v>4118.6000000000004</v>
      </c>
    </row>
    <row r="2570" spans="1:4">
      <c r="A2570" s="61">
        <v>7050</v>
      </c>
      <c r="B2570" s="61">
        <v>94029</v>
      </c>
      <c r="C2570" s="62">
        <v>26.1</v>
      </c>
      <c r="D2570" s="62">
        <v>1854.4</v>
      </c>
    </row>
    <row r="2571" spans="1:4">
      <c r="A2571" s="61">
        <v>7052</v>
      </c>
      <c r="B2571" s="61">
        <v>94029</v>
      </c>
      <c r="C2571" s="62">
        <v>26.1</v>
      </c>
      <c r="D2571" s="62">
        <v>1854.4</v>
      </c>
    </row>
    <row r="2572" spans="1:4">
      <c r="A2572" s="61">
        <v>7053</v>
      </c>
      <c r="B2572" s="61">
        <v>94029</v>
      </c>
      <c r="C2572" s="62">
        <v>26.1</v>
      </c>
      <c r="D2572" s="62">
        <v>1854.4</v>
      </c>
    </row>
    <row r="2573" spans="1:4">
      <c r="A2573" s="61">
        <v>7054</v>
      </c>
      <c r="B2573" s="61">
        <v>94220</v>
      </c>
      <c r="C2573" s="62">
        <v>26</v>
      </c>
      <c r="D2573" s="62">
        <v>2411.1999999999998</v>
      </c>
    </row>
    <row r="2574" spans="1:4">
      <c r="A2574" s="61">
        <v>7055</v>
      </c>
      <c r="B2574" s="61">
        <v>94087</v>
      </c>
      <c r="C2574" s="62">
        <v>0.2</v>
      </c>
      <c r="D2574" s="62">
        <v>4803.2</v>
      </c>
    </row>
    <row r="2575" spans="1:4">
      <c r="A2575" s="61">
        <v>7109</v>
      </c>
      <c r="B2575" s="61">
        <v>94220</v>
      </c>
      <c r="C2575" s="62">
        <v>26</v>
      </c>
      <c r="D2575" s="62">
        <v>2411.1999999999998</v>
      </c>
    </row>
    <row r="2576" spans="1:4">
      <c r="A2576" s="61">
        <v>7112</v>
      </c>
      <c r="B2576" s="61">
        <v>94198</v>
      </c>
      <c r="C2576" s="62">
        <v>17.600000000000001</v>
      </c>
      <c r="D2576" s="62">
        <v>2049.6</v>
      </c>
    </row>
    <row r="2577" spans="1:4">
      <c r="A2577" s="61">
        <v>7113</v>
      </c>
      <c r="B2577" s="61">
        <v>94220</v>
      </c>
      <c r="C2577" s="62">
        <v>26</v>
      </c>
      <c r="D2577" s="62">
        <v>2411.1999999999998</v>
      </c>
    </row>
    <row r="2578" spans="1:4">
      <c r="A2578" s="61">
        <v>7116</v>
      </c>
      <c r="B2578" s="61">
        <v>94191</v>
      </c>
      <c r="C2578" s="62">
        <v>1.9</v>
      </c>
      <c r="D2578" s="62">
        <v>3838.2</v>
      </c>
    </row>
    <row r="2579" spans="1:4">
      <c r="A2579" s="61">
        <v>7117</v>
      </c>
      <c r="B2579" s="61">
        <v>94198</v>
      </c>
      <c r="C2579" s="62">
        <v>17.600000000000001</v>
      </c>
      <c r="D2579" s="62">
        <v>2049.6</v>
      </c>
    </row>
    <row r="2580" spans="1:4">
      <c r="A2580" s="61">
        <v>7119</v>
      </c>
      <c r="B2580" s="61">
        <v>94195</v>
      </c>
      <c r="C2580" s="62">
        <v>6.1</v>
      </c>
      <c r="D2580" s="62">
        <v>2919.3</v>
      </c>
    </row>
    <row r="2581" spans="1:4">
      <c r="A2581" s="61">
        <v>7120</v>
      </c>
      <c r="B2581" s="61">
        <v>94195</v>
      </c>
      <c r="C2581" s="62">
        <v>6.1</v>
      </c>
      <c r="D2581" s="62">
        <v>2919.3</v>
      </c>
    </row>
    <row r="2582" spans="1:4">
      <c r="A2582" s="61">
        <v>7139</v>
      </c>
      <c r="B2582" s="61">
        <v>97083</v>
      </c>
      <c r="C2582" s="62">
        <v>9.6999999999999993</v>
      </c>
      <c r="D2582" s="62">
        <v>2788</v>
      </c>
    </row>
    <row r="2583" spans="1:4">
      <c r="A2583" s="61">
        <v>7140</v>
      </c>
      <c r="B2583" s="61">
        <v>95003</v>
      </c>
      <c r="C2583" s="62">
        <v>23.9</v>
      </c>
      <c r="D2583" s="62">
        <v>2266.9</v>
      </c>
    </row>
    <row r="2584" spans="1:4">
      <c r="A2584" s="61">
        <v>7150</v>
      </c>
      <c r="B2584" s="61">
        <v>94220</v>
      </c>
      <c r="C2584" s="62">
        <v>26</v>
      </c>
      <c r="D2584" s="62">
        <v>2411.1999999999998</v>
      </c>
    </row>
    <row r="2585" spans="1:4">
      <c r="A2585" s="61">
        <v>7151</v>
      </c>
      <c r="B2585" s="61">
        <v>94155</v>
      </c>
      <c r="C2585" s="62">
        <v>13.7</v>
      </c>
      <c r="D2585" s="62">
        <v>2383.8000000000002</v>
      </c>
    </row>
    <row r="2586" spans="1:4">
      <c r="A2586" s="61">
        <v>7155</v>
      </c>
      <c r="B2586" s="61">
        <v>94220</v>
      </c>
      <c r="C2586" s="62">
        <v>26</v>
      </c>
      <c r="D2586" s="62">
        <v>2411.1999999999998</v>
      </c>
    </row>
    <row r="2587" spans="1:4">
      <c r="A2587" s="61">
        <v>7162</v>
      </c>
      <c r="B2587" s="61">
        <v>94220</v>
      </c>
      <c r="C2587" s="62">
        <v>26</v>
      </c>
      <c r="D2587" s="62">
        <v>2411.1999999999998</v>
      </c>
    </row>
    <row r="2588" spans="1:4">
      <c r="A2588" s="61">
        <v>7163</v>
      </c>
      <c r="B2588" s="61">
        <v>94198</v>
      </c>
      <c r="C2588" s="62">
        <v>17.600000000000001</v>
      </c>
      <c r="D2588" s="62">
        <v>2049.6</v>
      </c>
    </row>
    <row r="2589" spans="1:4">
      <c r="A2589" s="61">
        <v>7170</v>
      </c>
      <c r="B2589" s="61">
        <v>94008</v>
      </c>
      <c r="C2589" s="62">
        <v>27.8</v>
      </c>
      <c r="D2589" s="62">
        <v>1861.6</v>
      </c>
    </row>
    <row r="2590" spans="1:4">
      <c r="A2590" s="61">
        <v>7171</v>
      </c>
      <c r="B2590" s="61">
        <v>94008</v>
      </c>
      <c r="C2590" s="62">
        <v>27.8</v>
      </c>
      <c r="D2590" s="62">
        <v>1861.6</v>
      </c>
    </row>
    <row r="2591" spans="1:4">
      <c r="A2591" s="61">
        <v>7172</v>
      </c>
      <c r="B2591" s="61">
        <v>94212</v>
      </c>
      <c r="C2591" s="62">
        <v>30.9</v>
      </c>
      <c r="D2591" s="62">
        <v>1986.1</v>
      </c>
    </row>
    <row r="2592" spans="1:4">
      <c r="A2592" s="61">
        <v>7173</v>
      </c>
      <c r="B2592" s="61">
        <v>94008</v>
      </c>
      <c r="C2592" s="62">
        <v>27.8</v>
      </c>
      <c r="D2592" s="62">
        <v>1861.6</v>
      </c>
    </row>
    <row r="2593" spans="1:4">
      <c r="A2593" s="61">
        <v>7174</v>
      </c>
      <c r="B2593" s="61">
        <v>94008</v>
      </c>
      <c r="C2593" s="62">
        <v>27.8</v>
      </c>
      <c r="D2593" s="62">
        <v>1861.6</v>
      </c>
    </row>
    <row r="2594" spans="1:4">
      <c r="A2594" s="61">
        <v>7175</v>
      </c>
      <c r="B2594" s="61">
        <v>92124</v>
      </c>
      <c r="C2594" s="62">
        <v>42.5</v>
      </c>
      <c r="D2594" s="62">
        <v>1643.8</v>
      </c>
    </row>
    <row r="2595" spans="1:4">
      <c r="A2595" s="61">
        <v>7176</v>
      </c>
      <c r="B2595" s="61">
        <v>92124</v>
      </c>
      <c r="C2595" s="62">
        <v>42.5</v>
      </c>
      <c r="D2595" s="62">
        <v>1643.8</v>
      </c>
    </row>
    <row r="2596" spans="1:4">
      <c r="A2596" s="61">
        <v>7177</v>
      </c>
      <c r="B2596" s="61">
        <v>94008</v>
      </c>
      <c r="C2596" s="62">
        <v>27.8</v>
      </c>
      <c r="D2596" s="62">
        <v>1861.6</v>
      </c>
    </row>
    <row r="2597" spans="1:4">
      <c r="A2597" s="61">
        <v>7178</v>
      </c>
      <c r="B2597" s="61">
        <v>94008</v>
      </c>
      <c r="C2597" s="62">
        <v>27.8</v>
      </c>
      <c r="D2597" s="62">
        <v>1861.6</v>
      </c>
    </row>
    <row r="2598" spans="1:4">
      <c r="A2598" s="61">
        <v>7179</v>
      </c>
      <c r="B2598" s="61">
        <v>94155</v>
      </c>
      <c r="C2598" s="62">
        <v>13.7</v>
      </c>
      <c r="D2598" s="62">
        <v>2383.8000000000002</v>
      </c>
    </row>
    <row r="2599" spans="1:4">
      <c r="A2599" s="61">
        <v>7180</v>
      </c>
      <c r="B2599" s="61">
        <v>94155</v>
      </c>
      <c r="C2599" s="62">
        <v>13.7</v>
      </c>
      <c r="D2599" s="62">
        <v>2383.8000000000002</v>
      </c>
    </row>
    <row r="2600" spans="1:4">
      <c r="A2600" s="61">
        <v>7182</v>
      </c>
      <c r="B2600" s="61">
        <v>94155</v>
      </c>
      <c r="C2600" s="62">
        <v>13.7</v>
      </c>
      <c r="D2600" s="62">
        <v>2383.8000000000002</v>
      </c>
    </row>
    <row r="2601" spans="1:4">
      <c r="A2601" s="61">
        <v>7183</v>
      </c>
      <c r="B2601" s="61">
        <v>94155</v>
      </c>
      <c r="C2601" s="62">
        <v>13.7</v>
      </c>
      <c r="D2601" s="62">
        <v>2383.8000000000002</v>
      </c>
    </row>
    <row r="2602" spans="1:4">
      <c r="A2602" s="61">
        <v>7184</v>
      </c>
      <c r="B2602" s="61">
        <v>94155</v>
      </c>
      <c r="C2602" s="62">
        <v>13.7</v>
      </c>
      <c r="D2602" s="62">
        <v>2383.8000000000002</v>
      </c>
    </row>
    <row r="2603" spans="1:4">
      <c r="A2603" s="61">
        <v>7185</v>
      </c>
      <c r="B2603" s="61">
        <v>94155</v>
      </c>
      <c r="C2603" s="62">
        <v>13.7</v>
      </c>
      <c r="D2603" s="62">
        <v>2383.8000000000002</v>
      </c>
    </row>
    <row r="2604" spans="1:4">
      <c r="A2604" s="61">
        <v>7186</v>
      </c>
      <c r="B2604" s="61">
        <v>94008</v>
      </c>
      <c r="C2604" s="62">
        <v>27.8</v>
      </c>
      <c r="D2604" s="62">
        <v>1861.6</v>
      </c>
    </row>
    <row r="2605" spans="1:4">
      <c r="A2605" s="61">
        <v>7187</v>
      </c>
      <c r="B2605" s="61">
        <v>94155</v>
      </c>
      <c r="C2605" s="62">
        <v>13.7</v>
      </c>
      <c r="D2605" s="62">
        <v>2383.8000000000002</v>
      </c>
    </row>
    <row r="2606" spans="1:4">
      <c r="A2606" s="61">
        <v>7190</v>
      </c>
      <c r="B2606" s="61">
        <v>92124</v>
      </c>
      <c r="C2606" s="62">
        <v>42.5</v>
      </c>
      <c r="D2606" s="62">
        <v>1643.8</v>
      </c>
    </row>
    <row r="2607" spans="1:4">
      <c r="A2607" s="61">
        <v>7209</v>
      </c>
      <c r="B2607" s="61">
        <v>94195</v>
      </c>
      <c r="C2607" s="62">
        <v>6.1</v>
      </c>
      <c r="D2607" s="62">
        <v>2919.3</v>
      </c>
    </row>
    <row r="2608" spans="1:4">
      <c r="A2608" s="61">
        <v>7210</v>
      </c>
      <c r="B2608" s="61">
        <v>92114</v>
      </c>
      <c r="C2608" s="62">
        <v>55.3</v>
      </c>
      <c r="D2608" s="62">
        <v>1647.1</v>
      </c>
    </row>
    <row r="2609" spans="1:4">
      <c r="A2609" s="61">
        <v>7211</v>
      </c>
      <c r="B2609" s="61">
        <v>91306</v>
      </c>
      <c r="C2609" s="62">
        <v>30.9</v>
      </c>
      <c r="D2609" s="62">
        <v>2320.4</v>
      </c>
    </row>
    <row r="2610" spans="1:4">
      <c r="A2610" s="61">
        <v>7212</v>
      </c>
      <c r="B2610" s="61">
        <v>91311</v>
      </c>
      <c r="C2610" s="62">
        <v>30.6</v>
      </c>
      <c r="D2610" s="62">
        <v>2218.3000000000002</v>
      </c>
    </row>
    <row r="2611" spans="1:4">
      <c r="A2611" s="61">
        <v>7213</v>
      </c>
      <c r="B2611" s="61">
        <v>92012</v>
      </c>
      <c r="C2611" s="62">
        <v>25</v>
      </c>
      <c r="D2611" s="62">
        <v>2421.9</v>
      </c>
    </row>
    <row r="2612" spans="1:4">
      <c r="A2612" s="61">
        <v>7214</v>
      </c>
      <c r="B2612" s="61">
        <v>92012</v>
      </c>
      <c r="C2612" s="62">
        <v>25</v>
      </c>
      <c r="D2612" s="62">
        <v>2421.9</v>
      </c>
    </row>
    <row r="2613" spans="1:4">
      <c r="A2613" s="61">
        <v>7215</v>
      </c>
      <c r="B2613" s="61">
        <v>92114</v>
      </c>
      <c r="C2613" s="62">
        <v>55.3</v>
      </c>
      <c r="D2613" s="62">
        <v>1647.1</v>
      </c>
    </row>
    <row r="2614" spans="1:4">
      <c r="A2614" s="61">
        <v>7216</v>
      </c>
      <c r="B2614" s="61">
        <v>92120</v>
      </c>
      <c r="C2614" s="62">
        <v>73.3</v>
      </c>
      <c r="D2614" s="62">
        <v>1781.5</v>
      </c>
    </row>
    <row r="2615" spans="1:4">
      <c r="A2615" s="61">
        <v>7248</v>
      </c>
      <c r="B2615" s="61">
        <v>91237</v>
      </c>
      <c r="C2615" s="62">
        <v>69.8</v>
      </c>
      <c r="D2615" s="62">
        <v>1931.7</v>
      </c>
    </row>
    <row r="2616" spans="1:4">
      <c r="A2616" s="61">
        <v>7249</v>
      </c>
      <c r="B2616" s="61">
        <v>91237</v>
      </c>
      <c r="C2616" s="62">
        <v>69.8</v>
      </c>
      <c r="D2616" s="62">
        <v>1931.7</v>
      </c>
    </row>
    <row r="2617" spans="1:4">
      <c r="A2617" s="61">
        <v>7250</v>
      </c>
      <c r="B2617" s="61">
        <v>91237</v>
      </c>
      <c r="C2617" s="62">
        <v>69.8</v>
      </c>
      <c r="D2617" s="62">
        <v>1931.7</v>
      </c>
    </row>
    <row r="2618" spans="1:4">
      <c r="A2618" s="61">
        <v>7252</v>
      </c>
      <c r="B2618" s="61">
        <v>91237</v>
      </c>
      <c r="C2618" s="62">
        <v>69.8</v>
      </c>
      <c r="D2618" s="62">
        <v>1931.7</v>
      </c>
    </row>
    <row r="2619" spans="1:4">
      <c r="A2619" s="61">
        <v>7253</v>
      </c>
      <c r="B2619" s="61">
        <v>91293</v>
      </c>
      <c r="C2619" s="62">
        <v>68.3</v>
      </c>
      <c r="D2619" s="62">
        <v>1680.8</v>
      </c>
    </row>
    <row r="2620" spans="1:4">
      <c r="A2620" s="61">
        <v>7254</v>
      </c>
      <c r="B2620" s="61">
        <v>91219</v>
      </c>
      <c r="C2620" s="62">
        <v>39.9</v>
      </c>
      <c r="D2620" s="62">
        <v>2186.1</v>
      </c>
    </row>
    <row r="2621" spans="1:4">
      <c r="A2621" s="61">
        <v>7255</v>
      </c>
      <c r="B2621" s="61">
        <v>99005</v>
      </c>
      <c r="C2621" s="62">
        <v>109.1</v>
      </c>
      <c r="D2621" s="62">
        <v>1583.2</v>
      </c>
    </row>
    <row r="2622" spans="1:4">
      <c r="A2622" s="61">
        <v>7256</v>
      </c>
      <c r="B2622" s="61">
        <v>98017</v>
      </c>
      <c r="C2622" s="62">
        <v>54.5</v>
      </c>
      <c r="D2622" s="62">
        <v>1731.4</v>
      </c>
    </row>
    <row r="2623" spans="1:4">
      <c r="A2623" s="61">
        <v>7257</v>
      </c>
      <c r="B2623" s="61">
        <v>92123</v>
      </c>
      <c r="C2623" s="62">
        <v>90.1</v>
      </c>
      <c r="D2623" s="62">
        <v>1449.5</v>
      </c>
    </row>
    <row r="2624" spans="1:4">
      <c r="A2624" s="61">
        <v>7258</v>
      </c>
      <c r="B2624" s="61">
        <v>91311</v>
      </c>
      <c r="C2624" s="62">
        <v>30.6</v>
      </c>
      <c r="D2624" s="62">
        <v>2218.3000000000002</v>
      </c>
    </row>
    <row r="2625" spans="1:4">
      <c r="A2625" s="61">
        <v>7259</v>
      </c>
      <c r="B2625" s="61">
        <v>91237</v>
      </c>
      <c r="C2625" s="62">
        <v>69.8</v>
      </c>
      <c r="D2625" s="62">
        <v>1931.7</v>
      </c>
    </row>
    <row r="2626" spans="1:4">
      <c r="A2626" s="61">
        <v>7260</v>
      </c>
      <c r="B2626" s="61">
        <v>91219</v>
      </c>
      <c r="C2626" s="62">
        <v>39.9</v>
      </c>
      <c r="D2626" s="62">
        <v>2186.1</v>
      </c>
    </row>
    <row r="2627" spans="1:4">
      <c r="A2627" s="61">
        <v>7261</v>
      </c>
      <c r="B2627" s="61">
        <v>91219</v>
      </c>
      <c r="C2627" s="62">
        <v>39.9</v>
      </c>
      <c r="D2627" s="62">
        <v>2186.1</v>
      </c>
    </row>
    <row r="2628" spans="1:4">
      <c r="A2628" s="61">
        <v>7262</v>
      </c>
      <c r="B2628" s="61">
        <v>92123</v>
      </c>
      <c r="C2628" s="62">
        <v>90.1</v>
      </c>
      <c r="D2628" s="62">
        <v>1449.5</v>
      </c>
    </row>
    <row r="2629" spans="1:4">
      <c r="A2629" s="61">
        <v>7263</v>
      </c>
      <c r="B2629" s="61">
        <v>91219</v>
      </c>
      <c r="C2629" s="62">
        <v>39.9</v>
      </c>
      <c r="D2629" s="62">
        <v>2186.1</v>
      </c>
    </row>
    <row r="2630" spans="1:4">
      <c r="A2630" s="61">
        <v>7264</v>
      </c>
      <c r="B2630" s="61">
        <v>92123</v>
      </c>
      <c r="C2630" s="62">
        <v>90.1</v>
      </c>
      <c r="D2630" s="62">
        <v>1449.5</v>
      </c>
    </row>
    <row r="2631" spans="1:4">
      <c r="A2631" s="61">
        <v>7265</v>
      </c>
      <c r="B2631" s="61">
        <v>91219</v>
      </c>
      <c r="C2631" s="62">
        <v>39.9</v>
      </c>
      <c r="D2631" s="62">
        <v>2186.1</v>
      </c>
    </row>
    <row r="2632" spans="1:4">
      <c r="A2632" s="61">
        <v>7267</v>
      </c>
      <c r="B2632" s="61">
        <v>91237</v>
      </c>
      <c r="C2632" s="62">
        <v>69.8</v>
      </c>
      <c r="D2632" s="62">
        <v>1931.7</v>
      </c>
    </row>
    <row r="2633" spans="1:4">
      <c r="A2633" s="61">
        <v>7268</v>
      </c>
      <c r="B2633" s="61">
        <v>91219</v>
      </c>
      <c r="C2633" s="62">
        <v>39.9</v>
      </c>
      <c r="D2633" s="62">
        <v>2186.1</v>
      </c>
    </row>
    <row r="2634" spans="1:4">
      <c r="A2634" s="61">
        <v>7270</v>
      </c>
      <c r="B2634" s="61">
        <v>91293</v>
      </c>
      <c r="C2634" s="62">
        <v>68.3</v>
      </c>
      <c r="D2634" s="62">
        <v>1680.8</v>
      </c>
    </row>
    <row r="2635" spans="1:4">
      <c r="A2635" s="61">
        <v>7275</v>
      </c>
      <c r="B2635" s="61">
        <v>91293</v>
      </c>
      <c r="C2635" s="62">
        <v>68.3</v>
      </c>
      <c r="D2635" s="62">
        <v>1680.8</v>
      </c>
    </row>
    <row r="2636" spans="1:4">
      <c r="A2636" s="61">
        <v>7276</v>
      </c>
      <c r="B2636" s="61">
        <v>91237</v>
      </c>
      <c r="C2636" s="62">
        <v>69.8</v>
      </c>
      <c r="D2636" s="62">
        <v>1931.7</v>
      </c>
    </row>
    <row r="2637" spans="1:4">
      <c r="A2637" s="61">
        <v>7277</v>
      </c>
      <c r="B2637" s="61">
        <v>91237</v>
      </c>
      <c r="C2637" s="62">
        <v>69.8</v>
      </c>
      <c r="D2637" s="62">
        <v>1931.7</v>
      </c>
    </row>
    <row r="2638" spans="1:4">
      <c r="A2638" s="61">
        <v>7290</v>
      </c>
      <c r="B2638" s="61">
        <v>91237</v>
      </c>
      <c r="C2638" s="62">
        <v>69.8</v>
      </c>
      <c r="D2638" s="62">
        <v>1931.7</v>
      </c>
    </row>
    <row r="2639" spans="1:4">
      <c r="A2639" s="61">
        <v>7291</v>
      </c>
      <c r="B2639" s="61">
        <v>91237</v>
      </c>
      <c r="C2639" s="62">
        <v>69.8</v>
      </c>
      <c r="D2639" s="62">
        <v>1931.7</v>
      </c>
    </row>
    <row r="2640" spans="1:4">
      <c r="A2640" s="61">
        <v>7292</v>
      </c>
      <c r="B2640" s="61">
        <v>91237</v>
      </c>
      <c r="C2640" s="62">
        <v>69.8</v>
      </c>
      <c r="D2640" s="62">
        <v>1931.7</v>
      </c>
    </row>
    <row r="2641" spans="1:4">
      <c r="A2641" s="61">
        <v>7300</v>
      </c>
      <c r="B2641" s="61">
        <v>91311</v>
      </c>
      <c r="C2641" s="62">
        <v>30.6</v>
      </c>
      <c r="D2641" s="62">
        <v>2218.3000000000002</v>
      </c>
    </row>
    <row r="2642" spans="1:4">
      <c r="A2642" s="61">
        <v>7301</v>
      </c>
      <c r="B2642" s="61">
        <v>91306</v>
      </c>
      <c r="C2642" s="62">
        <v>30.9</v>
      </c>
      <c r="D2642" s="62">
        <v>2320.4</v>
      </c>
    </row>
    <row r="2643" spans="1:4">
      <c r="A2643" s="61">
        <v>7302</v>
      </c>
      <c r="B2643" s="61">
        <v>91306</v>
      </c>
      <c r="C2643" s="62">
        <v>30.9</v>
      </c>
      <c r="D2643" s="62">
        <v>2320.4</v>
      </c>
    </row>
    <row r="2644" spans="1:4">
      <c r="A2644" s="61">
        <v>7303</v>
      </c>
      <c r="B2644" s="61">
        <v>91306</v>
      </c>
      <c r="C2644" s="62">
        <v>30.9</v>
      </c>
      <c r="D2644" s="62">
        <v>2320.4</v>
      </c>
    </row>
    <row r="2645" spans="1:4">
      <c r="A2645" s="61">
        <v>7304</v>
      </c>
      <c r="B2645" s="61">
        <v>96033</v>
      </c>
      <c r="C2645" s="62">
        <v>0.5</v>
      </c>
      <c r="D2645" s="62">
        <v>4118.6000000000004</v>
      </c>
    </row>
    <row r="2646" spans="1:4">
      <c r="A2646" s="61">
        <v>7305</v>
      </c>
      <c r="B2646" s="61">
        <v>91291</v>
      </c>
      <c r="C2646" s="62">
        <v>20.6</v>
      </c>
      <c r="D2646" s="62">
        <v>2445.6999999999998</v>
      </c>
    </row>
    <row r="2647" spans="1:4">
      <c r="A2647" s="61">
        <v>7306</v>
      </c>
      <c r="B2647" s="61">
        <v>91291</v>
      </c>
      <c r="C2647" s="62">
        <v>20.6</v>
      </c>
      <c r="D2647" s="62">
        <v>2445.6999999999998</v>
      </c>
    </row>
    <row r="2648" spans="1:4">
      <c r="A2648" s="61">
        <v>7307</v>
      </c>
      <c r="B2648" s="61">
        <v>91126</v>
      </c>
      <c r="C2648" s="62">
        <v>54.4</v>
      </c>
      <c r="D2648" s="62">
        <v>1954.4</v>
      </c>
    </row>
    <row r="2649" spans="1:4">
      <c r="A2649" s="61">
        <v>7310</v>
      </c>
      <c r="B2649" s="61">
        <v>91126</v>
      </c>
      <c r="C2649" s="62">
        <v>54.4</v>
      </c>
      <c r="D2649" s="62">
        <v>1954.4</v>
      </c>
    </row>
    <row r="2650" spans="1:4">
      <c r="A2650" s="61">
        <v>7315</v>
      </c>
      <c r="B2650" s="61">
        <v>91291</v>
      </c>
      <c r="C2650" s="62">
        <v>20.6</v>
      </c>
      <c r="D2650" s="62">
        <v>2445.6999999999998</v>
      </c>
    </row>
    <row r="2651" spans="1:4">
      <c r="A2651" s="61">
        <v>7316</v>
      </c>
      <c r="B2651" s="61">
        <v>91107</v>
      </c>
      <c r="C2651" s="62">
        <v>46.9</v>
      </c>
      <c r="D2651" s="62">
        <v>2140.6</v>
      </c>
    </row>
    <row r="2652" spans="1:4">
      <c r="A2652" s="61">
        <v>7320</v>
      </c>
      <c r="B2652" s="61">
        <v>91107</v>
      </c>
      <c r="C2652" s="62">
        <v>46.9</v>
      </c>
      <c r="D2652" s="62">
        <v>2140.6</v>
      </c>
    </row>
    <row r="2653" spans="1:4">
      <c r="A2653" s="61">
        <v>7321</v>
      </c>
      <c r="B2653" s="61">
        <v>91107</v>
      </c>
      <c r="C2653" s="62">
        <v>46.9</v>
      </c>
      <c r="D2653" s="62">
        <v>2140.6</v>
      </c>
    </row>
    <row r="2654" spans="1:4">
      <c r="A2654" s="61">
        <v>7322</v>
      </c>
      <c r="B2654" s="61">
        <v>91107</v>
      </c>
      <c r="C2654" s="62">
        <v>46.9</v>
      </c>
      <c r="D2654" s="62">
        <v>2140.6</v>
      </c>
    </row>
    <row r="2655" spans="1:4">
      <c r="A2655" s="61">
        <v>7325</v>
      </c>
      <c r="B2655" s="61">
        <v>91107</v>
      </c>
      <c r="C2655" s="62">
        <v>46.9</v>
      </c>
      <c r="D2655" s="62">
        <v>2140.6</v>
      </c>
    </row>
    <row r="2656" spans="1:4">
      <c r="A2656" s="61">
        <v>7330</v>
      </c>
      <c r="B2656" s="61">
        <v>91223</v>
      </c>
      <c r="C2656" s="62">
        <v>54.6</v>
      </c>
      <c r="D2656" s="62">
        <v>1905.2</v>
      </c>
    </row>
    <row r="2657" spans="1:4">
      <c r="A2657" s="61">
        <v>7331</v>
      </c>
      <c r="B2657" s="61">
        <v>91292</v>
      </c>
      <c r="C2657" s="62">
        <v>50</v>
      </c>
      <c r="D2657" s="62">
        <v>2096.9</v>
      </c>
    </row>
    <row r="2658" spans="1:4">
      <c r="A2658" s="61">
        <v>7466</v>
      </c>
      <c r="B2658" s="61">
        <v>97072</v>
      </c>
      <c r="C2658" s="62">
        <v>18.399999999999999</v>
      </c>
      <c r="D2658" s="62">
        <v>2147.1</v>
      </c>
    </row>
    <row r="2659" spans="1:4">
      <c r="A2659" s="61">
        <v>7467</v>
      </c>
      <c r="B2659" s="61">
        <v>97072</v>
      </c>
      <c r="C2659" s="62">
        <v>18.399999999999999</v>
      </c>
      <c r="D2659" s="62">
        <v>2147.1</v>
      </c>
    </row>
    <row r="2660" spans="1:4">
      <c r="A2660" s="61">
        <v>7468</v>
      </c>
      <c r="B2660" s="61">
        <v>97072</v>
      </c>
      <c r="C2660" s="62">
        <v>18.399999999999999</v>
      </c>
      <c r="D2660" s="62">
        <v>2147.1</v>
      </c>
    </row>
    <row r="2661" spans="1:4">
      <c r="A2661" s="61">
        <v>7469</v>
      </c>
      <c r="B2661" s="61">
        <v>97072</v>
      </c>
      <c r="C2661" s="62">
        <v>18.399999999999999</v>
      </c>
      <c r="D2661" s="62">
        <v>2147.1</v>
      </c>
    </row>
    <row r="2662" spans="1:4">
      <c r="A2662" s="61">
        <v>7470</v>
      </c>
      <c r="B2662" s="61">
        <v>97072</v>
      </c>
      <c r="C2662" s="62">
        <v>18.399999999999999</v>
      </c>
      <c r="D2662" s="62">
        <v>2147.1</v>
      </c>
    </row>
    <row r="2663" spans="1:4">
      <c r="A2663" s="200" t="s">
        <v>1648</v>
      </c>
      <c r="B2663" s="200">
        <v>930120</v>
      </c>
      <c r="C2663" s="201">
        <v>145.5</v>
      </c>
      <c r="D2663" s="201">
        <v>1115.0999999999999</v>
      </c>
    </row>
    <row r="2664" spans="1:4">
      <c r="A2664" s="200" t="s">
        <v>1649</v>
      </c>
      <c r="B2664" s="200">
        <v>930120</v>
      </c>
      <c r="C2664" s="201">
        <v>145.5</v>
      </c>
      <c r="D2664" s="201">
        <v>1115.0999999999999</v>
      </c>
    </row>
    <row r="2665" spans="1:4">
      <c r="A2665" s="200" t="s">
        <v>1650</v>
      </c>
      <c r="B2665" s="200">
        <v>930120</v>
      </c>
      <c r="C2665" s="201">
        <v>145.5</v>
      </c>
      <c r="D2665" s="201">
        <v>1115.0999999999999</v>
      </c>
    </row>
    <row r="2666" spans="1:4">
      <c r="A2666" s="200" t="s">
        <v>1651</v>
      </c>
      <c r="B2666" s="200">
        <v>930120</v>
      </c>
      <c r="C2666" s="201">
        <v>145.5</v>
      </c>
      <c r="D2666" s="201">
        <v>1115.0999999999999</v>
      </c>
    </row>
    <row r="2667" spans="1:4">
      <c r="A2667" s="200" t="s">
        <v>1652</v>
      </c>
      <c r="B2667" s="200">
        <v>930120</v>
      </c>
      <c r="C2667" s="201">
        <v>145.5</v>
      </c>
      <c r="D2667" s="201">
        <v>1115.0999999999999</v>
      </c>
    </row>
    <row r="2668" spans="1:4">
      <c r="A2668" s="200" t="s">
        <v>1653</v>
      </c>
      <c r="B2668" s="200">
        <v>930120</v>
      </c>
      <c r="C2668" s="201">
        <v>145.5</v>
      </c>
      <c r="D2668" s="201">
        <v>1115.0999999999999</v>
      </c>
    </row>
    <row r="2669" spans="1:4">
      <c r="A2669" s="200" t="s">
        <v>1654</v>
      </c>
      <c r="B2669" s="200">
        <v>930120</v>
      </c>
      <c r="C2669" s="201">
        <v>145.5</v>
      </c>
      <c r="D2669" s="201">
        <v>1115.0999999999999</v>
      </c>
    </row>
    <row r="2670" spans="1:4">
      <c r="A2670" s="200" t="s">
        <v>1655</v>
      </c>
      <c r="B2670" s="200">
        <v>930120</v>
      </c>
      <c r="C2670" s="201">
        <v>145.5</v>
      </c>
      <c r="D2670" s="201">
        <v>1115.0999999999999</v>
      </c>
    </row>
    <row r="2671" spans="1:4">
      <c r="A2671" s="200" t="s">
        <v>1656</v>
      </c>
      <c r="B2671" s="200">
        <v>930120</v>
      </c>
      <c r="C2671" s="201">
        <v>145.5</v>
      </c>
      <c r="D2671" s="201">
        <v>1115.0999999999999</v>
      </c>
    </row>
    <row r="2672" spans="1:4">
      <c r="A2672" s="200" t="s">
        <v>1657</v>
      </c>
      <c r="B2672" s="200">
        <v>930120</v>
      </c>
      <c r="C2672" s="201">
        <v>145.5</v>
      </c>
      <c r="D2672" s="201">
        <v>1115.0999999999999</v>
      </c>
    </row>
    <row r="2673" spans="1:4">
      <c r="A2673" s="200" t="s">
        <v>1658</v>
      </c>
      <c r="B2673" s="200">
        <v>930120</v>
      </c>
      <c r="C2673" s="201">
        <v>145.5</v>
      </c>
      <c r="D2673" s="201">
        <v>1115.0999999999999</v>
      </c>
    </row>
    <row r="2674" spans="1:4">
      <c r="A2674" s="200" t="s">
        <v>1659</v>
      </c>
      <c r="B2674" s="200">
        <v>930120</v>
      </c>
      <c r="C2674" s="201">
        <v>145.5</v>
      </c>
      <c r="D2674" s="201">
        <v>1115.0999999999999</v>
      </c>
    </row>
    <row r="2675" spans="1:4">
      <c r="A2675" s="200" t="s">
        <v>1660</v>
      </c>
      <c r="B2675" s="200">
        <v>930120</v>
      </c>
      <c r="C2675" s="201">
        <v>145.5</v>
      </c>
      <c r="D2675" s="201">
        <v>1115.0999999999999</v>
      </c>
    </row>
    <row r="2676" spans="1:4">
      <c r="A2676" s="200" t="s">
        <v>1661</v>
      </c>
      <c r="B2676" s="200">
        <v>930120</v>
      </c>
      <c r="C2676" s="201">
        <v>145.5</v>
      </c>
      <c r="D2676" s="201">
        <v>1115.0999999999999</v>
      </c>
    </row>
    <row r="2677" spans="1:4">
      <c r="A2677" s="200" t="s">
        <v>1662</v>
      </c>
      <c r="B2677" s="200">
        <v>930120</v>
      </c>
      <c r="C2677" s="201">
        <v>145.5</v>
      </c>
      <c r="D2677" s="201">
        <v>1115.0999999999999</v>
      </c>
    </row>
    <row r="2678" spans="1:4">
      <c r="A2678" s="200" t="s">
        <v>1663</v>
      </c>
      <c r="B2678" s="200">
        <v>930120</v>
      </c>
      <c r="C2678" s="201">
        <v>145.5</v>
      </c>
      <c r="D2678" s="201">
        <v>1115.0999999999999</v>
      </c>
    </row>
    <row r="2679" spans="1:4">
      <c r="A2679" s="200" t="s">
        <v>1664</v>
      </c>
      <c r="B2679" s="200">
        <v>930120</v>
      </c>
      <c r="C2679" s="201">
        <v>145.5</v>
      </c>
      <c r="D2679" s="201">
        <v>1115.0999999999999</v>
      </c>
    </row>
    <row r="2680" spans="1:4">
      <c r="A2680" s="200" t="s">
        <v>1665</v>
      </c>
      <c r="B2680" s="200">
        <v>931190</v>
      </c>
      <c r="C2680" s="201">
        <v>115.7</v>
      </c>
      <c r="D2680" s="201">
        <v>1222.0999999999999</v>
      </c>
    </row>
    <row r="2681" spans="1:4">
      <c r="A2681" s="200" t="s">
        <v>1666</v>
      </c>
      <c r="B2681" s="200">
        <v>931190</v>
      </c>
      <c r="C2681" s="201">
        <v>115.7</v>
      </c>
      <c r="D2681" s="201">
        <v>1222.0999999999999</v>
      </c>
    </row>
    <row r="2682" spans="1:4">
      <c r="A2682" s="200" t="s">
        <v>1667</v>
      </c>
      <c r="B2682" s="200">
        <v>931190</v>
      </c>
      <c r="C2682" s="201">
        <v>115.7</v>
      </c>
      <c r="D2682" s="201">
        <v>1222.0999999999999</v>
      </c>
    </row>
    <row r="2683" spans="1:4">
      <c r="A2683" s="200" t="s">
        <v>1668</v>
      </c>
      <c r="B2683" s="200">
        <v>931190</v>
      </c>
      <c r="C2683" s="201">
        <v>115.7</v>
      </c>
      <c r="D2683" s="201">
        <v>1222.0999999999999</v>
      </c>
    </row>
    <row r="2684" spans="1:4">
      <c r="A2684" s="200" t="s">
        <v>1669</v>
      </c>
      <c r="B2684" s="200">
        <v>931190</v>
      </c>
      <c r="C2684" s="201">
        <v>115.7</v>
      </c>
      <c r="D2684" s="201">
        <v>1222.0999999999999</v>
      </c>
    </row>
    <row r="2685" spans="1:4">
      <c r="A2685" s="200" t="s">
        <v>1670</v>
      </c>
      <c r="B2685" s="200">
        <v>931190</v>
      </c>
      <c r="C2685" s="201">
        <v>115.7</v>
      </c>
      <c r="D2685" s="201">
        <v>1222.0999999999999</v>
      </c>
    </row>
    <row r="2686" spans="1:4">
      <c r="A2686" s="200" t="s">
        <v>1671</v>
      </c>
      <c r="B2686" s="200">
        <v>931190</v>
      </c>
      <c r="C2686" s="201">
        <v>115.7</v>
      </c>
      <c r="D2686" s="201">
        <v>1222.0999999999999</v>
      </c>
    </row>
    <row r="2687" spans="1:4">
      <c r="A2687" s="200" t="s">
        <v>1672</v>
      </c>
      <c r="B2687" s="200">
        <v>931190</v>
      </c>
      <c r="C2687" s="201">
        <v>115.7</v>
      </c>
      <c r="D2687" s="201">
        <v>1222.0999999999999</v>
      </c>
    </row>
    <row r="2688" spans="1:4">
      <c r="A2688" s="200" t="s">
        <v>1673</v>
      </c>
      <c r="B2688" s="200">
        <v>931190</v>
      </c>
      <c r="C2688" s="201">
        <v>115.7</v>
      </c>
      <c r="D2688" s="201">
        <v>1222.0999999999999</v>
      </c>
    </row>
    <row r="2689" spans="1:4">
      <c r="A2689" s="200" t="s">
        <v>1674</v>
      </c>
      <c r="B2689" s="200">
        <v>931190</v>
      </c>
      <c r="C2689" s="201">
        <v>115.7</v>
      </c>
      <c r="D2689" s="201">
        <v>1222.0999999999999</v>
      </c>
    </row>
    <row r="2690" spans="1:4">
      <c r="A2690" s="200" t="s">
        <v>1675</v>
      </c>
      <c r="B2690" s="200">
        <v>931190</v>
      </c>
      <c r="C2690" s="201">
        <v>115.7</v>
      </c>
      <c r="D2690" s="201">
        <v>1222.0999999999999</v>
      </c>
    </row>
    <row r="2691" spans="1:4">
      <c r="A2691" s="200" t="s">
        <v>1676</v>
      </c>
      <c r="B2691" s="200">
        <v>931190</v>
      </c>
      <c r="C2691" s="201">
        <v>115.7</v>
      </c>
      <c r="D2691" s="201">
        <v>1222.0999999999999</v>
      </c>
    </row>
    <row r="2692" spans="1:4">
      <c r="A2692" s="200" t="s">
        <v>1677</v>
      </c>
      <c r="B2692" s="200">
        <v>931190</v>
      </c>
      <c r="C2692" s="201">
        <v>115.7</v>
      </c>
      <c r="D2692" s="201">
        <v>1222.0999999999999</v>
      </c>
    </row>
    <row r="2693" spans="1:4">
      <c r="A2693" s="200" t="s">
        <v>1678</v>
      </c>
      <c r="B2693" s="200">
        <v>931190</v>
      </c>
      <c r="C2693" s="201">
        <v>115.7</v>
      </c>
      <c r="D2693" s="201">
        <v>1222.0999999999999</v>
      </c>
    </row>
    <row r="2694" spans="1:4">
      <c r="A2694" s="200" t="s">
        <v>1679</v>
      </c>
      <c r="B2694" s="200">
        <v>931190</v>
      </c>
      <c r="C2694" s="201">
        <v>115.7</v>
      </c>
      <c r="D2694" s="201">
        <v>1222.0999999999999</v>
      </c>
    </row>
    <row r="2695" spans="1:4">
      <c r="A2695" s="200" t="s">
        <v>1680</v>
      </c>
      <c r="B2695" s="200">
        <v>931190</v>
      </c>
      <c r="C2695" s="201">
        <v>115.7</v>
      </c>
      <c r="D2695" s="201">
        <v>1222.0999999999999</v>
      </c>
    </row>
    <row r="2696" spans="1:4">
      <c r="A2696" s="200" t="s">
        <v>1681</v>
      </c>
      <c r="B2696" s="200">
        <v>931190</v>
      </c>
      <c r="C2696" s="201">
        <v>115.7</v>
      </c>
      <c r="D2696" s="201">
        <v>1222.0999999999999</v>
      </c>
    </row>
    <row r="2697" spans="1:4">
      <c r="A2697" s="200" t="s">
        <v>1682</v>
      </c>
      <c r="B2697" s="200">
        <v>931190</v>
      </c>
      <c r="C2697" s="201">
        <v>115.7</v>
      </c>
      <c r="D2697" s="201">
        <v>1222.0999999999999</v>
      </c>
    </row>
    <row r="2698" spans="1:4">
      <c r="A2698" s="200" t="s">
        <v>1683</v>
      </c>
      <c r="B2698" s="200">
        <v>931190</v>
      </c>
      <c r="C2698" s="201">
        <v>115.7</v>
      </c>
      <c r="D2698" s="201">
        <v>1222.0999999999999</v>
      </c>
    </row>
    <row r="2699" spans="1:4">
      <c r="A2699" s="200" t="s">
        <v>1684</v>
      </c>
      <c r="B2699" s="200">
        <v>931190</v>
      </c>
      <c r="C2699" s="201">
        <v>115.7</v>
      </c>
      <c r="D2699" s="201">
        <v>1222.0999999999999</v>
      </c>
    </row>
    <row r="2700" spans="1:4">
      <c r="A2700" s="200" t="s">
        <v>1685</v>
      </c>
      <c r="B2700" s="200">
        <v>931190</v>
      </c>
      <c r="C2700" s="201">
        <v>115.7</v>
      </c>
      <c r="D2700" s="201">
        <v>1222.0999999999999</v>
      </c>
    </row>
    <row r="2701" spans="1:4">
      <c r="A2701" s="200" t="s">
        <v>1686</v>
      </c>
      <c r="B2701" s="200">
        <v>931190</v>
      </c>
      <c r="C2701" s="201">
        <v>115.7</v>
      </c>
      <c r="D2701" s="201">
        <v>1222.0999999999999</v>
      </c>
    </row>
    <row r="2702" spans="1:4">
      <c r="A2702" s="200" t="s">
        <v>1687</v>
      </c>
      <c r="B2702" s="200">
        <v>931190</v>
      </c>
      <c r="C2702" s="201">
        <v>115.7</v>
      </c>
      <c r="D2702" s="201">
        <v>1222.0999999999999</v>
      </c>
    </row>
    <row r="2703" spans="1:4">
      <c r="A2703" s="200" t="s">
        <v>1688</v>
      </c>
      <c r="B2703" s="200">
        <v>931190</v>
      </c>
      <c r="C2703" s="201">
        <v>115.7</v>
      </c>
      <c r="D2703" s="201">
        <v>1222.0999999999999</v>
      </c>
    </row>
    <row r="2704" spans="1:4">
      <c r="A2704" s="200" t="s">
        <v>1689</v>
      </c>
      <c r="B2704" s="200">
        <v>931190</v>
      </c>
      <c r="C2704" s="201">
        <v>115.7</v>
      </c>
      <c r="D2704" s="201">
        <v>1222.0999999999999</v>
      </c>
    </row>
    <row r="2705" spans="1:4">
      <c r="A2705" s="200" t="s">
        <v>1690</v>
      </c>
      <c r="B2705" s="200">
        <v>931190</v>
      </c>
      <c r="C2705" s="201">
        <v>115.7</v>
      </c>
      <c r="D2705" s="201">
        <v>1222.0999999999999</v>
      </c>
    </row>
    <row r="2706" spans="1:4">
      <c r="A2706" s="200" t="s">
        <v>1691</v>
      </c>
      <c r="B2706" s="200">
        <v>931190</v>
      </c>
      <c r="C2706" s="201">
        <v>115.7</v>
      </c>
      <c r="D2706" s="201">
        <v>1222.0999999999999</v>
      </c>
    </row>
    <row r="2707" spans="1:4">
      <c r="A2707" s="200" t="s">
        <v>1692</v>
      </c>
      <c r="B2707" s="200">
        <v>931190</v>
      </c>
      <c r="C2707" s="201">
        <v>115.7</v>
      </c>
      <c r="D2707" s="201">
        <v>1222.0999999999999</v>
      </c>
    </row>
    <row r="2708" spans="1:4">
      <c r="A2708" s="200" t="s">
        <v>1693</v>
      </c>
      <c r="B2708" s="200">
        <v>931190</v>
      </c>
      <c r="C2708" s="201">
        <v>115.7</v>
      </c>
      <c r="D2708" s="201">
        <v>1222.0999999999999</v>
      </c>
    </row>
    <row r="2709" spans="1:4">
      <c r="A2709" s="200" t="s">
        <v>1694</v>
      </c>
      <c r="B2709" s="200">
        <v>931190</v>
      </c>
      <c r="C2709" s="201">
        <v>115.7</v>
      </c>
      <c r="D2709" s="201">
        <v>1222.0999999999999</v>
      </c>
    </row>
    <row r="2710" spans="1:4">
      <c r="A2710" s="200" t="s">
        <v>1695</v>
      </c>
      <c r="B2710" s="200">
        <v>931190</v>
      </c>
      <c r="C2710" s="201">
        <v>115.7</v>
      </c>
      <c r="D2710" s="201">
        <v>1222.0999999999999</v>
      </c>
    </row>
    <row r="2711" spans="1:4">
      <c r="A2711" s="200" t="s">
        <v>1696</v>
      </c>
      <c r="B2711" s="200">
        <v>931190</v>
      </c>
      <c r="C2711" s="201">
        <v>115.7</v>
      </c>
      <c r="D2711" s="201">
        <v>1222.0999999999999</v>
      </c>
    </row>
    <row r="2712" spans="1:4">
      <c r="A2712" s="200" t="s">
        <v>1697</v>
      </c>
      <c r="B2712" s="200">
        <v>931190</v>
      </c>
      <c r="C2712" s="201">
        <v>115.7</v>
      </c>
      <c r="D2712" s="201">
        <v>1222.0999999999999</v>
      </c>
    </row>
    <row r="2713" spans="1:4">
      <c r="A2713" s="200" t="s">
        <v>1698</v>
      </c>
      <c r="B2713" s="200">
        <v>931190</v>
      </c>
      <c r="C2713" s="201">
        <v>115.7</v>
      </c>
      <c r="D2713" s="201">
        <v>1222.0999999999999</v>
      </c>
    </row>
    <row r="2714" spans="1:4">
      <c r="A2714" s="200" t="s">
        <v>1699</v>
      </c>
      <c r="B2714" s="200">
        <v>931190</v>
      </c>
      <c r="C2714" s="201">
        <v>115.7</v>
      </c>
      <c r="D2714" s="201">
        <v>1222.0999999999999</v>
      </c>
    </row>
    <row r="2715" spans="1:4">
      <c r="A2715" s="200" t="s">
        <v>1700</v>
      </c>
      <c r="B2715" s="200">
        <v>931190</v>
      </c>
      <c r="C2715" s="201">
        <v>115.7</v>
      </c>
      <c r="D2715" s="201">
        <v>1222.0999999999999</v>
      </c>
    </row>
    <row r="2716" spans="1:4">
      <c r="A2716" s="200" t="s">
        <v>1701</v>
      </c>
      <c r="B2716" s="200">
        <v>931190</v>
      </c>
      <c r="C2716" s="201">
        <v>115.7</v>
      </c>
      <c r="D2716" s="201">
        <v>1222.0999999999999</v>
      </c>
    </row>
    <row r="2717" spans="1:4">
      <c r="A2717" s="200" t="s">
        <v>1702</v>
      </c>
      <c r="B2717" s="200">
        <v>931190</v>
      </c>
      <c r="C2717" s="201">
        <v>115.7</v>
      </c>
      <c r="D2717" s="201">
        <v>1222.0999999999999</v>
      </c>
    </row>
    <row r="2718" spans="1:4">
      <c r="A2718" s="200" t="s">
        <v>1703</v>
      </c>
      <c r="B2718" s="200">
        <v>931190</v>
      </c>
      <c r="C2718" s="201">
        <v>115.7</v>
      </c>
      <c r="D2718" s="201">
        <v>1222.0999999999999</v>
      </c>
    </row>
    <row r="2719" spans="1:4">
      <c r="A2719" s="200" t="s">
        <v>1704</v>
      </c>
      <c r="B2719" s="200">
        <v>931190</v>
      </c>
      <c r="C2719" s="201">
        <v>115.7</v>
      </c>
      <c r="D2719" s="201">
        <v>1222.0999999999999</v>
      </c>
    </row>
    <row r="2720" spans="1:4">
      <c r="A2720" s="200" t="s">
        <v>1705</v>
      </c>
      <c r="B2720" s="200">
        <v>931190</v>
      </c>
      <c r="C2720" s="201">
        <v>115.7</v>
      </c>
      <c r="D2720" s="201">
        <v>1222.0999999999999</v>
      </c>
    </row>
    <row r="2721" spans="1:4">
      <c r="A2721" s="200" t="s">
        <v>1706</v>
      </c>
      <c r="B2721" s="200">
        <v>931190</v>
      </c>
      <c r="C2721" s="201">
        <v>115.7</v>
      </c>
      <c r="D2721" s="201">
        <v>1222.0999999999999</v>
      </c>
    </row>
    <row r="2722" spans="1:4">
      <c r="A2722" s="200" t="s">
        <v>1707</v>
      </c>
      <c r="B2722" s="200">
        <v>931190</v>
      </c>
      <c r="C2722" s="201">
        <v>115.7</v>
      </c>
      <c r="D2722" s="201">
        <v>1222.0999999999999</v>
      </c>
    </row>
    <row r="2723" spans="1:4">
      <c r="A2723" s="200" t="s">
        <v>1708</v>
      </c>
      <c r="B2723" s="200">
        <v>931190</v>
      </c>
      <c r="C2723" s="201">
        <v>115.7</v>
      </c>
      <c r="D2723" s="201">
        <v>1222.0999999999999</v>
      </c>
    </row>
    <row r="2724" spans="1:4">
      <c r="A2724" s="200" t="s">
        <v>1709</v>
      </c>
      <c r="B2724" s="200">
        <v>931190</v>
      </c>
      <c r="C2724" s="201">
        <v>115.7</v>
      </c>
      <c r="D2724" s="201">
        <v>1222.0999999999999</v>
      </c>
    </row>
    <row r="2725" spans="1:4">
      <c r="A2725" s="200" t="s">
        <v>1710</v>
      </c>
      <c r="B2725" s="200">
        <v>931190</v>
      </c>
      <c r="C2725" s="201">
        <v>115.7</v>
      </c>
      <c r="D2725" s="201">
        <v>1222.0999999999999</v>
      </c>
    </row>
    <row r="2726" spans="1:4">
      <c r="A2726" s="200" t="s">
        <v>1711</v>
      </c>
      <c r="B2726" s="200">
        <v>931190</v>
      </c>
      <c r="C2726" s="201">
        <v>115.7</v>
      </c>
      <c r="D2726" s="201">
        <v>1222.0999999999999</v>
      </c>
    </row>
    <row r="2727" spans="1:4">
      <c r="A2727" s="200" t="s">
        <v>1712</v>
      </c>
      <c r="B2727" s="200">
        <v>931190</v>
      </c>
      <c r="C2727" s="201">
        <v>115.7</v>
      </c>
      <c r="D2727" s="201">
        <v>1222.0999999999999</v>
      </c>
    </row>
    <row r="2728" spans="1:4">
      <c r="A2728" s="200" t="s">
        <v>1713</v>
      </c>
      <c r="B2728" s="200">
        <v>931190</v>
      </c>
      <c r="C2728" s="201">
        <v>115.7</v>
      </c>
      <c r="D2728" s="201">
        <v>1222.0999999999999</v>
      </c>
    </row>
    <row r="2729" spans="1:4">
      <c r="A2729" s="200" t="s">
        <v>1714</v>
      </c>
      <c r="B2729" s="200">
        <v>931190</v>
      </c>
      <c r="C2729" s="201">
        <v>115.7</v>
      </c>
      <c r="D2729" s="201">
        <v>1222.0999999999999</v>
      </c>
    </row>
    <row r="2730" spans="1:4">
      <c r="A2730" s="200" t="s">
        <v>1715</v>
      </c>
      <c r="B2730" s="200">
        <v>931190</v>
      </c>
      <c r="C2730" s="201">
        <v>115.7</v>
      </c>
      <c r="D2730" s="201">
        <v>1222.0999999999999</v>
      </c>
    </row>
    <row r="2731" spans="1:4">
      <c r="A2731" s="200" t="s">
        <v>1716</v>
      </c>
      <c r="B2731" s="200">
        <v>931190</v>
      </c>
      <c r="C2731" s="201">
        <v>115.7</v>
      </c>
      <c r="D2731" s="201">
        <v>1222.0999999999999</v>
      </c>
    </row>
    <row r="2732" spans="1:4">
      <c r="A2732" s="200" t="s">
        <v>1717</v>
      </c>
      <c r="B2732" s="200">
        <v>931190</v>
      </c>
      <c r="C2732" s="201">
        <v>115.7</v>
      </c>
      <c r="D2732" s="201">
        <v>1222.0999999999999</v>
      </c>
    </row>
    <row r="2733" spans="1:4">
      <c r="A2733" s="200" t="s">
        <v>1718</v>
      </c>
      <c r="B2733" s="200">
        <v>931190</v>
      </c>
      <c r="C2733" s="201">
        <v>115.7</v>
      </c>
      <c r="D2733" s="201">
        <v>1222.0999999999999</v>
      </c>
    </row>
    <row r="2734" spans="1:4">
      <c r="A2734" s="200" t="s">
        <v>1719</v>
      </c>
      <c r="B2734" s="200">
        <v>931190</v>
      </c>
      <c r="C2734" s="201">
        <v>115.7</v>
      </c>
      <c r="D2734" s="201">
        <v>1222.0999999999999</v>
      </c>
    </row>
    <row r="2735" spans="1:4">
      <c r="A2735" s="200" t="s">
        <v>1720</v>
      </c>
      <c r="B2735" s="200">
        <v>931190</v>
      </c>
      <c r="C2735" s="201">
        <v>115.7</v>
      </c>
      <c r="D2735" s="201">
        <v>1222.0999999999999</v>
      </c>
    </row>
    <row r="2736" spans="1:4">
      <c r="A2736" s="200" t="s">
        <v>1721</v>
      </c>
      <c r="B2736" s="200">
        <v>931190</v>
      </c>
      <c r="C2736" s="201">
        <v>115.7</v>
      </c>
      <c r="D2736" s="201">
        <v>1222.0999999999999</v>
      </c>
    </row>
    <row r="2737" spans="1:4">
      <c r="A2737" s="200" t="s">
        <v>1722</v>
      </c>
      <c r="B2737" s="200">
        <v>931190</v>
      </c>
      <c r="C2737" s="201">
        <v>115.7</v>
      </c>
      <c r="D2737" s="201">
        <v>1222.0999999999999</v>
      </c>
    </row>
    <row r="2738" spans="1:4">
      <c r="A2738" s="200" t="s">
        <v>1723</v>
      </c>
      <c r="B2738" s="200">
        <v>931190</v>
      </c>
      <c r="C2738" s="201">
        <v>115.7</v>
      </c>
      <c r="D2738" s="201">
        <v>1222.0999999999999</v>
      </c>
    </row>
    <row r="2739" spans="1:4">
      <c r="A2739" s="200" t="s">
        <v>1724</v>
      </c>
      <c r="B2739" s="200">
        <v>931190</v>
      </c>
      <c r="C2739" s="201">
        <v>115.7</v>
      </c>
      <c r="D2739" s="201">
        <v>1222.0999999999999</v>
      </c>
    </row>
    <row r="2740" spans="1:4">
      <c r="A2740" s="200" t="s">
        <v>1725</v>
      </c>
      <c r="B2740" s="200">
        <v>931190</v>
      </c>
      <c r="C2740" s="201">
        <v>115.7</v>
      </c>
      <c r="D2740" s="201">
        <v>1222.0999999999999</v>
      </c>
    </row>
    <row r="2741" spans="1:4">
      <c r="A2741" s="200" t="s">
        <v>1726</v>
      </c>
      <c r="B2741" s="200">
        <v>931190</v>
      </c>
      <c r="C2741" s="201">
        <v>115.7</v>
      </c>
      <c r="D2741" s="201">
        <v>1222.0999999999999</v>
      </c>
    </row>
    <row r="2742" spans="1:4">
      <c r="A2742" s="200" t="s">
        <v>1727</v>
      </c>
      <c r="B2742" s="200">
        <v>931190</v>
      </c>
      <c r="C2742" s="201">
        <v>115.7</v>
      </c>
      <c r="D2742" s="201">
        <v>1222.0999999999999</v>
      </c>
    </row>
    <row r="2743" spans="1:4">
      <c r="A2743" s="200" t="s">
        <v>1728</v>
      </c>
      <c r="B2743" s="200">
        <v>931190</v>
      </c>
      <c r="C2743" s="201">
        <v>115.7</v>
      </c>
      <c r="D2743" s="201">
        <v>1222.0999999999999</v>
      </c>
    </row>
    <row r="2744" spans="1:4">
      <c r="A2744" s="200" t="s">
        <v>1729</v>
      </c>
      <c r="B2744" s="200">
        <v>931190</v>
      </c>
      <c r="C2744" s="201">
        <v>115.7</v>
      </c>
      <c r="D2744" s="201">
        <v>1222.0999999999999</v>
      </c>
    </row>
    <row r="2745" spans="1:4">
      <c r="A2745" s="200" t="s">
        <v>1730</v>
      </c>
      <c r="B2745" s="200">
        <v>931190</v>
      </c>
      <c r="C2745" s="201">
        <v>115.7</v>
      </c>
      <c r="D2745" s="201">
        <v>1222.0999999999999</v>
      </c>
    </row>
    <row r="2746" spans="1:4">
      <c r="A2746" s="200" t="s">
        <v>1731</v>
      </c>
      <c r="B2746" s="200">
        <v>931190</v>
      </c>
      <c r="C2746" s="201">
        <v>115.7</v>
      </c>
      <c r="D2746" s="201">
        <v>1222.0999999999999</v>
      </c>
    </row>
    <row r="2747" spans="1:4">
      <c r="A2747" s="200" t="s">
        <v>1732</v>
      </c>
      <c r="B2747" s="200">
        <v>932470</v>
      </c>
      <c r="C2747" s="201">
        <v>34.9</v>
      </c>
      <c r="D2747" s="201">
        <v>2224</v>
      </c>
    </row>
    <row r="2748" spans="1:4">
      <c r="A2748" s="200" t="s">
        <v>1733</v>
      </c>
      <c r="B2748" s="200">
        <v>932470</v>
      </c>
      <c r="C2748" s="201">
        <v>34.9</v>
      </c>
      <c r="D2748" s="201">
        <v>2224</v>
      </c>
    </row>
    <row r="2749" spans="1:4">
      <c r="A2749" s="200" t="s">
        <v>1734</v>
      </c>
      <c r="B2749" s="200">
        <v>932470</v>
      </c>
      <c r="C2749" s="201">
        <v>34.9</v>
      </c>
      <c r="D2749" s="201">
        <v>2224</v>
      </c>
    </row>
    <row r="2750" spans="1:4">
      <c r="A2750" s="200" t="s">
        <v>1735</v>
      </c>
      <c r="B2750" s="200">
        <v>931850</v>
      </c>
      <c r="C2750" s="201">
        <v>123.8</v>
      </c>
      <c r="D2750" s="201">
        <v>1369.9</v>
      </c>
    </row>
    <row r="2751" spans="1:4">
      <c r="A2751" s="200" t="s">
        <v>1736</v>
      </c>
      <c r="B2751" s="200">
        <v>931850</v>
      </c>
      <c r="C2751" s="201">
        <v>123.8</v>
      </c>
      <c r="D2751" s="201">
        <v>1369.9</v>
      </c>
    </row>
    <row r="2752" spans="1:4">
      <c r="A2752" s="200" t="s">
        <v>1737</v>
      </c>
      <c r="B2752" s="200">
        <v>931850</v>
      </c>
      <c r="C2752" s="201">
        <v>123.8</v>
      </c>
      <c r="D2752" s="201">
        <v>1369.9</v>
      </c>
    </row>
    <row r="2753" spans="1:4">
      <c r="A2753" s="200" t="s">
        <v>1738</v>
      </c>
      <c r="B2753" s="200">
        <v>931850</v>
      </c>
      <c r="C2753" s="201">
        <v>123.8</v>
      </c>
      <c r="D2753" s="201">
        <v>1369.9</v>
      </c>
    </row>
    <row r="2754" spans="1:4">
      <c r="A2754" s="200" t="s">
        <v>1739</v>
      </c>
      <c r="B2754" s="200">
        <v>931850</v>
      </c>
      <c r="C2754" s="201">
        <v>123.8</v>
      </c>
      <c r="D2754" s="201">
        <v>1369.9</v>
      </c>
    </row>
    <row r="2755" spans="1:4">
      <c r="A2755" s="200" t="s">
        <v>1740</v>
      </c>
      <c r="B2755" s="200">
        <v>931850</v>
      </c>
      <c r="C2755" s="201">
        <v>123.8</v>
      </c>
      <c r="D2755" s="201">
        <v>1369.9</v>
      </c>
    </row>
    <row r="2756" spans="1:4">
      <c r="A2756" s="200" t="s">
        <v>1741</v>
      </c>
      <c r="B2756" s="200">
        <v>931850</v>
      </c>
      <c r="C2756" s="201">
        <v>123.8</v>
      </c>
      <c r="D2756" s="201">
        <v>1369.9</v>
      </c>
    </row>
    <row r="2757" spans="1:4">
      <c r="A2757" s="200" t="s">
        <v>1742</v>
      </c>
      <c r="B2757" s="200">
        <v>931850</v>
      </c>
      <c r="C2757" s="201">
        <v>123.8</v>
      </c>
      <c r="D2757" s="201">
        <v>1369.9</v>
      </c>
    </row>
    <row r="2758" spans="1:4">
      <c r="A2758" s="200" t="s">
        <v>1743</v>
      </c>
      <c r="B2758" s="200">
        <v>931850</v>
      </c>
      <c r="C2758" s="201">
        <v>123.8</v>
      </c>
      <c r="D2758" s="201">
        <v>1369.9</v>
      </c>
    </row>
    <row r="2759" spans="1:4">
      <c r="A2759" s="200" t="s">
        <v>1744</v>
      </c>
      <c r="B2759" s="200">
        <v>931850</v>
      </c>
      <c r="C2759" s="201">
        <v>123.8</v>
      </c>
      <c r="D2759" s="201">
        <v>1369.9</v>
      </c>
    </row>
    <row r="2760" spans="1:4">
      <c r="A2760" s="200" t="s">
        <v>1745</v>
      </c>
      <c r="B2760" s="200">
        <v>931850</v>
      </c>
      <c r="C2760" s="201">
        <v>123.8</v>
      </c>
      <c r="D2760" s="201">
        <v>1369.9</v>
      </c>
    </row>
    <row r="2761" spans="1:4">
      <c r="A2761" s="200" t="s">
        <v>1746</v>
      </c>
      <c r="B2761" s="200">
        <v>931850</v>
      </c>
      <c r="C2761" s="201">
        <v>123.8</v>
      </c>
      <c r="D2761" s="201">
        <v>1369.9</v>
      </c>
    </row>
    <row r="2762" spans="1:4">
      <c r="A2762" s="200" t="s">
        <v>1747</v>
      </c>
      <c r="B2762" s="200">
        <v>931850</v>
      </c>
      <c r="C2762" s="201">
        <v>123.8</v>
      </c>
      <c r="D2762" s="201">
        <v>1369.9</v>
      </c>
    </row>
    <row r="2763" spans="1:4">
      <c r="A2763" s="200" t="s">
        <v>1748</v>
      </c>
      <c r="B2763" s="200">
        <v>931730</v>
      </c>
      <c r="C2763" s="201">
        <v>74.099999999999994</v>
      </c>
      <c r="D2763" s="201">
        <v>1839.2</v>
      </c>
    </row>
    <row r="2764" spans="1:4">
      <c r="A2764" s="200" t="s">
        <v>1749</v>
      </c>
      <c r="B2764" s="200">
        <v>931730</v>
      </c>
      <c r="C2764" s="201">
        <v>74.099999999999994</v>
      </c>
      <c r="D2764" s="201">
        <v>1839.2</v>
      </c>
    </row>
    <row r="2765" spans="1:4">
      <c r="A2765" s="200" t="s">
        <v>1750</v>
      </c>
      <c r="B2765" s="200">
        <v>931730</v>
      </c>
      <c r="C2765" s="201">
        <v>74.099999999999994</v>
      </c>
      <c r="D2765" s="201">
        <v>1839.2</v>
      </c>
    </row>
    <row r="2766" spans="1:4">
      <c r="A2766" s="200" t="s">
        <v>1751</v>
      </c>
      <c r="B2766" s="200">
        <v>931730</v>
      </c>
      <c r="C2766" s="201">
        <v>74.099999999999994</v>
      </c>
      <c r="D2766" s="201">
        <v>1839.2</v>
      </c>
    </row>
    <row r="2767" spans="1:4">
      <c r="A2767" s="200" t="s">
        <v>1752</v>
      </c>
      <c r="B2767" s="200">
        <v>931730</v>
      </c>
      <c r="C2767" s="201">
        <v>74.099999999999994</v>
      </c>
      <c r="D2767" s="201">
        <v>1839.2</v>
      </c>
    </row>
    <row r="2768" spans="1:4">
      <c r="A2768" s="200" t="s">
        <v>1753</v>
      </c>
      <c r="B2768" s="200">
        <v>931730</v>
      </c>
      <c r="C2768" s="201">
        <v>74.099999999999994</v>
      </c>
      <c r="D2768" s="201">
        <v>1839.2</v>
      </c>
    </row>
    <row r="2769" spans="1:4">
      <c r="A2769" s="200" t="s">
        <v>1754</v>
      </c>
      <c r="B2769" s="200">
        <v>931730</v>
      </c>
      <c r="C2769" s="201">
        <v>74.099999999999994</v>
      </c>
      <c r="D2769" s="201">
        <v>1839.2</v>
      </c>
    </row>
    <row r="2770" spans="1:4">
      <c r="A2770" s="200" t="s">
        <v>1755</v>
      </c>
      <c r="B2770" s="200">
        <v>931730</v>
      </c>
      <c r="C2770" s="201">
        <v>74.099999999999994</v>
      </c>
      <c r="D2770" s="201">
        <v>1839.2</v>
      </c>
    </row>
    <row r="2771" spans="1:4">
      <c r="A2771" s="200" t="s">
        <v>1756</v>
      </c>
      <c r="B2771" s="200">
        <v>931730</v>
      </c>
      <c r="C2771" s="201">
        <v>74.099999999999994</v>
      </c>
      <c r="D2771" s="201">
        <v>1839.2</v>
      </c>
    </row>
    <row r="2772" spans="1:4">
      <c r="A2772" s="200" t="s">
        <v>1757</v>
      </c>
      <c r="B2772" s="200">
        <v>931730</v>
      </c>
      <c r="C2772" s="201">
        <v>74.099999999999994</v>
      </c>
      <c r="D2772" s="201">
        <v>1839.2</v>
      </c>
    </row>
    <row r="2773" spans="1:4">
      <c r="A2773" s="200" t="s">
        <v>1758</v>
      </c>
      <c r="B2773" s="200">
        <v>931730</v>
      </c>
      <c r="C2773" s="201">
        <v>74.099999999999994</v>
      </c>
      <c r="D2773" s="201">
        <v>1839.2</v>
      </c>
    </row>
    <row r="2774" spans="1:4">
      <c r="A2774" s="200" t="s">
        <v>1759</v>
      </c>
      <c r="B2774" s="200">
        <v>932450</v>
      </c>
      <c r="C2774" s="201">
        <v>36.799999999999997</v>
      </c>
      <c r="D2774" s="201">
        <v>2447.1</v>
      </c>
    </row>
    <row r="2775" spans="1:4">
      <c r="A2775" s="200" t="s">
        <v>1760</v>
      </c>
      <c r="B2775" s="200">
        <v>932450</v>
      </c>
      <c r="C2775" s="201">
        <v>36.799999999999997</v>
      </c>
      <c r="D2775" s="201">
        <v>2447.1</v>
      </c>
    </row>
    <row r="2776" spans="1:4">
      <c r="A2776" s="200" t="s">
        <v>1761</v>
      </c>
      <c r="B2776" s="200">
        <v>932450</v>
      </c>
      <c r="C2776" s="201">
        <v>36.799999999999997</v>
      </c>
      <c r="D2776" s="201">
        <v>2447.1</v>
      </c>
    </row>
    <row r="2777" spans="1:4">
      <c r="A2777" s="200" t="s">
        <v>1762</v>
      </c>
      <c r="B2777" s="200">
        <v>932450</v>
      </c>
      <c r="C2777" s="201">
        <v>36.799999999999997</v>
      </c>
      <c r="D2777" s="201">
        <v>2447.1</v>
      </c>
    </row>
    <row r="2778" spans="1:4">
      <c r="A2778" s="200" t="s">
        <v>1763</v>
      </c>
      <c r="B2778" s="200">
        <v>932450</v>
      </c>
      <c r="C2778" s="201">
        <v>36.799999999999997</v>
      </c>
      <c r="D2778" s="201">
        <v>2447.1</v>
      </c>
    </row>
    <row r="2779" spans="1:4">
      <c r="A2779" s="200" t="s">
        <v>1764</v>
      </c>
      <c r="B2779" s="200">
        <v>932450</v>
      </c>
      <c r="C2779" s="201">
        <v>36.799999999999997</v>
      </c>
      <c r="D2779" s="201">
        <v>2447.1</v>
      </c>
    </row>
    <row r="2780" spans="1:4">
      <c r="A2780" s="200" t="s">
        <v>1765</v>
      </c>
      <c r="B2780" s="200">
        <v>932450</v>
      </c>
      <c r="C2780" s="201">
        <v>36.799999999999997</v>
      </c>
      <c r="D2780" s="201">
        <v>2447.1</v>
      </c>
    </row>
    <row r="2781" spans="1:4">
      <c r="A2781" s="200" t="s">
        <v>1766</v>
      </c>
      <c r="B2781" s="200">
        <v>932450</v>
      </c>
      <c r="C2781" s="201">
        <v>36.799999999999997</v>
      </c>
      <c r="D2781" s="201">
        <v>2447.1</v>
      </c>
    </row>
    <row r="2782" spans="1:4">
      <c r="A2782" s="200" t="s">
        <v>1767</v>
      </c>
      <c r="B2782" s="200">
        <v>932450</v>
      </c>
      <c r="C2782" s="201">
        <v>36.799999999999997</v>
      </c>
      <c r="D2782" s="201">
        <v>2447.1</v>
      </c>
    </row>
    <row r="2783" spans="1:4">
      <c r="A2783" s="200" t="s">
        <v>1768</v>
      </c>
      <c r="B2783" s="200">
        <v>932450</v>
      </c>
      <c r="C2783" s="201">
        <v>36.799999999999997</v>
      </c>
      <c r="D2783" s="201">
        <v>2447.1</v>
      </c>
    </row>
    <row r="2784" spans="1:4">
      <c r="A2784" s="200" t="s">
        <v>1769</v>
      </c>
      <c r="B2784" s="200">
        <v>931730</v>
      </c>
      <c r="C2784" s="201">
        <v>74.099999999999994</v>
      </c>
      <c r="D2784" s="201">
        <v>1839.2</v>
      </c>
    </row>
    <row r="2785" spans="1:4">
      <c r="A2785" s="200" t="s">
        <v>1770</v>
      </c>
      <c r="B2785" s="200">
        <v>931730</v>
      </c>
      <c r="C2785" s="201">
        <v>74.099999999999994</v>
      </c>
      <c r="D2785" s="201">
        <v>1839.2</v>
      </c>
    </row>
    <row r="2786" spans="1:4">
      <c r="A2786" s="200" t="s">
        <v>1771</v>
      </c>
      <c r="B2786" s="200">
        <v>931850</v>
      </c>
      <c r="C2786" s="201">
        <v>123.8</v>
      </c>
      <c r="D2786" s="201">
        <v>1369.9</v>
      </c>
    </row>
    <row r="2787" spans="1:4">
      <c r="A2787" s="200" t="s">
        <v>1772</v>
      </c>
      <c r="B2787" s="200">
        <v>931190</v>
      </c>
      <c r="C2787" s="201">
        <v>115.7</v>
      </c>
      <c r="D2787" s="201">
        <v>1222.0999999999999</v>
      </c>
    </row>
    <row r="2788" spans="1:4">
      <c r="A2788" s="200" t="s">
        <v>1773</v>
      </c>
      <c r="B2788" s="200">
        <v>931850</v>
      </c>
      <c r="C2788" s="201">
        <v>123.8</v>
      </c>
      <c r="D2788" s="201">
        <v>1369.9</v>
      </c>
    </row>
    <row r="2789" spans="1:4">
      <c r="A2789" s="200" t="s">
        <v>1774</v>
      </c>
      <c r="B2789" s="200">
        <v>931850</v>
      </c>
      <c r="C2789" s="201">
        <v>123.8</v>
      </c>
      <c r="D2789" s="201">
        <v>1369.9</v>
      </c>
    </row>
    <row r="2790" spans="1:4">
      <c r="A2790" s="200" t="s">
        <v>1775</v>
      </c>
      <c r="B2790" s="200">
        <v>931850</v>
      </c>
      <c r="C2790" s="201">
        <v>123.8</v>
      </c>
      <c r="D2790" s="201">
        <v>1369.9</v>
      </c>
    </row>
    <row r="2791" spans="1:4">
      <c r="A2791" s="200" t="s">
        <v>1776</v>
      </c>
      <c r="B2791" s="200">
        <v>931190</v>
      </c>
      <c r="C2791" s="201">
        <v>115.7</v>
      </c>
      <c r="D2791" s="201">
        <v>1222.0999999999999</v>
      </c>
    </row>
    <row r="2792" spans="1:4">
      <c r="A2792" s="200" t="s">
        <v>1777</v>
      </c>
      <c r="B2792" s="200">
        <v>931190</v>
      </c>
      <c r="C2792" s="201">
        <v>115.7</v>
      </c>
      <c r="D2792" s="201">
        <v>1222.0999999999999</v>
      </c>
    </row>
    <row r="2793" spans="1:4">
      <c r="A2793" s="200" t="s">
        <v>1778</v>
      </c>
      <c r="B2793" s="200">
        <v>931850</v>
      </c>
      <c r="C2793" s="201">
        <v>123.8</v>
      </c>
      <c r="D2793" s="201">
        <v>1369.9</v>
      </c>
    </row>
    <row r="2794" spans="1:4">
      <c r="A2794" s="200" t="s">
        <v>1779</v>
      </c>
      <c r="B2794" s="200">
        <v>931850</v>
      </c>
      <c r="C2794" s="201">
        <v>123.8</v>
      </c>
      <c r="D2794" s="201">
        <v>1369.9</v>
      </c>
    </row>
    <row r="2795" spans="1:4">
      <c r="A2795" s="200" t="s">
        <v>1780</v>
      </c>
      <c r="B2795" s="200">
        <v>931730</v>
      </c>
      <c r="C2795" s="201">
        <v>74.099999999999994</v>
      </c>
      <c r="D2795" s="201">
        <v>1839.2</v>
      </c>
    </row>
    <row r="2796" spans="1:4">
      <c r="A2796" s="200" t="s">
        <v>1781</v>
      </c>
      <c r="B2796" s="200">
        <v>931730</v>
      </c>
      <c r="C2796" s="201">
        <v>74.099999999999994</v>
      </c>
      <c r="D2796" s="201">
        <v>1839.2</v>
      </c>
    </row>
    <row r="2797" spans="1:4">
      <c r="A2797" s="200" t="s">
        <v>1782</v>
      </c>
      <c r="B2797" s="200">
        <v>931730</v>
      </c>
      <c r="C2797" s="201">
        <v>74.099999999999994</v>
      </c>
      <c r="D2797" s="201">
        <v>1839.2</v>
      </c>
    </row>
    <row r="2798" spans="1:4">
      <c r="A2798" s="200" t="s">
        <v>1783</v>
      </c>
      <c r="B2798" s="200">
        <v>931730</v>
      </c>
      <c r="C2798" s="201">
        <v>74.099999999999994</v>
      </c>
      <c r="D2798" s="201">
        <v>1839.2</v>
      </c>
    </row>
    <row r="2799" spans="1:4">
      <c r="A2799" s="200" t="s">
        <v>1784</v>
      </c>
      <c r="B2799" s="200">
        <v>931730</v>
      </c>
      <c r="C2799" s="201">
        <v>74.099999999999994</v>
      </c>
      <c r="D2799" s="201">
        <v>1839.2</v>
      </c>
    </row>
    <row r="2800" spans="1:4">
      <c r="A2800" s="200" t="s">
        <v>1785</v>
      </c>
      <c r="B2800" s="200">
        <v>931730</v>
      </c>
      <c r="C2800" s="201">
        <v>74.099999999999994</v>
      </c>
      <c r="D2800" s="201">
        <v>1839.2</v>
      </c>
    </row>
    <row r="2801" spans="1:4">
      <c r="A2801" s="200" t="s">
        <v>1786</v>
      </c>
      <c r="B2801" s="200">
        <v>931730</v>
      </c>
      <c r="C2801" s="201">
        <v>74.099999999999994</v>
      </c>
      <c r="D2801" s="201">
        <v>1839.2</v>
      </c>
    </row>
    <row r="2802" spans="1:4">
      <c r="A2802" s="200" t="s">
        <v>1787</v>
      </c>
      <c r="B2802" s="200">
        <v>931730</v>
      </c>
      <c r="C2802" s="201">
        <v>74.099999999999994</v>
      </c>
      <c r="D2802" s="201">
        <v>1839.2</v>
      </c>
    </row>
    <row r="2803" spans="1:4">
      <c r="A2803" s="200" t="s">
        <v>1788</v>
      </c>
      <c r="B2803" s="200">
        <v>931730</v>
      </c>
      <c r="C2803" s="201">
        <v>74.099999999999994</v>
      </c>
      <c r="D2803" s="201">
        <v>1839.2</v>
      </c>
    </row>
    <row r="2804" spans="1:4">
      <c r="A2804" s="200" t="s">
        <v>1789</v>
      </c>
      <c r="B2804" s="200">
        <v>931730</v>
      </c>
      <c r="C2804" s="201">
        <v>74.099999999999994</v>
      </c>
      <c r="D2804" s="201">
        <v>1839.2</v>
      </c>
    </row>
    <row r="2805" spans="1:4">
      <c r="A2805" s="200" t="s">
        <v>1790</v>
      </c>
      <c r="B2805" s="200">
        <v>932450</v>
      </c>
      <c r="C2805" s="201">
        <v>36.799999999999997</v>
      </c>
      <c r="D2805" s="201">
        <v>2447.1</v>
      </c>
    </row>
    <row r="2806" spans="1:4">
      <c r="A2806" s="200" t="s">
        <v>1791</v>
      </c>
      <c r="B2806" s="200">
        <v>932450</v>
      </c>
      <c r="C2806" s="201">
        <v>36.799999999999997</v>
      </c>
      <c r="D2806" s="201">
        <v>2447.1</v>
      </c>
    </row>
    <row r="2807" spans="1:4">
      <c r="A2807" s="200" t="s">
        <v>1792</v>
      </c>
      <c r="B2807" s="200">
        <v>932450</v>
      </c>
      <c r="C2807" s="201">
        <v>36.799999999999997</v>
      </c>
      <c r="D2807" s="201">
        <v>2447.1</v>
      </c>
    </row>
    <row r="2808" spans="1:4">
      <c r="A2808" s="200" t="s">
        <v>1793</v>
      </c>
      <c r="B2808" s="200">
        <v>933730</v>
      </c>
      <c r="C2808" s="201">
        <v>46.9</v>
      </c>
      <c r="D2808" s="201">
        <v>1698.1</v>
      </c>
    </row>
    <row r="2809" spans="1:4">
      <c r="A2809" s="200" t="s">
        <v>1794</v>
      </c>
      <c r="B2809" s="200">
        <v>933730</v>
      </c>
      <c r="C2809" s="201">
        <v>46.9</v>
      </c>
      <c r="D2809" s="201">
        <v>1698.1</v>
      </c>
    </row>
    <row r="2810" spans="1:4">
      <c r="A2810" s="200" t="s">
        <v>1795</v>
      </c>
      <c r="B2810" s="200">
        <v>933730</v>
      </c>
      <c r="C2810" s="201">
        <v>46.9</v>
      </c>
      <c r="D2810" s="201">
        <v>1698.1</v>
      </c>
    </row>
    <row r="2811" spans="1:4">
      <c r="A2811" s="200" t="s">
        <v>1796</v>
      </c>
      <c r="B2811" s="200">
        <v>933730</v>
      </c>
      <c r="C2811" s="201">
        <v>46.9</v>
      </c>
      <c r="D2811" s="201">
        <v>1698.1</v>
      </c>
    </row>
    <row r="2812" spans="1:4">
      <c r="A2812" s="200" t="s">
        <v>1797</v>
      </c>
      <c r="B2812" s="200">
        <v>933730</v>
      </c>
      <c r="C2812" s="201">
        <v>46.9</v>
      </c>
      <c r="D2812" s="201">
        <v>1698.1</v>
      </c>
    </row>
    <row r="2813" spans="1:4">
      <c r="A2813" s="200" t="s">
        <v>1798</v>
      </c>
      <c r="B2813" s="200">
        <v>933730</v>
      </c>
      <c r="C2813" s="201">
        <v>46.9</v>
      </c>
      <c r="D2813" s="201">
        <v>1698.1</v>
      </c>
    </row>
    <row r="2814" spans="1:4">
      <c r="A2814" s="200" t="s">
        <v>1799</v>
      </c>
      <c r="B2814" s="200">
        <v>933730</v>
      </c>
      <c r="C2814" s="201">
        <v>46.9</v>
      </c>
      <c r="D2814" s="201">
        <v>1698.1</v>
      </c>
    </row>
    <row r="2815" spans="1:4">
      <c r="A2815" s="200" t="s">
        <v>1800</v>
      </c>
      <c r="B2815" s="200">
        <v>933730</v>
      </c>
      <c r="C2815" s="201">
        <v>46.9</v>
      </c>
      <c r="D2815" s="201">
        <v>1698.1</v>
      </c>
    </row>
    <row r="2816" spans="1:4">
      <c r="A2816" s="200" t="s">
        <v>1801</v>
      </c>
      <c r="B2816" s="200">
        <v>933730</v>
      </c>
      <c r="C2816" s="201">
        <v>46.9</v>
      </c>
      <c r="D2816" s="201">
        <v>1698.1</v>
      </c>
    </row>
    <row r="2817" spans="1:4">
      <c r="A2817" s="200" t="s">
        <v>1802</v>
      </c>
      <c r="B2817" s="200">
        <v>933730</v>
      </c>
      <c r="C2817" s="201">
        <v>46.9</v>
      </c>
      <c r="D2817" s="201">
        <v>1698.1</v>
      </c>
    </row>
    <row r="2818" spans="1:4">
      <c r="A2818" s="200" t="s">
        <v>1803</v>
      </c>
      <c r="B2818" s="200">
        <v>933730</v>
      </c>
      <c r="C2818" s="201">
        <v>46.9</v>
      </c>
      <c r="D2818" s="201">
        <v>1698.1</v>
      </c>
    </row>
    <row r="2819" spans="1:4">
      <c r="A2819" s="200" t="s">
        <v>1804</v>
      </c>
      <c r="B2819" s="200">
        <v>933730</v>
      </c>
      <c r="C2819" s="201">
        <v>46.9</v>
      </c>
      <c r="D2819" s="201">
        <v>1698.1</v>
      </c>
    </row>
    <row r="2820" spans="1:4">
      <c r="A2820" s="200" t="s">
        <v>1805</v>
      </c>
      <c r="B2820" s="200">
        <v>933730</v>
      </c>
      <c r="C2820" s="201">
        <v>46.9</v>
      </c>
      <c r="D2820" s="201">
        <v>1698.1</v>
      </c>
    </row>
    <row r="2821" spans="1:4">
      <c r="A2821" s="200" t="s">
        <v>1806</v>
      </c>
      <c r="B2821" s="200">
        <v>933730</v>
      </c>
      <c r="C2821" s="201">
        <v>46.9</v>
      </c>
      <c r="D2821" s="201">
        <v>1698.1</v>
      </c>
    </row>
    <row r="2822" spans="1:4">
      <c r="A2822" s="200" t="s">
        <v>1807</v>
      </c>
      <c r="B2822" s="200">
        <v>933730</v>
      </c>
      <c r="C2822" s="201">
        <v>46.9</v>
      </c>
      <c r="D2822" s="201">
        <v>1698.1</v>
      </c>
    </row>
    <row r="2823" spans="1:4">
      <c r="A2823" s="200" t="s">
        <v>1808</v>
      </c>
      <c r="B2823" s="200">
        <v>933090</v>
      </c>
      <c r="C2823" s="201">
        <v>60.9</v>
      </c>
      <c r="D2823" s="201">
        <v>1696.3</v>
      </c>
    </row>
    <row r="2824" spans="1:4">
      <c r="A2824" s="200" t="s">
        <v>1809</v>
      </c>
      <c r="B2824" s="200">
        <v>933090</v>
      </c>
      <c r="C2824" s="201">
        <v>60.9</v>
      </c>
      <c r="D2824" s="201">
        <v>1696.3</v>
      </c>
    </row>
    <row r="2825" spans="1:4">
      <c r="A2825" s="200" t="s">
        <v>1810</v>
      </c>
      <c r="B2825" s="200">
        <v>933090</v>
      </c>
      <c r="C2825" s="201">
        <v>60.9</v>
      </c>
      <c r="D2825" s="201">
        <v>1696.3</v>
      </c>
    </row>
    <row r="2826" spans="1:4">
      <c r="A2826" s="200" t="s">
        <v>1811</v>
      </c>
      <c r="B2826" s="200">
        <v>933090</v>
      </c>
      <c r="C2826" s="201">
        <v>60.9</v>
      </c>
      <c r="D2826" s="201">
        <v>1696.3</v>
      </c>
    </row>
    <row r="2827" spans="1:4">
      <c r="A2827" s="200" t="s">
        <v>1812</v>
      </c>
      <c r="B2827" s="200">
        <v>933090</v>
      </c>
      <c r="C2827" s="201">
        <v>60.9</v>
      </c>
      <c r="D2827" s="201">
        <v>1696.3</v>
      </c>
    </row>
    <row r="2828" spans="1:4">
      <c r="A2828" s="200" t="s">
        <v>1813</v>
      </c>
      <c r="B2828" s="200">
        <v>933090</v>
      </c>
      <c r="C2828" s="201">
        <v>60.9</v>
      </c>
      <c r="D2828" s="201">
        <v>1696.3</v>
      </c>
    </row>
    <row r="2829" spans="1:4">
      <c r="A2829" s="200" t="s">
        <v>1814</v>
      </c>
      <c r="B2829" s="200">
        <v>933090</v>
      </c>
      <c r="C2829" s="201">
        <v>60.9</v>
      </c>
      <c r="D2829" s="201">
        <v>1696.3</v>
      </c>
    </row>
    <row r="2830" spans="1:4">
      <c r="A2830" s="200" t="s">
        <v>1815</v>
      </c>
      <c r="B2830" s="200">
        <v>933090</v>
      </c>
      <c r="C2830" s="201">
        <v>60.9</v>
      </c>
      <c r="D2830" s="201">
        <v>1696.3</v>
      </c>
    </row>
    <row r="2831" spans="1:4">
      <c r="A2831" s="200" t="s">
        <v>1816</v>
      </c>
      <c r="B2831" s="200">
        <v>934200</v>
      </c>
      <c r="C2831" s="201">
        <v>50.1</v>
      </c>
      <c r="D2831" s="201">
        <v>1859</v>
      </c>
    </row>
    <row r="2832" spans="1:4">
      <c r="A2832" s="200" t="s">
        <v>1817</v>
      </c>
      <c r="B2832" s="200">
        <v>934200</v>
      </c>
      <c r="C2832" s="201">
        <v>50.1</v>
      </c>
      <c r="D2832" s="201">
        <v>1859</v>
      </c>
    </row>
    <row r="2833" spans="1:4">
      <c r="A2833" s="200" t="s">
        <v>1818</v>
      </c>
      <c r="B2833" s="200">
        <v>934200</v>
      </c>
      <c r="C2833" s="201">
        <v>50.1</v>
      </c>
      <c r="D2833" s="201">
        <v>1859</v>
      </c>
    </row>
    <row r="2834" spans="1:4">
      <c r="A2834" s="200" t="s">
        <v>1819</v>
      </c>
      <c r="B2834" s="200">
        <v>934200</v>
      </c>
      <c r="C2834" s="201">
        <v>50.1</v>
      </c>
      <c r="D2834" s="201">
        <v>1859</v>
      </c>
    </row>
    <row r="2835" spans="1:4">
      <c r="A2835" s="200" t="s">
        <v>1820</v>
      </c>
      <c r="B2835" s="200">
        <v>934200</v>
      </c>
      <c r="C2835" s="201">
        <v>50.1</v>
      </c>
      <c r="D2835" s="201">
        <v>1859</v>
      </c>
    </row>
    <row r="2836" spans="1:4">
      <c r="A2836" s="200" t="s">
        <v>1821</v>
      </c>
      <c r="B2836" s="200">
        <v>933090</v>
      </c>
      <c r="C2836" s="201">
        <v>60.9</v>
      </c>
      <c r="D2836" s="201">
        <v>1696.3</v>
      </c>
    </row>
    <row r="2837" spans="1:4">
      <c r="A2837" s="200" t="s">
        <v>1822</v>
      </c>
      <c r="B2837" s="200">
        <v>933090</v>
      </c>
      <c r="C2837" s="201">
        <v>60.9</v>
      </c>
      <c r="D2837" s="201">
        <v>1696.3</v>
      </c>
    </row>
    <row r="2838" spans="1:4">
      <c r="A2838" s="200" t="s">
        <v>1823</v>
      </c>
      <c r="B2838" s="200">
        <v>933090</v>
      </c>
      <c r="C2838" s="201">
        <v>60.9</v>
      </c>
      <c r="D2838" s="201">
        <v>1696.3</v>
      </c>
    </row>
    <row r="2839" spans="1:4">
      <c r="A2839" s="200" t="s">
        <v>1824</v>
      </c>
      <c r="B2839" s="200">
        <v>933090</v>
      </c>
      <c r="C2839" s="201">
        <v>60.9</v>
      </c>
      <c r="D2839" s="201">
        <v>1696.3</v>
      </c>
    </row>
    <row r="2840" spans="1:4">
      <c r="A2840" s="200" t="s">
        <v>1825</v>
      </c>
      <c r="B2840" s="200">
        <v>933090</v>
      </c>
      <c r="C2840" s="201">
        <v>60.9</v>
      </c>
      <c r="D2840" s="201">
        <v>1696.3</v>
      </c>
    </row>
    <row r="2841" spans="1:4">
      <c r="A2841" s="200" t="s">
        <v>1826</v>
      </c>
      <c r="B2841" s="200">
        <v>933090</v>
      </c>
      <c r="C2841" s="201">
        <v>60.9</v>
      </c>
      <c r="D2841" s="201">
        <v>1696.3</v>
      </c>
    </row>
    <row r="2842" spans="1:4">
      <c r="A2842" s="200" t="s">
        <v>1827</v>
      </c>
      <c r="B2842" s="200">
        <v>932450</v>
      </c>
      <c r="C2842" s="201">
        <v>36.799999999999997</v>
      </c>
      <c r="D2842" s="201">
        <v>2447.1</v>
      </c>
    </row>
    <row r="2843" spans="1:4">
      <c r="A2843" s="200" t="s">
        <v>1828</v>
      </c>
      <c r="B2843" s="200">
        <v>932450</v>
      </c>
      <c r="C2843" s="201">
        <v>36.799999999999997</v>
      </c>
      <c r="D2843" s="201">
        <v>2447.1</v>
      </c>
    </row>
    <row r="2844" spans="1:4">
      <c r="A2844" s="200" t="s">
        <v>1829</v>
      </c>
      <c r="B2844" s="200">
        <v>934200</v>
      </c>
      <c r="C2844" s="201">
        <v>50.1</v>
      </c>
      <c r="D2844" s="201">
        <v>1859</v>
      </c>
    </row>
    <row r="2845" spans="1:4">
      <c r="A2845" s="200" t="s">
        <v>1830</v>
      </c>
      <c r="B2845" s="200">
        <v>934200</v>
      </c>
      <c r="C2845" s="201">
        <v>50.1</v>
      </c>
      <c r="D2845" s="201">
        <v>1859</v>
      </c>
    </row>
    <row r="2846" spans="1:4">
      <c r="A2846" s="200" t="s">
        <v>1831</v>
      </c>
      <c r="B2846" s="200">
        <v>934200</v>
      </c>
      <c r="C2846" s="201">
        <v>50.1</v>
      </c>
      <c r="D2846" s="201">
        <v>1859</v>
      </c>
    </row>
    <row r="2847" spans="1:4">
      <c r="A2847" s="200" t="s">
        <v>1832</v>
      </c>
      <c r="B2847" s="200">
        <v>934200</v>
      </c>
      <c r="C2847" s="201">
        <v>50.1</v>
      </c>
      <c r="D2847" s="201">
        <v>1859</v>
      </c>
    </row>
    <row r="2848" spans="1:4">
      <c r="A2848" s="200" t="s">
        <v>1833</v>
      </c>
      <c r="B2848" s="200">
        <v>934200</v>
      </c>
      <c r="C2848" s="201">
        <v>50.1</v>
      </c>
      <c r="D2848" s="201">
        <v>1859</v>
      </c>
    </row>
    <row r="2849" spans="1:4">
      <c r="A2849" s="200" t="s">
        <v>1834</v>
      </c>
      <c r="B2849" s="200">
        <v>934200</v>
      </c>
      <c r="C2849" s="201">
        <v>50.1</v>
      </c>
      <c r="D2849" s="201">
        <v>1859</v>
      </c>
    </row>
    <row r="2850" spans="1:4">
      <c r="A2850" s="200" t="s">
        <v>1835</v>
      </c>
      <c r="B2850" s="200">
        <v>934200</v>
      </c>
      <c r="C2850" s="201">
        <v>50.1</v>
      </c>
      <c r="D2850" s="201">
        <v>1859</v>
      </c>
    </row>
    <row r="2851" spans="1:4">
      <c r="A2851" s="200" t="s">
        <v>1836</v>
      </c>
      <c r="B2851" s="200">
        <v>934200</v>
      </c>
      <c r="C2851" s="201">
        <v>50.1</v>
      </c>
      <c r="D2851" s="201">
        <v>1859</v>
      </c>
    </row>
    <row r="2852" spans="1:4">
      <c r="A2852" s="200" t="s">
        <v>1837</v>
      </c>
      <c r="B2852" s="200">
        <v>934200</v>
      </c>
      <c r="C2852" s="201">
        <v>50.1</v>
      </c>
      <c r="D2852" s="201">
        <v>1859</v>
      </c>
    </row>
    <row r="2853" spans="1:4">
      <c r="A2853" s="200" t="s">
        <v>1838</v>
      </c>
      <c r="B2853" s="200">
        <v>934200</v>
      </c>
      <c r="C2853" s="201">
        <v>50.1</v>
      </c>
      <c r="D2853" s="201">
        <v>1859</v>
      </c>
    </row>
    <row r="2854" spans="1:4">
      <c r="A2854" s="200" t="s">
        <v>1839</v>
      </c>
      <c r="B2854" s="200">
        <v>934200</v>
      </c>
      <c r="C2854" s="201">
        <v>50.1</v>
      </c>
      <c r="D2854" s="201">
        <v>1859</v>
      </c>
    </row>
    <row r="2855" spans="1:4">
      <c r="A2855" s="200" t="s">
        <v>1840</v>
      </c>
      <c r="B2855" s="200">
        <v>934200</v>
      </c>
      <c r="C2855" s="201">
        <v>50.1</v>
      </c>
      <c r="D2855" s="201">
        <v>1859</v>
      </c>
    </row>
    <row r="2856" spans="1:4">
      <c r="A2856" s="200" t="s">
        <v>1841</v>
      </c>
      <c r="B2856" s="200">
        <v>934200</v>
      </c>
      <c r="C2856" s="201">
        <v>50.1</v>
      </c>
      <c r="D2856" s="201">
        <v>1859</v>
      </c>
    </row>
    <row r="2857" spans="1:4">
      <c r="A2857" s="200" t="s">
        <v>1842</v>
      </c>
      <c r="B2857" s="200">
        <v>934200</v>
      </c>
      <c r="C2857" s="201">
        <v>50.1</v>
      </c>
      <c r="D2857" s="201">
        <v>1859</v>
      </c>
    </row>
    <row r="2858" spans="1:4">
      <c r="A2858" s="200" t="s">
        <v>1843</v>
      </c>
      <c r="B2858" s="200">
        <v>934200</v>
      </c>
      <c r="C2858" s="201">
        <v>50.1</v>
      </c>
      <c r="D2858" s="201">
        <v>1859</v>
      </c>
    </row>
    <row r="2859" spans="1:4">
      <c r="A2859" s="200" t="s">
        <v>1844</v>
      </c>
      <c r="B2859" s="200">
        <v>934200</v>
      </c>
      <c r="C2859" s="201">
        <v>50.1</v>
      </c>
      <c r="D2859" s="201">
        <v>1859</v>
      </c>
    </row>
    <row r="2860" spans="1:4">
      <c r="A2860" s="200" t="s">
        <v>1845</v>
      </c>
      <c r="B2860" s="200">
        <v>934200</v>
      </c>
      <c r="C2860" s="201">
        <v>50.1</v>
      </c>
      <c r="D2860" s="201">
        <v>1859</v>
      </c>
    </row>
    <row r="2861" spans="1:4">
      <c r="A2861" s="200" t="s">
        <v>1846</v>
      </c>
      <c r="B2861" s="200">
        <v>934200</v>
      </c>
      <c r="C2861" s="201">
        <v>50.1</v>
      </c>
      <c r="D2861" s="201">
        <v>1859</v>
      </c>
    </row>
    <row r="2862" spans="1:4">
      <c r="A2862" s="200" t="s">
        <v>1847</v>
      </c>
      <c r="B2862" s="200">
        <v>934200</v>
      </c>
      <c r="C2862" s="201">
        <v>50.1</v>
      </c>
      <c r="D2862" s="201">
        <v>1859</v>
      </c>
    </row>
    <row r="2863" spans="1:4">
      <c r="A2863" s="200" t="s">
        <v>1848</v>
      </c>
      <c r="B2863" s="200">
        <v>934360</v>
      </c>
      <c r="C2863" s="201">
        <v>14.6</v>
      </c>
      <c r="D2863" s="201">
        <v>1965.9</v>
      </c>
    </row>
    <row r="2864" spans="1:4">
      <c r="A2864" s="200" t="s">
        <v>1849</v>
      </c>
      <c r="B2864" s="200">
        <v>934360</v>
      </c>
      <c r="C2864" s="201">
        <v>14.6</v>
      </c>
      <c r="D2864" s="201">
        <v>1965.9</v>
      </c>
    </row>
    <row r="2865" spans="1:4">
      <c r="A2865" s="200" t="s">
        <v>1850</v>
      </c>
      <c r="B2865" s="200">
        <v>934360</v>
      </c>
      <c r="C2865" s="201">
        <v>14.6</v>
      </c>
      <c r="D2865" s="201">
        <v>1965.9</v>
      </c>
    </row>
    <row r="2866" spans="1:4">
      <c r="A2866" s="200" t="s">
        <v>1851</v>
      </c>
      <c r="B2866" s="200">
        <v>934360</v>
      </c>
      <c r="C2866" s="201">
        <v>14.6</v>
      </c>
      <c r="D2866" s="201">
        <v>1965.9</v>
      </c>
    </row>
    <row r="2867" spans="1:4">
      <c r="A2867" s="200" t="s">
        <v>1852</v>
      </c>
      <c r="B2867" s="200">
        <v>934360</v>
      </c>
      <c r="C2867" s="201">
        <v>14.6</v>
      </c>
      <c r="D2867" s="201">
        <v>1965.9</v>
      </c>
    </row>
    <row r="2868" spans="1:4">
      <c r="A2868" s="200" t="s">
        <v>1853</v>
      </c>
      <c r="B2868" s="200">
        <v>934360</v>
      </c>
      <c r="C2868" s="201">
        <v>14.6</v>
      </c>
      <c r="D2868" s="201">
        <v>1965.9</v>
      </c>
    </row>
    <row r="2869" spans="1:4">
      <c r="A2869" s="200" t="s">
        <v>1854</v>
      </c>
      <c r="B2869" s="200">
        <v>934360</v>
      </c>
      <c r="C2869" s="201">
        <v>14.6</v>
      </c>
      <c r="D2869" s="201">
        <v>1965.9</v>
      </c>
    </row>
    <row r="2870" spans="1:4">
      <c r="A2870" s="200" t="s">
        <v>1855</v>
      </c>
      <c r="B2870" s="200">
        <v>934360</v>
      </c>
      <c r="C2870" s="201">
        <v>14.6</v>
      </c>
      <c r="D2870" s="201">
        <v>1965.9</v>
      </c>
    </row>
    <row r="2871" spans="1:4">
      <c r="A2871" s="200" t="s">
        <v>1856</v>
      </c>
      <c r="B2871" s="200">
        <v>934360</v>
      </c>
      <c r="C2871" s="201">
        <v>14.6</v>
      </c>
      <c r="D2871" s="201">
        <v>1965.9</v>
      </c>
    </row>
    <row r="2872" spans="1:4">
      <c r="A2872" s="200" t="s">
        <v>1857</v>
      </c>
      <c r="B2872" s="200">
        <v>934360</v>
      </c>
      <c r="C2872" s="201">
        <v>14.6</v>
      </c>
      <c r="D2872" s="201">
        <v>1965.9</v>
      </c>
    </row>
    <row r="2873" spans="1:4">
      <c r="A2873" s="200" t="s">
        <v>1858</v>
      </c>
      <c r="B2873" s="200">
        <v>934360</v>
      </c>
      <c r="C2873" s="201">
        <v>14.6</v>
      </c>
      <c r="D2873" s="201">
        <v>1965.9</v>
      </c>
    </row>
    <row r="2874" spans="1:4">
      <c r="A2874" s="200" t="s">
        <v>1859</v>
      </c>
      <c r="B2874" s="200">
        <v>934360</v>
      </c>
      <c r="C2874" s="201">
        <v>14.6</v>
      </c>
      <c r="D2874" s="201">
        <v>1965.9</v>
      </c>
    </row>
    <row r="2875" spans="1:4">
      <c r="A2875" s="200" t="s">
        <v>1860</v>
      </c>
      <c r="B2875" s="200">
        <v>934200</v>
      </c>
      <c r="C2875" s="201">
        <v>50.1</v>
      </c>
      <c r="D2875" s="201">
        <v>1859</v>
      </c>
    </row>
    <row r="2876" spans="1:4">
      <c r="A2876" s="200" t="s">
        <v>1861</v>
      </c>
      <c r="B2876" s="200">
        <v>934200</v>
      </c>
      <c r="C2876" s="201">
        <v>50.1</v>
      </c>
      <c r="D2876" s="201">
        <v>1859</v>
      </c>
    </row>
    <row r="2877" spans="1:4">
      <c r="A2877" s="200" t="s">
        <v>1862</v>
      </c>
      <c r="B2877" s="200">
        <v>934200</v>
      </c>
      <c r="C2877" s="201">
        <v>50.1</v>
      </c>
      <c r="D2877" s="201">
        <v>1859</v>
      </c>
    </row>
    <row r="2878" spans="1:4">
      <c r="A2878" s="200" t="s">
        <v>1863</v>
      </c>
      <c r="B2878" s="200">
        <v>934200</v>
      </c>
      <c r="C2878" s="201">
        <v>50.1</v>
      </c>
      <c r="D2878" s="201">
        <v>1859</v>
      </c>
    </row>
    <row r="2879" spans="1:4">
      <c r="A2879" s="200" t="s">
        <v>1864</v>
      </c>
      <c r="B2879" s="200">
        <v>934200</v>
      </c>
      <c r="C2879" s="201">
        <v>50.1</v>
      </c>
      <c r="D2879" s="201">
        <v>1859</v>
      </c>
    </row>
    <row r="2880" spans="1:4">
      <c r="A2880" s="200" t="s">
        <v>1865</v>
      </c>
      <c r="B2880" s="200">
        <v>934710</v>
      </c>
      <c r="C2880" s="201">
        <v>27.9</v>
      </c>
      <c r="D2880" s="201">
        <v>2235.6</v>
      </c>
    </row>
    <row r="2881" spans="1:4">
      <c r="A2881" s="200" t="s">
        <v>1866</v>
      </c>
      <c r="B2881" s="200">
        <v>934710</v>
      </c>
      <c r="C2881" s="201">
        <v>27.9</v>
      </c>
      <c r="D2881" s="201">
        <v>2235.6</v>
      </c>
    </row>
    <row r="2882" spans="1:4">
      <c r="A2882" s="200" t="s">
        <v>1867</v>
      </c>
      <c r="B2882" s="200">
        <v>934710</v>
      </c>
      <c r="C2882" s="201">
        <v>27.9</v>
      </c>
      <c r="D2882" s="201">
        <v>2235.6</v>
      </c>
    </row>
    <row r="2883" spans="1:4">
      <c r="A2883" s="200" t="s">
        <v>1868</v>
      </c>
      <c r="B2883" s="200">
        <v>934710</v>
      </c>
      <c r="C2883" s="201">
        <v>27.9</v>
      </c>
      <c r="D2883" s="201">
        <v>2235.6</v>
      </c>
    </row>
    <row r="2884" spans="1:4">
      <c r="A2884" s="200" t="s">
        <v>1869</v>
      </c>
      <c r="B2884" s="200">
        <v>934710</v>
      </c>
      <c r="C2884" s="201">
        <v>27.9</v>
      </c>
      <c r="D2884" s="201">
        <v>2235.6</v>
      </c>
    </row>
    <row r="2885" spans="1:4">
      <c r="A2885" s="200" t="s">
        <v>1870</v>
      </c>
      <c r="B2885" s="200">
        <v>934360</v>
      </c>
      <c r="C2885" s="201">
        <v>14.6</v>
      </c>
      <c r="D2885" s="201">
        <v>1965.9</v>
      </c>
    </row>
    <row r="2886" spans="1:4">
      <c r="A2886" s="200" t="s">
        <v>1871</v>
      </c>
      <c r="B2886" s="200">
        <v>934360</v>
      </c>
      <c r="C2886" s="201">
        <v>14.6</v>
      </c>
      <c r="D2886" s="201">
        <v>1965.9</v>
      </c>
    </row>
    <row r="2887" spans="1:4">
      <c r="A2887" s="200" t="s">
        <v>1872</v>
      </c>
      <c r="B2887" s="200">
        <v>934360</v>
      </c>
      <c r="C2887" s="201">
        <v>14.6</v>
      </c>
      <c r="D2887" s="201">
        <v>1965.9</v>
      </c>
    </row>
    <row r="2888" spans="1:4">
      <c r="A2888" s="200" t="s">
        <v>1873</v>
      </c>
      <c r="B2888" s="200">
        <v>934360</v>
      </c>
      <c r="C2888" s="201">
        <v>14.6</v>
      </c>
      <c r="D2888" s="201">
        <v>1965.9</v>
      </c>
    </row>
    <row r="2889" spans="1:4">
      <c r="A2889" s="200" t="s">
        <v>1874</v>
      </c>
      <c r="B2889" s="200">
        <v>934360</v>
      </c>
      <c r="C2889" s="201">
        <v>14.6</v>
      </c>
      <c r="D2889" s="201">
        <v>1965.9</v>
      </c>
    </row>
    <row r="2890" spans="1:4">
      <c r="A2890" s="200" t="s">
        <v>1875</v>
      </c>
      <c r="B2890" s="200">
        <v>934360</v>
      </c>
      <c r="C2890" s="201">
        <v>14.6</v>
      </c>
      <c r="D2890" s="201">
        <v>1965.9</v>
      </c>
    </row>
    <row r="2891" spans="1:4">
      <c r="A2891" s="200" t="s">
        <v>1876</v>
      </c>
      <c r="B2891" s="200">
        <v>934360</v>
      </c>
      <c r="C2891" s="201">
        <v>14.6</v>
      </c>
      <c r="D2891" s="201">
        <v>1965.9</v>
      </c>
    </row>
    <row r="2892" spans="1:4">
      <c r="A2892" s="200" t="s">
        <v>1877</v>
      </c>
      <c r="B2892" s="200">
        <v>935460</v>
      </c>
      <c r="C2892" s="201">
        <v>40</v>
      </c>
      <c r="D2892" s="201">
        <v>1989.9</v>
      </c>
    </row>
    <row r="2893" spans="1:4">
      <c r="A2893" s="200" t="s">
        <v>1878</v>
      </c>
      <c r="B2893" s="200">
        <v>935460</v>
      </c>
      <c r="C2893" s="201">
        <v>40</v>
      </c>
      <c r="D2893" s="201">
        <v>1989.9</v>
      </c>
    </row>
    <row r="2894" spans="1:4">
      <c r="A2894" s="200" t="s">
        <v>1879</v>
      </c>
      <c r="B2894" s="200">
        <v>935460</v>
      </c>
      <c r="C2894" s="201">
        <v>40</v>
      </c>
      <c r="D2894" s="201">
        <v>1989.9</v>
      </c>
    </row>
    <row r="2895" spans="1:4">
      <c r="A2895" s="200" t="s">
        <v>1880</v>
      </c>
      <c r="B2895" s="200">
        <v>935460</v>
      </c>
      <c r="C2895" s="201">
        <v>40</v>
      </c>
      <c r="D2895" s="201">
        <v>1989.9</v>
      </c>
    </row>
    <row r="2896" spans="1:4">
      <c r="A2896" s="200" t="s">
        <v>1881</v>
      </c>
      <c r="B2896" s="200">
        <v>935460</v>
      </c>
      <c r="C2896" s="201">
        <v>40</v>
      </c>
      <c r="D2896" s="201">
        <v>1989.9</v>
      </c>
    </row>
    <row r="2897" spans="1:4">
      <c r="A2897" s="200" t="s">
        <v>1882</v>
      </c>
      <c r="B2897" s="200">
        <v>935460</v>
      </c>
      <c r="C2897" s="201">
        <v>40</v>
      </c>
      <c r="D2897" s="201">
        <v>1989.9</v>
      </c>
    </row>
    <row r="2898" spans="1:4">
      <c r="A2898" s="200" t="s">
        <v>1883</v>
      </c>
      <c r="B2898" s="200">
        <v>935460</v>
      </c>
      <c r="C2898" s="201">
        <v>40</v>
      </c>
      <c r="D2898" s="201">
        <v>1989.9</v>
      </c>
    </row>
    <row r="2899" spans="1:4">
      <c r="A2899" s="200" t="s">
        <v>1884</v>
      </c>
      <c r="B2899" s="200">
        <v>935460</v>
      </c>
      <c r="C2899" s="201">
        <v>40</v>
      </c>
      <c r="D2899" s="201">
        <v>1989.9</v>
      </c>
    </row>
    <row r="2900" spans="1:4">
      <c r="A2900" s="200" t="s">
        <v>1885</v>
      </c>
      <c r="B2900" s="200">
        <v>935460</v>
      </c>
      <c r="C2900" s="201">
        <v>40</v>
      </c>
      <c r="D2900" s="201">
        <v>1989.9</v>
      </c>
    </row>
    <row r="2901" spans="1:4">
      <c r="A2901" s="200" t="s">
        <v>1886</v>
      </c>
      <c r="B2901" s="200">
        <v>935460</v>
      </c>
      <c r="C2901" s="201">
        <v>40</v>
      </c>
      <c r="D2901" s="201">
        <v>1989.9</v>
      </c>
    </row>
    <row r="2902" spans="1:4">
      <c r="A2902" s="200" t="s">
        <v>1887</v>
      </c>
      <c r="B2902" s="200">
        <v>935460</v>
      </c>
      <c r="C2902" s="201">
        <v>40</v>
      </c>
      <c r="D2902" s="201">
        <v>1989.9</v>
      </c>
    </row>
    <row r="2903" spans="1:4">
      <c r="A2903" s="200" t="s">
        <v>1888</v>
      </c>
      <c r="B2903" s="200">
        <v>935460</v>
      </c>
      <c r="C2903" s="201">
        <v>40</v>
      </c>
      <c r="D2903" s="201">
        <v>1989.9</v>
      </c>
    </row>
    <row r="2904" spans="1:4">
      <c r="A2904" s="200" t="s">
        <v>1889</v>
      </c>
      <c r="B2904" s="200">
        <v>935460</v>
      </c>
      <c r="C2904" s="201">
        <v>40</v>
      </c>
      <c r="D2904" s="201">
        <v>1989.9</v>
      </c>
    </row>
    <row r="2905" spans="1:4">
      <c r="A2905" s="200" t="s">
        <v>1890</v>
      </c>
      <c r="B2905" s="200">
        <v>935460</v>
      </c>
      <c r="C2905" s="201">
        <v>40</v>
      </c>
      <c r="D2905" s="201">
        <v>1989.9</v>
      </c>
    </row>
    <row r="2906" spans="1:4">
      <c r="A2906" s="200" t="s">
        <v>1891</v>
      </c>
      <c r="B2906" s="200">
        <v>935460</v>
      </c>
      <c r="C2906" s="201">
        <v>40</v>
      </c>
      <c r="D2906" s="201">
        <v>1989.9</v>
      </c>
    </row>
    <row r="2907" spans="1:4">
      <c r="A2907" s="200" t="s">
        <v>1892</v>
      </c>
      <c r="B2907" s="200">
        <v>935460</v>
      </c>
      <c r="C2907" s="201">
        <v>40</v>
      </c>
      <c r="D2907" s="201">
        <v>1989.9</v>
      </c>
    </row>
    <row r="2908" spans="1:4">
      <c r="A2908" s="200" t="s">
        <v>1893</v>
      </c>
      <c r="B2908" s="200">
        <v>935460</v>
      </c>
      <c r="C2908" s="201">
        <v>40</v>
      </c>
      <c r="D2908" s="201">
        <v>1989.9</v>
      </c>
    </row>
    <row r="2909" spans="1:4">
      <c r="A2909" s="200" t="s">
        <v>1894</v>
      </c>
      <c r="B2909" s="200">
        <v>937800</v>
      </c>
      <c r="C2909" s="201">
        <v>2.7</v>
      </c>
      <c r="D2909" s="201">
        <v>2583.1999999999998</v>
      </c>
    </row>
    <row r="2910" spans="1:4">
      <c r="A2910" s="200" t="s">
        <v>1895</v>
      </c>
      <c r="B2910" s="200">
        <v>937800</v>
      </c>
      <c r="C2910" s="201">
        <v>2.7</v>
      </c>
      <c r="D2910" s="201">
        <v>2583.1999999999998</v>
      </c>
    </row>
    <row r="2911" spans="1:4">
      <c r="A2911" s="200" t="s">
        <v>1896</v>
      </c>
      <c r="B2911" s="200">
        <v>937800</v>
      </c>
      <c r="C2911" s="201">
        <v>2.7</v>
      </c>
      <c r="D2911" s="201">
        <v>2583.1999999999998</v>
      </c>
    </row>
    <row r="2912" spans="1:4">
      <c r="A2912" s="200" t="s">
        <v>1897</v>
      </c>
      <c r="B2912" s="200">
        <v>937800</v>
      </c>
      <c r="C2912" s="201">
        <v>2.7</v>
      </c>
      <c r="D2912" s="201">
        <v>2583.1999999999998</v>
      </c>
    </row>
    <row r="2913" spans="1:4">
      <c r="A2913" s="200" t="s">
        <v>1898</v>
      </c>
      <c r="B2913" s="200">
        <v>937800</v>
      </c>
      <c r="C2913" s="201">
        <v>2.7</v>
      </c>
      <c r="D2913" s="201">
        <v>2583.1999999999998</v>
      </c>
    </row>
    <row r="2914" spans="1:4">
      <c r="A2914" s="200" t="s">
        <v>1899</v>
      </c>
      <c r="B2914" s="200">
        <v>937800</v>
      </c>
      <c r="C2914" s="201">
        <v>2.7</v>
      </c>
      <c r="D2914" s="201">
        <v>2583.1999999999998</v>
      </c>
    </row>
    <row r="2915" spans="1:4">
      <c r="A2915" s="200" t="s">
        <v>1900</v>
      </c>
      <c r="B2915" s="200">
        <v>937800</v>
      </c>
      <c r="C2915" s="201">
        <v>2.7</v>
      </c>
      <c r="D2915" s="201">
        <v>2583.1999999999998</v>
      </c>
    </row>
    <row r="2916" spans="1:4">
      <c r="A2916" s="200" t="s">
        <v>1901</v>
      </c>
      <c r="B2916" s="200">
        <v>937800</v>
      </c>
      <c r="C2916" s="201">
        <v>2.7</v>
      </c>
      <c r="D2916" s="201">
        <v>2583.1999999999998</v>
      </c>
    </row>
    <row r="2917" spans="1:4">
      <c r="A2917" s="200" t="s">
        <v>1902</v>
      </c>
      <c r="B2917" s="200">
        <v>937800</v>
      </c>
      <c r="C2917" s="201">
        <v>2.7</v>
      </c>
      <c r="D2917" s="201">
        <v>2583.1999999999998</v>
      </c>
    </row>
    <row r="2918" spans="1:4">
      <c r="A2918" s="200" t="s">
        <v>1903</v>
      </c>
      <c r="B2918" s="200">
        <v>937800</v>
      </c>
      <c r="C2918" s="201">
        <v>2.7</v>
      </c>
      <c r="D2918" s="201">
        <v>2583.1999999999998</v>
      </c>
    </row>
    <row r="2919" spans="1:4">
      <c r="A2919" s="200" t="s">
        <v>1904</v>
      </c>
      <c r="B2919" s="200">
        <v>937800</v>
      </c>
      <c r="C2919" s="201">
        <v>2.7</v>
      </c>
      <c r="D2919" s="201">
        <v>2583.1999999999998</v>
      </c>
    </row>
    <row r="2920" spans="1:4">
      <c r="A2920" s="200" t="s">
        <v>1905</v>
      </c>
      <c r="B2920" s="200">
        <v>937800</v>
      </c>
      <c r="C2920" s="201">
        <v>2.7</v>
      </c>
      <c r="D2920" s="201">
        <v>2583.1999999999998</v>
      </c>
    </row>
    <row r="2921" spans="1:4">
      <c r="A2921" s="200" t="s">
        <v>1906</v>
      </c>
      <c r="B2921" s="200">
        <v>937800</v>
      </c>
      <c r="C2921" s="201">
        <v>2.7</v>
      </c>
      <c r="D2921" s="201">
        <v>2583.1999999999998</v>
      </c>
    </row>
    <row r="2922" spans="1:4">
      <c r="A2922" s="200" t="s">
        <v>1907</v>
      </c>
      <c r="B2922" s="200">
        <v>937800</v>
      </c>
      <c r="C2922" s="201">
        <v>2.7</v>
      </c>
      <c r="D2922" s="201">
        <v>2583.1999999999998</v>
      </c>
    </row>
    <row r="2923" spans="1:4">
      <c r="A2923" s="200" t="s">
        <v>1908</v>
      </c>
      <c r="B2923" s="200">
        <v>937800</v>
      </c>
      <c r="C2923" s="201">
        <v>2.7</v>
      </c>
      <c r="D2923" s="201">
        <v>2583.1999999999998</v>
      </c>
    </row>
    <row r="2924" spans="1:4">
      <c r="A2924" s="200" t="s">
        <v>1909</v>
      </c>
      <c r="B2924" s="200">
        <v>937800</v>
      </c>
      <c r="C2924" s="201">
        <v>2.7</v>
      </c>
      <c r="D2924" s="201">
        <v>2583.1999999999998</v>
      </c>
    </row>
    <row r="2925" spans="1:4">
      <c r="A2925" s="200" t="s">
        <v>1910</v>
      </c>
      <c r="B2925" s="200">
        <v>937800</v>
      </c>
      <c r="C2925" s="201">
        <v>2.7</v>
      </c>
      <c r="D2925" s="201">
        <v>2583.1999999999998</v>
      </c>
    </row>
    <row r="2926" spans="1:4">
      <c r="A2926" s="200" t="s">
        <v>1911</v>
      </c>
      <c r="B2926" s="200">
        <v>937800</v>
      </c>
      <c r="C2926" s="201">
        <v>2.7</v>
      </c>
      <c r="D2926" s="201">
        <v>2583.1999999999998</v>
      </c>
    </row>
    <row r="2927" spans="1:4">
      <c r="A2927" s="200" t="s">
        <v>1912</v>
      </c>
      <c r="B2927" s="200">
        <v>937800</v>
      </c>
      <c r="C2927" s="201">
        <v>2.7</v>
      </c>
      <c r="D2927" s="201">
        <v>2583.1999999999998</v>
      </c>
    </row>
    <row r="2928" spans="1:4">
      <c r="A2928" s="200" t="s">
        <v>1913</v>
      </c>
      <c r="B2928" s="200">
        <v>937800</v>
      </c>
      <c r="C2928" s="201">
        <v>2.7</v>
      </c>
      <c r="D2928" s="201">
        <v>2583.1999999999998</v>
      </c>
    </row>
    <row r="2929" spans="1:4">
      <c r="A2929" s="200" t="s">
        <v>1914</v>
      </c>
      <c r="B2929" s="200">
        <v>937800</v>
      </c>
      <c r="C2929" s="201">
        <v>2.7</v>
      </c>
      <c r="D2929" s="201">
        <v>2583.1999999999998</v>
      </c>
    </row>
    <row r="2930" spans="1:4">
      <c r="A2930" s="200" t="s">
        <v>1915</v>
      </c>
      <c r="B2930" s="200">
        <v>937800</v>
      </c>
      <c r="C2930" s="201">
        <v>2.7</v>
      </c>
      <c r="D2930" s="201">
        <v>2583.1999999999998</v>
      </c>
    </row>
    <row r="2931" spans="1:4">
      <c r="A2931" s="200" t="s">
        <v>1916</v>
      </c>
      <c r="B2931" s="200">
        <v>937800</v>
      </c>
      <c r="C2931" s="201">
        <v>2.7</v>
      </c>
      <c r="D2931" s="201">
        <v>2583.1999999999998</v>
      </c>
    </row>
    <row r="2932" spans="1:4">
      <c r="A2932" s="200" t="s">
        <v>1917</v>
      </c>
      <c r="B2932" s="200">
        <v>937800</v>
      </c>
      <c r="C2932" s="201">
        <v>2.7</v>
      </c>
      <c r="D2932" s="201">
        <v>2583.1999999999998</v>
      </c>
    </row>
    <row r="2933" spans="1:4">
      <c r="A2933" s="200" t="s">
        <v>1918</v>
      </c>
      <c r="B2933" s="200">
        <v>937800</v>
      </c>
      <c r="C2933" s="201">
        <v>2.7</v>
      </c>
      <c r="D2933" s="201">
        <v>2583.1999999999998</v>
      </c>
    </row>
    <row r="2934" spans="1:4">
      <c r="A2934" s="200" t="s">
        <v>1919</v>
      </c>
      <c r="B2934" s="200">
        <v>937800</v>
      </c>
      <c r="C2934" s="201">
        <v>2.7</v>
      </c>
      <c r="D2934" s="201">
        <v>2583.1999999999998</v>
      </c>
    </row>
    <row r="2935" spans="1:4">
      <c r="A2935" s="200" t="s">
        <v>1920</v>
      </c>
      <c r="B2935" s="200">
        <v>936150</v>
      </c>
      <c r="C2935" s="201">
        <v>14.1</v>
      </c>
      <c r="D2935" s="201">
        <v>2445.1999999999998</v>
      </c>
    </row>
    <row r="2936" spans="1:4">
      <c r="A2936" s="200" t="s">
        <v>1921</v>
      </c>
      <c r="B2936" s="200">
        <v>936150</v>
      </c>
      <c r="C2936" s="201">
        <v>14.1</v>
      </c>
      <c r="D2936" s="201">
        <v>2445.1999999999998</v>
      </c>
    </row>
    <row r="2937" spans="1:4">
      <c r="A2937" s="200" t="s">
        <v>1922</v>
      </c>
      <c r="B2937" s="200">
        <v>936150</v>
      </c>
      <c r="C2937" s="201">
        <v>14.1</v>
      </c>
      <c r="D2937" s="201">
        <v>2445.1999999999998</v>
      </c>
    </row>
    <row r="2938" spans="1:4">
      <c r="A2938" s="200" t="s">
        <v>1923</v>
      </c>
      <c r="B2938" s="200">
        <v>936150</v>
      </c>
      <c r="C2938" s="201">
        <v>14.1</v>
      </c>
      <c r="D2938" s="201">
        <v>2445.1999999999998</v>
      </c>
    </row>
    <row r="2939" spans="1:4">
      <c r="A2939" s="200" t="s">
        <v>1924</v>
      </c>
      <c r="B2939" s="200">
        <v>936150</v>
      </c>
      <c r="C2939" s="201">
        <v>14.1</v>
      </c>
      <c r="D2939" s="201">
        <v>2445.1999999999998</v>
      </c>
    </row>
    <row r="2940" spans="1:4">
      <c r="A2940" s="200" t="s">
        <v>1925</v>
      </c>
      <c r="B2940" s="200">
        <v>936150</v>
      </c>
      <c r="C2940" s="201">
        <v>14.1</v>
      </c>
      <c r="D2940" s="201">
        <v>2445.1999999999998</v>
      </c>
    </row>
    <row r="2941" spans="1:4">
      <c r="A2941" s="200" t="s">
        <v>1926</v>
      </c>
      <c r="B2941" s="200">
        <v>936150</v>
      </c>
      <c r="C2941" s="201">
        <v>14.1</v>
      </c>
      <c r="D2941" s="201">
        <v>2445.1999999999998</v>
      </c>
    </row>
    <row r="2942" spans="1:4">
      <c r="A2942" s="200" t="s">
        <v>1927</v>
      </c>
      <c r="B2942" s="200">
        <v>936150</v>
      </c>
      <c r="C2942" s="201">
        <v>14.1</v>
      </c>
      <c r="D2942" s="201">
        <v>2445.1999999999998</v>
      </c>
    </row>
    <row r="2943" spans="1:4">
      <c r="A2943" s="200" t="s">
        <v>1928</v>
      </c>
      <c r="B2943" s="200">
        <v>937800</v>
      </c>
      <c r="C2943" s="201">
        <v>2.7</v>
      </c>
      <c r="D2943" s="201">
        <v>2583.1999999999998</v>
      </c>
    </row>
    <row r="2944" spans="1:4">
      <c r="A2944" s="200" t="s">
        <v>1929</v>
      </c>
      <c r="B2944" s="200">
        <v>937800</v>
      </c>
      <c r="C2944" s="201">
        <v>2.7</v>
      </c>
      <c r="D2944" s="201">
        <v>2583.1999999999998</v>
      </c>
    </row>
    <row r="2945" spans="1:4">
      <c r="A2945" s="200" t="s">
        <v>1930</v>
      </c>
      <c r="B2945" s="200">
        <v>937800</v>
      </c>
      <c r="C2945" s="201">
        <v>2.7</v>
      </c>
      <c r="D2945" s="201">
        <v>2583.1999999999998</v>
      </c>
    </row>
    <row r="2946" spans="1:4">
      <c r="A2946" s="200" t="s">
        <v>1931</v>
      </c>
      <c r="B2946" s="200">
        <v>937800</v>
      </c>
      <c r="C2946" s="201">
        <v>2.7</v>
      </c>
      <c r="D2946" s="201">
        <v>2583.1999999999998</v>
      </c>
    </row>
    <row r="2947" spans="1:4">
      <c r="A2947" s="200" t="s">
        <v>1932</v>
      </c>
      <c r="B2947" s="200">
        <v>937800</v>
      </c>
      <c r="C2947" s="201">
        <v>2.7</v>
      </c>
      <c r="D2947" s="201">
        <v>2583.1999999999998</v>
      </c>
    </row>
    <row r="2948" spans="1:4">
      <c r="A2948" s="200" t="s">
        <v>1933</v>
      </c>
      <c r="B2948" s="200">
        <v>937800</v>
      </c>
      <c r="C2948" s="201">
        <v>2.7</v>
      </c>
      <c r="D2948" s="201">
        <v>2583.1999999999998</v>
      </c>
    </row>
    <row r="2949" spans="1:4">
      <c r="A2949" s="200" t="s">
        <v>1934</v>
      </c>
      <c r="B2949" s="200">
        <v>937800</v>
      </c>
      <c r="C2949" s="201">
        <v>2.7</v>
      </c>
      <c r="D2949" s="201">
        <v>2583.1999999999998</v>
      </c>
    </row>
    <row r="2950" spans="1:4">
      <c r="A2950" s="200" t="s">
        <v>1935</v>
      </c>
      <c r="B2950" s="200">
        <v>937800</v>
      </c>
      <c r="C2950" s="201">
        <v>2.7</v>
      </c>
      <c r="D2950" s="201">
        <v>2583.1999999999998</v>
      </c>
    </row>
    <row r="2951" spans="1:4">
      <c r="A2951" s="200" t="s">
        <v>1936</v>
      </c>
      <c r="B2951" s="200">
        <v>937800</v>
      </c>
      <c r="C2951" s="201">
        <v>2.7</v>
      </c>
      <c r="D2951" s="201">
        <v>2583.1999999999998</v>
      </c>
    </row>
    <row r="2952" spans="1:4">
      <c r="A2952" s="200" t="s">
        <v>1937</v>
      </c>
      <c r="B2952" s="200">
        <v>937800</v>
      </c>
      <c r="C2952" s="201">
        <v>2.7</v>
      </c>
      <c r="D2952" s="201">
        <v>2583.1999999999998</v>
      </c>
    </row>
    <row r="2953" spans="1:4">
      <c r="A2953" s="200" t="s">
        <v>1938</v>
      </c>
      <c r="B2953" s="200">
        <v>937800</v>
      </c>
      <c r="C2953" s="201">
        <v>2.7</v>
      </c>
      <c r="D2953" s="201">
        <v>2583.1999999999998</v>
      </c>
    </row>
    <row r="2954" spans="1:4">
      <c r="A2954" s="200" t="s">
        <v>1939</v>
      </c>
      <c r="B2954" s="200">
        <v>937800</v>
      </c>
      <c r="C2954" s="201">
        <v>2.7</v>
      </c>
      <c r="D2954" s="201">
        <v>2583.1999999999998</v>
      </c>
    </row>
    <row r="2955" spans="1:4">
      <c r="A2955" s="200" t="s">
        <v>1940</v>
      </c>
      <c r="B2955" s="200">
        <v>937800</v>
      </c>
      <c r="C2955" s="201">
        <v>2.7</v>
      </c>
      <c r="D2955" s="201">
        <v>2583.1999999999998</v>
      </c>
    </row>
    <row r="2956" spans="1:4">
      <c r="A2956" s="200" t="s">
        <v>1941</v>
      </c>
      <c r="B2956" s="200">
        <v>937800</v>
      </c>
      <c r="C2956" s="201">
        <v>2.7</v>
      </c>
      <c r="D2956" s="201">
        <v>2583.1999999999998</v>
      </c>
    </row>
    <row r="2957" spans="1:4">
      <c r="A2957" s="200" t="s">
        <v>1942</v>
      </c>
      <c r="B2957" s="200">
        <v>937800</v>
      </c>
      <c r="C2957" s="201">
        <v>2.7</v>
      </c>
      <c r="D2957" s="201">
        <v>2583.1999999999998</v>
      </c>
    </row>
    <row r="2958" spans="1:4">
      <c r="A2958" s="200" t="s">
        <v>1943</v>
      </c>
      <c r="B2958" s="200">
        <v>937800</v>
      </c>
      <c r="C2958" s="201">
        <v>2.7</v>
      </c>
      <c r="D2958" s="201">
        <v>2583.1999999999998</v>
      </c>
    </row>
    <row r="2959" spans="1:4">
      <c r="A2959" s="200" t="s">
        <v>1944</v>
      </c>
      <c r="B2959" s="200">
        <v>937800</v>
      </c>
      <c r="C2959" s="201">
        <v>2.7</v>
      </c>
      <c r="D2959" s="201">
        <v>2583.1999999999998</v>
      </c>
    </row>
    <row r="2960" spans="1:4">
      <c r="A2960" s="200" t="s">
        <v>1945</v>
      </c>
      <c r="B2960" s="200">
        <v>937800</v>
      </c>
      <c r="C2960" s="201">
        <v>2.7</v>
      </c>
      <c r="D2960" s="201">
        <v>2583.1999999999998</v>
      </c>
    </row>
    <row r="2961" spans="1:4">
      <c r="A2961" s="200" t="s">
        <v>1946</v>
      </c>
      <c r="B2961" s="200">
        <v>937800</v>
      </c>
      <c r="C2961" s="201">
        <v>2.7</v>
      </c>
      <c r="D2961" s="201">
        <v>2583.1999999999998</v>
      </c>
    </row>
    <row r="2962" spans="1:4">
      <c r="A2962" s="200" t="s">
        <v>1947</v>
      </c>
      <c r="B2962" s="200">
        <v>937800</v>
      </c>
      <c r="C2962" s="201">
        <v>2.7</v>
      </c>
      <c r="D2962" s="201">
        <v>2583.1999999999998</v>
      </c>
    </row>
    <row r="2963" spans="1:4">
      <c r="A2963" s="200" t="s">
        <v>1948</v>
      </c>
      <c r="B2963" s="200">
        <v>937800</v>
      </c>
      <c r="C2963" s="201">
        <v>2.7</v>
      </c>
      <c r="D2963" s="201">
        <v>2583.1999999999998</v>
      </c>
    </row>
    <row r="2964" spans="1:4">
      <c r="A2964" s="200" t="s">
        <v>1949</v>
      </c>
      <c r="B2964" s="200">
        <v>937800</v>
      </c>
      <c r="C2964" s="201">
        <v>2.7</v>
      </c>
      <c r="D2964" s="201">
        <v>2583.1999999999998</v>
      </c>
    </row>
    <row r="2965" spans="1:4">
      <c r="A2965" s="200" t="s">
        <v>1950</v>
      </c>
      <c r="B2965" s="200">
        <v>937800</v>
      </c>
      <c r="C2965" s="201">
        <v>2.7</v>
      </c>
      <c r="D2965" s="201">
        <v>2583.1999999999998</v>
      </c>
    </row>
    <row r="2966" spans="1:4">
      <c r="A2966" s="200" t="s">
        <v>1951</v>
      </c>
      <c r="B2966" s="200">
        <v>937800</v>
      </c>
      <c r="C2966" s="201">
        <v>2.7</v>
      </c>
      <c r="D2966" s="201">
        <v>2583.1999999999998</v>
      </c>
    </row>
    <row r="2967" spans="1:4">
      <c r="A2967" s="200" t="s">
        <v>1952</v>
      </c>
      <c r="B2967" s="200">
        <v>937800</v>
      </c>
      <c r="C2967" s="201">
        <v>2.7</v>
      </c>
      <c r="D2967" s="201">
        <v>2583.1999999999998</v>
      </c>
    </row>
    <row r="2968" spans="1:4">
      <c r="A2968" s="200" t="s">
        <v>1953</v>
      </c>
      <c r="B2968" s="200">
        <v>937800</v>
      </c>
      <c r="C2968" s="201">
        <v>2.7</v>
      </c>
      <c r="D2968" s="201">
        <v>2583.1999999999998</v>
      </c>
    </row>
    <row r="2969" spans="1:4">
      <c r="A2969" s="200" t="s">
        <v>1954</v>
      </c>
      <c r="B2969" s="200">
        <v>938910</v>
      </c>
      <c r="C2969" s="201">
        <v>0.7</v>
      </c>
      <c r="D2969" s="201">
        <v>2683.7</v>
      </c>
    </row>
    <row r="2970" spans="1:4">
      <c r="A2970" s="200" t="s">
        <v>1955</v>
      </c>
      <c r="B2970" s="200">
        <v>938910</v>
      </c>
      <c r="C2970" s="201">
        <v>0.7</v>
      </c>
      <c r="D2970" s="201">
        <v>2683.7</v>
      </c>
    </row>
    <row r="2971" spans="1:4">
      <c r="A2971" s="200" t="s">
        <v>1956</v>
      </c>
      <c r="B2971" s="200">
        <v>938910</v>
      </c>
      <c r="C2971" s="201">
        <v>0.7</v>
      </c>
      <c r="D2971" s="201">
        <v>2683.7</v>
      </c>
    </row>
    <row r="2972" spans="1:4">
      <c r="A2972" s="200" t="s">
        <v>1957</v>
      </c>
      <c r="B2972" s="200">
        <v>938910</v>
      </c>
      <c r="C2972" s="201">
        <v>0.7</v>
      </c>
      <c r="D2972" s="201">
        <v>2683.7</v>
      </c>
    </row>
    <row r="2973" spans="1:4">
      <c r="A2973" s="200" t="s">
        <v>1958</v>
      </c>
      <c r="B2973" s="200">
        <v>938910</v>
      </c>
      <c r="C2973" s="201">
        <v>0.7</v>
      </c>
      <c r="D2973" s="201">
        <v>2683.7</v>
      </c>
    </row>
    <row r="2974" spans="1:4">
      <c r="A2974" s="200" t="s">
        <v>1959</v>
      </c>
      <c r="B2974" s="200">
        <v>938910</v>
      </c>
      <c r="C2974" s="201">
        <v>0.7</v>
      </c>
      <c r="D2974" s="201">
        <v>2683.7</v>
      </c>
    </row>
    <row r="2975" spans="1:4">
      <c r="A2975" s="200" t="s">
        <v>1960</v>
      </c>
      <c r="B2975" s="200">
        <v>938910</v>
      </c>
      <c r="C2975" s="201">
        <v>0.7</v>
      </c>
      <c r="D2975" s="201">
        <v>2683.7</v>
      </c>
    </row>
    <row r="2976" spans="1:4">
      <c r="A2976" s="200" t="s">
        <v>1961</v>
      </c>
      <c r="B2976" s="200">
        <v>938910</v>
      </c>
      <c r="C2976" s="201">
        <v>0.7</v>
      </c>
      <c r="D2976" s="201">
        <v>2683.7</v>
      </c>
    </row>
    <row r="2977" spans="1:4">
      <c r="A2977" s="200" t="s">
        <v>1962</v>
      </c>
      <c r="B2977" s="200">
        <v>938910</v>
      </c>
      <c r="C2977" s="201">
        <v>0.7</v>
      </c>
      <c r="D2977" s="201">
        <v>2683.7</v>
      </c>
    </row>
    <row r="2978" spans="1:4">
      <c r="A2978" s="200" t="s">
        <v>1963</v>
      </c>
      <c r="B2978" s="200">
        <v>938910</v>
      </c>
      <c r="C2978" s="201">
        <v>0.7</v>
      </c>
      <c r="D2978" s="201">
        <v>2683.7</v>
      </c>
    </row>
    <row r="2979" spans="1:4">
      <c r="A2979" s="200" t="s">
        <v>1964</v>
      </c>
      <c r="B2979" s="200">
        <v>938910</v>
      </c>
      <c r="C2979" s="201">
        <v>0.7</v>
      </c>
      <c r="D2979" s="201">
        <v>2683.7</v>
      </c>
    </row>
    <row r="2980" spans="1:4">
      <c r="A2980" s="200" t="s">
        <v>1965</v>
      </c>
      <c r="B2980" s="200">
        <v>938910</v>
      </c>
      <c r="C2980" s="201">
        <v>0.7</v>
      </c>
      <c r="D2980" s="201">
        <v>2683.7</v>
      </c>
    </row>
    <row r="2981" spans="1:4">
      <c r="A2981" s="200" t="s">
        <v>1966</v>
      </c>
      <c r="B2981" s="200">
        <v>938910</v>
      </c>
      <c r="C2981" s="201">
        <v>0.7</v>
      </c>
      <c r="D2981" s="201">
        <v>2683.7</v>
      </c>
    </row>
    <row r="2982" spans="1:4">
      <c r="A2982" s="200" t="s">
        <v>1967</v>
      </c>
      <c r="B2982" s="200">
        <v>938910</v>
      </c>
      <c r="C2982" s="201">
        <v>0.7</v>
      </c>
      <c r="D2982" s="201">
        <v>2683.7</v>
      </c>
    </row>
    <row r="2983" spans="1:4">
      <c r="A2983" s="200" t="s">
        <v>1968</v>
      </c>
      <c r="B2983" s="200">
        <v>938910</v>
      </c>
      <c r="C2983" s="201">
        <v>0.7</v>
      </c>
      <c r="D2983" s="201">
        <v>2683.7</v>
      </c>
    </row>
    <row r="2984" spans="1:4">
      <c r="A2984" s="200" t="s">
        <v>1969</v>
      </c>
      <c r="B2984" s="200">
        <v>938910</v>
      </c>
      <c r="C2984" s="201">
        <v>0.7</v>
      </c>
      <c r="D2984" s="201">
        <v>2683.7</v>
      </c>
    </row>
    <row r="2985" spans="1:4">
      <c r="A2985" s="200" t="s">
        <v>1970</v>
      </c>
      <c r="B2985" s="200">
        <v>938310</v>
      </c>
      <c r="C2985" s="201">
        <v>0.1</v>
      </c>
      <c r="D2985" s="201">
        <v>3193.2</v>
      </c>
    </row>
    <row r="2986" spans="1:4">
      <c r="A2986" s="200" t="s">
        <v>1971</v>
      </c>
      <c r="B2986" s="200">
        <v>938310</v>
      </c>
      <c r="C2986" s="201">
        <v>0.1</v>
      </c>
      <c r="D2986" s="201">
        <v>3193.2</v>
      </c>
    </row>
    <row r="2987" spans="1:4">
      <c r="A2987" s="200" t="s">
        <v>1972</v>
      </c>
      <c r="B2987" s="200">
        <v>938310</v>
      </c>
      <c r="C2987" s="201">
        <v>0.1</v>
      </c>
      <c r="D2987" s="201">
        <v>3193.2</v>
      </c>
    </row>
    <row r="2988" spans="1:4">
      <c r="A2988" s="200" t="s">
        <v>1973</v>
      </c>
      <c r="B2988" s="200">
        <v>938510</v>
      </c>
      <c r="C2988" s="201">
        <v>0.6</v>
      </c>
      <c r="D2988" s="201">
        <v>3270</v>
      </c>
    </row>
    <row r="2989" spans="1:4">
      <c r="A2989" s="200" t="s">
        <v>1974</v>
      </c>
      <c r="B2989" s="200">
        <v>938510</v>
      </c>
      <c r="C2989" s="201">
        <v>0.6</v>
      </c>
      <c r="D2989" s="201">
        <v>3270</v>
      </c>
    </row>
    <row r="2990" spans="1:4">
      <c r="A2990" s="200" t="s">
        <v>1975</v>
      </c>
      <c r="B2990" s="200">
        <v>938510</v>
      </c>
      <c r="C2990" s="201">
        <v>0.6</v>
      </c>
      <c r="D2990" s="201">
        <v>3270</v>
      </c>
    </row>
    <row r="2991" spans="1:4">
      <c r="A2991" s="200" t="s">
        <v>1976</v>
      </c>
      <c r="B2991" s="200">
        <v>938510</v>
      </c>
      <c r="C2991" s="201">
        <v>0.6</v>
      </c>
      <c r="D2991" s="201">
        <v>3270</v>
      </c>
    </row>
    <row r="2992" spans="1:4">
      <c r="A2992" s="200" t="s">
        <v>1977</v>
      </c>
      <c r="B2992" s="200">
        <v>938910</v>
      </c>
      <c r="C2992" s="201">
        <v>0.7</v>
      </c>
      <c r="D2992" s="201">
        <v>2683.7</v>
      </c>
    </row>
    <row r="2993" spans="1:4">
      <c r="A2993" s="200" t="s">
        <v>1978</v>
      </c>
      <c r="B2993" s="200">
        <v>938910</v>
      </c>
      <c r="C2993" s="201">
        <v>0.7</v>
      </c>
      <c r="D2993" s="201">
        <v>2683.7</v>
      </c>
    </row>
    <row r="2994" spans="1:4">
      <c r="A2994" s="200" t="s">
        <v>1979</v>
      </c>
      <c r="B2994" s="200">
        <v>938910</v>
      </c>
      <c r="C2994" s="201">
        <v>0.7</v>
      </c>
      <c r="D2994" s="201">
        <v>2683.7</v>
      </c>
    </row>
    <row r="2995" spans="1:4">
      <c r="A2995" s="200" t="s">
        <v>1980</v>
      </c>
      <c r="B2995" s="200">
        <v>938910</v>
      </c>
      <c r="C2995" s="201">
        <v>0.7</v>
      </c>
      <c r="D2995" s="201">
        <v>2683.7</v>
      </c>
    </row>
    <row r="2996" spans="1:4">
      <c r="A2996" s="200" t="s">
        <v>1981</v>
      </c>
      <c r="B2996" s="200">
        <v>938910</v>
      </c>
      <c r="C2996" s="201">
        <v>0.7</v>
      </c>
      <c r="D2996" s="201">
        <v>2683.7</v>
      </c>
    </row>
    <row r="2997" spans="1:4">
      <c r="A2997" s="200" t="s">
        <v>1982</v>
      </c>
      <c r="B2997" s="200">
        <v>938910</v>
      </c>
      <c r="C2997" s="201">
        <v>0.7</v>
      </c>
      <c r="D2997" s="201">
        <v>2683.7</v>
      </c>
    </row>
    <row r="2998" spans="1:4">
      <c r="A2998" s="200" t="s">
        <v>1983</v>
      </c>
      <c r="B2998" s="200">
        <v>938510</v>
      </c>
      <c r="C2998" s="201">
        <v>0.6</v>
      </c>
      <c r="D2998" s="201">
        <v>3270</v>
      </c>
    </row>
    <row r="2999" spans="1:4">
      <c r="A2999" s="200" t="s">
        <v>1984</v>
      </c>
      <c r="B2999" s="200">
        <v>938910</v>
      </c>
      <c r="C2999" s="201">
        <v>0.7</v>
      </c>
      <c r="D2999" s="201">
        <v>2683.7</v>
      </c>
    </row>
    <row r="3000" spans="1:4">
      <c r="A3000" s="200" t="s">
        <v>1985</v>
      </c>
      <c r="B3000" s="200">
        <v>938910</v>
      </c>
      <c r="C3000" s="201">
        <v>0.7</v>
      </c>
      <c r="D3000" s="201">
        <v>2683.7</v>
      </c>
    </row>
    <row r="3001" spans="1:4">
      <c r="A3001" s="200" t="s">
        <v>1986</v>
      </c>
      <c r="B3001" s="200">
        <v>938910</v>
      </c>
      <c r="C3001" s="201">
        <v>0.7</v>
      </c>
      <c r="D3001" s="201">
        <v>2683.7</v>
      </c>
    </row>
    <row r="3002" spans="1:4">
      <c r="A3002" s="200" t="s">
        <v>1987</v>
      </c>
      <c r="B3002" s="200">
        <v>938910</v>
      </c>
      <c r="C3002" s="201">
        <v>0.7</v>
      </c>
      <c r="D3002" s="201">
        <v>2683.7</v>
      </c>
    </row>
    <row r="3003" spans="1:4">
      <c r="A3003" s="200" t="s">
        <v>1988</v>
      </c>
      <c r="B3003" s="200">
        <v>938910</v>
      </c>
      <c r="C3003" s="201">
        <v>0.7</v>
      </c>
      <c r="D3003" s="201">
        <v>2683.7</v>
      </c>
    </row>
    <row r="3004" spans="1:4">
      <c r="A3004" s="200" t="s">
        <v>1989</v>
      </c>
      <c r="B3004" s="200">
        <v>938450</v>
      </c>
      <c r="C3004" s="201">
        <v>1.6</v>
      </c>
      <c r="D3004" s="201">
        <v>2956.8</v>
      </c>
    </row>
    <row r="3005" spans="1:4">
      <c r="A3005" s="200" t="s">
        <v>1990</v>
      </c>
      <c r="B3005" s="200">
        <v>938450</v>
      </c>
      <c r="C3005" s="201">
        <v>1.6</v>
      </c>
      <c r="D3005" s="201">
        <v>2956.8</v>
      </c>
    </row>
    <row r="3006" spans="1:4">
      <c r="A3006" s="200" t="s">
        <v>1991</v>
      </c>
      <c r="B3006" s="200">
        <v>938450</v>
      </c>
      <c r="C3006" s="201">
        <v>1.6</v>
      </c>
      <c r="D3006" s="201">
        <v>2956.8</v>
      </c>
    </row>
    <row r="3007" spans="1:4">
      <c r="A3007" s="200" t="s">
        <v>1992</v>
      </c>
      <c r="B3007" s="200">
        <v>938450</v>
      </c>
      <c r="C3007" s="201">
        <v>1.6</v>
      </c>
      <c r="D3007" s="201">
        <v>2956.8</v>
      </c>
    </row>
    <row r="3008" spans="1:4">
      <c r="A3008" s="200" t="s">
        <v>1993</v>
      </c>
      <c r="B3008" s="200">
        <v>938450</v>
      </c>
      <c r="C3008" s="201">
        <v>1.6</v>
      </c>
      <c r="D3008" s="201">
        <v>2956.8</v>
      </c>
    </row>
    <row r="3009" spans="1:4">
      <c r="A3009" s="200" t="s">
        <v>1994</v>
      </c>
      <c r="B3009" s="200">
        <v>938450</v>
      </c>
      <c r="C3009" s="201">
        <v>1.6</v>
      </c>
      <c r="D3009" s="201">
        <v>2956.8</v>
      </c>
    </row>
    <row r="3010" spans="1:4">
      <c r="A3010" s="200" t="s">
        <v>1995</v>
      </c>
      <c r="B3010" s="200">
        <v>938450</v>
      </c>
      <c r="C3010" s="201">
        <v>1.6</v>
      </c>
      <c r="D3010" s="201">
        <v>2956.8</v>
      </c>
    </row>
    <row r="3011" spans="1:4">
      <c r="A3011" s="200" t="s">
        <v>1996</v>
      </c>
      <c r="B3011" s="200">
        <v>938450</v>
      </c>
      <c r="C3011" s="201">
        <v>1.6</v>
      </c>
      <c r="D3011" s="201">
        <v>2956.8</v>
      </c>
    </row>
    <row r="3012" spans="1:4">
      <c r="A3012" s="200" t="s">
        <v>1997</v>
      </c>
      <c r="B3012" s="200">
        <v>938450</v>
      </c>
      <c r="C3012" s="201">
        <v>1.6</v>
      </c>
      <c r="D3012" s="201">
        <v>2956.8</v>
      </c>
    </row>
    <row r="3013" spans="1:4">
      <c r="A3013" s="200" t="s">
        <v>1998</v>
      </c>
      <c r="B3013" s="200">
        <v>938450</v>
      </c>
      <c r="C3013" s="201">
        <v>1.6</v>
      </c>
      <c r="D3013" s="201">
        <v>2956.8</v>
      </c>
    </row>
    <row r="3014" spans="1:4">
      <c r="A3014" s="200" t="s">
        <v>1999</v>
      </c>
      <c r="B3014" s="200">
        <v>938450</v>
      </c>
      <c r="C3014" s="201">
        <v>1.6</v>
      </c>
      <c r="D3014" s="201">
        <v>2956.8</v>
      </c>
    </row>
    <row r="3015" spans="1:4">
      <c r="A3015" s="200" t="s">
        <v>2000</v>
      </c>
      <c r="B3015" s="200">
        <v>938450</v>
      </c>
      <c r="C3015" s="201">
        <v>1.6</v>
      </c>
      <c r="D3015" s="201">
        <v>2956.8</v>
      </c>
    </row>
    <row r="3016" spans="1:4">
      <c r="A3016" s="200" t="s">
        <v>2001</v>
      </c>
      <c r="B3016" s="200">
        <v>938450</v>
      </c>
      <c r="C3016" s="201">
        <v>1.6</v>
      </c>
      <c r="D3016" s="201">
        <v>2956.8</v>
      </c>
    </row>
    <row r="3017" spans="1:4">
      <c r="A3017" s="200" t="s">
        <v>2002</v>
      </c>
      <c r="B3017" s="200">
        <v>938450</v>
      </c>
      <c r="C3017" s="201">
        <v>1.6</v>
      </c>
      <c r="D3017" s="201">
        <v>2956.8</v>
      </c>
    </row>
    <row r="3018" spans="1:4">
      <c r="A3018" s="200" t="s">
        <v>2003</v>
      </c>
      <c r="B3018" s="200">
        <v>938450</v>
      </c>
      <c r="C3018" s="201">
        <v>1.6</v>
      </c>
      <c r="D3018" s="201">
        <v>2956.8</v>
      </c>
    </row>
    <row r="3019" spans="1:4">
      <c r="A3019" s="200" t="s">
        <v>2004</v>
      </c>
      <c r="B3019" s="200">
        <v>938450</v>
      </c>
      <c r="C3019" s="201">
        <v>1.6</v>
      </c>
      <c r="D3019" s="201">
        <v>2956.8</v>
      </c>
    </row>
    <row r="3020" spans="1:4">
      <c r="A3020" s="200" t="s">
        <v>2005</v>
      </c>
      <c r="B3020" s="200">
        <v>938450</v>
      </c>
      <c r="C3020" s="201">
        <v>1.6</v>
      </c>
      <c r="D3020" s="201">
        <v>2956.8</v>
      </c>
    </row>
    <row r="3021" spans="1:4">
      <c r="A3021" s="200" t="s">
        <v>2006</v>
      </c>
      <c r="B3021" s="200">
        <v>938510</v>
      </c>
      <c r="C3021" s="201">
        <v>0.6</v>
      </c>
      <c r="D3021" s="201">
        <v>3270</v>
      </c>
    </row>
  </sheetData>
  <customSheetViews>
    <customSheetView guid="{BA12A2B5-8B2E-47CE-85C5-00A71CD7042B}" showGridLines="0" showRowCol="0" fitToPage="1">
      <selection activeCell="E2663" sqref="E2663"/>
      <pageMargins left="0" right="0" top="0" bottom="0" header="0" footer="0"/>
      <pageSetup paperSize="9" scale="10" orientation="portrait" r:id="rId1"/>
    </customSheetView>
    <customSheetView guid="{6E4579C3-98CA-4325-AF39-19A629870080}" showGridLines="0" showRowCol="0" fitToPage="1">
      <selection activeCell="O23" sqref="O23"/>
      <pageMargins left="0" right="0" top="0" bottom="0" header="0" footer="0"/>
      <pageSetup paperSize="9" scale="10" orientation="portrait" r:id="rId2"/>
    </customSheetView>
    <customSheetView guid="{BC75B7F8-7A05-4F92-B953-0DB7EDA000F8}" showGridLines="0" showRowCol="0" fitToPage="1" state="hidden">
      <selection activeCell="O23" sqref="O23"/>
      <pageMargins left="0" right="0" top="0" bottom="0" header="0" footer="0"/>
      <pageSetup paperSize="9" scale="10" orientation="portrait" r:id="rId3"/>
    </customSheetView>
    <customSheetView guid="{BF159B5C-C230-4B3A-8DDE-333808894C93}" showGridLines="0" showRowCol="0" fitToPage="1" state="hidden">
      <selection activeCell="O23" sqref="O23"/>
      <pageMargins left="0" right="0" top="0" bottom="0" header="0" footer="0"/>
      <pageSetup paperSize="9" scale="10" orientation="portrait" r:id="rId4"/>
    </customSheetView>
  </customSheetViews>
  <mergeCells count="1">
    <mergeCell ref="A4:E4"/>
  </mergeCells>
  <pageMargins left="0.70866141732283472" right="0.70866141732283472" top="0.74803149606299213" bottom="0.74803149606299213" header="0.31496062992125984" footer="0.31496062992125984"/>
  <pageSetup paperSize="9" scale="10" orientation="portrait" r:id="rId5"/>
  <drawing r:id="rId6"/>
  <legacyDrawingHF r:id="rId7"/>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
    <tabColor theme="0" tint="-0.14999847407452621"/>
    <pageSetUpPr fitToPage="1"/>
  </sheetPr>
  <dimension ref="B1:M60"/>
  <sheetViews>
    <sheetView showGridLines="0" showRowColHeaders="0" zoomScaleNormal="100" workbookViewId="0">
      <selection activeCell="D24" sqref="D24"/>
    </sheetView>
  </sheetViews>
  <sheetFormatPr defaultColWidth="9.33203125" defaultRowHeight="13.2"/>
  <cols>
    <col min="1" max="1" width="5.6640625" style="230" customWidth="1"/>
    <col min="2" max="2" width="24.5546875" style="230" customWidth="1"/>
    <col min="3" max="3" width="21.6640625" style="230" customWidth="1"/>
    <col min="4" max="4" width="5.6640625" style="230" customWidth="1"/>
    <col min="5" max="5" width="24.44140625" style="230" bestFit="1" customWidth="1"/>
    <col min="6" max="6" width="27.5546875" style="230" customWidth="1"/>
    <col min="7" max="7" width="5.6640625" style="230" customWidth="1"/>
    <col min="8" max="8" width="21.6640625" style="230" customWidth="1"/>
    <col min="9" max="9" width="26.33203125" style="230" bestFit="1" customWidth="1"/>
    <col min="10" max="16384" width="9.33203125" style="230"/>
  </cols>
  <sheetData>
    <row r="1" spans="2:13" ht="87" customHeight="1"/>
    <row r="2" spans="2:13" s="315" customFormat="1" ht="20.100000000000001" customHeight="1">
      <c r="B2" s="282" t="s">
        <v>2007</v>
      </c>
      <c r="C2" s="180"/>
      <c r="D2" s="180"/>
      <c r="E2" s="180"/>
      <c r="F2" s="180"/>
      <c r="G2" s="180"/>
      <c r="H2" s="180"/>
      <c r="I2" s="180"/>
      <c r="J2" s="11"/>
      <c r="K2" s="11"/>
      <c r="L2" s="185"/>
      <c r="M2" s="185"/>
    </row>
    <row r="3" spans="2:13" ht="15" customHeight="1"/>
    <row r="4" spans="2:13" ht="15" customHeight="1">
      <c r="B4" s="639" t="s">
        <v>2008</v>
      </c>
      <c r="C4" s="639"/>
      <c r="D4" s="639"/>
      <c r="E4" s="639"/>
      <c r="F4" s="639"/>
    </row>
    <row r="5" spans="2:13" ht="15" customHeight="1">
      <c r="B5" s="610" t="s">
        <v>2009</v>
      </c>
      <c r="C5" s="612"/>
      <c r="E5" s="610" t="s">
        <v>2010</v>
      </c>
      <c r="F5" s="612"/>
    </row>
    <row r="6" spans="2:13" ht="15" customHeight="1">
      <c r="B6" s="78" t="s">
        <v>2011</v>
      </c>
      <c r="C6" s="78" t="s">
        <v>1387</v>
      </c>
      <c r="E6" s="78" t="s">
        <v>2011</v>
      </c>
      <c r="F6" s="78" t="s">
        <v>1387</v>
      </c>
      <c r="H6" s="275" t="s">
        <v>2012</v>
      </c>
      <c r="I6" s="276"/>
    </row>
    <row r="7" spans="2:13" ht="15" customHeight="1">
      <c r="B7" s="66">
        <v>0</v>
      </c>
      <c r="C7" s="63">
        <v>0</v>
      </c>
      <c r="E7" s="66">
        <v>0</v>
      </c>
      <c r="F7" s="63">
        <f>+C7*0.25</f>
        <v>0</v>
      </c>
      <c r="H7" s="277"/>
      <c r="I7" s="278" t="s">
        <v>2013</v>
      </c>
    </row>
    <row r="8" spans="2:13" ht="15" customHeight="1">
      <c r="B8" s="68">
        <v>0.04</v>
      </c>
      <c r="C8" s="67">
        <v>1</v>
      </c>
      <c r="E8" s="68">
        <v>0.05</v>
      </c>
      <c r="F8" s="67">
        <v>1</v>
      </c>
      <c r="H8" s="279"/>
      <c r="I8" s="278" t="s">
        <v>2014</v>
      </c>
    </row>
    <row r="9" spans="2:13" ht="15" customHeight="1">
      <c r="B9" s="68">
        <v>0.08</v>
      </c>
      <c r="C9" s="67">
        <v>2</v>
      </c>
      <c r="E9" s="68">
        <v>0.1</v>
      </c>
      <c r="F9" s="67">
        <v>2</v>
      </c>
      <c r="H9" s="280"/>
      <c r="I9" s="281" t="s">
        <v>2015</v>
      </c>
    </row>
    <row r="10" spans="2:13" ht="15" customHeight="1">
      <c r="B10" s="74">
        <v>0.12</v>
      </c>
      <c r="C10" s="67">
        <v>3</v>
      </c>
      <c r="E10" s="68">
        <v>0.15</v>
      </c>
      <c r="F10" s="67">
        <v>3</v>
      </c>
    </row>
    <row r="11" spans="2:13" ht="15" customHeight="1">
      <c r="B11" s="74">
        <v>0.16</v>
      </c>
      <c r="C11" s="67">
        <v>4</v>
      </c>
      <c r="E11" s="68">
        <v>0.2</v>
      </c>
      <c r="F11" s="67">
        <v>4</v>
      </c>
    </row>
    <row r="12" spans="2:13" ht="15" customHeight="1">
      <c r="B12" s="74">
        <v>0.2</v>
      </c>
      <c r="C12" s="67">
        <v>5</v>
      </c>
      <c r="E12" s="68">
        <v>0.25</v>
      </c>
      <c r="F12" s="67">
        <v>5</v>
      </c>
    </row>
    <row r="13" spans="2:13" ht="15" customHeight="1">
      <c r="B13" s="74">
        <v>0.24</v>
      </c>
      <c r="C13" s="67">
        <v>6</v>
      </c>
      <c r="E13" s="69">
        <v>0.3</v>
      </c>
      <c r="F13" s="64">
        <v>6</v>
      </c>
    </row>
    <row r="14" spans="2:13" ht="15" customHeight="1">
      <c r="B14" s="74">
        <v>0.28000000000000003</v>
      </c>
      <c r="C14" s="67">
        <v>7</v>
      </c>
      <c r="E14" s="68">
        <v>0.35</v>
      </c>
      <c r="F14" s="67">
        <v>7</v>
      </c>
    </row>
    <row r="15" spans="2:13" ht="15" customHeight="1">
      <c r="B15" s="69">
        <v>0.32</v>
      </c>
      <c r="C15" s="64">
        <v>8</v>
      </c>
      <c r="E15" s="68">
        <v>0.4</v>
      </c>
      <c r="F15" s="67">
        <v>8</v>
      </c>
    </row>
    <row r="16" spans="2:13" ht="15" customHeight="1">
      <c r="B16" s="74">
        <v>0.36</v>
      </c>
      <c r="C16" s="67">
        <v>9</v>
      </c>
      <c r="E16" s="68">
        <v>0.45</v>
      </c>
      <c r="F16" s="67">
        <v>9</v>
      </c>
    </row>
    <row r="17" spans="2:6" ht="15" customHeight="1">
      <c r="B17" s="74">
        <v>0.4</v>
      </c>
      <c r="C17" s="67">
        <v>10</v>
      </c>
      <c r="E17" s="68">
        <v>0.5</v>
      </c>
      <c r="F17" s="67">
        <v>10</v>
      </c>
    </row>
    <row r="18" spans="2:6" ht="15" customHeight="1">
      <c r="B18" s="74">
        <v>0.44</v>
      </c>
      <c r="C18" s="67">
        <v>11</v>
      </c>
      <c r="E18" s="68">
        <v>0.55000000000000004</v>
      </c>
      <c r="F18" s="67">
        <v>11</v>
      </c>
    </row>
    <row r="19" spans="2:6" ht="15" customHeight="1">
      <c r="B19" s="74">
        <v>0.48</v>
      </c>
      <c r="C19" s="67">
        <v>12</v>
      </c>
      <c r="E19" s="68">
        <v>0.6</v>
      </c>
      <c r="F19" s="67">
        <v>12</v>
      </c>
    </row>
    <row r="20" spans="2:6" ht="15" customHeight="1">
      <c r="B20" s="74">
        <v>0.52</v>
      </c>
      <c r="C20" s="67">
        <v>13</v>
      </c>
      <c r="E20" s="68">
        <v>0.65</v>
      </c>
      <c r="F20" s="67">
        <v>13</v>
      </c>
    </row>
    <row r="21" spans="2:6" ht="15" customHeight="1">
      <c r="B21" s="74">
        <v>0.56000000000000005</v>
      </c>
      <c r="C21" s="67">
        <v>14</v>
      </c>
      <c r="E21" s="68">
        <v>0.7</v>
      </c>
      <c r="F21" s="67">
        <v>14</v>
      </c>
    </row>
    <row r="22" spans="2:6" ht="15" customHeight="1">
      <c r="B22" s="74">
        <v>0.6</v>
      </c>
      <c r="C22" s="67">
        <v>15</v>
      </c>
      <c r="E22" s="68">
        <v>0.75</v>
      </c>
      <c r="F22" s="67">
        <v>15</v>
      </c>
    </row>
    <row r="23" spans="2:6" ht="15" customHeight="1">
      <c r="B23" s="74">
        <v>0.65</v>
      </c>
      <c r="C23" s="67">
        <v>16</v>
      </c>
      <c r="E23" s="68">
        <v>0.8</v>
      </c>
      <c r="F23" s="67">
        <v>16</v>
      </c>
    </row>
    <row r="24" spans="2:6" ht="15" customHeight="1">
      <c r="B24" s="74">
        <v>0.7</v>
      </c>
      <c r="C24" s="67">
        <v>17</v>
      </c>
      <c r="E24" s="68">
        <v>0.85</v>
      </c>
      <c r="F24" s="67">
        <v>17</v>
      </c>
    </row>
    <row r="25" spans="2:6" ht="15" customHeight="1">
      <c r="B25" s="74">
        <v>0.75</v>
      </c>
      <c r="C25" s="67">
        <v>18</v>
      </c>
      <c r="E25" s="68">
        <v>0.9</v>
      </c>
      <c r="F25" s="67">
        <v>18</v>
      </c>
    </row>
    <row r="26" spans="2:6" ht="15" customHeight="1">
      <c r="B26" s="74">
        <v>0.8</v>
      </c>
      <c r="C26" s="67">
        <v>19</v>
      </c>
      <c r="E26" s="68">
        <v>0.95</v>
      </c>
      <c r="F26" s="67">
        <v>19</v>
      </c>
    </row>
    <row r="27" spans="2:6" ht="15" customHeight="1">
      <c r="B27" s="74">
        <v>0.85</v>
      </c>
      <c r="C27" s="67">
        <v>20</v>
      </c>
      <c r="E27" s="71">
        <v>1</v>
      </c>
      <c r="F27" s="65">
        <v>20</v>
      </c>
    </row>
    <row r="28" spans="2:6" ht="15" customHeight="1">
      <c r="B28" s="74">
        <v>0.9</v>
      </c>
      <c r="C28" s="67">
        <v>21</v>
      </c>
    </row>
    <row r="29" spans="2:6" ht="15" customHeight="1">
      <c r="B29" s="74">
        <v>0.95</v>
      </c>
      <c r="C29" s="67">
        <v>22</v>
      </c>
    </row>
    <row r="30" spans="2:6" ht="15" customHeight="1">
      <c r="B30" s="71">
        <v>1</v>
      </c>
      <c r="C30" s="65">
        <v>23</v>
      </c>
      <c r="E30" s="610" t="s">
        <v>2016</v>
      </c>
      <c r="F30" s="612"/>
    </row>
    <row r="31" spans="2:6" ht="35.1" customHeight="1">
      <c r="E31" s="78" t="s">
        <v>2017</v>
      </c>
      <c r="F31" s="78" t="s">
        <v>1387</v>
      </c>
    </row>
    <row r="32" spans="2:6" ht="15" customHeight="1">
      <c r="E32" s="70">
        <v>0</v>
      </c>
      <c r="F32" s="67">
        <v>0</v>
      </c>
    </row>
    <row r="33" spans="2:6" ht="15" customHeight="1">
      <c r="E33" s="70">
        <v>0.25</v>
      </c>
      <c r="F33" s="67">
        <v>1</v>
      </c>
    </row>
    <row r="34" spans="2:6" ht="15" customHeight="1">
      <c r="E34" s="70">
        <v>0.5</v>
      </c>
      <c r="F34" s="67">
        <v>2</v>
      </c>
    </row>
    <row r="35" spans="2:6" ht="15" customHeight="1">
      <c r="E35" s="70">
        <v>0.75</v>
      </c>
      <c r="F35" s="67">
        <v>3</v>
      </c>
    </row>
    <row r="36" spans="2:6" ht="15" customHeight="1"/>
    <row r="37" spans="2:6" ht="15" customHeight="1">
      <c r="B37" s="639" t="s">
        <v>2018</v>
      </c>
      <c r="C37" s="639"/>
      <c r="D37" s="639"/>
      <c r="E37" s="639"/>
      <c r="F37" s="639"/>
    </row>
    <row r="38" spans="2:6" ht="15" customHeight="1">
      <c r="B38" s="610" t="s">
        <v>2019</v>
      </c>
      <c r="C38" s="612"/>
      <c r="E38" s="610" t="s">
        <v>2020</v>
      </c>
      <c r="F38" s="612"/>
    </row>
    <row r="39" spans="2:6" ht="35.1" customHeight="1">
      <c r="B39" s="78" t="s">
        <v>2021</v>
      </c>
      <c r="C39" s="78" t="s">
        <v>2022</v>
      </c>
      <c r="E39" s="78" t="s">
        <v>2021</v>
      </c>
      <c r="F39" s="78" t="s">
        <v>2023</v>
      </c>
    </row>
    <row r="40" spans="2:6" ht="15" customHeight="1">
      <c r="B40" s="63">
        <v>1</v>
      </c>
      <c r="C40" s="63">
        <v>0</v>
      </c>
      <c r="E40" s="63">
        <v>1</v>
      </c>
      <c r="F40" s="63">
        <v>0</v>
      </c>
    </row>
    <row r="41" spans="2:6" ht="15" customHeight="1">
      <c r="B41" s="67">
        <v>1.5</v>
      </c>
      <c r="C41" s="67">
        <v>1</v>
      </c>
      <c r="E41" s="67">
        <v>1.5</v>
      </c>
      <c r="F41" s="67">
        <v>1</v>
      </c>
    </row>
    <row r="42" spans="2:6" ht="15" customHeight="1">
      <c r="B42" s="67">
        <v>2</v>
      </c>
      <c r="C42" s="67">
        <v>2</v>
      </c>
      <c r="E42" s="67">
        <v>2</v>
      </c>
      <c r="F42" s="67">
        <v>2</v>
      </c>
    </row>
    <row r="43" spans="2:6" ht="15" customHeight="1">
      <c r="B43" s="67">
        <v>2.5</v>
      </c>
      <c r="C43" s="67">
        <v>3</v>
      </c>
      <c r="E43" s="67">
        <v>2.5</v>
      </c>
      <c r="F43" s="67">
        <v>3</v>
      </c>
    </row>
    <row r="44" spans="2:6" ht="15" customHeight="1">
      <c r="B44" s="64">
        <v>3</v>
      </c>
      <c r="C44" s="64">
        <v>5</v>
      </c>
      <c r="E44" s="64">
        <v>3</v>
      </c>
      <c r="F44" s="64">
        <v>4</v>
      </c>
    </row>
    <row r="45" spans="2:6" ht="15" customHeight="1">
      <c r="B45" s="67">
        <v>3.5</v>
      </c>
      <c r="C45" s="67">
        <v>7</v>
      </c>
      <c r="E45" s="67">
        <v>3.5</v>
      </c>
      <c r="F45" s="67">
        <v>6</v>
      </c>
    </row>
    <row r="46" spans="2:6" ht="15" customHeight="1">
      <c r="B46" s="67">
        <v>4</v>
      </c>
      <c r="C46" s="67">
        <v>9</v>
      </c>
      <c r="E46" s="67">
        <v>4</v>
      </c>
      <c r="F46" s="67">
        <v>8</v>
      </c>
    </row>
    <row r="47" spans="2:6" ht="15" customHeight="1">
      <c r="B47" s="67">
        <v>4.5</v>
      </c>
      <c r="C47" s="67">
        <v>11</v>
      </c>
      <c r="E47" s="67">
        <v>4.5</v>
      </c>
      <c r="F47" s="67">
        <v>10</v>
      </c>
    </row>
    <row r="48" spans="2:6" ht="15" customHeight="1">
      <c r="B48" s="67">
        <v>5</v>
      </c>
      <c r="C48" s="67">
        <v>14</v>
      </c>
      <c r="E48" s="67">
        <v>5</v>
      </c>
      <c r="F48" s="67">
        <v>12</v>
      </c>
    </row>
    <row r="49" spans="2:6" ht="15" customHeight="1">
      <c r="B49" s="67">
        <v>5.5</v>
      </c>
      <c r="C49" s="67">
        <v>17</v>
      </c>
      <c r="E49" s="67">
        <v>5.5</v>
      </c>
      <c r="F49" s="67">
        <v>14</v>
      </c>
    </row>
    <row r="50" spans="2:6" ht="15" customHeight="1">
      <c r="B50" s="67">
        <v>6</v>
      </c>
      <c r="C50" s="67">
        <v>20</v>
      </c>
      <c r="E50" s="67">
        <v>6</v>
      </c>
      <c r="F50" s="67">
        <v>16</v>
      </c>
    </row>
    <row r="51" spans="2:6" ht="15" customHeight="1">
      <c r="B51" s="65" t="s">
        <v>2024</v>
      </c>
      <c r="C51" s="65">
        <v>23</v>
      </c>
      <c r="E51" s="65" t="s">
        <v>2024</v>
      </c>
      <c r="F51" s="65">
        <v>20</v>
      </c>
    </row>
    <row r="54" spans="2:6" ht="12.75" customHeight="1"/>
    <row r="55" spans="2:6" ht="12.75" customHeight="1"/>
    <row r="56" spans="2:6" ht="12.75" customHeight="1"/>
    <row r="57" spans="2:6" ht="12.75" customHeight="1"/>
    <row r="58" spans="2:6" ht="12.75" customHeight="1"/>
    <row r="59" spans="2:6" ht="114.75" customHeight="1"/>
    <row r="60" spans="2:6" ht="12.75" customHeight="1"/>
  </sheetData>
  <customSheetViews>
    <customSheetView guid="{BA12A2B5-8B2E-47CE-85C5-00A71CD7042B}" showGridLines="0" fitToPage="1" hiddenRows="1" hiddenColumns="1" topLeftCell="A25">
      <selection activeCell="I42" sqref="I42"/>
      <pageMargins left="0" right="0" top="0" bottom="0" header="0" footer="0"/>
      <pageSetup paperSize="9" scale="59" orientation="portrait" r:id="rId1"/>
    </customSheetView>
    <customSheetView guid="{6E4579C3-98CA-4325-AF39-19A629870080}" showGridLines="0" fitToPage="1" hiddenRows="1" hiddenColumns="1">
      <selection activeCell="I42" sqref="I42"/>
      <pageMargins left="0" right="0" top="0" bottom="0" header="0" footer="0"/>
      <pageSetup paperSize="9" scale="59" orientation="portrait" r:id="rId2"/>
    </customSheetView>
    <customSheetView guid="{BC75B7F8-7A05-4F92-B953-0DB7EDA000F8}" showGridLines="0" showRowCol="0" fitToPage="1" hiddenRows="1" hiddenColumns="1" state="hidden">
      <selection activeCell="C24" sqref="C24"/>
      <pageMargins left="0" right="0" top="0" bottom="0" header="0" footer="0"/>
      <pageSetup paperSize="9" scale="59" orientation="portrait" r:id="rId3"/>
    </customSheetView>
    <customSheetView guid="{BF159B5C-C230-4B3A-8DDE-333808894C93}" showGridLines="0" showRowCol="0" fitToPage="1">
      <selection activeCell="E3" sqref="E3"/>
      <pageMargins left="0" right="0" top="0" bottom="0" header="0" footer="0"/>
      <pageSetup paperSize="9" scale="59" orientation="portrait" r:id="rId4"/>
    </customSheetView>
  </customSheetViews>
  <mergeCells count="7">
    <mergeCell ref="B38:C38"/>
    <mergeCell ref="E38:F38"/>
    <mergeCell ref="B4:F4"/>
    <mergeCell ref="B5:C5"/>
    <mergeCell ref="E5:F5"/>
    <mergeCell ref="E30:F30"/>
    <mergeCell ref="B37:F37"/>
  </mergeCells>
  <pageMargins left="0.70866141732283472" right="0.70866141732283472" top="0.74803149606299213" bottom="0.74803149606299213" header="0.31496062992125984" footer="0.31496062992125984"/>
  <pageSetup paperSize="9" scale="59" orientation="portrait" r:id="rId5"/>
  <drawing r:id="rId6"/>
  <legacy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B1:D30"/>
  <sheetViews>
    <sheetView showGridLines="0" showRowColHeaders="0" topLeftCell="A5" workbookViewId="0">
      <selection activeCell="A3" sqref="A3:S3"/>
    </sheetView>
  </sheetViews>
  <sheetFormatPr defaultColWidth="9.33203125" defaultRowHeight="13.2"/>
  <cols>
    <col min="1" max="1" width="4.33203125" style="136" customWidth="1"/>
    <col min="2" max="2" width="32.33203125" style="136" customWidth="1"/>
    <col min="3" max="3" width="42.6640625" style="136" customWidth="1"/>
    <col min="4" max="4" width="67.6640625" style="136" customWidth="1"/>
    <col min="5" max="5" width="56.44140625" style="136" customWidth="1"/>
    <col min="6" max="6" width="38.5546875" style="136" customWidth="1"/>
    <col min="7" max="16384" width="9.33203125" style="136"/>
  </cols>
  <sheetData>
    <row r="1" spans="2:4" ht="105.75" customHeight="1"/>
    <row r="3" spans="2:4" ht="33.75" customHeight="1">
      <c r="B3" s="520" t="s">
        <v>1</v>
      </c>
      <c r="C3" s="520"/>
      <c r="D3" s="520"/>
    </row>
    <row r="4" spans="2:4" ht="26.25" customHeight="1"/>
    <row r="5" spans="2:4" ht="26.25" customHeight="1">
      <c r="B5" s="137" t="s">
        <v>2</v>
      </c>
      <c r="C5" s="521" t="s">
        <v>3</v>
      </c>
      <c r="D5" s="522"/>
    </row>
    <row r="6" spans="2:4" ht="26.25" customHeight="1">
      <c r="B6" s="138"/>
      <c r="C6" s="139"/>
      <c r="D6" s="139"/>
    </row>
    <row r="7" spans="2:4" ht="26.25" customHeight="1">
      <c r="B7" s="140" t="s">
        <v>4</v>
      </c>
      <c r="C7" s="523" t="s">
        <v>5</v>
      </c>
      <c r="D7" s="522"/>
    </row>
    <row r="8" spans="2:4" ht="26.25" customHeight="1">
      <c r="B8" s="138"/>
      <c r="C8" s="139"/>
      <c r="D8" s="139"/>
    </row>
    <row r="9" spans="2:4" ht="26.25" customHeight="1">
      <c r="B9" s="141" t="s">
        <v>6</v>
      </c>
      <c r="C9" s="523" t="s">
        <v>7</v>
      </c>
      <c r="D9" s="522"/>
    </row>
    <row r="10" spans="2:4" ht="26.25" customHeight="1">
      <c r="B10" s="142"/>
      <c r="C10" s="139"/>
      <c r="D10" s="139"/>
    </row>
    <row r="11" spans="2:4" ht="26.25" customHeight="1">
      <c r="B11" s="143" t="s">
        <v>8</v>
      </c>
      <c r="C11" s="523" t="s">
        <v>9</v>
      </c>
      <c r="D11" s="522"/>
    </row>
    <row r="12" spans="2:4" ht="22.5" customHeight="1"/>
    <row r="13" spans="2:4" ht="33.75" customHeight="1">
      <c r="B13" s="520" t="s">
        <v>10</v>
      </c>
      <c r="C13" s="520"/>
      <c r="D13" s="520"/>
    </row>
    <row r="14" spans="2:4" ht="22.5" customHeight="1"/>
    <row r="15" spans="2:4" ht="182.25" customHeight="1">
      <c r="B15" s="518" t="s">
        <v>11</v>
      </c>
      <c r="C15" s="519"/>
      <c r="D15" s="519"/>
    </row>
    <row r="16" spans="2:4" ht="22.5" customHeight="1"/>
    <row r="17" spans="2:4" ht="33.75" customHeight="1">
      <c r="B17" s="520" t="s">
        <v>12</v>
      </c>
      <c r="C17" s="520"/>
      <c r="D17" s="520"/>
    </row>
    <row r="18" spans="2:4" ht="22.5" customHeight="1"/>
    <row r="19" spans="2:4" ht="73.5" customHeight="1">
      <c r="B19" s="518" t="s">
        <v>13</v>
      </c>
      <c r="C19" s="519"/>
      <c r="D19" s="519"/>
    </row>
    <row r="20" spans="2:4" ht="22.5" customHeight="1"/>
    <row r="21" spans="2:4" ht="22.5" customHeight="1"/>
    <row r="22" spans="2:4" ht="22.5" customHeight="1"/>
    <row r="23" spans="2:4" ht="22.5" customHeight="1"/>
    <row r="24" spans="2:4" ht="22.5" customHeight="1"/>
    <row r="25" spans="2:4" ht="22.5" customHeight="1"/>
    <row r="26" spans="2:4" ht="22.5" customHeight="1"/>
    <row r="27" spans="2:4" ht="22.5" customHeight="1"/>
    <row r="28" spans="2:4" ht="22.5" customHeight="1"/>
    <row r="29" spans="2:4" ht="22.5" customHeight="1"/>
    <row r="30" spans="2:4" ht="22.5" customHeight="1"/>
  </sheetData>
  <sheetProtection algorithmName="SHA-512" hashValue="QcfTarYZmErN1u9d9+YZ82A4CbsLLG/UnaixXTnD2mWn139adsM4+0rJ9Lainqd0B9qaP/6ZeKIphYQxHr97vA==" saltValue="QwTXyN0VqmjBsEGeLgP6CQ==" spinCount="100000" sheet="1" objects="1" scenarios="1" selectLockedCells="1" selectUnlockedCells="1"/>
  <customSheetViews>
    <customSheetView guid="{BA12A2B5-8B2E-47CE-85C5-00A71CD7042B}" showGridLines="0" showRowCol="0">
      <selection activeCell="B3" sqref="B3:D3"/>
      <pageMargins left="0" right="0" top="0" bottom="0" header="0" footer="0"/>
      <pageSetup paperSize="9" orientation="portrait" r:id="rId1"/>
    </customSheetView>
    <customSheetView guid="{6E4579C3-98CA-4325-AF39-19A629870080}" showGridLines="0" showRowCol="0">
      <selection activeCell="B3" sqref="B3:D3"/>
      <pageMargins left="0" right="0" top="0" bottom="0" header="0" footer="0"/>
      <pageSetup paperSize="9" orientation="portrait" r:id="rId2"/>
    </customSheetView>
    <customSheetView guid="{BC75B7F8-7A05-4F92-B953-0DB7EDA000F8}" showGridLines="0" showRowCol="0">
      <selection activeCell="B3" sqref="B3:D3"/>
      <pageMargins left="0" right="0" top="0" bottom="0" header="0" footer="0"/>
      <pageSetup paperSize="9" orientation="portrait" r:id="rId3"/>
    </customSheetView>
    <customSheetView guid="{BF159B5C-C230-4B3A-8DDE-333808894C93}" showGridLines="0" showRowCol="0" topLeftCell="A22">
      <selection activeCell="B3" sqref="B3:D3"/>
      <pageMargins left="0" right="0" top="0" bottom="0" header="0" footer="0"/>
      <pageSetup paperSize="9" orientation="portrait" r:id="rId4"/>
    </customSheetView>
  </customSheetViews>
  <mergeCells count="9">
    <mergeCell ref="B15:D15"/>
    <mergeCell ref="B17:D17"/>
    <mergeCell ref="B19:D19"/>
    <mergeCell ref="B3:D3"/>
    <mergeCell ref="C5:D5"/>
    <mergeCell ref="C7:D7"/>
    <mergeCell ref="C9:D9"/>
    <mergeCell ref="C11:D11"/>
    <mergeCell ref="B13:D13"/>
  </mergeCells>
  <pageMargins left="0.7" right="0.7" top="0.75" bottom="0.75" header="0.3" footer="0.3"/>
  <pageSetup paperSize="9" orientation="portrait" r:id="rId5"/>
  <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K602"/>
  <sheetViews>
    <sheetView showGridLines="0" topLeftCell="A2" zoomScaleNormal="100" workbookViewId="0">
      <selection activeCell="I8" sqref="I8"/>
    </sheetView>
  </sheetViews>
  <sheetFormatPr defaultColWidth="9.33203125" defaultRowHeight="13.8"/>
  <cols>
    <col min="1" max="1" width="3.6640625" style="274" customWidth="1"/>
    <col min="2" max="2" width="27.6640625" style="274" customWidth="1"/>
    <col min="3" max="3" width="24.109375" style="274" customWidth="1"/>
    <col min="4" max="4" width="7.33203125" style="274" bestFit="1" customWidth="1"/>
    <col min="5" max="5" width="9.5546875" style="274" bestFit="1" customWidth="1"/>
    <col min="6" max="6" width="9.33203125" style="274" bestFit="1" customWidth="1"/>
    <col min="7" max="7" width="22.33203125" style="274" bestFit="1" customWidth="1"/>
    <col min="8" max="8" width="15.6640625" style="274" bestFit="1" customWidth="1"/>
    <col min="9" max="11" width="50.6640625" style="274" customWidth="1"/>
    <col min="12" max="16384" width="9.33203125" style="144"/>
  </cols>
  <sheetData>
    <row r="1" spans="1:11" s="144" customFormat="1" ht="101.25" customHeight="1"/>
    <row r="2" spans="1:11" ht="69" customHeight="1">
      <c r="A2" s="144"/>
      <c r="B2" s="539" t="s">
        <v>14</v>
      </c>
      <c r="C2" s="539"/>
      <c r="D2" s="539"/>
      <c r="E2" s="539"/>
      <c r="F2" s="539"/>
      <c r="G2" s="539"/>
      <c r="H2" s="539"/>
      <c r="I2" s="255"/>
      <c r="J2" s="144"/>
      <c r="K2" s="144"/>
    </row>
    <row r="3" spans="1:11" s="144" customFormat="1" ht="22.5" customHeight="1">
      <c r="B3" s="145"/>
      <c r="C3" s="145"/>
      <c r="D3" s="145"/>
    </row>
    <row r="4" spans="1:11" ht="33.75" customHeight="1">
      <c r="A4" s="144"/>
      <c r="B4" s="146" t="s">
        <v>15</v>
      </c>
      <c r="C4" s="253"/>
      <c r="D4" s="253"/>
      <c r="E4" s="254"/>
      <c r="F4" s="254"/>
      <c r="G4" s="254"/>
      <c r="H4" s="254"/>
      <c r="I4"/>
      <c r="J4" s="144"/>
      <c r="K4" s="144"/>
    </row>
    <row r="5" spans="1:11" s="144" customFormat="1" ht="30" customHeight="1">
      <c r="B5" s="147"/>
      <c r="C5" s="148"/>
      <c r="D5" s="148"/>
      <c r="I5"/>
    </row>
    <row r="6" spans="1:11" s="144" customFormat="1" ht="30" customHeight="1">
      <c r="B6" s="190"/>
      <c r="C6" s="209" t="s">
        <v>16</v>
      </c>
      <c r="D6" s="543" t="s">
        <v>17</v>
      </c>
      <c r="E6" s="543"/>
      <c r="F6" s="543"/>
      <c r="G6" s="543"/>
      <c r="H6" s="543"/>
      <c r="I6"/>
    </row>
    <row r="7" spans="1:11" s="144" customFormat="1" ht="55.8" customHeight="1">
      <c r="B7" s="525" t="s">
        <v>18</v>
      </c>
      <c r="C7" s="149" t="s">
        <v>2032</v>
      </c>
      <c r="D7" s="524" t="s">
        <v>2033</v>
      </c>
      <c r="E7" s="524"/>
      <c r="F7" s="524"/>
      <c r="G7" s="524"/>
      <c r="H7" s="524"/>
      <c r="I7"/>
    </row>
    <row r="8" spans="1:11" s="144" customFormat="1" ht="57" customHeight="1">
      <c r="B8" s="525"/>
      <c r="C8" s="149" t="s">
        <v>2025</v>
      </c>
      <c r="D8" s="524" t="s">
        <v>2026</v>
      </c>
      <c r="E8" s="524"/>
      <c r="F8" s="524"/>
      <c r="G8" s="524"/>
      <c r="H8" s="524"/>
      <c r="I8"/>
    </row>
    <row r="9" spans="1:11" s="144" customFormat="1" ht="30" customHeight="1">
      <c r="B9" s="525"/>
      <c r="C9" s="149" t="s">
        <v>19</v>
      </c>
      <c r="D9" s="524" t="s">
        <v>20</v>
      </c>
      <c r="E9" s="524"/>
      <c r="F9" s="524"/>
      <c r="G9" s="524"/>
      <c r="H9" s="524"/>
      <c r="I9"/>
    </row>
    <row r="10" spans="1:11" s="144" customFormat="1" ht="30" customHeight="1">
      <c r="B10" s="525"/>
      <c r="C10" s="149" t="s">
        <v>21</v>
      </c>
      <c r="D10" s="524" t="s">
        <v>22</v>
      </c>
      <c r="E10" s="524"/>
      <c r="F10" s="524"/>
      <c r="G10" s="524"/>
      <c r="H10" s="524"/>
      <c r="I10"/>
    </row>
    <row r="11" spans="1:11" s="144" customFormat="1" ht="60" customHeight="1">
      <c r="B11" s="525"/>
      <c r="C11" s="149" t="s">
        <v>23</v>
      </c>
      <c r="D11" s="524" t="s">
        <v>24</v>
      </c>
      <c r="E11" s="524"/>
      <c r="F11" s="524"/>
      <c r="G11" s="524"/>
      <c r="H11" s="524"/>
      <c r="I11"/>
    </row>
    <row r="12" spans="1:11" s="144" customFormat="1" ht="50.1" customHeight="1">
      <c r="B12" s="525"/>
      <c r="C12" s="149" t="s">
        <v>25</v>
      </c>
      <c r="D12" s="524" t="s">
        <v>26</v>
      </c>
      <c r="E12" s="524"/>
      <c r="F12" s="524"/>
      <c r="G12" s="524"/>
      <c r="H12" s="524"/>
      <c r="I12"/>
    </row>
    <row r="13" spans="1:11" s="144" customFormat="1" ht="65.099999999999994" customHeight="1">
      <c r="B13" s="525"/>
      <c r="C13" s="149" t="s">
        <v>27</v>
      </c>
      <c r="D13" s="544" t="s">
        <v>28</v>
      </c>
      <c r="E13" s="545"/>
      <c r="F13" s="545"/>
      <c r="G13" s="545"/>
      <c r="H13" s="546"/>
      <c r="I13"/>
    </row>
    <row r="14" spans="1:11" s="144" customFormat="1" ht="20.100000000000001" customHeight="1">
      <c r="B14" s="525"/>
      <c r="C14" s="149" t="s">
        <v>29</v>
      </c>
      <c r="D14" s="541" t="s">
        <v>22</v>
      </c>
      <c r="E14" s="541"/>
      <c r="F14" s="541"/>
      <c r="G14" s="541"/>
      <c r="H14" s="541"/>
      <c r="I14"/>
    </row>
    <row r="15" spans="1:11" s="144" customFormat="1" ht="50.1" customHeight="1">
      <c r="B15" s="525"/>
      <c r="C15" s="149" t="s">
        <v>30</v>
      </c>
      <c r="D15" s="541" t="s">
        <v>31</v>
      </c>
      <c r="E15" s="541"/>
      <c r="F15" s="541"/>
      <c r="G15" s="541"/>
      <c r="H15" s="541"/>
      <c r="I15"/>
    </row>
    <row r="16" spans="1:11" s="144" customFormat="1" ht="35.1" customHeight="1">
      <c r="B16" s="525"/>
      <c r="C16" s="149" t="s">
        <v>32</v>
      </c>
      <c r="D16" s="541" t="s">
        <v>33</v>
      </c>
      <c r="E16" s="541"/>
      <c r="F16" s="541"/>
      <c r="G16" s="541"/>
      <c r="H16" s="541"/>
      <c r="I16"/>
    </row>
    <row r="17" spans="1:11" ht="80.099999999999994" customHeight="1">
      <c r="A17" s="144"/>
      <c r="B17" s="525"/>
      <c r="C17" s="149" t="s">
        <v>34</v>
      </c>
      <c r="D17" s="541" t="s">
        <v>35</v>
      </c>
      <c r="E17" s="541"/>
      <c r="F17" s="541"/>
      <c r="G17" s="541"/>
      <c r="H17" s="541"/>
      <c r="I17"/>
      <c r="J17" s="144"/>
      <c r="K17" s="144"/>
    </row>
    <row r="18" spans="1:11" ht="80.099999999999994" customHeight="1">
      <c r="A18" s="144"/>
      <c r="B18" s="526"/>
      <c r="C18" s="149" t="s">
        <v>36</v>
      </c>
      <c r="D18" s="541" t="s">
        <v>37</v>
      </c>
      <c r="E18" s="541"/>
      <c r="F18" s="541"/>
      <c r="G18" s="541"/>
      <c r="H18" s="541"/>
      <c r="I18"/>
      <c r="J18" s="144"/>
      <c r="K18" s="144"/>
    </row>
    <row r="19" spans="1:11" ht="45" customHeight="1">
      <c r="A19" s="144"/>
      <c r="B19" s="209" t="s">
        <v>38</v>
      </c>
      <c r="C19" s="149" t="s">
        <v>39</v>
      </c>
      <c r="D19" s="540" t="s">
        <v>40</v>
      </c>
      <c r="E19" s="540"/>
      <c r="F19" s="540"/>
      <c r="G19" s="540"/>
      <c r="H19" s="540"/>
      <c r="I19"/>
      <c r="J19" s="144"/>
      <c r="K19" s="144"/>
    </row>
    <row r="20" spans="1:11" ht="45" customHeight="1">
      <c r="A20" s="144"/>
      <c r="B20" s="209" t="s">
        <v>41</v>
      </c>
      <c r="C20" s="149" t="s">
        <v>42</v>
      </c>
      <c r="D20" s="540" t="s">
        <v>43</v>
      </c>
      <c r="E20" s="540"/>
      <c r="F20" s="540"/>
      <c r="G20" s="540"/>
      <c r="H20" s="540"/>
      <c r="I20"/>
      <c r="J20" s="144"/>
      <c r="K20" s="144"/>
    </row>
    <row r="21" spans="1:11">
      <c r="A21" s="144"/>
      <c r="B21" s="144"/>
      <c r="C21" s="144"/>
      <c r="D21" s="144"/>
      <c r="E21" s="144"/>
      <c r="F21" s="144"/>
      <c r="G21" s="144"/>
      <c r="H21" s="144"/>
      <c r="I21" s="144"/>
      <c r="J21" s="144"/>
      <c r="K21" s="144"/>
    </row>
    <row r="22" spans="1:11">
      <c r="A22" s="144"/>
      <c r="B22" s="144"/>
      <c r="C22" s="144"/>
      <c r="D22" s="144"/>
      <c r="E22" s="144"/>
      <c r="F22" s="144"/>
      <c r="G22" s="144"/>
      <c r="H22" s="144"/>
      <c r="I22" s="144"/>
      <c r="J22" s="144"/>
      <c r="K22" s="144"/>
    </row>
    <row r="23" spans="1:11">
      <c r="A23" s="144"/>
      <c r="B23" s="144"/>
      <c r="C23" s="144"/>
      <c r="D23" s="144"/>
      <c r="E23" s="144"/>
      <c r="F23" s="144"/>
      <c r="G23" s="144"/>
      <c r="H23" s="144"/>
      <c r="I23" s="144"/>
      <c r="J23" s="144"/>
      <c r="K23" s="144"/>
    </row>
    <row r="24" spans="1:11">
      <c r="A24" s="144"/>
      <c r="B24" s="144"/>
      <c r="C24" s="144"/>
      <c r="D24" s="144"/>
      <c r="E24" s="144"/>
      <c r="F24" s="144"/>
      <c r="G24" s="144"/>
      <c r="H24" s="144"/>
      <c r="I24" s="144"/>
      <c r="J24" s="144"/>
      <c r="K24" s="144"/>
    </row>
    <row r="25" spans="1:11">
      <c r="A25" s="144"/>
      <c r="B25" s="144"/>
      <c r="C25" s="144"/>
      <c r="D25" s="144"/>
      <c r="E25" s="144"/>
      <c r="F25" s="144"/>
      <c r="G25" s="144"/>
      <c r="H25" s="144"/>
      <c r="I25" s="144"/>
      <c r="J25" s="144"/>
      <c r="K25" s="144"/>
    </row>
    <row r="26" spans="1:11" hidden="1">
      <c r="A26" s="144"/>
      <c r="B26" s="144"/>
      <c r="C26" s="144"/>
      <c r="D26" s="144"/>
      <c r="E26" s="144"/>
      <c r="F26" s="144"/>
      <c r="G26" s="144"/>
      <c r="H26" s="144"/>
      <c r="I26" s="144"/>
      <c r="J26" s="144"/>
      <c r="K26" s="144"/>
    </row>
    <row r="27" spans="1:11" ht="21" hidden="1">
      <c r="A27" s="296" t="s">
        <v>44</v>
      </c>
      <c r="B27" s="542" t="s">
        <v>45</v>
      </c>
      <c r="C27" s="542"/>
      <c r="D27" s="542"/>
      <c r="E27" s="542"/>
      <c r="F27" s="542"/>
      <c r="G27" s="542"/>
      <c r="H27" s="542"/>
      <c r="I27" s="542"/>
      <c r="J27" s="297"/>
      <c r="K27" s="297"/>
    </row>
    <row r="28" spans="1:11" hidden="1">
      <c r="A28" s="298" t="s">
        <v>44</v>
      </c>
      <c r="B28" s="299" t="s">
        <v>46</v>
      </c>
      <c r="C28" s="299" t="s">
        <v>47</v>
      </c>
      <c r="D28" s="299" t="s">
        <v>48</v>
      </c>
      <c r="E28" s="299" t="s">
        <v>49</v>
      </c>
      <c r="F28" s="299" t="s">
        <v>50</v>
      </c>
      <c r="G28" s="299" t="s">
        <v>51</v>
      </c>
      <c r="H28" s="299" t="s">
        <v>52</v>
      </c>
      <c r="I28" s="299" t="s">
        <v>53</v>
      </c>
      <c r="J28" s="299" t="s">
        <v>54</v>
      </c>
      <c r="K28" s="299" t="s">
        <v>55</v>
      </c>
    </row>
    <row r="29" spans="1:11" hidden="1">
      <c r="A29" s="298" t="s">
        <v>44</v>
      </c>
      <c r="B29" s="300" t="s">
        <v>56</v>
      </c>
      <c r="C29" s="300">
        <v>43067</v>
      </c>
      <c r="D29" s="301" t="s">
        <v>57</v>
      </c>
      <c r="E29" s="301" t="s">
        <v>58</v>
      </c>
      <c r="F29" s="301" t="s">
        <v>57</v>
      </c>
      <c r="G29" s="301" t="s">
        <v>59</v>
      </c>
      <c r="H29" s="301" t="s">
        <v>60</v>
      </c>
      <c r="I29" s="302" t="s">
        <v>61</v>
      </c>
      <c r="J29" s="302" t="s">
        <v>62</v>
      </c>
      <c r="K29" s="302" t="s">
        <v>63</v>
      </c>
    </row>
    <row r="30" spans="1:11" hidden="1">
      <c r="A30" s="298" t="s">
        <v>44</v>
      </c>
      <c r="B30" s="300" t="s">
        <v>56</v>
      </c>
      <c r="C30" s="300">
        <v>43067</v>
      </c>
      <c r="D30" s="301" t="s">
        <v>57</v>
      </c>
      <c r="E30" s="301" t="s">
        <v>58</v>
      </c>
      <c r="F30" s="301" t="s">
        <v>57</v>
      </c>
      <c r="G30" s="301" t="s">
        <v>59</v>
      </c>
      <c r="H30" s="301" t="s">
        <v>64</v>
      </c>
      <c r="I30" s="302" t="s">
        <v>65</v>
      </c>
      <c r="J30" s="302" t="s">
        <v>66</v>
      </c>
      <c r="K30" s="302" t="s">
        <v>67</v>
      </c>
    </row>
    <row r="31" spans="1:11" hidden="1">
      <c r="A31" s="298" t="s">
        <v>44</v>
      </c>
      <c r="B31" s="300" t="s">
        <v>56</v>
      </c>
      <c r="C31" s="300">
        <v>43067</v>
      </c>
      <c r="D31" s="301" t="s">
        <v>57</v>
      </c>
      <c r="E31" s="301" t="s">
        <v>58</v>
      </c>
      <c r="F31" s="301" t="s">
        <v>57</v>
      </c>
      <c r="G31" s="301" t="s">
        <v>59</v>
      </c>
      <c r="H31" s="301" t="s">
        <v>68</v>
      </c>
      <c r="I31" s="302" t="s">
        <v>69</v>
      </c>
      <c r="J31" s="302"/>
      <c r="K31" s="302" t="s">
        <v>70</v>
      </c>
    </row>
    <row r="32" spans="1:11" ht="26.4" hidden="1">
      <c r="A32" s="298" t="s">
        <v>44</v>
      </c>
      <c r="B32" s="300" t="s">
        <v>56</v>
      </c>
      <c r="C32" s="300">
        <v>43067</v>
      </c>
      <c r="D32" s="301" t="s">
        <v>57</v>
      </c>
      <c r="E32" s="301" t="s">
        <v>58</v>
      </c>
      <c r="F32" s="301" t="s">
        <v>57</v>
      </c>
      <c r="G32" s="301" t="s">
        <v>71</v>
      </c>
      <c r="H32" s="303" t="s">
        <v>72</v>
      </c>
      <c r="I32" s="304" t="s">
        <v>73</v>
      </c>
      <c r="J32" s="305"/>
      <c r="K32" s="305" t="s">
        <v>74</v>
      </c>
    </row>
    <row r="33" spans="1:11" ht="26.4" hidden="1">
      <c r="A33" s="298" t="s">
        <v>44</v>
      </c>
      <c r="B33" s="300" t="s">
        <v>56</v>
      </c>
      <c r="C33" s="300">
        <v>43067</v>
      </c>
      <c r="D33" s="301" t="s">
        <v>57</v>
      </c>
      <c r="E33" s="301" t="s">
        <v>58</v>
      </c>
      <c r="F33" s="301" t="s">
        <v>57</v>
      </c>
      <c r="G33" s="301" t="s">
        <v>71</v>
      </c>
      <c r="H33" s="303" t="s">
        <v>75</v>
      </c>
      <c r="I33" s="305" t="s">
        <v>76</v>
      </c>
      <c r="J33" s="305"/>
      <c r="K33" s="305" t="s">
        <v>77</v>
      </c>
    </row>
    <row r="34" spans="1:11" hidden="1">
      <c r="A34" s="298" t="s">
        <v>44</v>
      </c>
      <c r="B34" s="300" t="s">
        <v>56</v>
      </c>
      <c r="C34" s="300">
        <v>43067</v>
      </c>
      <c r="D34" s="301" t="s">
        <v>78</v>
      </c>
      <c r="E34" s="303" t="s">
        <v>57</v>
      </c>
      <c r="F34" s="301" t="s">
        <v>57</v>
      </c>
      <c r="G34" s="301" t="s">
        <v>71</v>
      </c>
      <c r="H34" s="303" t="s">
        <v>79</v>
      </c>
      <c r="I34" s="304" t="s">
        <v>80</v>
      </c>
      <c r="J34" s="305" t="s">
        <v>81</v>
      </c>
      <c r="K34" s="305" t="s">
        <v>82</v>
      </c>
    </row>
    <row r="35" spans="1:11" ht="26.4" hidden="1">
      <c r="A35" s="298" t="s">
        <v>44</v>
      </c>
      <c r="B35" s="300" t="s">
        <v>56</v>
      </c>
      <c r="C35" s="300">
        <v>43067</v>
      </c>
      <c r="D35" s="301" t="s">
        <v>78</v>
      </c>
      <c r="E35" s="303" t="s">
        <v>57</v>
      </c>
      <c r="F35" s="301" t="s">
        <v>57</v>
      </c>
      <c r="G35" s="301" t="s">
        <v>71</v>
      </c>
      <c r="H35" s="301" t="s">
        <v>83</v>
      </c>
      <c r="I35" s="302" t="s">
        <v>84</v>
      </c>
      <c r="J35" s="305" t="s">
        <v>85</v>
      </c>
      <c r="K35" s="305" t="s">
        <v>82</v>
      </c>
    </row>
    <row r="36" spans="1:11" ht="26.4" hidden="1">
      <c r="A36" s="298" t="s">
        <v>44</v>
      </c>
      <c r="B36" s="300" t="s">
        <v>56</v>
      </c>
      <c r="C36" s="300">
        <v>43067</v>
      </c>
      <c r="D36" s="301" t="s">
        <v>78</v>
      </c>
      <c r="E36" s="303" t="s">
        <v>57</v>
      </c>
      <c r="F36" s="301" t="s">
        <v>57</v>
      </c>
      <c r="G36" s="301" t="s">
        <v>71</v>
      </c>
      <c r="H36" s="301" t="s">
        <v>86</v>
      </c>
      <c r="I36" s="302" t="s">
        <v>87</v>
      </c>
      <c r="J36" s="306" t="s">
        <v>88</v>
      </c>
      <c r="K36" s="305" t="s">
        <v>82</v>
      </c>
    </row>
    <row r="37" spans="1:11" ht="26.4" hidden="1">
      <c r="A37" s="298" t="s">
        <v>44</v>
      </c>
      <c r="B37" s="300" t="s">
        <v>56</v>
      </c>
      <c r="C37" s="300">
        <v>43067</v>
      </c>
      <c r="D37" s="301" t="s">
        <v>78</v>
      </c>
      <c r="E37" s="303" t="s">
        <v>57</v>
      </c>
      <c r="F37" s="301" t="s">
        <v>57</v>
      </c>
      <c r="G37" s="301" t="s">
        <v>71</v>
      </c>
      <c r="H37" s="301" t="s">
        <v>89</v>
      </c>
      <c r="I37" s="302" t="s">
        <v>90</v>
      </c>
      <c r="J37" s="306" t="s">
        <v>91</v>
      </c>
      <c r="K37" s="305" t="s">
        <v>82</v>
      </c>
    </row>
    <row r="38" spans="1:11" ht="26.4" hidden="1">
      <c r="A38" s="298" t="s">
        <v>44</v>
      </c>
      <c r="B38" s="300" t="s">
        <v>56</v>
      </c>
      <c r="C38" s="300">
        <v>43067</v>
      </c>
      <c r="D38" s="301" t="s">
        <v>78</v>
      </c>
      <c r="E38" s="303" t="s">
        <v>57</v>
      </c>
      <c r="F38" s="301" t="s">
        <v>57</v>
      </c>
      <c r="G38" s="301" t="s">
        <v>71</v>
      </c>
      <c r="H38" s="301" t="s">
        <v>92</v>
      </c>
      <c r="I38" s="302" t="s">
        <v>93</v>
      </c>
      <c r="J38" s="305" t="s">
        <v>94</v>
      </c>
      <c r="K38" s="305" t="s">
        <v>82</v>
      </c>
    </row>
    <row r="39" spans="1:11" hidden="1">
      <c r="A39" s="298" t="s">
        <v>44</v>
      </c>
      <c r="B39" s="300" t="s">
        <v>56</v>
      </c>
      <c r="C39" s="300">
        <v>43067</v>
      </c>
      <c r="D39" s="301" t="s">
        <v>57</v>
      </c>
      <c r="E39" s="303" t="s">
        <v>58</v>
      </c>
      <c r="F39" s="301" t="s">
        <v>57</v>
      </c>
      <c r="G39" s="301" t="s">
        <v>71</v>
      </c>
      <c r="H39" s="301" t="s">
        <v>95</v>
      </c>
      <c r="I39" s="302" t="s">
        <v>96</v>
      </c>
      <c r="J39" s="302" t="s">
        <v>97</v>
      </c>
      <c r="K39" s="305" t="s">
        <v>98</v>
      </c>
    </row>
    <row r="40" spans="1:11" ht="79.2" hidden="1">
      <c r="A40" s="298" t="s">
        <v>44</v>
      </c>
      <c r="B40" s="300" t="s">
        <v>56</v>
      </c>
      <c r="C40" s="300">
        <v>43067</v>
      </c>
      <c r="D40" s="301" t="s">
        <v>57</v>
      </c>
      <c r="E40" s="303" t="s">
        <v>58</v>
      </c>
      <c r="F40" s="301" t="s">
        <v>57</v>
      </c>
      <c r="G40" s="301" t="s">
        <v>71</v>
      </c>
      <c r="H40" s="301" t="s">
        <v>99</v>
      </c>
      <c r="I40" s="302" t="s">
        <v>100</v>
      </c>
      <c r="J40" s="302" t="s">
        <v>101</v>
      </c>
      <c r="K40" s="305" t="s">
        <v>98</v>
      </c>
    </row>
    <row r="41" spans="1:11" ht="26.4" hidden="1">
      <c r="A41" s="298" t="s">
        <v>44</v>
      </c>
      <c r="B41" s="300" t="s">
        <v>56</v>
      </c>
      <c r="C41" s="300">
        <v>43067</v>
      </c>
      <c r="D41" s="301" t="s">
        <v>57</v>
      </c>
      <c r="E41" s="303" t="s">
        <v>58</v>
      </c>
      <c r="F41" s="301" t="s">
        <v>57</v>
      </c>
      <c r="G41" s="301" t="s">
        <v>71</v>
      </c>
      <c r="H41" s="301" t="s">
        <v>102</v>
      </c>
      <c r="I41" s="302">
        <v>3.5999999999999999E-3</v>
      </c>
      <c r="J41" s="302" t="s">
        <v>103</v>
      </c>
      <c r="K41" s="305" t="s">
        <v>98</v>
      </c>
    </row>
    <row r="42" spans="1:11" ht="39.6" hidden="1">
      <c r="A42" s="298" t="s">
        <v>44</v>
      </c>
      <c r="B42" s="300" t="s">
        <v>56</v>
      </c>
      <c r="C42" s="300">
        <v>43067</v>
      </c>
      <c r="D42" s="301" t="s">
        <v>57</v>
      </c>
      <c r="E42" s="303" t="s">
        <v>58</v>
      </c>
      <c r="F42" s="301" t="s">
        <v>57</v>
      </c>
      <c r="G42" s="301" t="s">
        <v>71</v>
      </c>
      <c r="H42" s="301" t="s">
        <v>104</v>
      </c>
      <c r="I42" s="302" t="s">
        <v>105</v>
      </c>
      <c r="J42" s="302" t="s">
        <v>106</v>
      </c>
      <c r="K42" s="305" t="s">
        <v>98</v>
      </c>
    </row>
    <row r="43" spans="1:11" ht="66" hidden="1">
      <c r="A43" s="298" t="s">
        <v>44</v>
      </c>
      <c r="B43" s="300" t="s">
        <v>56</v>
      </c>
      <c r="C43" s="300">
        <v>43067</v>
      </c>
      <c r="D43" s="301" t="s">
        <v>57</v>
      </c>
      <c r="E43" s="303" t="s">
        <v>58</v>
      </c>
      <c r="F43" s="301" t="s">
        <v>57</v>
      </c>
      <c r="G43" s="301" t="s">
        <v>71</v>
      </c>
      <c r="H43" s="301" t="s">
        <v>107</v>
      </c>
      <c r="I43" s="302" t="s">
        <v>108</v>
      </c>
      <c r="J43" s="302" t="s">
        <v>109</v>
      </c>
      <c r="K43" s="305" t="s">
        <v>98</v>
      </c>
    </row>
    <row r="44" spans="1:11" ht="39.6" hidden="1">
      <c r="A44" s="298" t="s">
        <v>44</v>
      </c>
      <c r="B44" s="300" t="s">
        <v>56</v>
      </c>
      <c r="C44" s="300">
        <v>43067</v>
      </c>
      <c r="D44" s="301" t="s">
        <v>57</v>
      </c>
      <c r="E44" s="303" t="s">
        <v>58</v>
      </c>
      <c r="F44" s="301" t="s">
        <v>57</v>
      </c>
      <c r="G44" s="301" t="s">
        <v>71</v>
      </c>
      <c r="H44" s="301" t="s">
        <v>110</v>
      </c>
      <c r="I44" s="302">
        <v>1E-3</v>
      </c>
      <c r="J44" s="302" t="s">
        <v>111</v>
      </c>
      <c r="K44" s="305" t="s">
        <v>98</v>
      </c>
    </row>
    <row r="45" spans="1:11" ht="79.2" hidden="1">
      <c r="A45" s="298" t="s">
        <v>44</v>
      </c>
      <c r="B45" s="300" t="s">
        <v>56</v>
      </c>
      <c r="C45" s="300">
        <v>43067</v>
      </c>
      <c r="D45" s="301" t="s">
        <v>57</v>
      </c>
      <c r="E45" s="303" t="s">
        <v>58</v>
      </c>
      <c r="F45" s="301" t="s">
        <v>57</v>
      </c>
      <c r="G45" s="301" t="s">
        <v>71</v>
      </c>
      <c r="H45" s="301" t="s">
        <v>112</v>
      </c>
      <c r="I45" s="302" t="s">
        <v>113</v>
      </c>
      <c r="J45" s="302" t="s">
        <v>114</v>
      </c>
      <c r="K45" s="305" t="s">
        <v>98</v>
      </c>
    </row>
    <row r="46" spans="1:11" ht="39.6" hidden="1">
      <c r="A46" s="298" t="s">
        <v>44</v>
      </c>
      <c r="B46" s="300" t="s">
        <v>56</v>
      </c>
      <c r="C46" s="300">
        <v>43067</v>
      </c>
      <c r="D46" s="301" t="s">
        <v>57</v>
      </c>
      <c r="E46" s="303" t="s">
        <v>58</v>
      </c>
      <c r="F46" s="301" t="s">
        <v>57</v>
      </c>
      <c r="G46" s="301" t="s">
        <v>71</v>
      </c>
      <c r="H46" s="301" t="s">
        <v>115</v>
      </c>
      <c r="I46" s="302" t="s">
        <v>116</v>
      </c>
      <c r="J46" s="302" t="s">
        <v>117</v>
      </c>
      <c r="K46" s="305" t="s">
        <v>98</v>
      </c>
    </row>
    <row r="47" spans="1:11" ht="79.2" hidden="1">
      <c r="A47" s="298" t="s">
        <v>44</v>
      </c>
      <c r="B47" s="300" t="s">
        <v>56</v>
      </c>
      <c r="C47" s="300">
        <v>43067</v>
      </c>
      <c r="D47" s="301" t="s">
        <v>57</v>
      </c>
      <c r="E47" s="303" t="s">
        <v>58</v>
      </c>
      <c r="F47" s="301" t="s">
        <v>57</v>
      </c>
      <c r="G47" s="301" t="s">
        <v>71</v>
      </c>
      <c r="H47" s="301" t="s">
        <v>118</v>
      </c>
      <c r="I47" s="302" t="s">
        <v>113</v>
      </c>
      <c r="J47" s="302" t="s">
        <v>119</v>
      </c>
      <c r="K47" s="305" t="s">
        <v>98</v>
      </c>
    </row>
    <row r="48" spans="1:11" ht="66" hidden="1">
      <c r="A48" s="298" t="s">
        <v>44</v>
      </c>
      <c r="B48" s="300" t="s">
        <v>56</v>
      </c>
      <c r="C48" s="300">
        <v>43067</v>
      </c>
      <c r="D48" s="301" t="s">
        <v>57</v>
      </c>
      <c r="E48" s="303" t="s">
        <v>58</v>
      </c>
      <c r="F48" s="301" t="s">
        <v>57</v>
      </c>
      <c r="G48" s="301" t="s">
        <v>71</v>
      </c>
      <c r="H48" s="301" t="s">
        <v>120</v>
      </c>
      <c r="I48" s="302" t="s">
        <v>121</v>
      </c>
      <c r="J48" s="302" t="s">
        <v>122</v>
      </c>
      <c r="K48" s="305" t="s">
        <v>98</v>
      </c>
    </row>
    <row r="49" spans="1:11" ht="52.8" hidden="1">
      <c r="A49" s="298" t="s">
        <v>44</v>
      </c>
      <c r="B49" s="300" t="s">
        <v>56</v>
      </c>
      <c r="C49" s="300">
        <v>43067</v>
      </c>
      <c r="D49" s="301" t="s">
        <v>57</v>
      </c>
      <c r="E49" s="303" t="s">
        <v>58</v>
      </c>
      <c r="F49" s="301" t="s">
        <v>57</v>
      </c>
      <c r="G49" s="301" t="s">
        <v>71</v>
      </c>
      <c r="H49" s="301" t="s">
        <v>123</v>
      </c>
      <c r="I49" s="302">
        <v>26.2</v>
      </c>
      <c r="J49" s="302" t="s">
        <v>124</v>
      </c>
      <c r="K49" s="305" t="s">
        <v>98</v>
      </c>
    </row>
    <row r="50" spans="1:11" ht="39.6" hidden="1">
      <c r="A50" s="298" t="s">
        <v>44</v>
      </c>
      <c r="B50" s="300" t="s">
        <v>56</v>
      </c>
      <c r="C50" s="300">
        <v>43067</v>
      </c>
      <c r="D50" s="301" t="s">
        <v>57</v>
      </c>
      <c r="E50" s="303" t="s">
        <v>58</v>
      </c>
      <c r="F50" s="301" t="s">
        <v>57</v>
      </c>
      <c r="G50" s="301" t="s">
        <v>71</v>
      </c>
      <c r="H50" s="301" t="s">
        <v>125</v>
      </c>
      <c r="I50" s="302" t="s">
        <v>126</v>
      </c>
      <c r="J50" s="302" t="s">
        <v>127</v>
      </c>
      <c r="K50" s="305" t="s">
        <v>98</v>
      </c>
    </row>
    <row r="51" spans="1:11" ht="79.2" hidden="1">
      <c r="A51" s="298" t="s">
        <v>44</v>
      </c>
      <c r="B51" s="300" t="s">
        <v>56</v>
      </c>
      <c r="C51" s="300">
        <v>43067</v>
      </c>
      <c r="D51" s="301" t="s">
        <v>57</v>
      </c>
      <c r="E51" s="303" t="s">
        <v>58</v>
      </c>
      <c r="F51" s="301" t="s">
        <v>57</v>
      </c>
      <c r="G51" s="301" t="s">
        <v>71</v>
      </c>
      <c r="H51" s="301" t="s">
        <v>128</v>
      </c>
      <c r="I51" s="302" t="s">
        <v>113</v>
      </c>
      <c r="J51" s="302" t="s">
        <v>129</v>
      </c>
      <c r="K51" s="305" t="s">
        <v>98</v>
      </c>
    </row>
    <row r="52" spans="1:11" ht="66" hidden="1">
      <c r="A52" s="298" t="s">
        <v>44</v>
      </c>
      <c r="B52" s="300" t="s">
        <v>56</v>
      </c>
      <c r="C52" s="300">
        <v>43067</v>
      </c>
      <c r="D52" s="301" t="s">
        <v>57</v>
      </c>
      <c r="E52" s="303" t="s">
        <v>58</v>
      </c>
      <c r="F52" s="301" t="s">
        <v>57</v>
      </c>
      <c r="G52" s="301" t="s">
        <v>71</v>
      </c>
      <c r="H52" s="301" t="s">
        <v>130</v>
      </c>
      <c r="I52" s="302" t="s">
        <v>121</v>
      </c>
      <c r="J52" s="302" t="s">
        <v>131</v>
      </c>
      <c r="K52" s="305" t="s">
        <v>98</v>
      </c>
    </row>
    <row r="53" spans="1:11" ht="39.6" hidden="1">
      <c r="A53" s="298" t="s">
        <v>44</v>
      </c>
      <c r="B53" s="300" t="s">
        <v>56</v>
      </c>
      <c r="C53" s="300">
        <v>43067</v>
      </c>
      <c r="D53" s="301" t="s">
        <v>57</v>
      </c>
      <c r="E53" s="303" t="s">
        <v>58</v>
      </c>
      <c r="F53" s="301" t="s">
        <v>57</v>
      </c>
      <c r="G53" s="301" t="s">
        <v>71</v>
      </c>
      <c r="H53" s="301" t="s">
        <v>132</v>
      </c>
      <c r="I53" s="302">
        <v>38.6</v>
      </c>
      <c r="J53" s="302" t="s">
        <v>133</v>
      </c>
      <c r="K53" s="305" t="s">
        <v>98</v>
      </c>
    </row>
    <row r="54" spans="1:11" ht="39.6" hidden="1">
      <c r="A54" s="298" t="s">
        <v>44</v>
      </c>
      <c r="B54" s="300" t="s">
        <v>56</v>
      </c>
      <c r="C54" s="300">
        <v>43067</v>
      </c>
      <c r="D54" s="301" t="s">
        <v>57</v>
      </c>
      <c r="E54" s="303" t="s">
        <v>58</v>
      </c>
      <c r="F54" s="301" t="s">
        <v>57</v>
      </c>
      <c r="G54" s="301" t="s">
        <v>71</v>
      </c>
      <c r="H54" s="301" t="s">
        <v>134</v>
      </c>
      <c r="I54" s="302" t="s">
        <v>135</v>
      </c>
      <c r="J54" s="302" t="s">
        <v>136</v>
      </c>
      <c r="K54" s="305" t="s">
        <v>98</v>
      </c>
    </row>
    <row r="55" spans="1:11" ht="79.2" hidden="1">
      <c r="A55" s="298" t="s">
        <v>44</v>
      </c>
      <c r="B55" s="300" t="s">
        <v>56</v>
      </c>
      <c r="C55" s="300">
        <v>43067</v>
      </c>
      <c r="D55" s="301" t="s">
        <v>57</v>
      </c>
      <c r="E55" s="303" t="s">
        <v>58</v>
      </c>
      <c r="F55" s="301" t="s">
        <v>57</v>
      </c>
      <c r="G55" s="301" t="s">
        <v>71</v>
      </c>
      <c r="H55" s="301" t="s">
        <v>137</v>
      </c>
      <c r="I55" s="302" t="s">
        <v>113</v>
      </c>
      <c r="J55" s="302" t="s">
        <v>138</v>
      </c>
      <c r="K55" s="305" t="s">
        <v>98</v>
      </c>
    </row>
    <row r="56" spans="1:11" ht="66" hidden="1">
      <c r="A56" s="298" t="s">
        <v>44</v>
      </c>
      <c r="B56" s="300" t="s">
        <v>56</v>
      </c>
      <c r="C56" s="300">
        <v>43067</v>
      </c>
      <c r="D56" s="301" t="s">
        <v>57</v>
      </c>
      <c r="E56" s="303" t="s">
        <v>58</v>
      </c>
      <c r="F56" s="301" t="s">
        <v>57</v>
      </c>
      <c r="G56" s="301" t="s">
        <v>71</v>
      </c>
      <c r="H56" s="301" t="s">
        <v>139</v>
      </c>
      <c r="I56" s="302" t="s">
        <v>140</v>
      </c>
      <c r="J56" s="302" t="s">
        <v>141</v>
      </c>
      <c r="K56" s="305" t="s">
        <v>98</v>
      </c>
    </row>
    <row r="57" spans="1:11" ht="39.6" hidden="1">
      <c r="A57" s="298" t="s">
        <v>44</v>
      </c>
      <c r="B57" s="300" t="s">
        <v>56</v>
      </c>
      <c r="C57" s="300">
        <v>43067</v>
      </c>
      <c r="D57" s="301" t="s">
        <v>57</v>
      </c>
      <c r="E57" s="303" t="s">
        <v>58</v>
      </c>
      <c r="F57" s="301" t="s">
        <v>57</v>
      </c>
      <c r="G57" s="301" t="s">
        <v>71</v>
      </c>
      <c r="H57" s="301" t="s">
        <v>142</v>
      </c>
      <c r="I57" s="302">
        <v>27</v>
      </c>
      <c r="J57" s="302" t="s">
        <v>143</v>
      </c>
      <c r="K57" s="305" t="s">
        <v>98</v>
      </c>
    </row>
    <row r="58" spans="1:11" ht="39.6" hidden="1">
      <c r="A58" s="298" t="s">
        <v>44</v>
      </c>
      <c r="B58" s="300" t="s">
        <v>56</v>
      </c>
      <c r="C58" s="300">
        <v>43067</v>
      </c>
      <c r="D58" s="301" t="s">
        <v>57</v>
      </c>
      <c r="E58" s="303" t="s">
        <v>58</v>
      </c>
      <c r="F58" s="301" t="s">
        <v>57</v>
      </c>
      <c r="G58" s="301" t="s">
        <v>71</v>
      </c>
      <c r="H58" s="301" t="s">
        <v>144</v>
      </c>
      <c r="I58" s="302" t="s">
        <v>145</v>
      </c>
      <c r="J58" s="302" t="s">
        <v>146</v>
      </c>
      <c r="K58" s="305" t="s">
        <v>98</v>
      </c>
    </row>
    <row r="59" spans="1:11" ht="92.4" hidden="1">
      <c r="A59" s="298" t="s">
        <v>44</v>
      </c>
      <c r="B59" s="300" t="s">
        <v>56</v>
      </c>
      <c r="C59" s="300">
        <v>43067</v>
      </c>
      <c r="D59" s="301" t="s">
        <v>57</v>
      </c>
      <c r="E59" s="303" t="s">
        <v>58</v>
      </c>
      <c r="F59" s="301" t="s">
        <v>57</v>
      </c>
      <c r="G59" s="301" t="s">
        <v>71</v>
      </c>
      <c r="H59" s="301" t="s">
        <v>147</v>
      </c>
      <c r="I59" s="302" t="s">
        <v>148</v>
      </c>
      <c r="J59" s="302" t="s">
        <v>149</v>
      </c>
      <c r="K59" s="305" t="s">
        <v>98</v>
      </c>
    </row>
    <row r="60" spans="1:11" ht="92.4" hidden="1">
      <c r="A60" s="298" t="s">
        <v>44</v>
      </c>
      <c r="B60" s="300" t="s">
        <v>56</v>
      </c>
      <c r="C60" s="300">
        <v>43067</v>
      </c>
      <c r="D60" s="301" t="s">
        <v>57</v>
      </c>
      <c r="E60" s="303" t="s">
        <v>58</v>
      </c>
      <c r="F60" s="301" t="s">
        <v>57</v>
      </c>
      <c r="G60" s="301" t="s">
        <v>71</v>
      </c>
      <c r="H60" s="301" t="s">
        <v>150</v>
      </c>
      <c r="I60" s="302" t="s">
        <v>151</v>
      </c>
      <c r="J60" s="302" t="s">
        <v>152</v>
      </c>
      <c r="K60" s="305" t="s">
        <v>98</v>
      </c>
    </row>
    <row r="61" spans="1:11" ht="92.4" hidden="1">
      <c r="A61" s="298" t="s">
        <v>44</v>
      </c>
      <c r="B61" s="300" t="s">
        <v>56</v>
      </c>
      <c r="C61" s="300">
        <v>43067</v>
      </c>
      <c r="D61" s="301" t="s">
        <v>57</v>
      </c>
      <c r="E61" s="303" t="s">
        <v>58</v>
      </c>
      <c r="F61" s="301" t="s">
        <v>57</v>
      </c>
      <c r="G61" s="301" t="s">
        <v>71</v>
      </c>
      <c r="H61" s="301" t="s">
        <v>153</v>
      </c>
      <c r="I61" s="302" t="s">
        <v>154</v>
      </c>
      <c r="J61" s="302" t="s">
        <v>155</v>
      </c>
      <c r="K61" s="305" t="s">
        <v>98</v>
      </c>
    </row>
    <row r="62" spans="1:11" ht="92.4" hidden="1">
      <c r="A62" s="298" t="s">
        <v>44</v>
      </c>
      <c r="B62" s="300" t="s">
        <v>56</v>
      </c>
      <c r="C62" s="300">
        <v>43067</v>
      </c>
      <c r="D62" s="301" t="s">
        <v>57</v>
      </c>
      <c r="E62" s="303" t="s">
        <v>58</v>
      </c>
      <c r="F62" s="301" t="s">
        <v>57</v>
      </c>
      <c r="G62" s="301" t="s">
        <v>71</v>
      </c>
      <c r="H62" s="301" t="s">
        <v>156</v>
      </c>
      <c r="I62" s="302" t="s">
        <v>157</v>
      </c>
      <c r="J62" s="302" t="s">
        <v>158</v>
      </c>
      <c r="K62" s="305" t="s">
        <v>98</v>
      </c>
    </row>
    <row r="63" spans="1:11" ht="92.4" hidden="1">
      <c r="A63" s="298" t="s">
        <v>44</v>
      </c>
      <c r="B63" s="300" t="s">
        <v>56</v>
      </c>
      <c r="C63" s="300">
        <v>43067</v>
      </c>
      <c r="D63" s="301" t="s">
        <v>57</v>
      </c>
      <c r="E63" s="303" t="s">
        <v>58</v>
      </c>
      <c r="F63" s="301" t="s">
        <v>57</v>
      </c>
      <c r="G63" s="301" t="s">
        <v>71</v>
      </c>
      <c r="H63" s="301" t="s">
        <v>159</v>
      </c>
      <c r="I63" s="302" t="s">
        <v>160</v>
      </c>
      <c r="J63" s="302" t="s">
        <v>161</v>
      </c>
      <c r="K63" s="305" t="s">
        <v>98</v>
      </c>
    </row>
    <row r="64" spans="1:11" ht="79.2" hidden="1">
      <c r="A64" s="298" t="s">
        <v>44</v>
      </c>
      <c r="B64" s="300" t="s">
        <v>56</v>
      </c>
      <c r="C64" s="300">
        <v>43067</v>
      </c>
      <c r="D64" s="301" t="s">
        <v>57</v>
      </c>
      <c r="E64" s="303" t="s">
        <v>58</v>
      </c>
      <c r="F64" s="301" t="s">
        <v>57</v>
      </c>
      <c r="G64" s="301" t="s">
        <v>162</v>
      </c>
      <c r="H64" s="301" t="s">
        <v>163</v>
      </c>
      <c r="I64" s="302" t="s">
        <v>164</v>
      </c>
      <c r="J64" s="302" t="s">
        <v>165</v>
      </c>
      <c r="K64" s="305" t="s">
        <v>98</v>
      </c>
    </row>
    <row r="65" spans="1:11" ht="79.2" hidden="1">
      <c r="A65" s="298" t="s">
        <v>44</v>
      </c>
      <c r="B65" s="300" t="s">
        <v>56</v>
      </c>
      <c r="C65" s="300">
        <v>43067</v>
      </c>
      <c r="D65" s="301" t="s">
        <v>57</v>
      </c>
      <c r="E65" s="303" t="s">
        <v>58</v>
      </c>
      <c r="F65" s="301" t="s">
        <v>57</v>
      </c>
      <c r="G65" s="301" t="s">
        <v>162</v>
      </c>
      <c r="H65" s="301" t="s">
        <v>166</v>
      </c>
      <c r="I65" s="302" t="s">
        <v>167</v>
      </c>
      <c r="J65" s="302" t="s">
        <v>168</v>
      </c>
      <c r="K65" s="305" t="s">
        <v>98</v>
      </c>
    </row>
    <row r="66" spans="1:11" ht="79.2" hidden="1">
      <c r="A66" s="298" t="s">
        <v>44</v>
      </c>
      <c r="B66" s="300" t="s">
        <v>56</v>
      </c>
      <c r="C66" s="300">
        <v>43067</v>
      </c>
      <c r="D66" s="301" t="s">
        <v>57</v>
      </c>
      <c r="E66" s="303" t="s">
        <v>58</v>
      </c>
      <c r="F66" s="301" t="s">
        <v>57</v>
      </c>
      <c r="G66" s="301" t="s">
        <v>162</v>
      </c>
      <c r="H66" s="301" t="s">
        <v>169</v>
      </c>
      <c r="I66" s="302" t="s">
        <v>170</v>
      </c>
      <c r="J66" s="302" t="s">
        <v>171</v>
      </c>
      <c r="K66" s="305" t="s">
        <v>98</v>
      </c>
    </row>
    <row r="67" spans="1:11" ht="79.2" hidden="1">
      <c r="A67" s="298" t="s">
        <v>44</v>
      </c>
      <c r="B67" s="300" t="s">
        <v>56</v>
      </c>
      <c r="C67" s="300">
        <v>43067</v>
      </c>
      <c r="D67" s="301" t="s">
        <v>57</v>
      </c>
      <c r="E67" s="303" t="s">
        <v>58</v>
      </c>
      <c r="F67" s="301" t="s">
        <v>57</v>
      </c>
      <c r="G67" s="301" t="s">
        <v>162</v>
      </c>
      <c r="H67" s="301" t="s">
        <v>172</v>
      </c>
      <c r="I67" s="302" t="s">
        <v>173</v>
      </c>
      <c r="J67" s="302" t="s">
        <v>174</v>
      </c>
      <c r="K67" s="305" t="s">
        <v>98</v>
      </c>
    </row>
    <row r="68" spans="1:11" ht="79.2" hidden="1">
      <c r="A68" s="298" t="s">
        <v>44</v>
      </c>
      <c r="B68" s="300" t="s">
        <v>56</v>
      </c>
      <c r="C68" s="300">
        <v>43067</v>
      </c>
      <c r="D68" s="301" t="s">
        <v>57</v>
      </c>
      <c r="E68" s="303" t="s">
        <v>58</v>
      </c>
      <c r="F68" s="301" t="s">
        <v>57</v>
      </c>
      <c r="G68" s="301" t="s">
        <v>162</v>
      </c>
      <c r="H68" s="301" t="s">
        <v>175</v>
      </c>
      <c r="I68" s="302" t="s">
        <v>176</v>
      </c>
      <c r="J68" s="302" t="s">
        <v>177</v>
      </c>
      <c r="K68" s="305" t="s">
        <v>98</v>
      </c>
    </row>
    <row r="69" spans="1:11" ht="79.2" hidden="1">
      <c r="A69" s="298" t="s">
        <v>44</v>
      </c>
      <c r="B69" s="300" t="s">
        <v>56</v>
      </c>
      <c r="C69" s="300">
        <v>43067</v>
      </c>
      <c r="D69" s="301" t="s">
        <v>57</v>
      </c>
      <c r="E69" s="303" t="s">
        <v>58</v>
      </c>
      <c r="F69" s="301" t="s">
        <v>57</v>
      </c>
      <c r="G69" s="301" t="s">
        <v>162</v>
      </c>
      <c r="H69" s="301" t="s">
        <v>178</v>
      </c>
      <c r="I69" s="302" t="s">
        <v>179</v>
      </c>
      <c r="J69" s="302" t="s">
        <v>180</v>
      </c>
      <c r="K69" s="305" t="s">
        <v>98</v>
      </c>
    </row>
    <row r="70" spans="1:11" ht="79.2" hidden="1">
      <c r="A70" s="298" t="s">
        <v>44</v>
      </c>
      <c r="B70" s="300" t="s">
        <v>56</v>
      </c>
      <c r="C70" s="300">
        <v>43067</v>
      </c>
      <c r="D70" s="301" t="s">
        <v>57</v>
      </c>
      <c r="E70" s="303" t="s">
        <v>58</v>
      </c>
      <c r="F70" s="301" t="s">
        <v>57</v>
      </c>
      <c r="G70" s="301" t="s">
        <v>162</v>
      </c>
      <c r="H70" s="301" t="s">
        <v>181</v>
      </c>
      <c r="I70" s="302" t="s">
        <v>182</v>
      </c>
      <c r="J70" s="302" t="s">
        <v>183</v>
      </c>
      <c r="K70" s="305" t="s">
        <v>98</v>
      </c>
    </row>
    <row r="71" spans="1:11" ht="79.2" hidden="1">
      <c r="A71" s="298" t="s">
        <v>44</v>
      </c>
      <c r="B71" s="300" t="s">
        <v>56</v>
      </c>
      <c r="C71" s="300">
        <v>43067</v>
      </c>
      <c r="D71" s="301" t="s">
        <v>57</v>
      </c>
      <c r="E71" s="303" t="s">
        <v>58</v>
      </c>
      <c r="F71" s="301" t="s">
        <v>57</v>
      </c>
      <c r="G71" s="301" t="s">
        <v>162</v>
      </c>
      <c r="H71" s="301" t="s">
        <v>184</v>
      </c>
      <c r="I71" s="302" t="s">
        <v>185</v>
      </c>
      <c r="J71" s="302" t="s">
        <v>186</v>
      </c>
      <c r="K71" s="305" t="s">
        <v>98</v>
      </c>
    </row>
    <row r="72" spans="1:11" ht="79.2" hidden="1">
      <c r="A72" s="298" t="s">
        <v>44</v>
      </c>
      <c r="B72" s="300" t="s">
        <v>56</v>
      </c>
      <c r="C72" s="300">
        <v>43067</v>
      </c>
      <c r="D72" s="301" t="s">
        <v>57</v>
      </c>
      <c r="E72" s="303" t="s">
        <v>58</v>
      </c>
      <c r="F72" s="301" t="s">
        <v>57</v>
      </c>
      <c r="G72" s="301" t="s">
        <v>162</v>
      </c>
      <c r="H72" s="301" t="s">
        <v>187</v>
      </c>
      <c r="I72" s="302" t="s">
        <v>188</v>
      </c>
      <c r="J72" s="302" t="s">
        <v>189</v>
      </c>
      <c r="K72" s="305" t="s">
        <v>98</v>
      </c>
    </row>
    <row r="73" spans="1:11" ht="79.2" hidden="1">
      <c r="A73" s="298" t="s">
        <v>44</v>
      </c>
      <c r="B73" s="300" t="s">
        <v>56</v>
      </c>
      <c r="C73" s="300">
        <v>43067</v>
      </c>
      <c r="D73" s="301" t="s">
        <v>57</v>
      </c>
      <c r="E73" s="303" t="s">
        <v>58</v>
      </c>
      <c r="F73" s="301" t="s">
        <v>57</v>
      </c>
      <c r="G73" s="301" t="s">
        <v>162</v>
      </c>
      <c r="H73" s="301" t="s">
        <v>190</v>
      </c>
      <c r="I73" s="302" t="s">
        <v>191</v>
      </c>
      <c r="J73" s="302" t="s">
        <v>192</v>
      </c>
      <c r="K73" s="305" t="s">
        <v>98</v>
      </c>
    </row>
    <row r="74" spans="1:11" ht="79.2" hidden="1">
      <c r="A74" s="298" t="s">
        <v>44</v>
      </c>
      <c r="B74" s="300" t="s">
        <v>56</v>
      </c>
      <c r="C74" s="300">
        <v>43067</v>
      </c>
      <c r="D74" s="301" t="s">
        <v>57</v>
      </c>
      <c r="E74" s="303" t="s">
        <v>58</v>
      </c>
      <c r="F74" s="301" t="s">
        <v>57</v>
      </c>
      <c r="G74" s="301" t="s">
        <v>162</v>
      </c>
      <c r="H74" s="301" t="s">
        <v>193</v>
      </c>
      <c r="I74" s="302" t="s">
        <v>194</v>
      </c>
      <c r="J74" s="302" t="s">
        <v>195</v>
      </c>
      <c r="K74" s="305" t="s">
        <v>98</v>
      </c>
    </row>
    <row r="75" spans="1:11" ht="79.2" hidden="1">
      <c r="A75" s="298" t="s">
        <v>44</v>
      </c>
      <c r="B75" s="300" t="s">
        <v>56</v>
      </c>
      <c r="C75" s="300">
        <v>43067</v>
      </c>
      <c r="D75" s="301" t="s">
        <v>57</v>
      </c>
      <c r="E75" s="303" t="s">
        <v>58</v>
      </c>
      <c r="F75" s="301" t="s">
        <v>57</v>
      </c>
      <c r="G75" s="301" t="s">
        <v>162</v>
      </c>
      <c r="H75" s="301" t="s">
        <v>196</v>
      </c>
      <c r="I75" s="302" t="s">
        <v>197</v>
      </c>
      <c r="J75" s="302" t="s">
        <v>198</v>
      </c>
      <c r="K75" s="305" t="s">
        <v>98</v>
      </c>
    </row>
    <row r="76" spans="1:11" ht="79.2" hidden="1">
      <c r="A76" s="298" t="s">
        <v>44</v>
      </c>
      <c r="B76" s="300" t="s">
        <v>56</v>
      </c>
      <c r="C76" s="300">
        <v>43067</v>
      </c>
      <c r="D76" s="301" t="s">
        <v>57</v>
      </c>
      <c r="E76" s="303" t="s">
        <v>58</v>
      </c>
      <c r="F76" s="301" t="s">
        <v>57</v>
      </c>
      <c r="G76" s="301" t="s">
        <v>162</v>
      </c>
      <c r="H76" s="301" t="s">
        <v>199</v>
      </c>
      <c r="I76" s="302" t="s">
        <v>200</v>
      </c>
      <c r="J76" s="302" t="s">
        <v>201</v>
      </c>
      <c r="K76" s="305" t="s">
        <v>98</v>
      </c>
    </row>
    <row r="77" spans="1:11" ht="79.2" hidden="1">
      <c r="A77" s="298" t="s">
        <v>44</v>
      </c>
      <c r="B77" s="300" t="s">
        <v>56</v>
      </c>
      <c r="C77" s="300">
        <v>43067</v>
      </c>
      <c r="D77" s="301" t="s">
        <v>57</v>
      </c>
      <c r="E77" s="303" t="s">
        <v>58</v>
      </c>
      <c r="F77" s="301" t="s">
        <v>57</v>
      </c>
      <c r="G77" s="301" t="s">
        <v>162</v>
      </c>
      <c r="H77" s="301" t="s">
        <v>202</v>
      </c>
      <c r="I77" s="302" t="s">
        <v>203</v>
      </c>
      <c r="J77" s="302" t="s">
        <v>204</v>
      </c>
      <c r="K77" s="305" t="s">
        <v>98</v>
      </c>
    </row>
    <row r="78" spans="1:11" ht="79.2" hidden="1">
      <c r="A78" s="298" t="s">
        <v>44</v>
      </c>
      <c r="B78" s="300" t="s">
        <v>56</v>
      </c>
      <c r="C78" s="300">
        <v>43067</v>
      </c>
      <c r="D78" s="301" t="s">
        <v>57</v>
      </c>
      <c r="E78" s="303" t="s">
        <v>58</v>
      </c>
      <c r="F78" s="301" t="s">
        <v>57</v>
      </c>
      <c r="G78" s="301" t="s">
        <v>162</v>
      </c>
      <c r="H78" s="301" t="s">
        <v>205</v>
      </c>
      <c r="I78" s="302" t="s">
        <v>206</v>
      </c>
      <c r="J78" s="302" t="s">
        <v>207</v>
      </c>
      <c r="K78" s="305" t="s">
        <v>98</v>
      </c>
    </row>
    <row r="79" spans="1:11" ht="79.2" hidden="1">
      <c r="A79" s="298" t="s">
        <v>44</v>
      </c>
      <c r="B79" s="300" t="s">
        <v>56</v>
      </c>
      <c r="C79" s="300">
        <v>43067</v>
      </c>
      <c r="D79" s="301" t="s">
        <v>57</v>
      </c>
      <c r="E79" s="303" t="s">
        <v>58</v>
      </c>
      <c r="F79" s="301" t="s">
        <v>57</v>
      </c>
      <c r="G79" s="301" t="s">
        <v>162</v>
      </c>
      <c r="H79" s="301" t="s">
        <v>208</v>
      </c>
      <c r="I79" s="302" t="s">
        <v>209</v>
      </c>
      <c r="J79" s="302" t="s">
        <v>210</v>
      </c>
      <c r="K79" s="305" t="s">
        <v>98</v>
      </c>
    </row>
    <row r="80" spans="1:11" ht="79.2" hidden="1">
      <c r="A80" s="298" t="s">
        <v>44</v>
      </c>
      <c r="B80" s="300" t="s">
        <v>56</v>
      </c>
      <c r="C80" s="300">
        <v>43067</v>
      </c>
      <c r="D80" s="301" t="s">
        <v>57</v>
      </c>
      <c r="E80" s="303" t="s">
        <v>58</v>
      </c>
      <c r="F80" s="301" t="s">
        <v>57</v>
      </c>
      <c r="G80" s="301" t="s">
        <v>162</v>
      </c>
      <c r="H80" s="301" t="s">
        <v>211</v>
      </c>
      <c r="I80" s="302" t="s">
        <v>212</v>
      </c>
      <c r="J80" s="302" t="s">
        <v>213</v>
      </c>
      <c r="K80" s="305" t="s">
        <v>98</v>
      </c>
    </row>
    <row r="81" spans="1:11" ht="92.4" hidden="1">
      <c r="A81" s="298" t="s">
        <v>44</v>
      </c>
      <c r="B81" s="300" t="s">
        <v>56</v>
      </c>
      <c r="C81" s="300">
        <v>43067</v>
      </c>
      <c r="D81" s="301" t="s">
        <v>57</v>
      </c>
      <c r="E81" s="303" t="s">
        <v>58</v>
      </c>
      <c r="F81" s="301" t="s">
        <v>57</v>
      </c>
      <c r="G81" s="301" t="s">
        <v>162</v>
      </c>
      <c r="H81" s="301" t="s">
        <v>214</v>
      </c>
      <c r="I81" s="302" t="s">
        <v>215</v>
      </c>
      <c r="J81" s="302" t="s">
        <v>216</v>
      </c>
      <c r="K81" s="305" t="s">
        <v>98</v>
      </c>
    </row>
    <row r="82" spans="1:11" ht="92.4" hidden="1">
      <c r="A82" s="298" t="s">
        <v>44</v>
      </c>
      <c r="B82" s="300" t="s">
        <v>56</v>
      </c>
      <c r="C82" s="300">
        <v>43067</v>
      </c>
      <c r="D82" s="301" t="s">
        <v>57</v>
      </c>
      <c r="E82" s="303" t="s">
        <v>58</v>
      </c>
      <c r="F82" s="301" t="s">
        <v>57</v>
      </c>
      <c r="G82" s="301" t="s">
        <v>162</v>
      </c>
      <c r="H82" s="301" t="s">
        <v>217</v>
      </c>
      <c r="I82" s="302" t="s">
        <v>218</v>
      </c>
      <c r="J82" s="302" t="s">
        <v>219</v>
      </c>
      <c r="K82" s="305" t="s">
        <v>98</v>
      </c>
    </row>
    <row r="83" spans="1:11" ht="92.4" hidden="1">
      <c r="A83" s="298" t="s">
        <v>44</v>
      </c>
      <c r="B83" s="300" t="s">
        <v>56</v>
      </c>
      <c r="C83" s="300">
        <v>43067</v>
      </c>
      <c r="D83" s="301" t="s">
        <v>57</v>
      </c>
      <c r="E83" s="303" t="s">
        <v>58</v>
      </c>
      <c r="F83" s="301" t="s">
        <v>57</v>
      </c>
      <c r="G83" s="301" t="s">
        <v>162</v>
      </c>
      <c r="H83" s="301" t="s">
        <v>147</v>
      </c>
      <c r="I83" s="302" t="s">
        <v>220</v>
      </c>
      <c r="J83" s="302" t="s">
        <v>149</v>
      </c>
      <c r="K83" s="305" t="s">
        <v>98</v>
      </c>
    </row>
    <row r="84" spans="1:11" ht="92.4" hidden="1">
      <c r="A84" s="298" t="s">
        <v>44</v>
      </c>
      <c r="B84" s="300" t="s">
        <v>56</v>
      </c>
      <c r="C84" s="300">
        <v>43067</v>
      </c>
      <c r="D84" s="301" t="s">
        <v>57</v>
      </c>
      <c r="E84" s="303" t="s">
        <v>58</v>
      </c>
      <c r="F84" s="301" t="s">
        <v>57</v>
      </c>
      <c r="G84" s="301" t="s">
        <v>162</v>
      </c>
      <c r="H84" s="301" t="s">
        <v>221</v>
      </c>
      <c r="I84" s="302" t="s">
        <v>222</v>
      </c>
      <c r="J84" s="302" t="s">
        <v>223</v>
      </c>
      <c r="K84" s="305" t="s">
        <v>98</v>
      </c>
    </row>
    <row r="85" spans="1:11" ht="92.4" hidden="1">
      <c r="A85" s="298" t="s">
        <v>44</v>
      </c>
      <c r="B85" s="300" t="s">
        <v>56</v>
      </c>
      <c r="C85" s="300">
        <v>43067</v>
      </c>
      <c r="D85" s="301" t="s">
        <v>57</v>
      </c>
      <c r="E85" s="303" t="s">
        <v>58</v>
      </c>
      <c r="F85" s="301" t="s">
        <v>57</v>
      </c>
      <c r="G85" s="301" t="s">
        <v>162</v>
      </c>
      <c r="H85" s="301" t="s">
        <v>150</v>
      </c>
      <c r="I85" s="302" t="s">
        <v>224</v>
      </c>
      <c r="J85" s="302" t="s">
        <v>152</v>
      </c>
      <c r="K85" s="305" t="s">
        <v>98</v>
      </c>
    </row>
    <row r="86" spans="1:11" ht="92.4" hidden="1">
      <c r="A86" s="298" t="s">
        <v>44</v>
      </c>
      <c r="B86" s="300" t="s">
        <v>56</v>
      </c>
      <c r="C86" s="300">
        <v>43067</v>
      </c>
      <c r="D86" s="301" t="s">
        <v>57</v>
      </c>
      <c r="E86" s="303" t="s">
        <v>58</v>
      </c>
      <c r="F86" s="301" t="s">
        <v>57</v>
      </c>
      <c r="G86" s="301" t="s">
        <v>162</v>
      </c>
      <c r="H86" s="301" t="s">
        <v>153</v>
      </c>
      <c r="I86" s="302" t="s">
        <v>225</v>
      </c>
      <c r="J86" s="302" t="s">
        <v>155</v>
      </c>
      <c r="K86" s="305" t="s">
        <v>98</v>
      </c>
    </row>
    <row r="87" spans="1:11" ht="92.4" hidden="1">
      <c r="A87" s="298" t="s">
        <v>44</v>
      </c>
      <c r="B87" s="300" t="s">
        <v>56</v>
      </c>
      <c r="C87" s="300">
        <v>43067</v>
      </c>
      <c r="D87" s="301" t="s">
        <v>57</v>
      </c>
      <c r="E87" s="303" t="s">
        <v>58</v>
      </c>
      <c r="F87" s="301" t="s">
        <v>57</v>
      </c>
      <c r="G87" s="301" t="s">
        <v>226</v>
      </c>
      <c r="H87" s="301" t="s">
        <v>214</v>
      </c>
      <c r="I87" s="302" t="s">
        <v>215</v>
      </c>
      <c r="J87" s="302" t="s">
        <v>216</v>
      </c>
      <c r="K87" s="305" t="s">
        <v>98</v>
      </c>
    </row>
    <row r="88" spans="1:11" ht="92.4" hidden="1">
      <c r="A88" s="298" t="s">
        <v>44</v>
      </c>
      <c r="B88" s="300" t="s">
        <v>56</v>
      </c>
      <c r="C88" s="300">
        <v>43067</v>
      </c>
      <c r="D88" s="301" t="s">
        <v>57</v>
      </c>
      <c r="E88" s="303" t="s">
        <v>58</v>
      </c>
      <c r="F88" s="301" t="s">
        <v>57</v>
      </c>
      <c r="G88" s="301" t="s">
        <v>226</v>
      </c>
      <c r="H88" s="301" t="s">
        <v>217</v>
      </c>
      <c r="I88" s="302" t="s">
        <v>218</v>
      </c>
      <c r="J88" s="302" t="s">
        <v>219</v>
      </c>
      <c r="K88" s="305" t="s">
        <v>98</v>
      </c>
    </row>
    <row r="89" spans="1:11" ht="92.4" hidden="1">
      <c r="A89" s="298" t="s">
        <v>44</v>
      </c>
      <c r="B89" s="300" t="s">
        <v>56</v>
      </c>
      <c r="C89" s="300">
        <v>43067</v>
      </c>
      <c r="D89" s="301" t="s">
        <v>57</v>
      </c>
      <c r="E89" s="303" t="s">
        <v>58</v>
      </c>
      <c r="F89" s="301" t="s">
        <v>57</v>
      </c>
      <c r="G89" s="301" t="s">
        <v>226</v>
      </c>
      <c r="H89" s="301" t="s">
        <v>147</v>
      </c>
      <c r="I89" s="302" t="s">
        <v>220</v>
      </c>
      <c r="J89" s="302" t="s">
        <v>149</v>
      </c>
      <c r="K89" s="305" t="s">
        <v>98</v>
      </c>
    </row>
    <row r="90" spans="1:11" ht="92.4" hidden="1">
      <c r="A90" s="298" t="s">
        <v>44</v>
      </c>
      <c r="B90" s="300" t="s">
        <v>56</v>
      </c>
      <c r="C90" s="300">
        <v>43067</v>
      </c>
      <c r="D90" s="301" t="s">
        <v>57</v>
      </c>
      <c r="E90" s="303" t="s">
        <v>58</v>
      </c>
      <c r="F90" s="301" t="s">
        <v>57</v>
      </c>
      <c r="G90" s="301" t="s">
        <v>226</v>
      </c>
      <c r="H90" s="301" t="s">
        <v>221</v>
      </c>
      <c r="I90" s="302" t="s">
        <v>222</v>
      </c>
      <c r="J90" s="302" t="s">
        <v>223</v>
      </c>
      <c r="K90" s="305" t="s">
        <v>98</v>
      </c>
    </row>
    <row r="91" spans="1:11" ht="92.4" hidden="1">
      <c r="A91" s="298" t="s">
        <v>44</v>
      </c>
      <c r="B91" s="300" t="s">
        <v>56</v>
      </c>
      <c r="C91" s="300">
        <v>43067</v>
      </c>
      <c r="D91" s="301" t="s">
        <v>57</v>
      </c>
      <c r="E91" s="303" t="s">
        <v>58</v>
      </c>
      <c r="F91" s="301" t="s">
        <v>57</v>
      </c>
      <c r="G91" s="301" t="s">
        <v>226</v>
      </c>
      <c r="H91" s="301" t="s">
        <v>150</v>
      </c>
      <c r="I91" s="302" t="s">
        <v>224</v>
      </c>
      <c r="J91" s="302" t="s">
        <v>152</v>
      </c>
      <c r="K91" s="305" t="s">
        <v>98</v>
      </c>
    </row>
    <row r="92" spans="1:11" ht="92.4" hidden="1">
      <c r="A92" s="298" t="s">
        <v>44</v>
      </c>
      <c r="B92" s="300" t="s">
        <v>56</v>
      </c>
      <c r="C92" s="300">
        <v>43067</v>
      </c>
      <c r="D92" s="301" t="s">
        <v>57</v>
      </c>
      <c r="E92" s="303" t="s">
        <v>58</v>
      </c>
      <c r="F92" s="301" t="s">
        <v>57</v>
      </c>
      <c r="G92" s="301" t="s">
        <v>226</v>
      </c>
      <c r="H92" s="301" t="s">
        <v>153</v>
      </c>
      <c r="I92" s="302" t="s">
        <v>225</v>
      </c>
      <c r="J92" s="302" t="s">
        <v>155</v>
      </c>
      <c r="K92" s="305" t="s">
        <v>98</v>
      </c>
    </row>
    <row r="93" spans="1:11" ht="92.4" hidden="1">
      <c r="A93" s="298" t="s">
        <v>44</v>
      </c>
      <c r="B93" s="300" t="s">
        <v>56</v>
      </c>
      <c r="C93" s="300">
        <v>43067</v>
      </c>
      <c r="D93" s="301" t="s">
        <v>57</v>
      </c>
      <c r="E93" s="303" t="s">
        <v>58</v>
      </c>
      <c r="F93" s="301" t="s">
        <v>57</v>
      </c>
      <c r="G93" s="301" t="s">
        <v>226</v>
      </c>
      <c r="H93" s="301" t="s">
        <v>156</v>
      </c>
      <c r="I93" s="302" t="s">
        <v>227</v>
      </c>
      <c r="J93" s="302" t="s">
        <v>158</v>
      </c>
      <c r="K93" s="305" t="s">
        <v>98</v>
      </c>
    </row>
    <row r="94" spans="1:11" ht="79.2" hidden="1">
      <c r="A94" s="298" t="s">
        <v>44</v>
      </c>
      <c r="B94" s="300" t="s">
        <v>56</v>
      </c>
      <c r="C94" s="300">
        <v>43067</v>
      </c>
      <c r="D94" s="301" t="s">
        <v>57</v>
      </c>
      <c r="E94" s="303" t="s">
        <v>58</v>
      </c>
      <c r="F94" s="301" t="s">
        <v>57</v>
      </c>
      <c r="G94" s="301" t="s">
        <v>226</v>
      </c>
      <c r="H94" s="301" t="s">
        <v>163</v>
      </c>
      <c r="I94" s="302" t="s">
        <v>164</v>
      </c>
      <c r="J94" s="302" t="s">
        <v>165</v>
      </c>
      <c r="K94" s="305" t="s">
        <v>98</v>
      </c>
    </row>
    <row r="95" spans="1:11" ht="79.2" hidden="1">
      <c r="A95" s="298" t="s">
        <v>44</v>
      </c>
      <c r="B95" s="300" t="s">
        <v>56</v>
      </c>
      <c r="C95" s="300">
        <v>43067</v>
      </c>
      <c r="D95" s="301" t="s">
        <v>57</v>
      </c>
      <c r="E95" s="303" t="s">
        <v>58</v>
      </c>
      <c r="F95" s="301" t="s">
        <v>57</v>
      </c>
      <c r="G95" s="301" t="s">
        <v>226</v>
      </c>
      <c r="H95" s="301" t="s">
        <v>166</v>
      </c>
      <c r="I95" s="302" t="s">
        <v>167</v>
      </c>
      <c r="J95" s="302" t="s">
        <v>168</v>
      </c>
      <c r="K95" s="305" t="s">
        <v>98</v>
      </c>
    </row>
    <row r="96" spans="1:11" ht="79.2" hidden="1">
      <c r="A96" s="298" t="s">
        <v>44</v>
      </c>
      <c r="B96" s="300" t="s">
        <v>56</v>
      </c>
      <c r="C96" s="300">
        <v>43067</v>
      </c>
      <c r="D96" s="301" t="s">
        <v>57</v>
      </c>
      <c r="E96" s="303" t="s">
        <v>58</v>
      </c>
      <c r="F96" s="301" t="s">
        <v>57</v>
      </c>
      <c r="G96" s="301" t="s">
        <v>226</v>
      </c>
      <c r="H96" s="301" t="s">
        <v>169</v>
      </c>
      <c r="I96" s="302" t="s">
        <v>170</v>
      </c>
      <c r="J96" s="302" t="s">
        <v>171</v>
      </c>
      <c r="K96" s="305" t="s">
        <v>98</v>
      </c>
    </row>
    <row r="97" spans="1:11" ht="79.2" hidden="1">
      <c r="A97" s="298" t="s">
        <v>44</v>
      </c>
      <c r="B97" s="300" t="s">
        <v>56</v>
      </c>
      <c r="C97" s="300">
        <v>43067</v>
      </c>
      <c r="D97" s="301" t="s">
        <v>57</v>
      </c>
      <c r="E97" s="303" t="s">
        <v>58</v>
      </c>
      <c r="F97" s="301" t="s">
        <v>57</v>
      </c>
      <c r="G97" s="301" t="s">
        <v>226</v>
      </c>
      <c r="H97" s="301" t="s">
        <v>172</v>
      </c>
      <c r="I97" s="302" t="s">
        <v>173</v>
      </c>
      <c r="J97" s="302" t="s">
        <v>174</v>
      </c>
      <c r="K97" s="305" t="s">
        <v>98</v>
      </c>
    </row>
    <row r="98" spans="1:11" ht="79.2" hidden="1">
      <c r="A98" s="298" t="s">
        <v>44</v>
      </c>
      <c r="B98" s="300" t="s">
        <v>56</v>
      </c>
      <c r="C98" s="300">
        <v>43067</v>
      </c>
      <c r="D98" s="301" t="s">
        <v>57</v>
      </c>
      <c r="E98" s="303" t="s">
        <v>58</v>
      </c>
      <c r="F98" s="301" t="s">
        <v>57</v>
      </c>
      <c r="G98" s="301" t="s">
        <v>226</v>
      </c>
      <c r="H98" s="301" t="s">
        <v>178</v>
      </c>
      <c r="I98" s="302" t="s">
        <v>179</v>
      </c>
      <c r="J98" s="302" t="s">
        <v>180</v>
      </c>
      <c r="K98" s="305" t="s">
        <v>98</v>
      </c>
    </row>
    <row r="99" spans="1:11" ht="79.2" hidden="1">
      <c r="A99" s="298" t="s">
        <v>44</v>
      </c>
      <c r="B99" s="300" t="s">
        <v>56</v>
      </c>
      <c r="C99" s="300">
        <v>43067</v>
      </c>
      <c r="D99" s="301" t="s">
        <v>57</v>
      </c>
      <c r="E99" s="303" t="s">
        <v>58</v>
      </c>
      <c r="F99" s="301" t="s">
        <v>57</v>
      </c>
      <c r="G99" s="301" t="s">
        <v>226</v>
      </c>
      <c r="H99" s="301" t="s">
        <v>181</v>
      </c>
      <c r="I99" s="302" t="s">
        <v>182</v>
      </c>
      <c r="J99" s="302" t="s">
        <v>183</v>
      </c>
      <c r="K99" s="305" t="s">
        <v>98</v>
      </c>
    </row>
    <row r="100" spans="1:11" ht="79.2" hidden="1">
      <c r="A100" s="298" t="s">
        <v>44</v>
      </c>
      <c r="B100" s="300" t="s">
        <v>56</v>
      </c>
      <c r="C100" s="300">
        <v>43067</v>
      </c>
      <c r="D100" s="301" t="s">
        <v>57</v>
      </c>
      <c r="E100" s="303" t="s">
        <v>58</v>
      </c>
      <c r="F100" s="301" t="s">
        <v>57</v>
      </c>
      <c r="G100" s="301" t="s">
        <v>226</v>
      </c>
      <c r="H100" s="301" t="s">
        <v>184</v>
      </c>
      <c r="I100" s="302" t="s">
        <v>185</v>
      </c>
      <c r="J100" s="302" t="s">
        <v>186</v>
      </c>
      <c r="K100" s="305" t="s">
        <v>98</v>
      </c>
    </row>
    <row r="101" spans="1:11" ht="79.2" hidden="1">
      <c r="A101" s="298" t="s">
        <v>44</v>
      </c>
      <c r="B101" s="300" t="s">
        <v>56</v>
      </c>
      <c r="C101" s="300">
        <v>43067</v>
      </c>
      <c r="D101" s="301" t="s">
        <v>57</v>
      </c>
      <c r="E101" s="303" t="s">
        <v>58</v>
      </c>
      <c r="F101" s="301" t="s">
        <v>57</v>
      </c>
      <c r="G101" s="301" t="s">
        <v>226</v>
      </c>
      <c r="H101" s="301" t="s">
        <v>228</v>
      </c>
      <c r="I101" s="302" t="s">
        <v>188</v>
      </c>
      <c r="J101" s="302" t="s">
        <v>229</v>
      </c>
      <c r="K101" s="305" t="s">
        <v>98</v>
      </c>
    </row>
    <row r="102" spans="1:11" ht="79.2" hidden="1">
      <c r="A102" s="298" t="s">
        <v>44</v>
      </c>
      <c r="B102" s="300" t="s">
        <v>56</v>
      </c>
      <c r="C102" s="300">
        <v>43067</v>
      </c>
      <c r="D102" s="301" t="s">
        <v>57</v>
      </c>
      <c r="E102" s="303" t="s">
        <v>58</v>
      </c>
      <c r="F102" s="301" t="s">
        <v>57</v>
      </c>
      <c r="G102" s="301" t="s">
        <v>226</v>
      </c>
      <c r="H102" s="301" t="s">
        <v>230</v>
      </c>
      <c r="I102" s="302" t="s">
        <v>191</v>
      </c>
      <c r="J102" s="302" t="s">
        <v>231</v>
      </c>
      <c r="K102" s="305" t="s">
        <v>98</v>
      </c>
    </row>
    <row r="103" spans="1:11" ht="79.2" hidden="1">
      <c r="A103" s="298" t="s">
        <v>44</v>
      </c>
      <c r="B103" s="300" t="s">
        <v>56</v>
      </c>
      <c r="C103" s="300">
        <v>43067</v>
      </c>
      <c r="D103" s="301" t="s">
        <v>57</v>
      </c>
      <c r="E103" s="303" t="s">
        <v>58</v>
      </c>
      <c r="F103" s="301" t="s">
        <v>57</v>
      </c>
      <c r="G103" s="301" t="s">
        <v>226</v>
      </c>
      <c r="H103" s="301" t="s">
        <v>232</v>
      </c>
      <c r="I103" s="302" t="s">
        <v>194</v>
      </c>
      <c r="J103" s="302" t="s">
        <v>233</v>
      </c>
      <c r="K103" s="305" t="s">
        <v>98</v>
      </c>
    </row>
    <row r="104" spans="1:11" ht="79.2" hidden="1">
      <c r="A104" s="298" t="s">
        <v>44</v>
      </c>
      <c r="B104" s="300" t="s">
        <v>56</v>
      </c>
      <c r="C104" s="300">
        <v>43067</v>
      </c>
      <c r="D104" s="301" t="s">
        <v>57</v>
      </c>
      <c r="E104" s="303" t="s">
        <v>58</v>
      </c>
      <c r="F104" s="301" t="s">
        <v>57</v>
      </c>
      <c r="G104" s="301" t="s">
        <v>226</v>
      </c>
      <c r="H104" s="301" t="s">
        <v>234</v>
      </c>
      <c r="I104" s="302" t="s">
        <v>197</v>
      </c>
      <c r="J104" s="302" t="s">
        <v>235</v>
      </c>
      <c r="K104" s="305" t="s">
        <v>98</v>
      </c>
    </row>
    <row r="105" spans="1:11" ht="79.2" hidden="1">
      <c r="A105" s="298" t="s">
        <v>44</v>
      </c>
      <c r="B105" s="300" t="s">
        <v>56</v>
      </c>
      <c r="C105" s="300">
        <v>43067</v>
      </c>
      <c r="D105" s="301" t="s">
        <v>57</v>
      </c>
      <c r="E105" s="303" t="s">
        <v>58</v>
      </c>
      <c r="F105" s="301" t="s">
        <v>57</v>
      </c>
      <c r="G105" s="301" t="s">
        <v>226</v>
      </c>
      <c r="H105" s="301" t="s">
        <v>236</v>
      </c>
      <c r="I105" s="302" t="s">
        <v>200</v>
      </c>
      <c r="J105" s="302" t="s">
        <v>237</v>
      </c>
      <c r="K105" s="305" t="s">
        <v>98</v>
      </c>
    </row>
    <row r="106" spans="1:11" ht="79.2" hidden="1">
      <c r="A106" s="298" t="s">
        <v>44</v>
      </c>
      <c r="B106" s="300" t="s">
        <v>56</v>
      </c>
      <c r="C106" s="300">
        <v>43067</v>
      </c>
      <c r="D106" s="301" t="s">
        <v>57</v>
      </c>
      <c r="E106" s="303" t="s">
        <v>58</v>
      </c>
      <c r="F106" s="301" t="s">
        <v>57</v>
      </c>
      <c r="G106" s="301" t="s">
        <v>226</v>
      </c>
      <c r="H106" s="301" t="s">
        <v>238</v>
      </c>
      <c r="I106" s="302" t="s">
        <v>203</v>
      </c>
      <c r="J106" s="302" t="s">
        <v>239</v>
      </c>
      <c r="K106" s="305" t="s">
        <v>98</v>
      </c>
    </row>
    <row r="107" spans="1:11" ht="79.2" hidden="1">
      <c r="A107" s="298" t="s">
        <v>44</v>
      </c>
      <c r="B107" s="300" t="s">
        <v>56</v>
      </c>
      <c r="C107" s="300">
        <v>43067</v>
      </c>
      <c r="D107" s="301" t="s">
        <v>57</v>
      </c>
      <c r="E107" s="303" t="s">
        <v>58</v>
      </c>
      <c r="F107" s="301" t="s">
        <v>57</v>
      </c>
      <c r="G107" s="301" t="s">
        <v>226</v>
      </c>
      <c r="H107" s="301" t="s">
        <v>240</v>
      </c>
      <c r="I107" s="302" t="s">
        <v>206</v>
      </c>
      <c r="J107" s="302" t="s">
        <v>241</v>
      </c>
      <c r="K107" s="305" t="s">
        <v>98</v>
      </c>
    </row>
    <row r="108" spans="1:11" ht="79.2" hidden="1">
      <c r="A108" s="298" t="s">
        <v>44</v>
      </c>
      <c r="B108" s="300" t="s">
        <v>56</v>
      </c>
      <c r="C108" s="300">
        <v>43067</v>
      </c>
      <c r="D108" s="301" t="s">
        <v>57</v>
      </c>
      <c r="E108" s="303" t="s">
        <v>58</v>
      </c>
      <c r="F108" s="301" t="s">
        <v>57</v>
      </c>
      <c r="G108" s="301" t="s">
        <v>226</v>
      </c>
      <c r="H108" s="301" t="s">
        <v>242</v>
      </c>
      <c r="I108" s="302" t="s">
        <v>209</v>
      </c>
      <c r="J108" s="302" t="s">
        <v>243</v>
      </c>
      <c r="K108" s="305" t="s">
        <v>98</v>
      </c>
    </row>
    <row r="109" spans="1:11" ht="79.2" hidden="1">
      <c r="A109" s="298" t="s">
        <v>44</v>
      </c>
      <c r="B109" s="300" t="s">
        <v>56</v>
      </c>
      <c r="C109" s="300">
        <v>43067</v>
      </c>
      <c r="D109" s="301" t="s">
        <v>57</v>
      </c>
      <c r="E109" s="303" t="s">
        <v>58</v>
      </c>
      <c r="F109" s="301" t="s">
        <v>57</v>
      </c>
      <c r="G109" s="301" t="s">
        <v>226</v>
      </c>
      <c r="H109" s="301" t="s">
        <v>244</v>
      </c>
      <c r="I109" s="302" t="s">
        <v>212</v>
      </c>
      <c r="J109" s="302" t="s">
        <v>245</v>
      </c>
      <c r="K109" s="305" t="s">
        <v>98</v>
      </c>
    </row>
    <row r="110" spans="1:11" ht="92.4" hidden="1">
      <c r="A110" s="298" t="s">
        <v>44</v>
      </c>
      <c r="B110" s="300" t="s">
        <v>56</v>
      </c>
      <c r="C110" s="300">
        <v>43067</v>
      </c>
      <c r="D110" s="301" t="s">
        <v>57</v>
      </c>
      <c r="E110" s="303" t="s">
        <v>58</v>
      </c>
      <c r="F110" s="301" t="s">
        <v>57</v>
      </c>
      <c r="G110" s="301" t="s">
        <v>246</v>
      </c>
      <c r="H110" s="301" t="s">
        <v>247</v>
      </c>
      <c r="I110" s="302" t="s">
        <v>215</v>
      </c>
      <c r="J110" s="302" t="s">
        <v>248</v>
      </c>
      <c r="K110" s="305" t="s">
        <v>98</v>
      </c>
    </row>
    <row r="111" spans="1:11" ht="92.4" hidden="1">
      <c r="A111" s="298" t="s">
        <v>44</v>
      </c>
      <c r="B111" s="300" t="s">
        <v>56</v>
      </c>
      <c r="C111" s="300">
        <v>43067</v>
      </c>
      <c r="D111" s="301" t="s">
        <v>57</v>
      </c>
      <c r="E111" s="303" t="s">
        <v>58</v>
      </c>
      <c r="F111" s="301" t="s">
        <v>57</v>
      </c>
      <c r="G111" s="301" t="s">
        <v>246</v>
      </c>
      <c r="H111" s="301" t="s">
        <v>249</v>
      </c>
      <c r="I111" s="302" t="s">
        <v>218</v>
      </c>
      <c r="J111" s="302" t="s">
        <v>250</v>
      </c>
      <c r="K111" s="305" t="s">
        <v>98</v>
      </c>
    </row>
    <row r="112" spans="1:11" ht="92.4" hidden="1">
      <c r="A112" s="298" t="s">
        <v>44</v>
      </c>
      <c r="B112" s="300" t="s">
        <v>56</v>
      </c>
      <c r="C112" s="300">
        <v>43067</v>
      </c>
      <c r="D112" s="301" t="s">
        <v>57</v>
      </c>
      <c r="E112" s="303" t="s">
        <v>58</v>
      </c>
      <c r="F112" s="301" t="s">
        <v>57</v>
      </c>
      <c r="G112" s="301" t="s">
        <v>246</v>
      </c>
      <c r="H112" s="301" t="s">
        <v>251</v>
      </c>
      <c r="I112" s="302" t="s">
        <v>220</v>
      </c>
      <c r="J112" s="302" t="s">
        <v>252</v>
      </c>
      <c r="K112" s="305" t="s">
        <v>98</v>
      </c>
    </row>
    <row r="113" spans="1:11" ht="92.4" hidden="1">
      <c r="A113" s="298" t="s">
        <v>44</v>
      </c>
      <c r="B113" s="300" t="s">
        <v>56</v>
      </c>
      <c r="C113" s="300">
        <v>43067</v>
      </c>
      <c r="D113" s="301" t="s">
        <v>57</v>
      </c>
      <c r="E113" s="303" t="s">
        <v>58</v>
      </c>
      <c r="F113" s="301" t="s">
        <v>57</v>
      </c>
      <c r="G113" s="301" t="s">
        <v>246</v>
      </c>
      <c r="H113" s="301" t="s">
        <v>253</v>
      </c>
      <c r="I113" s="302" t="s">
        <v>222</v>
      </c>
      <c r="J113" s="302" t="s">
        <v>254</v>
      </c>
      <c r="K113" s="305" t="s">
        <v>98</v>
      </c>
    </row>
    <row r="114" spans="1:11" ht="92.4" hidden="1">
      <c r="A114" s="298" t="s">
        <v>44</v>
      </c>
      <c r="B114" s="300" t="s">
        <v>56</v>
      </c>
      <c r="C114" s="300">
        <v>43067</v>
      </c>
      <c r="D114" s="301" t="s">
        <v>57</v>
      </c>
      <c r="E114" s="303" t="s">
        <v>58</v>
      </c>
      <c r="F114" s="301" t="s">
        <v>57</v>
      </c>
      <c r="G114" s="301" t="s">
        <v>246</v>
      </c>
      <c r="H114" s="301" t="s">
        <v>255</v>
      </c>
      <c r="I114" s="302" t="s">
        <v>224</v>
      </c>
      <c r="J114" s="302" t="s">
        <v>256</v>
      </c>
      <c r="K114" s="305" t="s">
        <v>98</v>
      </c>
    </row>
    <row r="115" spans="1:11" ht="92.4" hidden="1">
      <c r="A115" s="298" t="s">
        <v>44</v>
      </c>
      <c r="B115" s="300" t="s">
        <v>56</v>
      </c>
      <c r="C115" s="300">
        <v>43067</v>
      </c>
      <c r="D115" s="301" t="s">
        <v>57</v>
      </c>
      <c r="E115" s="303" t="s">
        <v>58</v>
      </c>
      <c r="F115" s="301" t="s">
        <v>57</v>
      </c>
      <c r="G115" s="301" t="s">
        <v>246</v>
      </c>
      <c r="H115" s="301" t="s">
        <v>257</v>
      </c>
      <c r="I115" s="302" t="s">
        <v>225</v>
      </c>
      <c r="J115" s="302" t="s">
        <v>258</v>
      </c>
      <c r="K115" s="305" t="s">
        <v>98</v>
      </c>
    </row>
    <row r="116" spans="1:11" ht="79.2" hidden="1">
      <c r="A116" s="298" t="s">
        <v>44</v>
      </c>
      <c r="B116" s="300" t="s">
        <v>56</v>
      </c>
      <c r="C116" s="300">
        <v>43067</v>
      </c>
      <c r="D116" s="301" t="s">
        <v>57</v>
      </c>
      <c r="E116" s="303" t="s">
        <v>58</v>
      </c>
      <c r="F116" s="301" t="s">
        <v>57</v>
      </c>
      <c r="G116" s="301" t="s">
        <v>246</v>
      </c>
      <c r="H116" s="301" t="s">
        <v>259</v>
      </c>
      <c r="I116" s="302" t="s">
        <v>164</v>
      </c>
      <c r="J116" s="302" t="s">
        <v>260</v>
      </c>
      <c r="K116" s="305" t="s">
        <v>98</v>
      </c>
    </row>
    <row r="117" spans="1:11" ht="79.2" hidden="1">
      <c r="A117" s="298" t="s">
        <v>44</v>
      </c>
      <c r="B117" s="300" t="s">
        <v>56</v>
      </c>
      <c r="C117" s="300">
        <v>43067</v>
      </c>
      <c r="D117" s="301" t="s">
        <v>57</v>
      </c>
      <c r="E117" s="303" t="s">
        <v>58</v>
      </c>
      <c r="F117" s="301" t="s">
        <v>57</v>
      </c>
      <c r="G117" s="301" t="s">
        <v>246</v>
      </c>
      <c r="H117" s="301" t="s">
        <v>261</v>
      </c>
      <c r="I117" s="302" t="s">
        <v>167</v>
      </c>
      <c r="J117" s="302" t="s">
        <v>262</v>
      </c>
      <c r="K117" s="305" t="s">
        <v>98</v>
      </c>
    </row>
    <row r="118" spans="1:11" ht="79.2" hidden="1">
      <c r="A118" s="298" t="s">
        <v>44</v>
      </c>
      <c r="B118" s="300" t="s">
        <v>56</v>
      </c>
      <c r="C118" s="300">
        <v>43067</v>
      </c>
      <c r="D118" s="301" t="s">
        <v>57</v>
      </c>
      <c r="E118" s="303" t="s">
        <v>58</v>
      </c>
      <c r="F118" s="301" t="s">
        <v>57</v>
      </c>
      <c r="G118" s="301" t="s">
        <v>246</v>
      </c>
      <c r="H118" s="301" t="s">
        <v>263</v>
      </c>
      <c r="I118" s="302" t="s">
        <v>170</v>
      </c>
      <c r="J118" s="302" t="s">
        <v>264</v>
      </c>
      <c r="K118" s="305" t="s">
        <v>98</v>
      </c>
    </row>
    <row r="119" spans="1:11" ht="79.2" hidden="1">
      <c r="A119" s="298" t="s">
        <v>44</v>
      </c>
      <c r="B119" s="300" t="s">
        <v>56</v>
      </c>
      <c r="C119" s="300">
        <v>43067</v>
      </c>
      <c r="D119" s="301" t="s">
        <v>57</v>
      </c>
      <c r="E119" s="303" t="s">
        <v>58</v>
      </c>
      <c r="F119" s="301" t="s">
        <v>57</v>
      </c>
      <c r="G119" s="301" t="s">
        <v>246</v>
      </c>
      <c r="H119" s="301" t="s">
        <v>265</v>
      </c>
      <c r="I119" s="302" t="s">
        <v>173</v>
      </c>
      <c r="J119" s="302" t="s">
        <v>266</v>
      </c>
      <c r="K119" s="305" t="s">
        <v>98</v>
      </c>
    </row>
    <row r="120" spans="1:11" ht="79.2" hidden="1">
      <c r="A120" s="298" t="s">
        <v>44</v>
      </c>
      <c r="B120" s="300" t="s">
        <v>56</v>
      </c>
      <c r="C120" s="300">
        <v>43067</v>
      </c>
      <c r="D120" s="301" t="s">
        <v>57</v>
      </c>
      <c r="E120" s="303" t="s">
        <v>58</v>
      </c>
      <c r="F120" s="301" t="s">
        <v>57</v>
      </c>
      <c r="G120" s="301" t="s">
        <v>246</v>
      </c>
      <c r="H120" s="301" t="s">
        <v>267</v>
      </c>
      <c r="I120" s="302" t="s">
        <v>179</v>
      </c>
      <c r="J120" s="302" t="s">
        <v>268</v>
      </c>
      <c r="K120" s="305" t="s">
        <v>98</v>
      </c>
    </row>
    <row r="121" spans="1:11" ht="79.2" hidden="1">
      <c r="A121" s="298" t="s">
        <v>44</v>
      </c>
      <c r="B121" s="300" t="s">
        <v>56</v>
      </c>
      <c r="C121" s="300">
        <v>43067</v>
      </c>
      <c r="D121" s="301" t="s">
        <v>57</v>
      </c>
      <c r="E121" s="303" t="s">
        <v>58</v>
      </c>
      <c r="F121" s="301" t="s">
        <v>57</v>
      </c>
      <c r="G121" s="301" t="s">
        <v>246</v>
      </c>
      <c r="H121" s="301" t="s">
        <v>269</v>
      </c>
      <c r="I121" s="302" t="s">
        <v>182</v>
      </c>
      <c r="J121" s="302" t="s">
        <v>270</v>
      </c>
      <c r="K121" s="305" t="s">
        <v>98</v>
      </c>
    </row>
    <row r="122" spans="1:11" ht="79.2" hidden="1">
      <c r="A122" s="298" t="s">
        <v>44</v>
      </c>
      <c r="B122" s="300" t="s">
        <v>56</v>
      </c>
      <c r="C122" s="300">
        <v>43067</v>
      </c>
      <c r="D122" s="301" t="s">
        <v>57</v>
      </c>
      <c r="E122" s="303" t="s">
        <v>58</v>
      </c>
      <c r="F122" s="301" t="s">
        <v>57</v>
      </c>
      <c r="G122" s="301" t="s">
        <v>246</v>
      </c>
      <c r="H122" s="301" t="s">
        <v>271</v>
      </c>
      <c r="I122" s="302" t="s">
        <v>185</v>
      </c>
      <c r="J122" s="302" t="s">
        <v>272</v>
      </c>
      <c r="K122" s="305" t="s">
        <v>98</v>
      </c>
    </row>
    <row r="123" spans="1:11" ht="79.2" hidden="1">
      <c r="A123" s="298" t="s">
        <v>44</v>
      </c>
      <c r="B123" s="300" t="s">
        <v>56</v>
      </c>
      <c r="C123" s="300">
        <v>43067</v>
      </c>
      <c r="D123" s="301" t="s">
        <v>57</v>
      </c>
      <c r="E123" s="303" t="s">
        <v>58</v>
      </c>
      <c r="F123" s="301" t="s">
        <v>57</v>
      </c>
      <c r="G123" s="301" t="s">
        <v>246</v>
      </c>
      <c r="H123" s="301" t="s">
        <v>273</v>
      </c>
      <c r="I123" s="302" t="s">
        <v>188</v>
      </c>
      <c r="J123" s="302" t="s">
        <v>274</v>
      </c>
      <c r="K123" s="305" t="s">
        <v>98</v>
      </c>
    </row>
    <row r="124" spans="1:11" ht="79.2" hidden="1">
      <c r="A124" s="298" t="s">
        <v>44</v>
      </c>
      <c r="B124" s="300" t="s">
        <v>56</v>
      </c>
      <c r="C124" s="300">
        <v>43067</v>
      </c>
      <c r="D124" s="301" t="s">
        <v>57</v>
      </c>
      <c r="E124" s="303" t="s">
        <v>58</v>
      </c>
      <c r="F124" s="301" t="s">
        <v>57</v>
      </c>
      <c r="G124" s="301" t="s">
        <v>246</v>
      </c>
      <c r="H124" s="301" t="s">
        <v>275</v>
      </c>
      <c r="I124" s="302" t="s">
        <v>191</v>
      </c>
      <c r="J124" s="302" t="s">
        <v>276</v>
      </c>
      <c r="K124" s="305" t="s">
        <v>98</v>
      </c>
    </row>
    <row r="125" spans="1:11" ht="79.2" hidden="1">
      <c r="A125" s="298" t="s">
        <v>44</v>
      </c>
      <c r="B125" s="300" t="s">
        <v>56</v>
      </c>
      <c r="C125" s="300">
        <v>43067</v>
      </c>
      <c r="D125" s="301" t="s">
        <v>57</v>
      </c>
      <c r="E125" s="303" t="s">
        <v>58</v>
      </c>
      <c r="F125" s="301" t="s">
        <v>57</v>
      </c>
      <c r="G125" s="301" t="s">
        <v>246</v>
      </c>
      <c r="H125" s="301" t="s">
        <v>277</v>
      </c>
      <c r="I125" s="302" t="s">
        <v>194</v>
      </c>
      <c r="J125" s="302" t="s">
        <v>278</v>
      </c>
      <c r="K125" s="305" t="s">
        <v>98</v>
      </c>
    </row>
    <row r="126" spans="1:11" ht="79.2" hidden="1">
      <c r="A126" s="298" t="s">
        <v>44</v>
      </c>
      <c r="B126" s="300" t="s">
        <v>56</v>
      </c>
      <c r="C126" s="300">
        <v>43067</v>
      </c>
      <c r="D126" s="301" t="s">
        <v>57</v>
      </c>
      <c r="E126" s="303" t="s">
        <v>58</v>
      </c>
      <c r="F126" s="301" t="s">
        <v>57</v>
      </c>
      <c r="G126" s="301" t="s">
        <v>246</v>
      </c>
      <c r="H126" s="301" t="s">
        <v>279</v>
      </c>
      <c r="I126" s="302" t="s">
        <v>197</v>
      </c>
      <c r="J126" s="302" t="s">
        <v>280</v>
      </c>
      <c r="K126" s="305" t="s">
        <v>98</v>
      </c>
    </row>
    <row r="127" spans="1:11" ht="79.2" hidden="1">
      <c r="A127" s="298" t="s">
        <v>44</v>
      </c>
      <c r="B127" s="300" t="s">
        <v>56</v>
      </c>
      <c r="C127" s="300">
        <v>43067</v>
      </c>
      <c r="D127" s="301" t="s">
        <v>57</v>
      </c>
      <c r="E127" s="303" t="s">
        <v>58</v>
      </c>
      <c r="F127" s="301" t="s">
        <v>57</v>
      </c>
      <c r="G127" s="301" t="s">
        <v>246</v>
      </c>
      <c r="H127" s="301" t="s">
        <v>281</v>
      </c>
      <c r="I127" s="302" t="s">
        <v>200</v>
      </c>
      <c r="J127" s="302" t="s">
        <v>282</v>
      </c>
      <c r="K127" s="305" t="s">
        <v>98</v>
      </c>
    </row>
    <row r="128" spans="1:11" ht="79.2" hidden="1">
      <c r="A128" s="298" t="s">
        <v>44</v>
      </c>
      <c r="B128" s="300" t="s">
        <v>56</v>
      </c>
      <c r="C128" s="300">
        <v>43067</v>
      </c>
      <c r="D128" s="301" t="s">
        <v>57</v>
      </c>
      <c r="E128" s="303" t="s">
        <v>58</v>
      </c>
      <c r="F128" s="301" t="s">
        <v>57</v>
      </c>
      <c r="G128" s="301" t="s">
        <v>246</v>
      </c>
      <c r="H128" s="301" t="s">
        <v>283</v>
      </c>
      <c r="I128" s="302" t="s">
        <v>203</v>
      </c>
      <c r="J128" s="302" t="s">
        <v>284</v>
      </c>
      <c r="K128" s="305" t="s">
        <v>98</v>
      </c>
    </row>
    <row r="129" spans="1:11" ht="79.2" hidden="1">
      <c r="A129" s="298" t="s">
        <v>44</v>
      </c>
      <c r="B129" s="300" t="s">
        <v>56</v>
      </c>
      <c r="C129" s="300">
        <v>43067</v>
      </c>
      <c r="D129" s="301" t="s">
        <v>57</v>
      </c>
      <c r="E129" s="303" t="s">
        <v>58</v>
      </c>
      <c r="F129" s="301" t="s">
        <v>57</v>
      </c>
      <c r="G129" s="301" t="s">
        <v>246</v>
      </c>
      <c r="H129" s="301" t="s">
        <v>285</v>
      </c>
      <c r="I129" s="302" t="s">
        <v>206</v>
      </c>
      <c r="J129" s="302" t="s">
        <v>286</v>
      </c>
      <c r="K129" s="305" t="s">
        <v>98</v>
      </c>
    </row>
    <row r="130" spans="1:11" ht="79.2" hidden="1">
      <c r="A130" s="298" t="s">
        <v>44</v>
      </c>
      <c r="B130" s="300" t="s">
        <v>56</v>
      </c>
      <c r="C130" s="300">
        <v>43067</v>
      </c>
      <c r="D130" s="301" t="s">
        <v>57</v>
      </c>
      <c r="E130" s="303" t="s">
        <v>58</v>
      </c>
      <c r="F130" s="301" t="s">
        <v>57</v>
      </c>
      <c r="G130" s="301" t="s">
        <v>246</v>
      </c>
      <c r="H130" s="301" t="s">
        <v>287</v>
      </c>
      <c r="I130" s="302" t="s">
        <v>209</v>
      </c>
      <c r="J130" s="302" t="s">
        <v>288</v>
      </c>
      <c r="K130" s="305" t="s">
        <v>98</v>
      </c>
    </row>
    <row r="131" spans="1:11" ht="79.2" hidden="1">
      <c r="A131" s="298" t="s">
        <v>44</v>
      </c>
      <c r="B131" s="300" t="s">
        <v>56</v>
      </c>
      <c r="C131" s="300">
        <v>43067</v>
      </c>
      <c r="D131" s="301" t="s">
        <v>57</v>
      </c>
      <c r="E131" s="303" t="s">
        <v>58</v>
      </c>
      <c r="F131" s="301" t="s">
        <v>57</v>
      </c>
      <c r="G131" s="301" t="s">
        <v>246</v>
      </c>
      <c r="H131" s="301" t="s">
        <v>289</v>
      </c>
      <c r="I131" s="302" t="s">
        <v>212</v>
      </c>
      <c r="J131" s="302" t="s">
        <v>290</v>
      </c>
      <c r="K131" s="305" t="s">
        <v>98</v>
      </c>
    </row>
    <row r="132" spans="1:11" hidden="1">
      <c r="A132" s="298" t="s">
        <v>44</v>
      </c>
      <c r="B132" s="300" t="s">
        <v>291</v>
      </c>
      <c r="C132" s="300">
        <v>43234</v>
      </c>
      <c r="D132" s="301" t="s">
        <v>57</v>
      </c>
      <c r="E132" s="303" t="s">
        <v>292</v>
      </c>
      <c r="F132" s="301" t="s">
        <v>57</v>
      </c>
      <c r="G132" s="301" t="s">
        <v>293</v>
      </c>
      <c r="H132" s="301"/>
      <c r="I132" s="302" t="s">
        <v>294</v>
      </c>
      <c r="J132" s="302" t="s">
        <v>294</v>
      </c>
      <c r="K132" s="305" t="s">
        <v>295</v>
      </c>
    </row>
    <row r="133" spans="1:11" hidden="1">
      <c r="A133" s="298" t="s">
        <v>44</v>
      </c>
      <c r="B133" s="300" t="s">
        <v>291</v>
      </c>
      <c r="C133" s="300">
        <v>43234</v>
      </c>
      <c r="D133" s="301" t="s">
        <v>57</v>
      </c>
      <c r="E133" s="303" t="s">
        <v>292</v>
      </c>
      <c r="F133" s="301" t="s">
        <v>57</v>
      </c>
      <c r="G133" s="301" t="s">
        <v>71</v>
      </c>
      <c r="H133" s="301" t="s">
        <v>296</v>
      </c>
      <c r="I133" s="302" t="s">
        <v>297</v>
      </c>
      <c r="J133" s="302" t="s">
        <v>81</v>
      </c>
      <c r="K133" s="305" t="s">
        <v>298</v>
      </c>
    </row>
    <row r="134" spans="1:11" hidden="1">
      <c r="A134" s="298" t="s">
        <v>44</v>
      </c>
      <c r="B134" s="300" t="s">
        <v>291</v>
      </c>
      <c r="C134" s="300">
        <v>43234</v>
      </c>
      <c r="D134" s="301" t="s">
        <v>57</v>
      </c>
      <c r="E134" s="303" t="s">
        <v>292</v>
      </c>
      <c r="F134" s="301" t="s">
        <v>57</v>
      </c>
      <c r="G134" s="301" t="s">
        <v>71</v>
      </c>
      <c r="H134" s="301" t="s">
        <v>299</v>
      </c>
      <c r="I134" s="302" t="s">
        <v>297</v>
      </c>
      <c r="J134" s="302" t="s">
        <v>81</v>
      </c>
      <c r="K134" s="305" t="s">
        <v>300</v>
      </c>
    </row>
    <row r="135" spans="1:11" hidden="1">
      <c r="A135" s="298" t="s">
        <v>44</v>
      </c>
      <c r="B135" s="300" t="s">
        <v>291</v>
      </c>
      <c r="C135" s="300">
        <v>43234</v>
      </c>
      <c r="D135" s="301" t="s">
        <v>57</v>
      </c>
      <c r="E135" s="303" t="s">
        <v>292</v>
      </c>
      <c r="F135" s="301" t="s">
        <v>57</v>
      </c>
      <c r="G135" s="301" t="s">
        <v>301</v>
      </c>
      <c r="H135" s="301" t="s">
        <v>302</v>
      </c>
      <c r="I135" s="302" t="s">
        <v>303</v>
      </c>
      <c r="J135" s="302" t="s">
        <v>81</v>
      </c>
      <c r="K135" s="305" t="s">
        <v>304</v>
      </c>
    </row>
    <row r="136" spans="1:11" hidden="1">
      <c r="A136" s="298" t="s">
        <v>44</v>
      </c>
      <c r="B136" s="300" t="s">
        <v>291</v>
      </c>
      <c r="C136" s="307">
        <v>43280</v>
      </c>
      <c r="D136" s="303" t="s">
        <v>57</v>
      </c>
      <c r="E136" s="303"/>
      <c r="F136" s="303"/>
      <c r="G136" s="301" t="s">
        <v>59</v>
      </c>
      <c r="H136" s="301" t="s">
        <v>305</v>
      </c>
      <c r="I136" s="302" t="s">
        <v>306</v>
      </c>
      <c r="J136" s="302" t="s">
        <v>307</v>
      </c>
      <c r="K136" s="305"/>
    </row>
    <row r="137" spans="1:11" hidden="1">
      <c r="A137" s="298" t="s">
        <v>44</v>
      </c>
      <c r="B137" s="300" t="s">
        <v>291</v>
      </c>
      <c r="C137" s="307">
        <v>43280</v>
      </c>
      <c r="D137" s="303" t="s">
        <v>57</v>
      </c>
      <c r="E137" s="303"/>
      <c r="F137" s="303"/>
      <c r="G137" s="301" t="s">
        <v>59</v>
      </c>
      <c r="H137" s="301" t="s">
        <v>308</v>
      </c>
      <c r="I137" s="302" t="s">
        <v>306</v>
      </c>
      <c r="J137" s="302" t="s">
        <v>307</v>
      </c>
      <c r="K137" s="305"/>
    </row>
    <row r="138" spans="1:11" hidden="1">
      <c r="A138" s="298" t="s">
        <v>44</v>
      </c>
      <c r="B138" s="300" t="s">
        <v>291</v>
      </c>
      <c r="C138" s="307">
        <v>43280</v>
      </c>
      <c r="D138" s="303" t="s">
        <v>57</v>
      </c>
      <c r="E138" s="303"/>
      <c r="F138" s="303"/>
      <c r="G138" s="301" t="s">
        <v>59</v>
      </c>
      <c r="H138" s="301" t="s">
        <v>309</v>
      </c>
      <c r="I138" s="302">
        <v>25.7</v>
      </c>
      <c r="J138" s="302">
        <v>26.2</v>
      </c>
      <c r="K138" s="305"/>
    </row>
    <row r="139" spans="1:11" hidden="1">
      <c r="A139" s="298" t="s">
        <v>44</v>
      </c>
      <c r="B139" s="300" t="s">
        <v>291</v>
      </c>
      <c r="C139" s="307">
        <v>43280</v>
      </c>
      <c r="D139" s="303" t="s">
        <v>57</v>
      </c>
      <c r="E139" s="303"/>
      <c r="F139" s="303"/>
      <c r="G139" s="301" t="s">
        <v>59</v>
      </c>
      <c r="H139" s="301" t="s">
        <v>310</v>
      </c>
      <c r="I139" s="302">
        <v>0.2</v>
      </c>
      <c r="J139" s="302">
        <v>0.4</v>
      </c>
      <c r="K139" s="305"/>
    </row>
    <row r="140" spans="1:11" hidden="1">
      <c r="A140" s="298" t="s">
        <v>44</v>
      </c>
      <c r="B140" s="300" t="s">
        <v>291</v>
      </c>
      <c r="C140" s="307">
        <v>43280</v>
      </c>
      <c r="D140" s="303" t="s">
        <v>57</v>
      </c>
      <c r="E140" s="303"/>
      <c r="F140" s="303"/>
      <c r="G140" s="301" t="s">
        <v>59</v>
      </c>
      <c r="H140" s="301" t="s">
        <v>311</v>
      </c>
      <c r="I140" s="302">
        <v>0.2</v>
      </c>
      <c r="J140" s="302">
        <v>0.3</v>
      </c>
      <c r="K140" s="305"/>
    </row>
    <row r="141" spans="1:11" hidden="1">
      <c r="A141" s="298" t="s">
        <v>44</v>
      </c>
      <c r="B141" s="300" t="s">
        <v>291</v>
      </c>
      <c r="C141" s="307">
        <v>43280</v>
      </c>
      <c r="D141" s="303" t="s">
        <v>57</v>
      </c>
      <c r="E141" s="303"/>
      <c r="F141" s="303"/>
      <c r="G141" s="301" t="s">
        <v>59</v>
      </c>
      <c r="H141" s="301" t="s">
        <v>312</v>
      </c>
      <c r="I141" s="302">
        <v>0.2</v>
      </c>
      <c r="J141" s="302">
        <v>0.4</v>
      </c>
      <c r="K141" s="305"/>
    </row>
    <row r="142" spans="1:11" hidden="1">
      <c r="A142" s="298" t="s">
        <v>44</v>
      </c>
      <c r="B142" s="300" t="s">
        <v>291</v>
      </c>
      <c r="C142" s="307">
        <v>43280</v>
      </c>
      <c r="D142" s="303" t="s">
        <v>57</v>
      </c>
      <c r="E142" s="303"/>
      <c r="F142" s="303"/>
      <c r="G142" s="301" t="s">
        <v>59</v>
      </c>
      <c r="H142" s="301" t="s">
        <v>313</v>
      </c>
      <c r="I142" s="302">
        <v>0.2</v>
      </c>
      <c r="J142" s="302">
        <v>0.3</v>
      </c>
      <c r="K142" s="305"/>
    </row>
    <row r="143" spans="1:11" hidden="1">
      <c r="A143" s="298" t="s">
        <v>44</v>
      </c>
      <c r="B143" s="300" t="s">
        <v>291</v>
      </c>
      <c r="C143" s="307">
        <v>43280</v>
      </c>
      <c r="D143" s="303" t="s">
        <v>57</v>
      </c>
      <c r="E143" s="303"/>
      <c r="F143" s="303"/>
      <c r="G143" s="301" t="s">
        <v>59</v>
      </c>
      <c r="H143" s="301" t="s">
        <v>314</v>
      </c>
      <c r="I143" s="302">
        <v>25.7</v>
      </c>
      <c r="J143" s="302">
        <v>26.2</v>
      </c>
      <c r="K143" s="305"/>
    </row>
    <row r="144" spans="1:11" ht="26.4" hidden="1">
      <c r="A144" s="298" t="s">
        <v>44</v>
      </c>
      <c r="B144" s="300" t="s">
        <v>291</v>
      </c>
      <c r="C144" s="307">
        <v>43280</v>
      </c>
      <c r="D144" s="303" t="s">
        <v>57</v>
      </c>
      <c r="E144" s="303"/>
      <c r="F144" s="303"/>
      <c r="G144" s="301" t="s">
        <v>293</v>
      </c>
      <c r="H144" s="301" t="s">
        <v>315</v>
      </c>
      <c r="I144" s="302" t="s">
        <v>316</v>
      </c>
      <c r="J144" s="302" t="s">
        <v>81</v>
      </c>
      <c r="K144" s="305"/>
    </row>
    <row r="145" spans="1:11" ht="26.4" hidden="1">
      <c r="A145" s="298" t="s">
        <v>44</v>
      </c>
      <c r="B145" s="300" t="s">
        <v>291</v>
      </c>
      <c r="C145" s="307">
        <v>43280</v>
      </c>
      <c r="D145" s="303" t="s">
        <v>57</v>
      </c>
      <c r="E145" s="303"/>
      <c r="F145" s="303"/>
      <c r="G145" s="301" t="s">
        <v>293</v>
      </c>
      <c r="H145" s="301" t="s">
        <v>317</v>
      </c>
      <c r="I145" s="302" t="s">
        <v>318</v>
      </c>
      <c r="J145" s="302" t="s">
        <v>81</v>
      </c>
      <c r="K145" s="305"/>
    </row>
    <row r="146" spans="1:11" ht="26.4" hidden="1">
      <c r="A146" s="298" t="s">
        <v>44</v>
      </c>
      <c r="B146" s="300" t="s">
        <v>291</v>
      </c>
      <c r="C146" s="307">
        <v>43280</v>
      </c>
      <c r="D146" s="303" t="s">
        <v>57</v>
      </c>
      <c r="E146" s="303"/>
      <c r="F146" s="303"/>
      <c r="G146" s="301" t="s">
        <v>293</v>
      </c>
      <c r="H146" s="301" t="s">
        <v>319</v>
      </c>
      <c r="I146" s="302" t="s">
        <v>320</v>
      </c>
      <c r="J146" s="302" t="s">
        <v>81</v>
      </c>
      <c r="K146" s="305"/>
    </row>
    <row r="147" spans="1:11" ht="26.4" hidden="1">
      <c r="A147" s="298" t="s">
        <v>44</v>
      </c>
      <c r="B147" s="300" t="s">
        <v>291</v>
      </c>
      <c r="C147" s="307">
        <v>43280</v>
      </c>
      <c r="D147" s="303" t="s">
        <v>57</v>
      </c>
      <c r="E147" s="303"/>
      <c r="F147" s="303"/>
      <c r="G147" s="301" t="s">
        <v>293</v>
      </c>
      <c r="H147" s="301" t="s">
        <v>321</v>
      </c>
      <c r="I147" s="302" t="s">
        <v>322</v>
      </c>
      <c r="J147" s="302" t="s">
        <v>81</v>
      </c>
      <c r="K147" s="305"/>
    </row>
    <row r="148" spans="1:11" hidden="1">
      <c r="A148" s="298" t="s">
        <v>44</v>
      </c>
      <c r="B148" s="300" t="s">
        <v>291</v>
      </c>
      <c r="C148" s="307">
        <v>43280</v>
      </c>
      <c r="D148" s="303" t="s">
        <v>57</v>
      </c>
      <c r="E148" s="303"/>
      <c r="F148" s="303"/>
      <c r="G148" s="301" t="s">
        <v>293</v>
      </c>
      <c r="H148" s="301" t="s">
        <v>323</v>
      </c>
      <c r="I148" s="302" t="s">
        <v>324</v>
      </c>
      <c r="J148" s="302" t="s">
        <v>81</v>
      </c>
      <c r="K148" s="305"/>
    </row>
    <row r="149" spans="1:11" hidden="1">
      <c r="A149" s="298" t="s">
        <v>44</v>
      </c>
      <c r="B149" s="300" t="s">
        <v>291</v>
      </c>
      <c r="C149" s="307">
        <v>43280</v>
      </c>
      <c r="D149" s="303" t="s">
        <v>57</v>
      </c>
      <c r="E149" s="303"/>
      <c r="F149" s="303"/>
      <c r="G149" s="301" t="s">
        <v>293</v>
      </c>
      <c r="H149" s="301" t="s">
        <v>325</v>
      </c>
      <c r="I149" s="302" t="s">
        <v>326</v>
      </c>
      <c r="J149" s="302" t="s">
        <v>81</v>
      </c>
      <c r="K149" s="305"/>
    </row>
    <row r="150" spans="1:11" hidden="1">
      <c r="A150" s="298" t="s">
        <v>44</v>
      </c>
      <c r="B150" s="300" t="s">
        <v>291</v>
      </c>
      <c r="C150" s="307">
        <v>43280</v>
      </c>
      <c r="D150" s="303" t="s">
        <v>57</v>
      </c>
      <c r="E150" s="303"/>
      <c r="F150" s="303"/>
      <c r="G150" s="301" t="s">
        <v>293</v>
      </c>
      <c r="H150" s="301" t="s">
        <v>327</v>
      </c>
      <c r="I150" s="302" t="s">
        <v>328</v>
      </c>
      <c r="J150" s="302" t="s">
        <v>81</v>
      </c>
      <c r="K150" s="305"/>
    </row>
    <row r="151" spans="1:11" hidden="1">
      <c r="A151" s="298" t="s">
        <v>44</v>
      </c>
      <c r="B151" s="300" t="s">
        <v>291</v>
      </c>
      <c r="C151" s="307">
        <v>43280</v>
      </c>
      <c r="D151" s="303" t="s">
        <v>57</v>
      </c>
      <c r="E151" s="303"/>
      <c r="F151" s="303"/>
      <c r="G151" s="301" t="s">
        <v>293</v>
      </c>
      <c r="H151" s="301" t="s">
        <v>329</v>
      </c>
      <c r="I151" s="302" t="s">
        <v>330</v>
      </c>
      <c r="J151" s="302" t="s">
        <v>81</v>
      </c>
      <c r="K151" s="305"/>
    </row>
    <row r="152" spans="1:11" hidden="1">
      <c r="A152" s="298" t="s">
        <v>44</v>
      </c>
      <c r="B152" s="300" t="s">
        <v>291</v>
      </c>
      <c r="C152" s="307">
        <v>43280</v>
      </c>
      <c r="D152" s="303" t="s">
        <v>57</v>
      </c>
      <c r="E152" s="303"/>
      <c r="F152" s="303"/>
      <c r="G152" s="301" t="s">
        <v>293</v>
      </c>
      <c r="H152" s="301" t="s">
        <v>331</v>
      </c>
      <c r="I152" s="302" t="s">
        <v>332</v>
      </c>
      <c r="J152" s="302" t="s">
        <v>81</v>
      </c>
      <c r="K152" s="305"/>
    </row>
    <row r="153" spans="1:11" hidden="1">
      <c r="A153" s="298" t="s">
        <v>44</v>
      </c>
      <c r="B153" s="300" t="s">
        <v>291</v>
      </c>
      <c r="C153" s="307">
        <v>43280</v>
      </c>
      <c r="D153" s="303" t="s">
        <v>57</v>
      </c>
      <c r="E153" s="303"/>
      <c r="F153" s="303"/>
      <c r="G153" s="301" t="s">
        <v>293</v>
      </c>
      <c r="H153" s="301" t="s">
        <v>333</v>
      </c>
      <c r="I153" s="302" t="s">
        <v>334</v>
      </c>
      <c r="J153" s="302" t="s">
        <v>81</v>
      </c>
      <c r="K153" s="305"/>
    </row>
    <row r="154" spans="1:11" hidden="1">
      <c r="A154" s="298" t="s">
        <v>44</v>
      </c>
      <c r="B154" s="300" t="s">
        <v>291</v>
      </c>
      <c r="C154" s="307">
        <v>43280</v>
      </c>
      <c r="D154" s="303" t="s">
        <v>57</v>
      </c>
      <c r="E154" s="303"/>
      <c r="F154" s="303"/>
      <c r="G154" s="301" t="s">
        <v>293</v>
      </c>
      <c r="H154" s="301" t="s">
        <v>335</v>
      </c>
      <c r="I154" s="302" t="s">
        <v>336</v>
      </c>
      <c r="J154" s="302" t="s">
        <v>81</v>
      </c>
      <c r="K154" s="305"/>
    </row>
    <row r="155" spans="1:11" hidden="1">
      <c r="A155" s="298" t="s">
        <v>44</v>
      </c>
      <c r="B155" s="300" t="s">
        <v>291</v>
      </c>
      <c r="C155" s="307">
        <v>43280</v>
      </c>
      <c r="D155" s="303" t="s">
        <v>57</v>
      </c>
      <c r="E155" s="303"/>
      <c r="F155" s="303"/>
      <c r="G155" s="301" t="s">
        <v>293</v>
      </c>
      <c r="H155" s="301" t="s">
        <v>337</v>
      </c>
      <c r="I155" s="302" t="s">
        <v>338</v>
      </c>
      <c r="J155" s="302" t="s">
        <v>81</v>
      </c>
      <c r="K155" s="305"/>
    </row>
    <row r="156" spans="1:11" hidden="1">
      <c r="A156" s="298" t="s">
        <v>44</v>
      </c>
      <c r="B156" s="300" t="s">
        <v>291</v>
      </c>
      <c r="C156" s="307">
        <v>43280</v>
      </c>
      <c r="D156" s="303" t="s">
        <v>57</v>
      </c>
      <c r="E156" s="303"/>
      <c r="F156" s="303"/>
      <c r="G156" s="301" t="s">
        <v>293</v>
      </c>
      <c r="H156" s="301" t="s">
        <v>339</v>
      </c>
      <c r="I156" s="302" t="s">
        <v>340</v>
      </c>
      <c r="J156" s="302" t="s">
        <v>81</v>
      </c>
      <c r="K156" s="305"/>
    </row>
    <row r="157" spans="1:11" ht="26.4" hidden="1">
      <c r="A157" s="298" t="s">
        <v>44</v>
      </c>
      <c r="B157" s="300" t="s">
        <v>291</v>
      </c>
      <c r="C157" s="307">
        <v>43280</v>
      </c>
      <c r="D157" s="303" t="s">
        <v>57</v>
      </c>
      <c r="E157" s="303"/>
      <c r="F157" s="303"/>
      <c r="G157" s="301" t="s">
        <v>293</v>
      </c>
      <c r="H157" s="301" t="s">
        <v>341</v>
      </c>
      <c r="I157" s="302" t="s">
        <v>342</v>
      </c>
      <c r="J157" s="302" t="s">
        <v>343</v>
      </c>
      <c r="K157" s="305"/>
    </row>
    <row r="158" spans="1:11" hidden="1">
      <c r="A158" s="298" t="s">
        <v>44</v>
      </c>
      <c r="B158" s="300" t="s">
        <v>291</v>
      </c>
      <c r="C158" s="307">
        <v>43280</v>
      </c>
      <c r="D158" s="303" t="s">
        <v>57</v>
      </c>
      <c r="E158" s="303"/>
      <c r="F158" s="303"/>
      <c r="G158" s="301" t="s">
        <v>293</v>
      </c>
      <c r="H158" s="301" t="s">
        <v>344</v>
      </c>
      <c r="I158" s="302" t="s">
        <v>345</v>
      </c>
      <c r="J158" s="302" t="s">
        <v>81</v>
      </c>
      <c r="K158" s="305"/>
    </row>
    <row r="159" spans="1:11" hidden="1">
      <c r="A159" s="298" t="s">
        <v>44</v>
      </c>
      <c r="B159" s="300" t="s">
        <v>291</v>
      </c>
      <c r="C159" s="307">
        <v>43280</v>
      </c>
      <c r="D159" s="303" t="s">
        <v>57</v>
      </c>
      <c r="E159" s="303"/>
      <c r="F159" s="303"/>
      <c r="G159" s="301" t="s">
        <v>293</v>
      </c>
      <c r="H159" s="301" t="s">
        <v>346</v>
      </c>
      <c r="I159" s="302" t="s">
        <v>347</v>
      </c>
      <c r="J159" s="302" t="s">
        <v>81</v>
      </c>
      <c r="K159" s="305"/>
    </row>
    <row r="160" spans="1:11" hidden="1">
      <c r="A160" s="298" t="s">
        <v>44</v>
      </c>
      <c r="B160" s="300" t="s">
        <v>291</v>
      </c>
      <c r="C160" s="307">
        <v>43280</v>
      </c>
      <c r="D160" s="303" t="s">
        <v>57</v>
      </c>
      <c r="E160" s="303"/>
      <c r="F160" s="303"/>
      <c r="G160" s="301" t="s">
        <v>293</v>
      </c>
      <c r="H160" s="301" t="s">
        <v>348</v>
      </c>
      <c r="I160" s="302" t="s">
        <v>349</v>
      </c>
      <c r="J160" s="302" t="s">
        <v>81</v>
      </c>
      <c r="K160" s="305"/>
    </row>
    <row r="161" spans="1:11" hidden="1">
      <c r="A161" s="298" t="s">
        <v>44</v>
      </c>
      <c r="B161" s="300" t="s">
        <v>291</v>
      </c>
      <c r="C161" s="307">
        <v>43280</v>
      </c>
      <c r="D161" s="303" t="s">
        <v>57</v>
      </c>
      <c r="E161" s="303"/>
      <c r="F161" s="303"/>
      <c r="G161" s="301" t="s">
        <v>293</v>
      </c>
      <c r="H161" s="301" t="s">
        <v>350</v>
      </c>
      <c r="I161" s="306" t="s">
        <v>351</v>
      </c>
      <c r="J161" s="302" t="s">
        <v>81</v>
      </c>
      <c r="K161" s="305"/>
    </row>
    <row r="162" spans="1:11" hidden="1">
      <c r="A162" s="298" t="s">
        <v>44</v>
      </c>
      <c r="B162" s="300" t="s">
        <v>291</v>
      </c>
      <c r="C162" s="307">
        <v>43280</v>
      </c>
      <c r="D162" s="303" t="s">
        <v>57</v>
      </c>
      <c r="E162" s="303"/>
      <c r="F162" s="303"/>
      <c r="G162" s="301" t="s">
        <v>293</v>
      </c>
      <c r="H162" s="301" t="s">
        <v>352</v>
      </c>
      <c r="I162" s="306" t="s">
        <v>353</v>
      </c>
      <c r="J162" s="302" t="s">
        <v>81</v>
      </c>
      <c r="K162" s="305"/>
    </row>
    <row r="163" spans="1:11" hidden="1">
      <c r="A163" s="298" t="s">
        <v>44</v>
      </c>
      <c r="B163" s="300" t="s">
        <v>291</v>
      </c>
      <c r="C163" s="307">
        <v>43280</v>
      </c>
      <c r="D163" s="303" t="s">
        <v>57</v>
      </c>
      <c r="E163" s="303"/>
      <c r="F163" s="303"/>
      <c r="G163" s="301" t="s">
        <v>293</v>
      </c>
      <c r="H163" s="301" t="s">
        <v>354</v>
      </c>
      <c r="I163" s="306" t="s">
        <v>355</v>
      </c>
      <c r="J163" s="302" t="s">
        <v>81</v>
      </c>
      <c r="K163" s="305"/>
    </row>
    <row r="164" spans="1:11" ht="39.6" hidden="1">
      <c r="A164" s="298" t="s">
        <v>44</v>
      </c>
      <c r="B164" s="300" t="s">
        <v>291</v>
      </c>
      <c r="C164" s="307">
        <v>43280</v>
      </c>
      <c r="D164" s="303" t="s">
        <v>57</v>
      </c>
      <c r="E164" s="303"/>
      <c r="F164" s="303"/>
      <c r="G164" s="301" t="s">
        <v>71</v>
      </c>
      <c r="H164" s="301" t="s">
        <v>102</v>
      </c>
      <c r="I164" s="302" t="s">
        <v>356</v>
      </c>
      <c r="J164" s="302" t="s">
        <v>105</v>
      </c>
      <c r="K164" s="305"/>
    </row>
    <row r="165" spans="1:11" hidden="1">
      <c r="A165" s="298" t="s">
        <v>44</v>
      </c>
      <c r="B165" s="300" t="s">
        <v>291</v>
      </c>
      <c r="C165" s="307">
        <v>43280</v>
      </c>
      <c r="D165" s="303" t="s">
        <v>57</v>
      </c>
      <c r="E165" s="303"/>
      <c r="F165" s="301"/>
      <c r="G165" s="301" t="s">
        <v>293</v>
      </c>
      <c r="H165" s="301" t="s">
        <v>315</v>
      </c>
      <c r="I165" s="302" t="s">
        <v>357</v>
      </c>
      <c r="J165" s="302" t="s">
        <v>81</v>
      </c>
      <c r="K165" s="305"/>
    </row>
    <row r="166" spans="1:11" hidden="1">
      <c r="A166" s="298" t="s">
        <v>44</v>
      </c>
      <c r="B166" s="300" t="s">
        <v>291</v>
      </c>
      <c r="C166" s="307">
        <v>43280</v>
      </c>
      <c r="D166" s="303" t="s">
        <v>57</v>
      </c>
      <c r="E166" s="303"/>
      <c r="F166" s="301"/>
      <c r="G166" s="301" t="s">
        <v>293</v>
      </c>
      <c r="H166" s="301" t="s">
        <v>319</v>
      </c>
      <c r="I166" s="302" t="s">
        <v>358</v>
      </c>
      <c r="J166" s="302" t="s">
        <v>81</v>
      </c>
      <c r="K166" s="305"/>
    </row>
    <row r="167" spans="1:11" hidden="1">
      <c r="A167" s="298" t="s">
        <v>44</v>
      </c>
      <c r="B167" s="300" t="s">
        <v>291</v>
      </c>
      <c r="C167" s="307">
        <v>43280</v>
      </c>
      <c r="D167" s="303" t="s">
        <v>57</v>
      </c>
      <c r="E167" s="303"/>
      <c r="F167" s="301"/>
      <c r="G167" s="301" t="s">
        <v>293</v>
      </c>
      <c r="H167" s="301" t="s">
        <v>359</v>
      </c>
      <c r="I167" s="302" t="s">
        <v>360</v>
      </c>
      <c r="J167" s="302" t="s">
        <v>81</v>
      </c>
      <c r="K167" s="305"/>
    </row>
    <row r="168" spans="1:11" ht="26.4" hidden="1">
      <c r="A168" s="298" t="s">
        <v>44</v>
      </c>
      <c r="B168" s="300" t="s">
        <v>291</v>
      </c>
      <c r="C168" s="307">
        <v>43280</v>
      </c>
      <c r="D168" s="303" t="s">
        <v>57</v>
      </c>
      <c r="E168" s="303"/>
      <c r="F168" s="301"/>
      <c r="G168" s="301" t="s">
        <v>293</v>
      </c>
      <c r="H168" s="301" t="s">
        <v>361</v>
      </c>
      <c r="I168" s="302" t="s">
        <v>322</v>
      </c>
      <c r="J168" s="302" t="s">
        <v>81</v>
      </c>
      <c r="K168" s="305"/>
    </row>
    <row r="169" spans="1:11" hidden="1">
      <c r="A169" s="298" t="s">
        <v>44</v>
      </c>
      <c r="B169" s="300" t="s">
        <v>291</v>
      </c>
      <c r="C169" s="307">
        <v>43280</v>
      </c>
      <c r="D169" s="303" t="s">
        <v>57</v>
      </c>
      <c r="E169" s="303"/>
      <c r="F169" s="301"/>
      <c r="G169" s="301" t="s">
        <v>293</v>
      </c>
      <c r="H169" s="301" t="s">
        <v>362</v>
      </c>
      <c r="I169" s="302" t="s">
        <v>363</v>
      </c>
      <c r="J169" s="302" t="s">
        <v>81</v>
      </c>
      <c r="K169" s="305"/>
    </row>
    <row r="170" spans="1:11" hidden="1">
      <c r="A170" s="298" t="s">
        <v>44</v>
      </c>
      <c r="B170" s="300" t="s">
        <v>291</v>
      </c>
      <c r="C170" s="307">
        <v>43280</v>
      </c>
      <c r="D170" s="303" t="s">
        <v>57</v>
      </c>
      <c r="E170" s="303"/>
      <c r="F170" s="301"/>
      <c r="G170" s="301" t="s">
        <v>293</v>
      </c>
      <c r="H170" s="301" t="s">
        <v>364</v>
      </c>
      <c r="I170" s="302" t="s">
        <v>365</v>
      </c>
      <c r="J170" s="302" t="s">
        <v>81</v>
      </c>
      <c r="K170" s="305"/>
    </row>
    <row r="171" spans="1:11" hidden="1">
      <c r="A171" s="298" t="s">
        <v>44</v>
      </c>
      <c r="B171" s="300" t="s">
        <v>291</v>
      </c>
      <c r="C171" s="307">
        <v>43280</v>
      </c>
      <c r="D171" s="303" t="s">
        <v>57</v>
      </c>
      <c r="E171" s="303"/>
      <c r="F171" s="301"/>
      <c r="G171" s="301" t="s">
        <v>293</v>
      </c>
      <c r="H171" s="301" t="s">
        <v>366</v>
      </c>
      <c r="I171" s="302">
        <v>1</v>
      </c>
      <c r="J171" s="302" t="s">
        <v>81</v>
      </c>
      <c r="K171" s="305"/>
    </row>
    <row r="172" spans="1:11" hidden="1">
      <c r="A172" s="298" t="s">
        <v>44</v>
      </c>
      <c r="B172" s="300" t="s">
        <v>291</v>
      </c>
      <c r="C172" s="307">
        <v>43280</v>
      </c>
      <c r="D172" s="303" t="s">
        <v>57</v>
      </c>
      <c r="E172" s="303"/>
      <c r="F172" s="301"/>
      <c r="G172" s="301" t="s">
        <v>293</v>
      </c>
      <c r="H172" s="301" t="s">
        <v>367</v>
      </c>
      <c r="I172" s="302" t="s">
        <v>368</v>
      </c>
      <c r="J172" s="302" t="s">
        <v>81</v>
      </c>
      <c r="K172" s="305"/>
    </row>
    <row r="173" spans="1:11" hidden="1">
      <c r="A173" s="298" t="s">
        <v>44</v>
      </c>
      <c r="B173" s="300" t="s">
        <v>291</v>
      </c>
      <c r="C173" s="307">
        <v>43280</v>
      </c>
      <c r="D173" s="303" t="s">
        <v>57</v>
      </c>
      <c r="E173" s="303"/>
      <c r="F173" s="301"/>
      <c r="G173" s="301" t="s">
        <v>293</v>
      </c>
      <c r="H173" s="301" t="s">
        <v>344</v>
      </c>
      <c r="I173" s="302">
        <v>3</v>
      </c>
      <c r="J173" s="302" t="s">
        <v>81</v>
      </c>
      <c r="K173" s="305"/>
    </row>
    <row r="174" spans="1:11" hidden="1">
      <c r="A174" s="298" t="s">
        <v>44</v>
      </c>
      <c r="B174" s="300" t="s">
        <v>291</v>
      </c>
      <c r="C174" s="307">
        <v>43280</v>
      </c>
      <c r="D174" s="303" t="s">
        <v>57</v>
      </c>
      <c r="E174" s="303"/>
      <c r="F174" s="301"/>
      <c r="G174" s="301" t="s">
        <v>293</v>
      </c>
      <c r="H174" s="301" t="s">
        <v>369</v>
      </c>
      <c r="I174" s="302" t="s">
        <v>370</v>
      </c>
      <c r="J174" s="302" t="s">
        <v>81</v>
      </c>
      <c r="K174" s="305"/>
    </row>
    <row r="175" spans="1:11" hidden="1">
      <c r="A175" s="298" t="s">
        <v>44</v>
      </c>
      <c r="B175" s="300" t="s">
        <v>291</v>
      </c>
      <c r="C175" s="307">
        <v>43280</v>
      </c>
      <c r="D175" s="303" t="s">
        <v>57</v>
      </c>
      <c r="E175" s="303"/>
      <c r="F175" s="301"/>
      <c r="G175" s="301" t="s">
        <v>293</v>
      </c>
      <c r="H175" s="301" t="s">
        <v>346</v>
      </c>
      <c r="I175" s="302">
        <v>4</v>
      </c>
      <c r="J175" s="302" t="s">
        <v>81</v>
      </c>
      <c r="K175" s="305"/>
    </row>
    <row r="176" spans="1:11" hidden="1">
      <c r="A176" s="298" t="s">
        <v>44</v>
      </c>
      <c r="B176" s="300" t="s">
        <v>291</v>
      </c>
      <c r="C176" s="307">
        <v>43280</v>
      </c>
      <c r="D176" s="303" t="s">
        <v>57</v>
      </c>
      <c r="E176" s="303"/>
      <c r="F176" s="301"/>
      <c r="G176" s="301" t="s">
        <v>293</v>
      </c>
      <c r="H176" s="301" t="s">
        <v>371</v>
      </c>
      <c r="I176" s="302" t="s">
        <v>372</v>
      </c>
      <c r="J176" s="302" t="s">
        <v>81</v>
      </c>
      <c r="K176" s="305"/>
    </row>
    <row r="177" spans="1:11" hidden="1">
      <c r="A177" s="298" t="s">
        <v>44</v>
      </c>
      <c r="B177" s="300" t="s">
        <v>291</v>
      </c>
      <c r="C177" s="307">
        <v>43280</v>
      </c>
      <c r="D177" s="303" t="s">
        <v>57</v>
      </c>
      <c r="E177" s="303"/>
      <c r="F177" s="301"/>
      <c r="G177" s="301" t="s">
        <v>293</v>
      </c>
      <c r="H177" s="301" t="s">
        <v>348</v>
      </c>
      <c r="I177" s="302">
        <v>5</v>
      </c>
      <c r="J177" s="302" t="s">
        <v>81</v>
      </c>
      <c r="K177" s="305"/>
    </row>
    <row r="178" spans="1:11" hidden="1">
      <c r="A178" s="298" t="s">
        <v>44</v>
      </c>
      <c r="B178" s="300" t="s">
        <v>291</v>
      </c>
      <c r="C178" s="307">
        <v>43280</v>
      </c>
      <c r="D178" s="303" t="s">
        <v>57</v>
      </c>
      <c r="E178" s="303"/>
      <c r="F178" s="301"/>
      <c r="G178" s="301" t="s">
        <v>293</v>
      </c>
      <c r="H178" s="301" t="s">
        <v>373</v>
      </c>
      <c r="I178" s="302" t="s">
        <v>374</v>
      </c>
      <c r="J178" s="302" t="s">
        <v>81</v>
      </c>
      <c r="K178" s="305"/>
    </row>
    <row r="179" spans="1:11" hidden="1">
      <c r="A179" s="298" t="s">
        <v>44</v>
      </c>
      <c r="B179" s="300" t="s">
        <v>291</v>
      </c>
      <c r="C179" s="307">
        <v>43280</v>
      </c>
      <c r="D179" s="303" t="s">
        <v>57</v>
      </c>
      <c r="E179" s="303"/>
      <c r="F179" s="301"/>
      <c r="G179" s="301" t="s">
        <v>293</v>
      </c>
      <c r="H179" s="301" t="s">
        <v>375</v>
      </c>
      <c r="I179" s="302">
        <v>6</v>
      </c>
      <c r="J179" s="302" t="s">
        <v>81</v>
      </c>
      <c r="K179" s="305"/>
    </row>
    <row r="180" spans="1:11" hidden="1">
      <c r="A180" s="298" t="s">
        <v>44</v>
      </c>
      <c r="B180" s="300" t="s">
        <v>291</v>
      </c>
      <c r="C180" s="307">
        <v>43280</v>
      </c>
      <c r="D180" s="303" t="s">
        <v>57</v>
      </c>
      <c r="E180" s="303"/>
      <c r="F180" s="301"/>
      <c r="G180" s="301" t="s">
        <v>293</v>
      </c>
      <c r="H180" s="301" t="s">
        <v>376</v>
      </c>
      <c r="I180" s="302" t="s">
        <v>377</v>
      </c>
      <c r="J180" s="302" t="s">
        <v>81</v>
      </c>
      <c r="K180" s="305"/>
    </row>
    <row r="181" spans="1:11" hidden="1">
      <c r="A181" s="298" t="s">
        <v>44</v>
      </c>
      <c r="B181" s="300" t="s">
        <v>291</v>
      </c>
      <c r="C181" s="307">
        <v>43280</v>
      </c>
      <c r="D181" s="303" t="s">
        <v>57</v>
      </c>
      <c r="E181" s="303"/>
      <c r="F181" s="301"/>
      <c r="G181" s="301" t="s">
        <v>293</v>
      </c>
      <c r="H181" s="301" t="s">
        <v>378</v>
      </c>
      <c r="I181" s="302" t="s">
        <v>379</v>
      </c>
      <c r="J181" s="302" t="s">
        <v>81</v>
      </c>
      <c r="K181" s="305"/>
    </row>
    <row r="182" spans="1:11" hidden="1">
      <c r="A182" s="298" t="s">
        <v>44</v>
      </c>
      <c r="B182" s="300" t="s">
        <v>291</v>
      </c>
      <c r="C182" s="307">
        <v>43280</v>
      </c>
      <c r="D182" s="303" t="s">
        <v>57</v>
      </c>
      <c r="E182" s="303"/>
      <c r="F182" s="301"/>
      <c r="G182" s="301" t="s">
        <v>293</v>
      </c>
      <c r="H182" s="301" t="s">
        <v>380</v>
      </c>
      <c r="I182" s="302" t="s">
        <v>381</v>
      </c>
      <c r="J182" s="302" t="s">
        <v>81</v>
      </c>
      <c r="K182" s="305"/>
    </row>
    <row r="183" spans="1:11" hidden="1">
      <c r="A183" s="298" t="s">
        <v>44</v>
      </c>
      <c r="B183" s="300" t="s">
        <v>291</v>
      </c>
      <c r="C183" s="307">
        <v>43280</v>
      </c>
      <c r="D183" s="303" t="s">
        <v>57</v>
      </c>
      <c r="E183" s="303"/>
      <c r="F183" s="301"/>
      <c r="G183" s="301" t="s">
        <v>293</v>
      </c>
      <c r="H183" s="301" t="s">
        <v>382</v>
      </c>
      <c r="I183" s="302" t="s">
        <v>383</v>
      </c>
      <c r="J183" s="302" t="s">
        <v>81</v>
      </c>
      <c r="K183" s="305"/>
    </row>
    <row r="184" spans="1:11" hidden="1">
      <c r="A184" s="298" t="s">
        <v>44</v>
      </c>
      <c r="B184" s="300" t="s">
        <v>291</v>
      </c>
      <c r="C184" s="307">
        <v>43280</v>
      </c>
      <c r="D184" s="303" t="s">
        <v>57</v>
      </c>
      <c r="E184" s="303"/>
      <c r="F184" s="301"/>
      <c r="G184" s="301" t="s">
        <v>293</v>
      </c>
      <c r="H184" s="301" t="s">
        <v>384</v>
      </c>
      <c r="I184" s="302" t="s">
        <v>385</v>
      </c>
      <c r="J184" s="302" t="s">
        <v>81</v>
      </c>
      <c r="K184" s="305"/>
    </row>
    <row r="185" spans="1:11" hidden="1">
      <c r="A185" s="298" t="s">
        <v>44</v>
      </c>
      <c r="B185" s="300" t="s">
        <v>291</v>
      </c>
      <c r="C185" s="307">
        <v>43280</v>
      </c>
      <c r="D185" s="303" t="s">
        <v>57</v>
      </c>
      <c r="E185" s="303"/>
      <c r="F185" s="301"/>
      <c r="G185" s="301" t="s">
        <v>293</v>
      </c>
      <c r="H185" s="301" t="s">
        <v>386</v>
      </c>
      <c r="I185" s="302" t="s">
        <v>387</v>
      </c>
      <c r="J185" s="302" t="s">
        <v>81</v>
      </c>
      <c r="K185" s="305"/>
    </row>
    <row r="186" spans="1:11" hidden="1">
      <c r="A186" s="298" t="s">
        <v>44</v>
      </c>
      <c r="B186" s="300" t="s">
        <v>291</v>
      </c>
      <c r="C186" s="307">
        <v>43280</v>
      </c>
      <c r="D186" s="303" t="s">
        <v>57</v>
      </c>
      <c r="E186" s="303"/>
      <c r="F186" s="301"/>
      <c r="G186" s="301" t="s">
        <v>293</v>
      </c>
      <c r="H186" s="301" t="s">
        <v>388</v>
      </c>
      <c r="I186" s="302" t="s">
        <v>389</v>
      </c>
      <c r="J186" s="302" t="s">
        <v>81</v>
      </c>
      <c r="K186" s="305"/>
    </row>
    <row r="187" spans="1:11" hidden="1">
      <c r="A187" s="298" t="s">
        <v>44</v>
      </c>
      <c r="B187" s="300" t="s">
        <v>291</v>
      </c>
      <c r="C187" s="307">
        <v>43280</v>
      </c>
      <c r="D187" s="303" t="s">
        <v>57</v>
      </c>
      <c r="E187" s="303"/>
      <c r="F187" s="301"/>
      <c r="G187" s="301" t="s">
        <v>293</v>
      </c>
      <c r="H187" s="301" t="s">
        <v>341</v>
      </c>
      <c r="I187" s="302" t="s">
        <v>390</v>
      </c>
      <c r="J187" s="302" t="s">
        <v>81</v>
      </c>
      <c r="K187" s="305"/>
    </row>
    <row r="188" spans="1:11" hidden="1">
      <c r="A188" s="298" t="s">
        <v>44</v>
      </c>
      <c r="B188" s="300" t="s">
        <v>291</v>
      </c>
      <c r="C188" s="307">
        <v>43280</v>
      </c>
      <c r="D188" s="303" t="s">
        <v>57</v>
      </c>
      <c r="E188" s="303"/>
      <c r="F188" s="301"/>
      <c r="G188" s="301" t="s">
        <v>293</v>
      </c>
      <c r="H188" s="301" t="s">
        <v>391</v>
      </c>
      <c r="I188" s="302" t="s">
        <v>392</v>
      </c>
      <c r="J188" s="302" t="s">
        <v>81</v>
      </c>
      <c r="K188" s="305"/>
    </row>
    <row r="189" spans="1:11" hidden="1">
      <c r="A189" s="298" t="s">
        <v>44</v>
      </c>
      <c r="B189" s="300" t="s">
        <v>291</v>
      </c>
      <c r="C189" s="307">
        <v>43280</v>
      </c>
      <c r="D189" s="303" t="s">
        <v>57</v>
      </c>
      <c r="E189" s="303"/>
      <c r="F189" s="301"/>
      <c r="G189" s="301" t="s">
        <v>293</v>
      </c>
      <c r="H189" s="301" t="s">
        <v>393</v>
      </c>
      <c r="I189" s="302" t="s">
        <v>394</v>
      </c>
      <c r="J189" s="302" t="s">
        <v>81</v>
      </c>
      <c r="K189" s="305"/>
    </row>
    <row r="190" spans="1:11" hidden="1">
      <c r="A190" s="298" t="s">
        <v>44</v>
      </c>
      <c r="B190" s="300" t="s">
        <v>291</v>
      </c>
      <c r="C190" s="307">
        <v>43280</v>
      </c>
      <c r="D190" s="303" t="s">
        <v>57</v>
      </c>
      <c r="E190" s="303"/>
      <c r="F190" s="301"/>
      <c r="G190" s="301" t="s">
        <v>293</v>
      </c>
      <c r="H190" s="301" t="s">
        <v>395</v>
      </c>
      <c r="I190" s="302" t="s">
        <v>396</v>
      </c>
      <c r="J190" s="302" t="s">
        <v>81</v>
      </c>
      <c r="K190" s="305"/>
    </row>
    <row r="191" spans="1:11" hidden="1">
      <c r="A191" s="298" t="s">
        <v>44</v>
      </c>
      <c r="B191" s="300" t="s">
        <v>291</v>
      </c>
      <c r="C191" s="307">
        <v>43280</v>
      </c>
      <c r="D191" s="303" t="s">
        <v>57</v>
      </c>
      <c r="E191" s="303"/>
      <c r="F191" s="301"/>
      <c r="G191" s="301" t="s">
        <v>293</v>
      </c>
      <c r="H191" s="301" t="s">
        <v>397</v>
      </c>
      <c r="I191" s="302" t="s">
        <v>398</v>
      </c>
      <c r="J191" s="302" t="s">
        <v>81</v>
      </c>
      <c r="K191" s="305"/>
    </row>
    <row r="192" spans="1:11" hidden="1">
      <c r="A192" s="298" t="s">
        <v>44</v>
      </c>
      <c r="B192" s="300" t="s">
        <v>291</v>
      </c>
      <c r="C192" s="307">
        <v>43280</v>
      </c>
      <c r="D192" s="303" t="s">
        <v>57</v>
      </c>
      <c r="E192" s="303"/>
      <c r="F192" s="301"/>
      <c r="G192" s="301" t="s">
        <v>293</v>
      </c>
      <c r="H192" s="301" t="s">
        <v>399</v>
      </c>
      <c r="I192" s="302" t="s">
        <v>400</v>
      </c>
      <c r="J192" s="302" t="s">
        <v>81</v>
      </c>
      <c r="K192" s="305"/>
    </row>
    <row r="193" spans="1:11" ht="39.6" hidden="1">
      <c r="A193" s="298" t="s">
        <v>44</v>
      </c>
      <c r="B193" s="300" t="s">
        <v>291</v>
      </c>
      <c r="C193" s="307">
        <v>43280</v>
      </c>
      <c r="D193" s="303" t="s">
        <v>57</v>
      </c>
      <c r="E193" s="303"/>
      <c r="F193" s="301"/>
      <c r="G193" s="301" t="s">
        <v>293</v>
      </c>
      <c r="H193" s="301" t="s">
        <v>401</v>
      </c>
      <c r="I193" s="302" t="s">
        <v>402</v>
      </c>
      <c r="J193" s="302" t="s">
        <v>81</v>
      </c>
      <c r="K193" s="305"/>
    </row>
    <row r="194" spans="1:11" ht="26.4" hidden="1">
      <c r="A194" s="298" t="s">
        <v>44</v>
      </c>
      <c r="B194" s="300" t="s">
        <v>291</v>
      </c>
      <c r="C194" s="307">
        <v>43280</v>
      </c>
      <c r="D194" s="303" t="s">
        <v>57</v>
      </c>
      <c r="E194" s="303"/>
      <c r="F194" s="301"/>
      <c r="G194" s="301" t="s">
        <v>293</v>
      </c>
      <c r="H194" s="301" t="s">
        <v>403</v>
      </c>
      <c r="I194" s="302" t="s">
        <v>404</v>
      </c>
      <c r="J194" s="302" t="s">
        <v>81</v>
      </c>
      <c r="K194" s="305"/>
    </row>
    <row r="195" spans="1:11" ht="26.4" hidden="1">
      <c r="A195" s="298" t="s">
        <v>44</v>
      </c>
      <c r="B195" s="300" t="s">
        <v>291</v>
      </c>
      <c r="C195" s="307">
        <v>43280</v>
      </c>
      <c r="D195" s="303" t="s">
        <v>57</v>
      </c>
      <c r="E195" s="303"/>
      <c r="F195" s="301"/>
      <c r="G195" s="301" t="s">
        <v>293</v>
      </c>
      <c r="H195" s="301" t="s">
        <v>354</v>
      </c>
      <c r="I195" s="302" t="s">
        <v>405</v>
      </c>
      <c r="J195" s="302" t="s">
        <v>81</v>
      </c>
      <c r="K195" s="305"/>
    </row>
    <row r="196" spans="1:11" ht="26.4" hidden="1">
      <c r="A196" s="298" t="s">
        <v>44</v>
      </c>
      <c r="B196" s="300" t="s">
        <v>291</v>
      </c>
      <c r="C196" s="307">
        <v>43280</v>
      </c>
      <c r="D196" s="303" t="s">
        <v>57</v>
      </c>
      <c r="E196" s="303"/>
      <c r="F196" s="301"/>
      <c r="G196" s="301" t="s">
        <v>293</v>
      </c>
      <c r="H196" s="301" t="s">
        <v>352</v>
      </c>
      <c r="I196" s="302" t="s">
        <v>406</v>
      </c>
      <c r="J196" s="302" t="s">
        <v>81</v>
      </c>
      <c r="K196" s="305"/>
    </row>
    <row r="197" spans="1:11" hidden="1">
      <c r="A197" s="298" t="s">
        <v>44</v>
      </c>
      <c r="B197" s="300" t="s">
        <v>291</v>
      </c>
      <c r="C197" s="307">
        <v>43280</v>
      </c>
      <c r="D197" s="303" t="s">
        <v>57</v>
      </c>
      <c r="E197" s="303"/>
      <c r="F197" s="301"/>
      <c r="G197" s="301" t="s">
        <v>293</v>
      </c>
      <c r="H197" s="301" t="s">
        <v>407</v>
      </c>
      <c r="I197" s="302" t="s">
        <v>44</v>
      </c>
      <c r="J197" s="302" t="s">
        <v>81</v>
      </c>
      <c r="K197" s="305"/>
    </row>
    <row r="198" spans="1:11" hidden="1">
      <c r="A198" s="298" t="s">
        <v>44</v>
      </c>
      <c r="B198" s="300" t="s">
        <v>291</v>
      </c>
      <c r="C198" s="307">
        <v>43280</v>
      </c>
      <c r="D198" s="303" t="s">
        <v>57</v>
      </c>
      <c r="E198" s="303"/>
      <c r="F198" s="301"/>
      <c r="G198" s="301" t="s">
        <v>293</v>
      </c>
      <c r="H198" s="301" t="s">
        <v>408</v>
      </c>
      <c r="I198" s="302" t="s">
        <v>409</v>
      </c>
      <c r="J198" s="302" t="s">
        <v>81</v>
      </c>
      <c r="K198" s="305"/>
    </row>
    <row r="199" spans="1:11" ht="39.6" hidden="1">
      <c r="A199" s="298" t="s">
        <v>44</v>
      </c>
      <c r="B199" s="300" t="s">
        <v>291</v>
      </c>
      <c r="C199" s="307">
        <v>43280</v>
      </c>
      <c r="D199" s="303" t="s">
        <v>57</v>
      </c>
      <c r="E199" s="303"/>
      <c r="F199" s="301"/>
      <c r="G199" s="301" t="s">
        <v>293</v>
      </c>
      <c r="H199" s="301" t="s">
        <v>350</v>
      </c>
      <c r="I199" s="302" t="s">
        <v>410</v>
      </c>
      <c r="J199" s="302" t="s">
        <v>81</v>
      </c>
      <c r="K199" s="305"/>
    </row>
    <row r="200" spans="1:11" ht="39.6" hidden="1">
      <c r="A200" s="298" t="s">
        <v>44</v>
      </c>
      <c r="B200" s="300" t="s">
        <v>291</v>
      </c>
      <c r="C200" s="307">
        <v>43280</v>
      </c>
      <c r="D200" s="303" t="s">
        <v>57</v>
      </c>
      <c r="E200" s="303"/>
      <c r="F200" s="303"/>
      <c r="G200" s="303" t="s">
        <v>293</v>
      </c>
      <c r="H200" s="303" t="s">
        <v>411</v>
      </c>
      <c r="I200" s="305" t="s">
        <v>412</v>
      </c>
      <c r="J200" s="305" t="s">
        <v>413</v>
      </c>
      <c r="K200" s="305"/>
    </row>
    <row r="201" spans="1:11" ht="26.4" hidden="1">
      <c r="A201" s="298" t="s">
        <v>44</v>
      </c>
      <c r="B201" s="300" t="s">
        <v>414</v>
      </c>
      <c r="C201" s="307">
        <v>43735</v>
      </c>
      <c r="D201" s="303" t="s">
        <v>58</v>
      </c>
      <c r="E201" s="303" t="s">
        <v>57</v>
      </c>
      <c r="F201" s="303" t="s">
        <v>57</v>
      </c>
      <c r="G201" s="303" t="s">
        <v>59</v>
      </c>
      <c r="H201" s="303" t="s">
        <v>415</v>
      </c>
      <c r="I201" s="305" t="s">
        <v>416</v>
      </c>
      <c r="J201" s="305"/>
      <c r="K201" s="305" t="s">
        <v>417</v>
      </c>
    </row>
    <row r="202" spans="1:11" ht="26.4" hidden="1">
      <c r="A202" s="298" t="s">
        <v>44</v>
      </c>
      <c r="B202" s="300" t="s">
        <v>414</v>
      </c>
      <c r="C202" s="307">
        <v>43735</v>
      </c>
      <c r="D202" s="303" t="s">
        <v>58</v>
      </c>
      <c r="E202" s="303" t="s">
        <v>57</v>
      </c>
      <c r="F202" s="303" t="s">
        <v>57</v>
      </c>
      <c r="G202" s="303" t="s">
        <v>59</v>
      </c>
      <c r="H202" s="303" t="s">
        <v>418</v>
      </c>
      <c r="I202" s="305" t="s">
        <v>419</v>
      </c>
      <c r="J202" s="305" t="s">
        <v>420</v>
      </c>
      <c r="K202" s="305" t="s">
        <v>421</v>
      </c>
    </row>
    <row r="203" spans="1:11" ht="26.4" hidden="1">
      <c r="A203" s="298" t="s">
        <v>44</v>
      </c>
      <c r="B203" s="300" t="s">
        <v>414</v>
      </c>
      <c r="C203" s="307">
        <v>43735</v>
      </c>
      <c r="D203" s="303" t="s">
        <v>58</v>
      </c>
      <c r="E203" s="303" t="s">
        <v>57</v>
      </c>
      <c r="F203" s="303" t="s">
        <v>57</v>
      </c>
      <c r="G203" s="303" t="s">
        <v>59</v>
      </c>
      <c r="H203" s="303" t="s">
        <v>422</v>
      </c>
      <c r="I203" s="305" t="s">
        <v>416</v>
      </c>
      <c r="J203" s="305"/>
      <c r="K203" s="305" t="s">
        <v>421</v>
      </c>
    </row>
    <row r="204" spans="1:11" ht="39.6" hidden="1">
      <c r="A204" s="298" t="s">
        <v>44</v>
      </c>
      <c r="B204" s="300" t="s">
        <v>414</v>
      </c>
      <c r="C204" s="307">
        <v>43738</v>
      </c>
      <c r="D204" s="303" t="s">
        <v>58</v>
      </c>
      <c r="E204" s="303" t="s">
        <v>57</v>
      </c>
      <c r="F204" s="303" t="s">
        <v>57</v>
      </c>
      <c r="G204" s="301" t="s">
        <v>71</v>
      </c>
      <c r="H204" s="301" t="s">
        <v>102</v>
      </c>
      <c r="I204" s="302" t="s">
        <v>423</v>
      </c>
      <c r="J204" s="302" t="s">
        <v>424</v>
      </c>
      <c r="K204" s="305" t="s">
        <v>425</v>
      </c>
    </row>
    <row r="205" spans="1:11" ht="39.6" hidden="1">
      <c r="A205" s="298" t="s">
        <v>44</v>
      </c>
      <c r="B205" s="300" t="s">
        <v>414</v>
      </c>
      <c r="C205" s="307">
        <v>43738</v>
      </c>
      <c r="D205" s="303" t="s">
        <v>58</v>
      </c>
      <c r="E205" s="303" t="s">
        <v>57</v>
      </c>
      <c r="F205" s="303" t="s">
        <v>57</v>
      </c>
      <c r="G205" s="301" t="s">
        <v>71</v>
      </c>
      <c r="H205" s="301" t="s">
        <v>110</v>
      </c>
      <c r="I205" s="302" t="s">
        <v>426</v>
      </c>
      <c r="J205" s="302" t="s">
        <v>427</v>
      </c>
      <c r="K205" s="305" t="s">
        <v>428</v>
      </c>
    </row>
    <row r="206" spans="1:11" ht="39.6" hidden="1">
      <c r="A206" s="298" t="s">
        <v>44</v>
      </c>
      <c r="B206" s="300" t="s">
        <v>414</v>
      </c>
      <c r="C206" s="307">
        <v>43738</v>
      </c>
      <c r="D206" s="303" t="s">
        <v>58</v>
      </c>
      <c r="E206" s="303" t="s">
        <v>57</v>
      </c>
      <c r="F206" s="303" t="s">
        <v>57</v>
      </c>
      <c r="G206" s="301" t="s">
        <v>71</v>
      </c>
      <c r="H206" s="301" t="s">
        <v>123</v>
      </c>
      <c r="I206" s="302" t="s">
        <v>429</v>
      </c>
      <c r="J206" s="302" t="s">
        <v>430</v>
      </c>
      <c r="K206" s="305" t="s">
        <v>431</v>
      </c>
    </row>
    <row r="207" spans="1:11" ht="39.6" hidden="1">
      <c r="A207" s="298" t="s">
        <v>44</v>
      </c>
      <c r="B207" s="300" t="s">
        <v>414</v>
      </c>
      <c r="C207" s="307">
        <v>43738</v>
      </c>
      <c r="D207" s="303" t="s">
        <v>58</v>
      </c>
      <c r="E207" s="303" t="s">
        <v>57</v>
      </c>
      <c r="F207" s="303" t="s">
        <v>57</v>
      </c>
      <c r="G207" s="301" t="s">
        <v>71</v>
      </c>
      <c r="H207" s="301" t="s">
        <v>132</v>
      </c>
      <c r="I207" s="302" t="s">
        <v>432</v>
      </c>
      <c r="J207" s="302" t="s">
        <v>433</v>
      </c>
      <c r="K207" s="305" t="s">
        <v>434</v>
      </c>
    </row>
    <row r="208" spans="1:11" ht="39.6" hidden="1">
      <c r="A208" s="298" t="s">
        <v>44</v>
      </c>
      <c r="B208" s="300" t="s">
        <v>414</v>
      </c>
      <c r="C208" s="307">
        <v>43738</v>
      </c>
      <c r="D208" s="303" t="s">
        <v>58</v>
      </c>
      <c r="E208" s="303" t="s">
        <v>57</v>
      </c>
      <c r="F208" s="303" t="s">
        <v>57</v>
      </c>
      <c r="G208" s="301" t="s">
        <v>71</v>
      </c>
      <c r="H208" s="301" t="s">
        <v>142</v>
      </c>
      <c r="I208" s="302" t="s">
        <v>435</v>
      </c>
      <c r="J208" s="302" t="s">
        <v>436</v>
      </c>
      <c r="K208" s="305" t="s">
        <v>437</v>
      </c>
    </row>
    <row r="209" spans="1:11" ht="39.6" hidden="1">
      <c r="A209" s="298" t="s">
        <v>44</v>
      </c>
      <c r="B209" s="300" t="s">
        <v>414</v>
      </c>
      <c r="C209" s="307">
        <v>43738</v>
      </c>
      <c r="D209" s="303" t="s">
        <v>58</v>
      </c>
      <c r="E209" s="303" t="s">
        <v>57</v>
      </c>
      <c r="F209" s="303" t="s">
        <v>57</v>
      </c>
      <c r="G209" s="301" t="s">
        <v>293</v>
      </c>
      <c r="H209" s="301" t="s">
        <v>401</v>
      </c>
      <c r="I209" s="302" t="s">
        <v>438</v>
      </c>
      <c r="J209" s="302" t="s">
        <v>439</v>
      </c>
      <c r="K209" s="305" t="s">
        <v>440</v>
      </c>
    </row>
    <row r="210" spans="1:11" ht="39.6" hidden="1">
      <c r="A210" s="298" t="s">
        <v>44</v>
      </c>
      <c r="B210" s="300" t="s">
        <v>414</v>
      </c>
      <c r="C210" s="307">
        <v>43738</v>
      </c>
      <c r="D210" s="303" t="s">
        <v>58</v>
      </c>
      <c r="E210" s="303" t="s">
        <v>57</v>
      </c>
      <c r="F210" s="303" t="s">
        <v>57</v>
      </c>
      <c r="G210" s="301" t="s">
        <v>293</v>
      </c>
      <c r="H210" s="301" t="s">
        <v>350</v>
      </c>
      <c r="I210" s="302" t="s">
        <v>441</v>
      </c>
      <c r="J210" s="302" t="s">
        <v>442</v>
      </c>
      <c r="K210" s="305" t="s">
        <v>443</v>
      </c>
    </row>
    <row r="211" spans="1:11" ht="26.4" hidden="1">
      <c r="A211" s="298" t="s">
        <v>44</v>
      </c>
      <c r="B211" s="300" t="s">
        <v>414</v>
      </c>
      <c r="C211" s="307">
        <v>43738</v>
      </c>
      <c r="D211" s="303" t="s">
        <v>58</v>
      </c>
      <c r="E211" s="303" t="s">
        <v>57</v>
      </c>
      <c r="F211" s="303" t="s">
        <v>57</v>
      </c>
      <c r="G211" s="301" t="s">
        <v>293</v>
      </c>
      <c r="H211" s="301" t="s">
        <v>352</v>
      </c>
      <c r="I211" s="302" t="s">
        <v>444</v>
      </c>
      <c r="J211" s="302" t="s">
        <v>445</v>
      </c>
      <c r="K211" s="305" t="s">
        <v>446</v>
      </c>
    </row>
    <row r="212" spans="1:11" ht="26.4" hidden="1">
      <c r="A212" s="298" t="s">
        <v>44</v>
      </c>
      <c r="B212" s="300" t="s">
        <v>414</v>
      </c>
      <c r="C212" s="307">
        <v>43738</v>
      </c>
      <c r="D212" s="303" t="s">
        <v>58</v>
      </c>
      <c r="E212" s="303" t="s">
        <v>57</v>
      </c>
      <c r="F212" s="303" t="s">
        <v>57</v>
      </c>
      <c r="G212" s="301" t="s">
        <v>293</v>
      </c>
      <c r="H212" s="301" t="s">
        <v>354</v>
      </c>
      <c r="I212" s="302" t="s">
        <v>447</v>
      </c>
      <c r="J212" s="302" t="s">
        <v>448</v>
      </c>
      <c r="K212" s="305" t="s">
        <v>449</v>
      </c>
    </row>
    <row r="213" spans="1:11" ht="26.4" hidden="1">
      <c r="A213" s="298" t="s">
        <v>44</v>
      </c>
      <c r="B213" s="300" t="s">
        <v>414</v>
      </c>
      <c r="C213" s="307">
        <v>43738</v>
      </c>
      <c r="D213" s="303" t="s">
        <v>58</v>
      </c>
      <c r="E213" s="303" t="s">
        <v>57</v>
      </c>
      <c r="F213" s="303" t="s">
        <v>57</v>
      </c>
      <c r="G213" s="301" t="s">
        <v>293</v>
      </c>
      <c r="H213" s="301" t="s">
        <v>403</v>
      </c>
      <c r="I213" s="302" t="s">
        <v>450</v>
      </c>
      <c r="J213" s="302" t="s">
        <v>451</v>
      </c>
      <c r="K213" s="305" t="s">
        <v>452</v>
      </c>
    </row>
    <row r="214" spans="1:11" ht="26.4" hidden="1">
      <c r="A214" s="298" t="s">
        <v>44</v>
      </c>
      <c r="B214" s="300" t="s">
        <v>414</v>
      </c>
      <c r="C214" s="307">
        <v>43746</v>
      </c>
      <c r="D214" s="303" t="s">
        <v>58</v>
      </c>
      <c r="E214" s="303" t="s">
        <v>57</v>
      </c>
      <c r="F214" s="303" t="s">
        <v>57</v>
      </c>
      <c r="G214" s="301" t="s">
        <v>301</v>
      </c>
      <c r="H214" s="301" t="s">
        <v>453</v>
      </c>
      <c r="I214" s="302" t="s">
        <v>416</v>
      </c>
      <c r="J214" s="302" t="s">
        <v>416</v>
      </c>
      <c r="K214" s="302" t="s">
        <v>454</v>
      </c>
    </row>
    <row r="215" spans="1:11" ht="26.4" hidden="1">
      <c r="A215" s="298" t="s">
        <v>44</v>
      </c>
      <c r="B215" s="300" t="s">
        <v>455</v>
      </c>
      <c r="C215" s="307">
        <v>43789</v>
      </c>
      <c r="D215" s="303" t="s">
        <v>58</v>
      </c>
      <c r="E215" s="303" t="s">
        <v>57</v>
      </c>
      <c r="F215" s="303" t="s">
        <v>57</v>
      </c>
      <c r="G215" s="303" t="s">
        <v>71</v>
      </c>
      <c r="H215" s="303" t="s">
        <v>315</v>
      </c>
      <c r="I215" s="305">
        <v>10</v>
      </c>
      <c r="J215" s="305" t="s">
        <v>81</v>
      </c>
      <c r="K215" s="305" t="s">
        <v>456</v>
      </c>
    </row>
    <row r="216" spans="1:11" hidden="1">
      <c r="A216" s="298" t="s">
        <v>44</v>
      </c>
      <c r="B216" s="300" t="s">
        <v>455</v>
      </c>
      <c r="C216" s="307">
        <v>43789</v>
      </c>
      <c r="D216" s="303" t="s">
        <v>58</v>
      </c>
      <c r="E216" s="303" t="s">
        <v>57</v>
      </c>
      <c r="F216" s="303" t="s">
        <v>57</v>
      </c>
      <c r="G216" s="303" t="s">
        <v>71</v>
      </c>
      <c r="H216" s="303" t="s">
        <v>457</v>
      </c>
      <c r="I216" s="305" t="s">
        <v>458</v>
      </c>
      <c r="J216" s="305" t="s">
        <v>81</v>
      </c>
      <c r="K216" s="305" t="s">
        <v>459</v>
      </c>
    </row>
    <row r="217" spans="1:11" ht="26.4" hidden="1">
      <c r="A217" s="298" t="s">
        <v>44</v>
      </c>
      <c r="B217" s="300" t="s">
        <v>455</v>
      </c>
      <c r="C217" s="307">
        <v>43789</v>
      </c>
      <c r="D217" s="303" t="s">
        <v>58</v>
      </c>
      <c r="E217" s="303" t="s">
        <v>57</v>
      </c>
      <c r="F217" s="303" t="s">
        <v>57</v>
      </c>
      <c r="G217" s="303" t="s">
        <v>71</v>
      </c>
      <c r="H217" s="303" t="s">
        <v>460</v>
      </c>
      <c r="I217" s="304" t="s">
        <v>461</v>
      </c>
      <c r="J217" s="305" t="s">
        <v>81</v>
      </c>
      <c r="K217" s="305" t="s">
        <v>462</v>
      </c>
    </row>
    <row r="218" spans="1:11" ht="26.4" hidden="1">
      <c r="A218" s="298" t="s">
        <v>44</v>
      </c>
      <c r="B218" s="300" t="s">
        <v>455</v>
      </c>
      <c r="C218" s="307">
        <v>43789</v>
      </c>
      <c r="D218" s="303" t="s">
        <v>58</v>
      </c>
      <c r="E218" s="303" t="s">
        <v>57</v>
      </c>
      <c r="F218" s="303" t="s">
        <v>57</v>
      </c>
      <c r="G218" s="303" t="s">
        <v>71</v>
      </c>
      <c r="H218" s="303" t="s">
        <v>463</v>
      </c>
      <c r="I218" s="305" t="s">
        <v>464</v>
      </c>
      <c r="J218" s="305" t="s">
        <v>81</v>
      </c>
      <c r="K218" s="305" t="s">
        <v>456</v>
      </c>
    </row>
    <row r="219" spans="1:11" ht="26.4" hidden="1">
      <c r="A219" s="298" t="s">
        <v>44</v>
      </c>
      <c r="B219" s="300" t="s">
        <v>455</v>
      </c>
      <c r="C219" s="307">
        <v>43789</v>
      </c>
      <c r="D219" s="303" t="s">
        <v>58</v>
      </c>
      <c r="E219" s="303" t="s">
        <v>57</v>
      </c>
      <c r="F219" s="303" t="s">
        <v>57</v>
      </c>
      <c r="G219" s="303" t="s">
        <v>71</v>
      </c>
      <c r="H219" s="303" t="s">
        <v>465</v>
      </c>
      <c r="I219" s="305" t="s">
        <v>466</v>
      </c>
      <c r="J219" s="305" t="s">
        <v>81</v>
      </c>
      <c r="K219" s="305" t="s">
        <v>456</v>
      </c>
    </row>
    <row r="220" spans="1:11" ht="26.4" hidden="1">
      <c r="A220" s="298" t="s">
        <v>44</v>
      </c>
      <c r="B220" s="300" t="s">
        <v>455</v>
      </c>
      <c r="C220" s="307">
        <v>43789</v>
      </c>
      <c r="D220" s="303" t="s">
        <v>58</v>
      </c>
      <c r="E220" s="303" t="s">
        <v>57</v>
      </c>
      <c r="F220" s="303" t="s">
        <v>57</v>
      </c>
      <c r="G220" s="303" t="s">
        <v>71</v>
      </c>
      <c r="H220" s="303" t="s">
        <v>467</v>
      </c>
      <c r="I220" s="305" t="s">
        <v>468</v>
      </c>
      <c r="J220" s="305" t="s">
        <v>81</v>
      </c>
      <c r="K220" s="305" t="s">
        <v>456</v>
      </c>
    </row>
    <row r="221" spans="1:11" hidden="1">
      <c r="A221" s="298" t="s">
        <v>44</v>
      </c>
      <c r="B221" s="300" t="s">
        <v>455</v>
      </c>
      <c r="C221" s="307">
        <v>43789</v>
      </c>
      <c r="D221" s="303" t="s">
        <v>58</v>
      </c>
      <c r="E221" s="303" t="s">
        <v>57</v>
      </c>
      <c r="F221" s="303" t="s">
        <v>57</v>
      </c>
      <c r="G221" s="303" t="s">
        <v>71</v>
      </c>
      <c r="H221" s="303" t="s">
        <v>469</v>
      </c>
      <c r="I221" s="305"/>
      <c r="J221" s="305"/>
      <c r="K221" s="305" t="s">
        <v>459</v>
      </c>
    </row>
    <row r="222" spans="1:11" hidden="1">
      <c r="A222" s="298" t="s">
        <v>44</v>
      </c>
      <c r="B222" s="300" t="s">
        <v>455</v>
      </c>
      <c r="C222" s="307">
        <v>43789</v>
      </c>
      <c r="D222" s="303" t="s">
        <v>58</v>
      </c>
      <c r="E222" s="303" t="s">
        <v>57</v>
      </c>
      <c r="F222" s="303" t="s">
        <v>57</v>
      </c>
      <c r="G222" s="303" t="s">
        <v>71</v>
      </c>
      <c r="H222" s="303" t="s">
        <v>470</v>
      </c>
      <c r="I222" s="305" t="s">
        <v>471</v>
      </c>
      <c r="J222" s="305" t="s">
        <v>81</v>
      </c>
      <c r="K222" s="305" t="s">
        <v>459</v>
      </c>
    </row>
    <row r="223" spans="1:11" ht="26.4" hidden="1">
      <c r="A223" s="298" t="s">
        <v>44</v>
      </c>
      <c r="B223" s="300" t="s">
        <v>455</v>
      </c>
      <c r="C223" s="307">
        <v>43789</v>
      </c>
      <c r="D223" s="303" t="s">
        <v>58</v>
      </c>
      <c r="E223" s="303" t="s">
        <v>57</v>
      </c>
      <c r="F223" s="303" t="s">
        <v>57</v>
      </c>
      <c r="G223" s="303" t="s">
        <v>71</v>
      </c>
      <c r="H223" s="303" t="s">
        <v>472</v>
      </c>
      <c r="I223" s="305" t="s">
        <v>473</v>
      </c>
      <c r="J223" s="305" t="s">
        <v>81</v>
      </c>
      <c r="K223" s="533" t="s">
        <v>459</v>
      </c>
    </row>
    <row r="224" spans="1:11" hidden="1">
      <c r="A224" s="298" t="s">
        <v>44</v>
      </c>
      <c r="B224" s="300" t="s">
        <v>455</v>
      </c>
      <c r="C224" s="307">
        <v>43789</v>
      </c>
      <c r="D224" s="303" t="s">
        <v>58</v>
      </c>
      <c r="E224" s="303" t="s">
        <v>57</v>
      </c>
      <c r="F224" s="303" t="s">
        <v>57</v>
      </c>
      <c r="G224" s="303" t="s">
        <v>71</v>
      </c>
      <c r="H224" s="303" t="s">
        <v>474</v>
      </c>
      <c r="I224" s="305" t="s">
        <v>475</v>
      </c>
      <c r="J224" s="305" t="s">
        <v>81</v>
      </c>
      <c r="K224" s="534"/>
    </row>
    <row r="225" spans="1:11" hidden="1">
      <c r="A225" s="298" t="s">
        <v>44</v>
      </c>
      <c r="B225" s="300" t="s">
        <v>455</v>
      </c>
      <c r="C225" s="307">
        <v>43789</v>
      </c>
      <c r="D225" s="303" t="s">
        <v>58</v>
      </c>
      <c r="E225" s="303" t="s">
        <v>57</v>
      </c>
      <c r="F225" s="303" t="s">
        <v>57</v>
      </c>
      <c r="G225" s="303" t="s">
        <v>71</v>
      </c>
      <c r="H225" s="303" t="s">
        <v>476</v>
      </c>
      <c r="I225" s="305" t="s">
        <v>477</v>
      </c>
      <c r="J225" s="305" t="s">
        <v>81</v>
      </c>
      <c r="K225" s="534"/>
    </row>
    <row r="226" spans="1:11" hidden="1">
      <c r="A226" s="298" t="s">
        <v>44</v>
      </c>
      <c r="B226" s="300" t="s">
        <v>455</v>
      </c>
      <c r="C226" s="307">
        <v>43789</v>
      </c>
      <c r="D226" s="303" t="s">
        <v>58</v>
      </c>
      <c r="E226" s="303" t="s">
        <v>57</v>
      </c>
      <c r="F226" s="303" t="s">
        <v>57</v>
      </c>
      <c r="G226" s="303" t="s">
        <v>71</v>
      </c>
      <c r="H226" s="303" t="s">
        <v>478</v>
      </c>
      <c r="I226" s="305" t="s">
        <v>479</v>
      </c>
      <c r="J226" s="305" t="s">
        <v>81</v>
      </c>
      <c r="K226" s="534"/>
    </row>
    <row r="227" spans="1:11" hidden="1">
      <c r="A227" s="298" t="s">
        <v>44</v>
      </c>
      <c r="B227" s="300" t="s">
        <v>455</v>
      </c>
      <c r="C227" s="307">
        <v>43789</v>
      </c>
      <c r="D227" s="303" t="s">
        <v>58</v>
      </c>
      <c r="E227" s="303" t="s">
        <v>57</v>
      </c>
      <c r="F227" s="303" t="s">
        <v>57</v>
      </c>
      <c r="G227" s="303" t="s">
        <v>71</v>
      </c>
      <c r="H227" s="303" t="s">
        <v>480</v>
      </c>
      <c r="I227" s="305" t="s">
        <v>481</v>
      </c>
      <c r="J227" s="305" t="s">
        <v>81</v>
      </c>
      <c r="K227" s="534"/>
    </row>
    <row r="228" spans="1:11" hidden="1">
      <c r="A228" s="298" t="s">
        <v>44</v>
      </c>
      <c r="B228" s="300" t="s">
        <v>455</v>
      </c>
      <c r="C228" s="307">
        <v>43789</v>
      </c>
      <c r="D228" s="303" t="s">
        <v>58</v>
      </c>
      <c r="E228" s="303" t="s">
        <v>57</v>
      </c>
      <c r="F228" s="303" t="s">
        <v>57</v>
      </c>
      <c r="G228" s="303" t="s">
        <v>71</v>
      </c>
      <c r="H228" s="303" t="s">
        <v>482</v>
      </c>
      <c r="I228" s="305" t="s">
        <v>483</v>
      </c>
      <c r="J228" s="305" t="s">
        <v>81</v>
      </c>
      <c r="K228" s="534"/>
    </row>
    <row r="229" spans="1:11" hidden="1">
      <c r="A229" s="298" t="s">
        <v>44</v>
      </c>
      <c r="B229" s="300" t="s">
        <v>455</v>
      </c>
      <c r="C229" s="307">
        <v>43789</v>
      </c>
      <c r="D229" s="303" t="s">
        <v>58</v>
      </c>
      <c r="E229" s="303" t="s">
        <v>57</v>
      </c>
      <c r="F229" s="303" t="s">
        <v>57</v>
      </c>
      <c r="G229" s="303" t="s">
        <v>71</v>
      </c>
      <c r="H229" s="303" t="s">
        <v>484</v>
      </c>
      <c r="I229" s="305" t="s">
        <v>485</v>
      </c>
      <c r="J229" s="305" t="s">
        <v>81</v>
      </c>
      <c r="K229" s="534"/>
    </row>
    <row r="230" spans="1:11" hidden="1">
      <c r="A230" s="298" t="s">
        <v>44</v>
      </c>
      <c r="B230" s="300" t="s">
        <v>455</v>
      </c>
      <c r="C230" s="307">
        <v>43789</v>
      </c>
      <c r="D230" s="303" t="s">
        <v>58</v>
      </c>
      <c r="E230" s="303" t="s">
        <v>57</v>
      </c>
      <c r="F230" s="303" t="s">
        <v>57</v>
      </c>
      <c r="G230" s="303" t="s">
        <v>71</v>
      </c>
      <c r="H230" s="303" t="s">
        <v>486</v>
      </c>
      <c r="I230" s="305" t="s">
        <v>487</v>
      </c>
      <c r="J230" s="305" t="s">
        <v>81</v>
      </c>
      <c r="K230" s="534"/>
    </row>
    <row r="231" spans="1:11" hidden="1">
      <c r="A231" s="298" t="s">
        <v>44</v>
      </c>
      <c r="B231" s="300" t="s">
        <v>455</v>
      </c>
      <c r="C231" s="307">
        <v>43789</v>
      </c>
      <c r="D231" s="303" t="s">
        <v>58</v>
      </c>
      <c r="E231" s="303" t="s">
        <v>57</v>
      </c>
      <c r="F231" s="303" t="s">
        <v>57</v>
      </c>
      <c r="G231" s="303" t="s">
        <v>71</v>
      </c>
      <c r="H231" s="303" t="s">
        <v>488</v>
      </c>
      <c r="I231" s="305" t="s">
        <v>489</v>
      </c>
      <c r="J231" s="305" t="s">
        <v>81</v>
      </c>
      <c r="K231" s="534"/>
    </row>
    <row r="232" spans="1:11" hidden="1">
      <c r="A232" s="298" t="s">
        <v>44</v>
      </c>
      <c r="B232" s="300" t="s">
        <v>455</v>
      </c>
      <c r="C232" s="307">
        <v>43789</v>
      </c>
      <c r="D232" s="303" t="s">
        <v>58</v>
      </c>
      <c r="E232" s="303" t="s">
        <v>57</v>
      </c>
      <c r="F232" s="303" t="s">
        <v>57</v>
      </c>
      <c r="G232" s="303" t="s">
        <v>71</v>
      </c>
      <c r="H232" s="303" t="s">
        <v>490</v>
      </c>
      <c r="I232" s="305" t="s">
        <v>491</v>
      </c>
      <c r="J232" s="305" t="s">
        <v>81</v>
      </c>
      <c r="K232" s="534"/>
    </row>
    <row r="233" spans="1:11" hidden="1">
      <c r="A233" s="298" t="s">
        <v>44</v>
      </c>
      <c r="B233" s="300" t="s">
        <v>455</v>
      </c>
      <c r="C233" s="307">
        <v>43789</v>
      </c>
      <c r="D233" s="303" t="s">
        <v>58</v>
      </c>
      <c r="E233" s="303" t="s">
        <v>57</v>
      </c>
      <c r="F233" s="303" t="s">
        <v>57</v>
      </c>
      <c r="G233" s="303" t="s">
        <v>71</v>
      </c>
      <c r="H233" s="303" t="s">
        <v>492</v>
      </c>
      <c r="I233" s="305" t="s">
        <v>493</v>
      </c>
      <c r="J233" s="305" t="s">
        <v>81</v>
      </c>
      <c r="K233" s="534"/>
    </row>
    <row r="234" spans="1:11" hidden="1">
      <c r="A234" s="298" t="s">
        <v>44</v>
      </c>
      <c r="B234" s="300" t="s">
        <v>455</v>
      </c>
      <c r="C234" s="307">
        <v>43789</v>
      </c>
      <c r="D234" s="303" t="s">
        <v>58</v>
      </c>
      <c r="E234" s="303" t="s">
        <v>57</v>
      </c>
      <c r="F234" s="303" t="s">
        <v>57</v>
      </c>
      <c r="G234" s="303" t="s">
        <v>71</v>
      </c>
      <c r="H234" s="303" t="s">
        <v>494</v>
      </c>
      <c r="I234" s="305" t="s">
        <v>495</v>
      </c>
      <c r="J234" s="305" t="s">
        <v>81</v>
      </c>
      <c r="K234" s="534"/>
    </row>
    <row r="235" spans="1:11" hidden="1">
      <c r="A235" s="298" t="s">
        <v>44</v>
      </c>
      <c r="B235" s="300" t="s">
        <v>455</v>
      </c>
      <c r="C235" s="307">
        <v>43789</v>
      </c>
      <c r="D235" s="303" t="s">
        <v>58</v>
      </c>
      <c r="E235" s="303" t="s">
        <v>57</v>
      </c>
      <c r="F235" s="303" t="s">
        <v>57</v>
      </c>
      <c r="G235" s="303" t="s">
        <v>71</v>
      </c>
      <c r="H235" s="303" t="s">
        <v>496</v>
      </c>
      <c r="I235" s="305" t="s">
        <v>497</v>
      </c>
      <c r="J235" s="305" t="s">
        <v>81</v>
      </c>
      <c r="K235" s="534"/>
    </row>
    <row r="236" spans="1:11" hidden="1">
      <c r="A236" s="298" t="s">
        <v>44</v>
      </c>
      <c r="B236" s="300" t="s">
        <v>455</v>
      </c>
      <c r="C236" s="307">
        <v>43789</v>
      </c>
      <c r="D236" s="303" t="s">
        <v>58</v>
      </c>
      <c r="E236" s="303" t="s">
        <v>57</v>
      </c>
      <c r="F236" s="303" t="s">
        <v>57</v>
      </c>
      <c r="G236" s="303" t="s">
        <v>71</v>
      </c>
      <c r="H236" s="303" t="s">
        <v>498</v>
      </c>
      <c r="I236" s="305" t="s">
        <v>499</v>
      </c>
      <c r="J236" s="305" t="s">
        <v>81</v>
      </c>
      <c r="K236" s="534"/>
    </row>
    <row r="237" spans="1:11" hidden="1">
      <c r="A237" s="298" t="s">
        <v>44</v>
      </c>
      <c r="B237" s="300" t="s">
        <v>455</v>
      </c>
      <c r="C237" s="307">
        <v>43789</v>
      </c>
      <c r="D237" s="303" t="s">
        <v>58</v>
      </c>
      <c r="E237" s="303" t="s">
        <v>57</v>
      </c>
      <c r="F237" s="303" t="s">
        <v>57</v>
      </c>
      <c r="G237" s="303" t="s">
        <v>71</v>
      </c>
      <c r="H237" s="303" t="s">
        <v>500</v>
      </c>
      <c r="I237" s="305" t="s">
        <v>501</v>
      </c>
      <c r="J237" s="305" t="s">
        <v>81</v>
      </c>
      <c r="K237" s="534"/>
    </row>
    <row r="238" spans="1:11" hidden="1">
      <c r="A238" s="298" t="s">
        <v>44</v>
      </c>
      <c r="B238" s="300" t="s">
        <v>455</v>
      </c>
      <c r="C238" s="307">
        <v>43789</v>
      </c>
      <c r="D238" s="303" t="s">
        <v>58</v>
      </c>
      <c r="E238" s="303" t="s">
        <v>57</v>
      </c>
      <c r="F238" s="303" t="s">
        <v>57</v>
      </c>
      <c r="G238" s="303" t="s">
        <v>71</v>
      </c>
      <c r="H238" s="303" t="s">
        <v>502</v>
      </c>
      <c r="I238" s="305" t="s">
        <v>487</v>
      </c>
      <c r="J238" s="305" t="s">
        <v>81</v>
      </c>
      <c r="K238" s="534"/>
    </row>
    <row r="239" spans="1:11" hidden="1">
      <c r="A239" s="298" t="s">
        <v>44</v>
      </c>
      <c r="B239" s="300" t="s">
        <v>455</v>
      </c>
      <c r="C239" s="307">
        <v>43789</v>
      </c>
      <c r="D239" s="303" t="s">
        <v>58</v>
      </c>
      <c r="E239" s="303" t="s">
        <v>57</v>
      </c>
      <c r="F239" s="303" t="s">
        <v>57</v>
      </c>
      <c r="G239" s="303" t="s">
        <v>71</v>
      </c>
      <c r="H239" s="303" t="s">
        <v>503</v>
      </c>
      <c r="I239" s="305" t="s">
        <v>504</v>
      </c>
      <c r="J239" s="305" t="s">
        <v>81</v>
      </c>
      <c r="K239" s="534"/>
    </row>
    <row r="240" spans="1:11" hidden="1">
      <c r="A240" s="298" t="s">
        <v>44</v>
      </c>
      <c r="B240" s="300" t="s">
        <v>455</v>
      </c>
      <c r="C240" s="307">
        <v>43789</v>
      </c>
      <c r="D240" s="303" t="s">
        <v>58</v>
      </c>
      <c r="E240" s="303" t="s">
        <v>57</v>
      </c>
      <c r="F240" s="303" t="s">
        <v>57</v>
      </c>
      <c r="G240" s="303" t="s">
        <v>71</v>
      </c>
      <c r="H240" s="303" t="s">
        <v>505</v>
      </c>
      <c r="I240" s="305" t="s">
        <v>506</v>
      </c>
      <c r="J240" s="305" t="s">
        <v>81</v>
      </c>
      <c r="K240" s="534"/>
    </row>
    <row r="241" spans="1:11" hidden="1">
      <c r="A241" s="298" t="s">
        <v>44</v>
      </c>
      <c r="B241" s="300" t="s">
        <v>455</v>
      </c>
      <c r="C241" s="307">
        <v>43789</v>
      </c>
      <c r="D241" s="303" t="s">
        <v>58</v>
      </c>
      <c r="E241" s="303" t="s">
        <v>57</v>
      </c>
      <c r="F241" s="303" t="s">
        <v>57</v>
      </c>
      <c r="G241" s="303" t="s">
        <v>71</v>
      </c>
      <c r="H241" s="303" t="s">
        <v>507</v>
      </c>
      <c r="I241" s="305" t="s">
        <v>508</v>
      </c>
      <c r="J241" s="305" t="s">
        <v>81</v>
      </c>
      <c r="K241" s="534"/>
    </row>
    <row r="242" spans="1:11" ht="39.6" hidden="1">
      <c r="A242" s="298" t="s">
        <v>44</v>
      </c>
      <c r="B242" s="300" t="s">
        <v>455</v>
      </c>
      <c r="C242" s="307">
        <v>43789</v>
      </c>
      <c r="D242" s="303" t="s">
        <v>58</v>
      </c>
      <c r="E242" s="303" t="s">
        <v>57</v>
      </c>
      <c r="F242" s="303" t="s">
        <v>57</v>
      </c>
      <c r="G242" s="303" t="s">
        <v>71</v>
      </c>
      <c r="H242" s="303" t="s">
        <v>509</v>
      </c>
      <c r="I242" s="305" t="s">
        <v>510</v>
      </c>
      <c r="J242" s="305" t="s">
        <v>81</v>
      </c>
      <c r="K242" s="534"/>
    </row>
    <row r="243" spans="1:11" hidden="1">
      <c r="A243" s="298" t="s">
        <v>44</v>
      </c>
      <c r="B243" s="300" t="s">
        <v>455</v>
      </c>
      <c r="C243" s="307">
        <v>43789</v>
      </c>
      <c r="D243" s="303" t="s">
        <v>58</v>
      </c>
      <c r="E243" s="303" t="s">
        <v>57</v>
      </c>
      <c r="F243" s="303" t="s">
        <v>57</v>
      </c>
      <c r="G243" s="303" t="s">
        <v>71</v>
      </c>
      <c r="H243" s="303" t="s">
        <v>511</v>
      </c>
      <c r="I243" s="305" t="s">
        <v>512</v>
      </c>
      <c r="J243" s="305" t="s">
        <v>81</v>
      </c>
      <c r="K243" s="534"/>
    </row>
    <row r="244" spans="1:11" hidden="1">
      <c r="A244" s="298" t="s">
        <v>44</v>
      </c>
      <c r="B244" s="300" t="s">
        <v>455</v>
      </c>
      <c r="C244" s="307">
        <v>43789</v>
      </c>
      <c r="D244" s="303" t="s">
        <v>58</v>
      </c>
      <c r="E244" s="303" t="s">
        <v>57</v>
      </c>
      <c r="F244" s="303" t="s">
        <v>57</v>
      </c>
      <c r="G244" s="303" t="s">
        <v>71</v>
      </c>
      <c r="H244" s="303" t="s">
        <v>513</v>
      </c>
      <c r="I244" s="305" t="s">
        <v>508</v>
      </c>
      <c r="J244" s="305" t="s">
        <v>81</v>
      </c>
      <c r="K244" s="534"/>
    </row>
    <row r="245" spans="1:11" ht="39.6" hidden="1">
      <c r="A245" s="298" t="s">
        <v>44</v>
      </c>
      <c r="B245" s="300" t="s">
        <v>455</v>
      </c>
      <c r="C245" s="307">
        <v>43789</v>
      </c>
      <c r="D245" s="303" t="s">
        <v>58</v>
      </c>
      <c r="E245" s="303" t="s">
        <v>57</v>
      </c>
      <c r="F245" s="303" t="s">
        <v>57</v>
      </c>
      <c r="G245" s="303" t="s">
        <v>71</v>
      </c>
      <c r="H245" s="303" t="s">
        <v>514</v>
      </c>
      <c r="I245" s="305" t="s">
        <v>515</v>
      </c>
      <c r="J245" s="305" t="s">
        <v>81</v>
      </c>
      <c r="K245" s="534"/>
    </row>
    <row r="246" spans="1:11" hidden="1">
      <c r="A246" s="298" t="s">
        <v>44</v>
      </c>
      <c r="B246" s="300" t="s">
        <v>455</v>
      </c>
      <c r="C246" s="307">
        <v>43789</v>
      </c>
      <c r="D246" s="303" t="s">
        <v>58</v>
      </c>
      <c r="E246" s="303" t="s">
        <v>57</v>
      </c>
      <c r="F246" s="303" t="s">
        <v>57</v>
      </c>
      <c r="G246" s="303" t="s">
        <v>71</v>
      </c>
      <c r="H246" s="303" t="s">
        <v>516</v>
      </c>
      <c r="I246" s="305" t="s">
        <v>517</v>
      </c>
      <c r="J246" s="305" t="s">
        <v>81</v>
      </c>
      <c r="K246" s="534"/>
    </row>
    <row r="247" spans="1:11" hidden="1">
      <c r="A247" s="298" t="s">
        <v>44</v>
      </c>
      <c r="B247" s="300" t="s">
        <v>455</v>
      </c>
      <c r="C247" s="307">
        <v>43789</v>
      </c>
      <c r="D247" s="303" t="s">
        <v>58</v>
      </c>
      <c r="E247" s="303" t="s">
        <v>57</v>
      </c>
      <c r="F247" s="303" t="s">
        <v>57</v>
      </c>
      <c r="G247" s="303" t="s">
        <v>71</v>
      </c>
      <c r="H247" s="303" t="s">
        <v>518</v>
      </c>
      <c r="I247" s="305" t="s">
        <v>508</v>
      </c>
      <c r="J247" s="305" t="s">
        <v>81</v>
      </c>
      <c r="K247" s="534"/>
    </row>
    <row r="248" spans="1:11" ht="39.6" hidden="1">
      <c r="A248" s="298" t="s">
        <v>44</v>
      </c>
      <c r="B248" s="300" t="s">
        <v>455</v>
      </c>
      <c r="C248" s="307">
        <v>43789</v>
      </c>
      <c r="D248" s="303" t="s">
        <v>58</v>
      </c>
      <c r="E248" s="303" t="s">
        <v>57</v>
      </c>
      <c r="F248" s="303" t="s">
        <v>57</v>
      </c>
      <c r="G248" s="303" t="s">
        <v>71</v>
      </c>
      <c r="H248" s="303" t="s">
        <v>519</v>
      </c>
      <c r="I248" s="305" t="s">
        <v>520</v>
      </c>
      <c r="J248" s="305" t="s">
        <v>81</v>
      </c>
      <c r="K248" s="534"/>
    </row>
    <row r="249" spans="1:11" hidden="1">
      <c r="A249" s="298" t="s">
        <v>44</v>
      </c>
      <c r="B249" s="300" t="s">
        <v>455</v>
      </c>
      <c r="C249" s="307">
        <v>43789</v>
      </c>
      <c r="D249" s="303" t="s">
        <v>58</v>
      </c>
      <c r="E249" s="303" t="s">
        <v>57</v>
      </c>
      <c r="F249" s="303" t="s">
        <v>57</v>
      </c>
      <c r="G249" s="303" t="s">
        <v>71</v>
      </c>
      <c r="H249" s="303" t="s">
        <v>521</v>
      </c>
      <c r="I249" s="305" t="s">
        <v>522</v>
      </c>
      <c r="J249" s="305" t="s">
        <v>81</v>
      </c>
      <c r="K249" s="534"/>
    </row>
    <row r="250" spans="1:11" hidden="1">
      <c r="A250" s="298" t="s">
        <v>44</v>
      </c>
      <c r="B250" s="300" t="s">
        <v>455</v>
      </c>
      <c r="C250" s="307">
        <v>43789</v>
      </c>
      <c r="D250" s="303" t="s">
        <v>58</v>
      </c>
      <c r="E250" s="303" t="s">
        <v>57</v>
      </c>
      <c r="F250" s="303" t="s">
        <v>57</v>
      </c>
      <c r="G250" s="303" t="s">
        <v>71</v>
      </c>
      <c r="H250" s="303" t="s">
        <v>523</v>
      </c>
      <c r="I250" s="305" t="s">
        <v>508</v>
      </c>
      <c r="J250" s="305" t="s">
        <v>81</v>
      </c>
      <c r="K250" s="534"/>
    </row>
    <row r="251" spans="1:11" ht="39.6" hidden="1">
      <c r="A251" s="298" t="s">
        <v>44</v>
      </c>
      <c r="B251" s="300" t="s">
        <v>455</v>
      </c>
      <c r="C251" s="307">
        <v>43789</v>
      </c>
      <c r="D251" s="303" t="s">
        <v>58</v>
      </c>
      <c r="E251" s="303" t="s">
        <v>57</v>
      </c>
      <c r="F251" s="303" t="s">
        <v>57</v>
      </c>
      <c r="G251" s="303" t="s">
        <v>71</v>
      </c>
      <c r="H251" s="303" t="s">
        <v>524</v>
      </c>
      <c r="I251" s="305" t="s">
        <v>525</v>
      </c>
      <c r="J251" s="305" t="s">
        <v>81</v>
      </c>
      <c r="K251" s="534"/>
    </row>
    <row r="252" spans="1:11" hidden="1">
      <c r="A252" s="298" t="s">
        <v>44</v>
      </c>
      <c r="B252" s="300" t="s">
        <v>455</v>
      </c>
      <c r="C252" s="307">
        <v>43789</v>
      </c>
      <c r="D252" s="303" t="s">
        <v>58</v>
      </c>
      <c r="E252" s="303" t="s">
        <v>57</v>
      </c>
      <c r="F252" s="303" t="s">
        <v>57</v>
      </c>
      <c r="G252" s="303" t="s">
        <v>71</v>
      </c>
      <c r="H252" s="303" t="s">
        <v>526</v>
      </c>
      <c r="I252" s="305" t="s">
        <v>527</v>
      </c>
      <c r="J252" s="305" t="s">
        <v>81</v>
      </c>
      <c r="K252" s="534"/>
    </row>
    <row r="253" spans="1:11" hidden="1">
      <c r="A253" s="298" t="s">
        <v>44</v>
      </c>
      <c r="B253" s="300" t="s">
        <v>455</v>
      </c>
      <c r="C253" s="307">
        <v>43789</v>
      </c>
      <c r="D253" s="303" t="s">
        <v>58</v>
      </c>
      <c r="E253" s="303" t="s">
        <v>57</v>
      </c>
      <c r="F253" s="303" t="s">
        <v>57</v>
      </c>
      <c r="G253" s="303" t="s">
        <v>71</v>
      </c>
      <c r="H253" s="303" t="s">
        <v>528</v>
      </c>
      <c r="I253" s="305" t="s">
        <v>508</v>
      </c>
      <c r="J253" s="305" t="s">
        <v>81</v>
      </c>
      <c r="K253" s="534"/>
    </row>
    <row r="254" spans="1:11" ht="39.6" hidden="1">
      <c r="A254" s="298" t="s">
        <v>44</v>
      </c>
      <c r="B254" s="300" t="s">
        <v>455</v>
      </c>
      <c r="C254" s="307">
        <v>43789</v>
      </c>
      <c r="D254" s="303" t="s">
        <v>58</v>
      </c>
      <c r="E254" s="303" t="s">
        <v>57</v>
      </c>
      <c r="F254" s="303" t="s">
        <v>57</v>
      </c>
      <c r="G254" s="303" t="s">
        <v>71</v>
      </c>
      <c r="H254" s="303" t="s">
        <v>529</v>
      </c>
      <c r="I254" s="305" t="s">
        <v>530</v>
      </c>
      <c r="J254" s="305" t="s">
        <v>81</v>
      </c>
      <c r="K254" s="534"/>
    </row>
    <row r="255" spans="1:11" hidden="1">
      <c r="A255" s="298" t="s">
        <v>44</v>
      </c>
      <c r="B255" s="300" t="s">
        <v>455</v>
      </c>
      <c r="C255" s="307">
        <v>43789</v>
      </c>
      <c r="D255" s="303" t="s">
        <v>58</v>
      </c>
      <c r="E255" s="303" t="s">
        <v>57</v>
      </c>
      <c r="F255" s="303" t="s">
        <v>57</v>
      </c>
      <c r="G255" s="303" t="s">
        <v>71</v>
      </c>
      <c r="H255" s="303" t="s">
        <v>531</v>
      </c>
      <c r="I255" s="305" t="s">
        <v>532</v>
      </c>
      <c r="J255" s="305" t="s">
        <v>81</v>
      </c>
      <c r="K255" s="534"/>
    </row>
    <row r="256" spans="1:11" hidden="1">
      <c r="A256" s="298" t="s">
        <v>44</v>
      </c>
      <c r="B256" s="300" t="s">
        <v>455</v>
      </c>
      <c r="C256" s="307">
        <v>43789</v>
      </c>
      <c r="D256" s="303" t="s">
        <v>58</v>
      </c>
      <c r="E256" s="303" t="s">
        <v>57</v>
      </c>
      <c r="F256" s="303" t="s">
        <v>57</v>
      </c>
      <c r="G256" s="303" t="s">
        <v>71</v>
      </c>
      <c r="H256" s="303" t="s">
        <v>533</v>
      </c>
      <c r="I256" s="305" t="s">
        <v>508</v>
      </c>
      <c r="J256" s="305" t="s">
        <v>81</v>
      </c>
      <c r="K256" s="534"/>
    </row>
    <row r="257" spans="1:11" ht="39.6" hidden="1">
      <c r="A257" s="298" t="s">
        <v>44</v>
      </c>
      <c r="B257" s="300" t="s">
        <v>455</v>
      </c>
      <c r="C257" s="307">
        <v>43789</v>
      </c>
      <c r="D257" s="303" t="s">
        <v>58</v>
      </c>
      <c r="E257" s="303" t="s">
        <v>57</v>
      </c>
      <c r="F257" s="303" t="s">
        <v>57</v>
      </c>
      <c r="G257" s="303" t="s">
        <v>71</v>
      </c>
      <c r="H257" s="303" t="s">
        <v>534</v>
      </c>
      <c r="I257" s="305" t="s">
        <v>535</v>
      </c>
      <c r="J257" s="305" t="s">
        <v>81</v>
      </c>
      <c r="K257" s="534"/>
    </row>
    <row r="258" spans="1:11" hidden="1">
      <c r="A258" s="298" t="s">
        <v>44</v>
      </c>
      <c r="B258" s="300" t="s">
        <v>455</v>
      </c>
      <c r="C258" s="307">
        <v>43789</v>
      </c>
      <c r="D258" s="303" t="s">
        <v>58</v>
      </c>
      <c r="E258" s="303" t="s">
        <v>57</v>
      </c>
      <c r="F258" s="303" t="s">
        <v>57</v>
      </c>
      <c r="G258" s="303" t="s">
        <v>71</v>
      </c>
      <c r="H258" s="303" t="s">
        <v>536</v>
      </c>
      <c r="I258" s="305" t="s">
        <v>537</v>
      </c>
      <c r="J258" s="305" t="s">
        <v>81</v>
      </c>
      <c r="K258" s="534"/>
    </row>
    <row r="259" spans="1:11" hidden="1">
      <c r="A259" s="298" t="s">
        <v>44</v>
      </c>
      <c r="B259" s="300" t="s">
        <v>455</v>
      </c>
      <c r="C259" s="307">
        <v>43789</v>
      </c>
      <c r="D259" s="303" t="s">
        <v>58</v>
      </c>
      <c r="E259" s="303" t="s">
        <v>57</v>
      </c>
      <c r="F259" s="303" t="s">
        <v>57</v>
      </c>
      <c r="G259" s="303" t="s">
        <v>71</v>
      </c>
      <c r="H259" s="303" t="s">
        <v>538</v>
      </c>
      <c r="I259" s="305" t="s">
        <v>508</v>
      </c>
      <c r="J259" s="305" t="s">
        <v>81</v>
      </c>
      <c r="K259" s="534"/>
    </row>
    <row r="260" spans="1:11" ht="39.6" hidden="1">
      <c r="A260" s="298" t="s">
        <v>44</v>
      </c>
      <c r="B260" s="300" t="s">
        <v>455</v>
      </c>
      <c r="C260" s="307">
        <v>43789</v>
      </c>
      <c r="D260" s="303" t="s">
        <v>58</v>
      </c>
      <c r="E260" s="303" t="s">
        <v>57</v>
      </c>
      <c r="F260" s="303" t="s">
        <v>57</v>
      </c>
      <c r="G260" s="303" t="s">
        <v>71</v>
      </c>
      <c r="H260" s="303" t="s">
        <v>539</v>
      </c>
      <c r="I260" s="305" t="s">
        <v>540</v>
      </c>
      <c r="J260" s="305" t="s">
        <v>81</v>
      </c>
      <c r="K260" s="534"/>
    </row>
    <row r="261" spans="1:11" hidden="1">
      <c r="A261" s="298" t="s">
        <v>44</v>
      </c>
      <c r="B261" s="300" t="s">
        <v>455</v>
      </c>
      <c r="C261" s="307">
        <v>43789</v>
      </c>
      <c r="D261" s="303" t="s">
        <v>58</v>
      </c>
      <c r="E261" s="303" t="s">
        <v>57</v>
      </c>
      <c r="F261" s="303" t="s">
        <v>57</v>
      </c>
      <c r="G261" s="303" t="s">
        <v>71</v>
      </c>
      <c r="H261" s="303" t="s">
        <v>541</v>
      </c>
      <c r="I261" s="305" t="s">
        <v>542</v>
      </c>
      <c r="J261" s="305" t="s">
        <v>81</v>
      </c>
      <c r="K261" s="534"/>
    </row>
    <row r="262" spans="1:11" hidden="1">
      <c r="A262" s="298" t="s">
        <v>44</v>
      </c>
      <c r="B262" s="300" t="s">
        <v>455</v>
      </c>
      <c r="C262" s="307">
        <v>43789</v>
      </c>
      <c r="D262" s="303" t="s">
        <v>58</v>
      </c>
      <c r="E262" s="303" t="s">
        <v>57</v>
      </c>
      <c r="F262" s="303" t="s">
        <v>57</v>
      </c>
      <c r="G262" s="303" t="s">
        <v>71</v>
      </c>
      <c r="H262" s="303" t="s">
        <v>543</v>
      </c>
      <c r="I262" s="305" t="s">
        <v>508</v>
      </c>
      <c r="J262" s="305" t="s">
        <v>81</v>
      </c>
      <c r="K262" s="534"/>
    </row>
    <row r="263" spans="1:11" ht="39.6" hidden="1">
      <c r="A263" s="298" t="s">
        <v>44</v>
      </c>
      <c r="B263" s="300" t="s">
        <v>455</v>
      </c>
      <c r="C263" s="307">
        <v>43789</v>
      </c>
      <c r="D263" s="303" t="s">
        <v>58</v>
      </c>
      <c r="E263" s="303" t="s">
        <v>57</v>
      </c>
      <c r="F263" s="303" t="s">
        <v>57</v>
      </c>
      <c r="G263" s="303" t="s">
        <v>71</v>
      </c>
      <c r="H263" s="303" t="s">
        <v>544</v>
      </c>
      <c r="I263" s="305" t="s">
        <v>545</v>
      </c>
      <c r="J263" s="305" t="s">
        <v>81</v>
      </c>
      <c r="K263" s="534"/>
    </row>
    <row r="264" spans="1:11" hidden="1">
      <c r="A264" s="298" t="s">
        <v>44</v>
      </c>
      <c r="B264" s="300" t="s">
        <v>455</v>
      </c>
      <c r="C264" s="307">
        <v>43789</v>
      </c>
      <c r="D264" s="303" t="s">
        <v>58</v>
      </c>
      <c r="E264" s="303" t="s">
        <v>57</v>
      </c>
      <c r="F264" s="303" t="s">
        <v>57</v>
      </c>
      <c r="G264" s="303" t="s">
        <v>71</v>
      </c>
      <c r="H264" s="303" t="s">
        <v>546</v>
      </c>
      <c r="I264" s="305" t="s">
        <v>547</v>
      </c>
      <c r="J264" s="305" t="s">
        <v>81</v>
      </c>
      <c r="K264" s="534"/>
    </row>
    <row r="265" spans="1:11" hidden="1">
      <c r="A265" s="298" t="s">
        <v>44</v>
      </c>
      <c r="B265" s="300" t="s">
        <v>455</v>
      </c>
      <c r="C265" s="307">
        <v>43789</v>
      </c>
      <c r="D265" s="303" t="s">
        <v>58</v>
      </c>
      <c r="E265" s="303" t="s">
        <v>57</v>
      </c>
      <c r="F265" s="303" t="s">
        <v>57</v>
      </c>
      <c r="G265" s="303" t="s">
        <v>71</v>
      </c>
      <c r="H265" s="303" t="s">
        <v>548</v>
      </c>
      <c r="I265" s="305" t="s">
        <v>508</v>
      </c>
      <c r="J265" s="305" t="s">
        <v>81</v>
      </c>
      <c r="K265" s="534"/>
    </row>
    <row r="266" spans="1:11" ht="39.6" hidden="1">
      <c r="A266" s="298" t="s">
        <v>44</v>
      </c>
      <c r="B266" s="300" t="s">
        <v>455</v>
      </c>
      <c r="C266" s="307">
        <v>43789</v>
      </c>
      <c r="D266" s="303" t="s">
        <v>58</v>
      </c>
      <c r="E266" s="303" t="s">
        <v>57</v>
      </c>
      <c r="F266" s="303" t="s">
        <v>57</v>
      </c>
      <c r="G266" s="303" t="s">
        <v>71</v>
      </c>
      <c r="H266" s="303" t="s">
        <v>549</v>
      </c>
      <c r="I266" s="305" t="s">
        <v>550</v>
      </c>
      <c r="J266" s="305" t="s">
        <v>81</v>
      </c>
      <c r="K266" s="534"/>
    </row>
    <row r="267" spans="1:11" hidden="1">
      <c r="A267" s="298" t="s">
        <v>44</v>
      </c>
      <c r="B267" s="300" t="s">
        <v>455</v>
      </c>
      <c r="C267" s="307">
        <v>43789</v>
      </c>
      <c r="D267" s="303" t="s">
        <v>58</v>
      </c>
      <c r="E267" s="303" t="s">
        <v>57</v>
      </c>
      <c r="F267" s="303" t="s">
        <v>57</v>
      </c>
      <c r="G267" s="303" t="s">
        <v>71</v>
      </c>
      <c r="H267" s="303" t="s">
        <v>551</v>
      </c>
      <c r="I267" s="305" t="s">
        <v>552</v>
      </c>
      <c r="J267" s="305" t="s">
        <v>81</v>
      </c>
      <c r="K267" s="534"/>
    </row>
    <row r="268" spans="1:11" hidden="1">
      <c r="A268" s="298" t="s">
        <v>44</v>
      </c>
      <c r="B268" s="300" t="s">
        <v>455</v>
      </c>
      <c r="C268" s="307">
        <v>43789</v>
      </c>
      <c r="D268" s="303" t="s">
        <v>58</v>
      </c>
      <c r="E268" s="303" t="s">
        <v>57</v>
      </c>
      <c r="F268" s="303" t="s">
        <v>57</v>
      </c>
      <c r="G268" s="303" t="s">
        <v>71</v>
      </c>
      <c r="H268" s="303" t="s">
        <v>553</v>
      </c>
      <c r="I268" s="305" t="s">
        <v>508</v>
      </c>
      <c r="J268" s="305" t="s">
        <v>81</v>
      </c>
      <c r="K268" s="534"/>
    </row>
    <row r="269" spans="1:11" ht="39.6" hidden="1">
      <c r="A269" s="298" t="s">
        <v>44</v>
      </c>
      <c r="B269" s="300" t="s">
        <v>455</v>
      </c>
      <c r="C269" s="307">
        <v>43789</v>
      </c>
      <c r="D269" s="303" t="s">
        <v>58</v>
      </c>
      <c r="E269" s="303" t="s">
        <v>57</v>
      </c>
      <c r="F269" s="303" t="s">
        <v>57</v>
      </c>
      <c r="G269" s="303" t="s">
        <v>71</v>
      </c>
      <c r="H269" s="303" t="s">
        <v>554</v>
      </c>
      <c r="I269" s="305" t="s">
        <v>555</v>
      </c>
      <c r="J269" s="305" t="s">
        <v>81</v>
      </c>
      <c r="K269" s="534"/>
    </row>
    <row r="270" spans="1:11" hidden="1">
      <c r="A270" s="298" t="s">
        <v>44</v>
      </c>
      <c r="B270" s="300" t="s">
        <v>455</v>
      </c>
      <c r="C270" s="307">
        <v>43789</v>
      </c>
      <c r="D270" s="303" t="s">
        <v>58</v>
      </c>
      <c r="E270" s="303" t="s">
        <v>57</v>
      </c>
      <c r="F270" s="303" t="s">
        <v>57</v>
      </c>
      <c r="G270" s="303" t="s">
        <v>71</v>
      </c>
      <c r="H270" s="303" t="s">
        <v>556</v>
      </c>
      <c r="I270" s="305" t="s">
        <v>557</v>
      </c>
      <c r="J270" s="305" t="s">
        <v>81</v>
      </c>
      <c r="K270" s="534"/>
    </row>
    <row r="271" spans="1:11" hidden="1">
      <c r="A271" s="298" t="s">
        <v>44</v>
      </c>
      <c r="B271" s="300" t="s">
        <v>455</v>
      </c>
      <c r="C271" s="307">
        <v>43789</v>
      </c>
      <c r="D271" s="303" t="s">
        <v>58</v>
      </c>
      <c r="E271" s="303" t="s">
        <v>57</v>
      </c>
      <c r="F271" s="303" t="s">
        <v>57</v>
      </c>
      <c r="G271" s="303" t="s">
        <v>71</v>
      </c>
      <c r="H271" s="303" t="s">
        <v>558</v>
      </c>
      <c r="I271" s="305" t="s">
        <v>508</v>
      </c>
      <c r="J271" s="305" t="s">
        <v>81</v>
      </c>
      <c r="K271" s="534"/>
    </row>
    <row r="272" spans="1:11" ht="39.6" hidden="1">
      <c r="A272" s="298" t="s">
        <v>44</v>
      </c>
      <c r="B272" s="300" t="s">
        <v>455</v>
      </c>
      <c r="C272" s="307">
        <v>43789</v>
      </c>
      <c r="D272" s="303" t="s">
        <v>58</v>
      </c>
      <c r="E272" s="303" t="s">
        <v>57</v>
      </c>
      <c r="F272" s="303" t="s">
        <v>57</v>
      </c>
      <c r="G272" s="303" t="s">
        <v>71</v>
      </c>
      <c r="H272" s="303" t="s">
        <v>559</v>
      </c>
      <c r="I272" s="305" t="s">
        <v>560</v>
      </c>
      <c r="J272" s="305" t="s">
        <v>81</v>
      </c>
      <c r="K272" s="534"/>
    </row>
    <row r="273" spans="1:11" hidden="1">
      <c r="A273" s="298" t="s">
        <v>44</v>
      </c>
      <c r="B273" s="300" t="s">
        <v>455</v>
      </c>
      <c r="C273" s="307">
        <v>43789</v>
      </c>
      <c r="D273" s="303" t="s">
        <v>58</v>
      </c>
      <c r="E273" s="303" t="s">
        <v>57</v>
      </c>
      <c r="F273" s="303" t="s">
        <v>57</v>
      </c>
      <c r="G273" s="303" t="s">
        <v>71</v>
      </c>
      <c r="H273" s="303" t="s">
        <v>561</v>
      </c>
      <c r="I273" s="305" t="s">
        <v>562</v>
      </c>
      <c r="J273" s="305" t="s">
        <v>81</v>
      </c>
      <c r="K273" s="534"/>
    </row>
    <row r="274" spans="1:11" hidden="1">
      <c r="A274" s="298" t="s">
        <v>44</v>
      </c>
      <c r="B274" s="300" t="s">
        <v>455</v>
      </c>
      <c r="C274" s="307">
        <v>43789</v>
      </c>
      <c r="D274" s="303" t="s">
        <v>58</v>
      </c>
      <c r="E274" s="303" t="s">
        <v>57</v>
      </c>
      <c r="F274" s="303" t="s">
        <v>57</v>
      </c>
      <c r="G274" s="303" t="s">
        <v>71</v>
      </c>
      <c r="H274" s="303" t="s">
        <v>563</v>
      </c>
      <c r="I274" s="305" t="s">
        <v>508</v>
      </c>
      <c r="J274" s="305" t="s">
        <v>81</v>
      </c>
      <c r="K274" s="534"/>
    </row>
    <row r="275" spans="1:11" ht="39.6" hidden="1">
      <c r="A275" s="298" t="s">
        <v>44</v>
      </c>
      <c r="B275" s="300" t="s">
        <v>455</v>
      </c>
      <c r="C275" s="307">
        <v>43789</v>
      </c>
      <c r="D275" s="303" t="s">
        <v>58</v>
      </c>
      <c r="E275" s="303" t="s">
        <v>57</v>
      </c>
      <c r="F275" s="303" t="s">
        <v>57</v>
      </c>
      <c r="G275" s="303" t="s">
        <v>71</v>
      </c>
      <c r="H275" s="303" t="s">
        <v>564</v>
      </c>
      <c r="I275" s="305" t="s">
        <v>565</v>
      </c>
      <c r="J275" s="305" t="s">
        <v>81</v>
      </c>
      <c r="K275" s="534"/>
    </row>
    <row r="276" spans="1:11" ht="26.4" hidden="1">
      <c r="A276" s="298" t="s">
        <v>44</v>
      </c>
      <c r="B276" s="300" t="s">
        <v>455</v>
      </c>
      <c r="C276" s="307">
        <v>43789</v>
      </c>
      <c r="D276" s="303" t="s">
        <v>58</v>
      </c>
      <c r="E276" s="303" t="s">
        <v>57</v>
      </c>
      <c r="F276" s="303" t="s">
        <v>57</v>
      </c>
      <c r="G276" s="303" t="s">
        <v>71</v>
      </c>
      <c r="H276" s="303" t="s">
        <v>566</v>
      </c>
      <c r="I276" s="305" t="s">
        <v>567</v>
      </c>
      <c r="J276" s="305" t="s">
        <v>81</v>
      </c>
      <c r="K276" s="534"/>
    </row>
    <row r="277" spans="1:11" hidden="1">
      <c r="A277" s="298" t="s">
        <v>44</v>
      </c>
      <c r="B277" s="300" t="s">
        <v>455</v>
      </c>
      <c r="C277" s="307">
        <v>43789</v>
      </c>
      <c r="D277" s="303" t="s">
        <v>58</v>
      </c>
      <c r="E277" s="303" t="s">
        <v>57</v>
      </c>
      <c r="F277" s="303" t="s">
        <v>57</v>
      </c>
      <c r="G277" s="303" t="s">
        <v>71</v>
      </c>
      <c r="H277" s="303" t="s">
        <v>568</v>
      </c>
      <c r="I277" s="305" t="s">
        <v>569</v>
      </c>
      <c r="J277" s="305" t="s">
        <v>81</v>
      </c>
      <c r="K277" s="534"/>
    </row>
    <row r="278" spans="1:11" hidden="1">
      <c r="A278" s="298" t="s">
        <v>44</v>
      </c>
      <c r="B278" s="300" t="s">
        <v>455</v>
      </c>
      <c r="C278" s="307">
        <v>43789</v>
      </c>
      <c r="D278" s="303" t="s">
        <v>58</v>
      </c>
      <c r="E278" s="303" t="s">
        <v>57</v>
      </c>
      <c r="F278" s="303" t="s">
        <v>57</v>
      </c>
      <c r="G278" s="303" t="s">
        <v>71</v>
      </c>
      <c r="H278" s="303" t="s">
        <v>570</v>
      </c>
      <c r="I278" s="305" t="s">
        <v>96</v>
      </c>
      <c r="J278" s="305" t="s">
        <v>81</v>
      </c>
      <c r="K278" s="534"/>
    </row>
    <row r="279" spans="1:11" hidden="1">
      <c r="A279" s="298" t="s">
        <v>44</v>
      </c>
      <c r="B279" s="300" t="s">
        <v>455</v>
      </c>
      <c r="C279" s="307">
        <v>43789</v>
      </c>
      <c r="D279" s="303" t="s">
        <v>58</v>
      </c>
      <c r="E279" s="303" t="s">
        <v>57</v>
      </c>
      <c r="F279" s="303" t="s">
        <v>57</v>
      </c>
      <c r="G279" s="303" t="s">
        <v>71</v>
      </c>
      <c r="H279" s="303" t="s">
        <v>571</v>
      </c>
      <c r="I279" s="305" t="s">
        <v>100</v>
      </c>
      <c r="J279" s="305" t="s">
        <v>81</v>
      </c>
      <c r="K279" s="534"/>
    </row>
    <row r="280" spans="1:11" hidden="1">
      <c r="A280" s="298" t="s">
        <v>44</v>
      </c>
      <c r="B280" s="300" t="s">
        <v>455</v>
      </c>
      <c r="C280" s="307">
        <v>43789</v>
      </c>
      <c r="D280" s="303" t="s">
        <v>58</v>
      </c>
      <c r="E280" s="303" t="s">
        <v>57</v>
      </c>
      <c r="F280" s="303" t="s">
        <v>57</v>
      </c>
      <c r="G280" s="303" t="s">
        <v>71</v>
      </c>
      <c r="H280" s="303" t="s">
        <v>572</v>
      </c>
      <c r="I280" s="305">
        <v>3.5999999999999999E-3</v>
      </c>
      <c r="J280" s="305" t="s">
        <v>81</v>
      </c>
      <c r="K280" s="535"/>
    </row>
    <row r="281" spans="1:11" ht="39.6" hidden="1">
      <c r="A281" s="298" t="s">
        <v>44</v>
      </c>
      <c r="B281" s="300" t="s">
        <v>455</v>
      </c>
      <c r="C281" s="307">
        <v>43789</v>
      </c>
      <c r="D281" s="303" t="s">
        <v>58</v>
      </c>
      <c r="E281" s="303" t="s">
        <v>57</v>
      </c>
      <c r="F281" s="303" t="s">
        <v>57</v>
      </c>
      <c r="G281" s="303" t="s">
        <v>71</v>
      </c>
      <c r="H281" s="303" t="s">
        <v>573</v>
      </c>
      <c r="I281" s="305" t="s">
        <v>423</v>
      </c>
      <c r="J281" s="305" t="s">
        <v>81</v>
      </c>
      <c r="K281" s="305" t="s">
        <v>459</v>
      </c>
    </row>
    <row r="282" spans="1:11" ht="26.4" hidden="1">
      <c r="A282" s="298" t="s">
        <v>44</v>
      </c>
      <c r="B282" s="300" t="s">
        <v>455</v>
      </c>
      <c r="C282" s="307">
        <v>43789</v>
      </c>
      <c r="D282" s="303" t="s">
        <v>58</v>
      </c>
      <c r="E282" s="303" t="s">
        <v>57</v>
      </c>
      <c r="F282" s="303" t="s">
        <v>57</v>
      </c>
      <c r="G282" s="303" t="s">
        <v>71</v>
      </c>
      <c r="H282" s="303" t="s">
        <v>574</v>
      </c>
      <c r="I282" s="305" t="s">
        <v>575</v>
      </c>
      <c r="J282" s="305" t="s">
        <v>81</v>
      </c>
      <c r="K282" s="305" t="s">
        <v>456</v>
      </c>
    </row>
    <row r="283" spans="1:11" hidden="1">
      <c r="A283" s="298" t="s">
        <v>44</v>
      </c>
      <c r="B283" s="300" t="s">
        <v>455</v>
      </c>
      <c r="C283" s="307">
        <v>43789</v>
      </c>
      <c r="D283" s="303" t="s">
        <v>58</v>
      </c>
      <c r="E283" s="303" t="s">
        <v>57</v>
      </c>
      <c r="F283" s="303" t="s">
        <v>57</v>
      </c>
      <c r="G283" s="303" t="s">
        <v>71</v>
      </c>
      <c r="H283" s="303" t="s">
        <v>576</v>
      </c>
      <c r="I283" s="305" t="s">
        <v>577</v>
      </c>
      <c r="J283" s="305" t="s">
        <v>578</v>
      </c>
      <c r="K283" s="533" t="s">
        <v>579</v>
      </c>
    </row>
    <row r="284" spans="1:11" hidden="1">
      <c r="A284" s="298" t="s">
        <v>44</v>
      </c>
      <c r="B284" s="300" t="s">
        <v>455</v>
      </c>
      <c r="C284" s="307">
        <v>43789</v>
      </c>
      <c r="D284" s="303" t="s">
        <v>58</v>
      </c>
      <c r="E284" s="303" t="s">
        <v>57</v>
      </c>
      <c r="F284" s="303" t="s">
        <v>57</v>
      </c>
      <c r="G284" s="303" t="s">
        <v>71</v>
      </c>
      <c r="H284" s="303" t="s">
        <v>580</v>
      </c>
      <c r="I284" s="305" t="s">
        <v>581</v>
      </c>
      <c r="J284" s="305" t="s">
        <v>582</v>
      </c>
      <c r="K284" s="534"/>
    </row>
    <row r="285" spans="1:11" hidden="1">
      <c r="A285" s="298" t="s">
        <v>44</v>
      </c>
      <c r="B285" s="300" t="s">
        <v>455</v>
      </c>
      <c r="C285" s="307">
        <v>43789</v>
      </c>
      <c r="D285" s="303" t="s">
        <v>58</v>
      </c>
      <c r="E285" s="303" t="s">
        <v>57</v>
      </c>
      <c r="F285" s="303" t="s">
        <v>57</v>
      </c>
      <c r="G285" s="303" t="s">
        <v>301</v>
      </c>
      <c r="H285" s="303" t="s">
        <v>583</v>
      </c>
      <c r="I285" s="305"/>
      <c r="J285" s="305"/>
      <c r="K285" s="533" t="s">
        <v>584</v>
      </c>
    </row>
    <row r="286" spans="1:11" hidden="1">
      <c r="A286" s="298" t="s">
        <v>44</v>
      </c>
      <c r="B286" s="300" t="s">
        <v>455</v>
      </c>
      <c r="C286" s="307">
        <v>43789</v>
      </c>
      <c r="D286" s="303" t="s">
        <v>58</v>
      </c>
      <c r="E286" s="303" t="s">
        <v>57</v>
      </c>
      <c r="F286" s="303" t="s">
        <v>57</v>
      </c>
      <c r="G286" s="303" t="s">
        <v>301</v>
      </c>
      <c r="H286" s="303" t="s">
        <v>585</v>
      </c>
      <c r="I286" s="305"/>
      <c r="J286" s="305"/>
      <c r="K286" s="534"/>
    </row>
    <row r="287" spans="1:11" hidden="1">
      <c r="A287" s="298" t="s">
        <v>44</v>
      </c>
      <c r="B287" s="300" t="s">
        <v>455</v>
      </c>
      <c r="C287" s="307">
        <v>43789</v>
      </c>
      <c r="D287" s="303" t="s">
        <v>58</v>
      </c>
      <c r="E287" s="303" t="s">
        <v>57</v>
      </c>
      <c r="F287" s="303" t="s">
        <v>57</v>
      </c>
      <c r="G287" s="303" t="s">
        <v>301</v>
      </c>
      <c r="H287" s="303" t="s">
        <v>586</v>
      </c>
      <c r="I287" s="305" t="s">
        <v>587</v>
      </c>
      <c r="J287" s="305" t="s">
        <v>81</v>
      </c>
      <c r="K287" s="534"/>
    </row>
    <row r="288" spans="1:11" hidden="1">
      <c r="A288" s="298" t="s">
        <v>44</v>
      </c>
      <c r="B288" s="300" t="s">
        <v>455</v>
      </c>
      <c r="C288" s="307">
        <v>43789</v>
      </c>
      <c r="D288" s="303" t="s">
        <v>58</v>
      </c>
      <c r="E288" s="303" t="s">
        <v>57</v>
      </c>
      <c r="F288" s="303" t="s">
        <v>57</v>
      </c>
      <c r="G288" s="303" t="s">
        <v>301</v>
      </c>
      <c r="H288" s="303" t="s">
        <v>588</v>
      </c>
      <c r="I288" s="305" t="s">
        <v>589</v>
      </c>
      <c r="J288" s="305" t="s">
        <v>81</v>
      </c>
      <c r="K288" s="534"/>
    </row>
    <row r="289" spans="1:11" hidden="1">
      <c r="A289" s="298" t="s">
        <v>44</v>
      </c>
      <c r="B289" s="300" t="s">
        <v>455</v>
      </c>
      <c r="C289" s="307">
        <v>43789</v>
      </c>
      <c r="D289" s="303" t="s">
        <v>58</v>
      </c>
      <c r="E289" s="303" t="s">
        <v>57</v>
      </c>
      <c r="F289" s="303" t="s">
        <v>57</v>
      </c>
      <c r="G289" s="303" t="s">
        <v>301</v>
      </c>
      <c r="H289" s="303" t="s">
        <v>590</v>
      </c>
      <c r="I289" s="305" t="s">
        <v>458</v>
      </c>
      <c r="J289" s="305" t="s">
        <v>81</v>
      </c>
      <c r="K289" s="535"/>
    </row>
    <row r="290" spans="1:11" ht="26.4" hidden="1">
      <c r="A290" s="298" t="s">
        <v>44</v>
      </c>
      <c r="B290" s="300" t="s">
        <v>455</v>
      </c>
      <c r="C290" s="307">
        <v>43789</v>
      </c>
      <c r="D290" s="303" t="s">
        <v>58</v>
      </c>
      <c r="E290" s="303" t="s">
        <v>57</v>
      </c>
      <c r="F290" s="303" t="s">
        <v>57</v>
      </c>
      <c r="G290" s="303" t="s">
        <v>301</v>
      </c>
      <c r="H290" s="303" t="s">
        <v>591</v>
      </c>
      <c r="I290" s="305" t="s">
        <v>592</v>
      </c>
      <c r="J290" s="305" t="s">
        <v>593</v>
      </c>
      <c r="K290" s="533" t="s">
        <v>594</v>
      </c>
    </row>
    <row r="291" spans="1:11" ht="26.4" hidden="1">
      <c r="A291" s="298" t="s">
        <v>44</v>
      </c>
      <c r="B291" s="300" t="s">
        <v>455</v>
      </c>
      <c r="C291" s="307">
        <v>43789</v>
      </c>
      <c r="D291" s="303" t="s">
        <v>58</v>
      </c>
      <c r="E291" s="303" t="s">
        <v>57</v>
      </c>
      <c r="F291" s="303" t="s">
        <v>57</v>
      </c>
      <c r="G291" s="303" t="s">
        <v>301</v>
      </c>
      <c r="H291" s="303" t="s">
        <v>595</v>
      </c>
      <c r="I291" s="305" t="s">
        <v>596</v>
      </c>
      <c r="J291" s="305" t="s">
        <v>597</v>
      </c>
      <c r="K291" s="534"/>
    </row>
    <row r="292" spans="1:11" ht="26.4" hidden="1">
      <c r="A292" s="298" t="s">
        <v>44</v>
      </c>
      <c r="B292" s="300" t="s">
        <v>455</v>
      </c>
      <c r="C292" s="307">
        <v>43789</v>
      </c>
      <c r="D292" s="303" t="s">
        <v>58</v>
      </c>
      <c r="E292" s="303" t="s">
        <v>57</v>
      </c>
      <c r="F292" s="303" t="s">
        <v>57</v>
      </c>
      <c r="G292" s="303" t="s">
        <v>301</v>
      </c>
      <c r="H292" s="303" t="s">
        <v>598</v>
      </c>
      <c r="I292" s="305" t="s">
        <v>599</v>
      </c>
      <c r="J292" s="305" t="s">
        <v>600</v>
      </c>
      <c r="K292" s="534"/>
    </row>
    <row r="293" spans="1:11" ht="26.4" hidden="1">
      <c r="A293" s="298" t="s">
        <v>44</v>
      </c>
      <c r="B293" s="300" t="s">
        <v>455</v>
      </c>
      <c r="C293" s="307">
        <v>43789</v>
      </c>
      <c r="D293" s="303" t="s">
        <v>58</v>
      </c>
      <c r="E293" s="303" t="s">
        <v>57</v>
      </c>
      <c r="F293" s="303" t="s">
        <v>57</v>
      </c>
      <c r="G293" s="303" t="s">
        <v>301</v>
      </c>
      <c r="H293" s="303" t="s">
        <v>601</v>
      </c>
      <c r="I293" s="305" t="s">
        <v>602</v>
      </c>
      <c r="J293" s="305" t="s">
        <v>603</v>
      </c>
      <c r="K293" s="534"/>
    </row>
    <row r="294" spans="1:11" ht="26.4" hidden="1">
      <c r="A294" s="298" t="s">
        <v>44</v>
      </c>
      <c r="B294" s="300" t="s">
        <v>455</v>
      </c>
      <c r="C294" s="307">
        <v>43789</v>
      </c>
      <c r="D294" s="303" t="s">
        <v>58</v>
      </c>
      <c r="E294" s="303" t="s">
        <v>57</v>
      </c>
      <c r="F294" s="303" t="s">
        <v>57</v>
      </c>
      <c r="G294" s="303" t="s">
        <v>301</v>
      </c>
      <c r="H294" s="303" t="s">
        <v>604</v>
      </c>
      <c r="I294" s="305" t="s">
        <v>605</v>
      </c>
      <c r="J294" s="305" t="s">
        <v>606</v>
      </c>
      <c r="K294" s="534"/>
    </row>
    <row r="295" spans="1:11" ht="26.4" hidden="1">
      <c r="A295" s="298" t="s">
        <v>44</v>
      </c>
      <c r="B295" s="300" t="s">
        <v>455</v>
      </c>
      <c r="C295" s="307">
        <v>43789</v>
      </c>
      <c r="D295" s="303" t="s">
        <v>58</v>
      </c>
      <c r="E295" s="303" t="s">
        <v>57</v>
      </c>
      <c r="F295" s="303" t="s">
        <v>57</v>
      </c>
      <c r="G295" s="303" t="s">
        <v>301</v>
      </c>
      <c r="H295" s="303" t="s">
        <v>607</v>
      </c>
      <c r="I295" s="305" t="s">
        <v>608</v>
      </c>
      <c r="J295" s="305" t="s">
        <v>609</v>
      </c>
      <c r="K295" s="534"/>
    </row>
    <row r="296" spans="1:11" ht="26.4" hidden="1">
      <c r="A296" s="298" t="s">
        <v>44</v>
      </c>
      <c r="B296" s="300" t="s">
        <v>455</v>
      </c>
      <c r="C296" s="307">
        <v>43789</v>
      </c>
      <c r="D296" s="303" t="s">
        <v>58</v>
      </c>
      <c r="E296" s="303" t="s">
        <v>57</v>
      </c>
      <c r="F296" s="303" t="s">
        <v>57</v>
      </c>
      <c r="G296" s="303" t="s">
        <v>301</v>
      </c>
      <c r="H296" s="303" t="s">
        <v>610</v>
      </c>
      <c r="I296" s="305" t="s">
        <v>611</v>
      </c>
      <c r="J296" s="305" t="s">
        <v>612</v>
      </c>
      <c r="K296" s="534"/>
    </row>
    <row r="297" spans="1:11" ht="26.4" hidden="1">
      <c r="A297" s="298" t="s">
        <v>44</v>
      </c>
      <c r="B297" s="300" t="s">
        <v>455</v>
      </c>
      <c r="C297" s="307">
        <v>43789</v>
      </c>
      <c r="D297" s="303" t="s">
        <v>58</v>
      </c>
      <c r="E297" s="303" t="s">
        <v>57</v>
      </c>
      <c r="F297" s="303" t="s">
        <v>57</v>
      </c>
      <c r="G297" s="303" t="s">
        <v>301</v>
      </c>
      <c r="H297" s="303" t="s">
        <v>613</v>
      </c>
      <c r="I297" s="305" t="s">
        <v>614</v>
      </c>
      <c r="J297" s="305" t="s">
        <v>81</v>
      </c>
      <c r="K297" s="534"/>
    </row>
    <row r="298" spans="1:11" ht="26.4" hidden="1">
      <c r="A298" s="298" t="s">
        <v>44</v>
      </c>
      <c r="B298" s="300" t="s">
        <v>455</v>
      </c>
      <c r="C298" s="307">
        <v>43789</v>
      </c>
      <c r="D298" s="303" t="s">
        <v>58</v>
      </c>
      <c r="E298" s="303" t="s">
        <v>57</v>
      </c>
      <c r="F298" s="303" t="s">
        <v>57</v>
      </c>
      <c r="G298" s="303" t="s">
        <v>301</v>
      </c>
      <c r="H298" s="303" t="s">
        <v>615</v>
      </c>
      <c r="I298" s="305" t="s">
        <v>616</v>
      </c>
      <c r="J298" s="305" t="s">
        <v>81</v>
      </c>
      <c r="K298" s="534"/>
    </row>
    <row r="299" spans="1:11" ht="26.4" hidden="1">
      <c r="A299" s="298" t="s">
        <v>44</v>
      </c>
      <c r="B299" s="300" t="s">
        <v>455</v>
      </c>
      <c r="C299" s="307">
        <v>43789</v>
      </c>
      <c r="D299" s="303" t="s">
        <v>58</v>
      </c>
      <c r="E299" s="303" t="s">
        <v>57</v>
      </c>
      <c r="F299" s="303" t="s">
        <v>57</v>
      </c>
      <c r="G299" s="303" t="s">
        <v>301</v>
      </c>
      <c r="H299" s="303" t="s">
        <v>617</v>
      </c>
      <c r="I299" s="305" t="s">
        <v>618</v>
      </c>
      <c r="J299" s="305" t="s">
        <v>81</v>
      </c>
      <c r="K299" s="535"/>
    </row>
    <row r="300" spans="1:11" hidden="1">
      <c r="A300" s="298" t="s">
        <v>44</v>
      </c>
      <c r="B300" s="300" t="s">
        <v>455</v>
      </c>
      <c r="C300" s="307">
        <v>43789</v>
      </c>
      <c r="D300" s="303" t="s">
        <v>58</v>
      </c>
      <c r="E300" s="303" t="s">
        <v>57</v>
      </c>
      <c r="F300" s="303" t="s">
        <v>57</v>
      </c>
      <c r="G300" s="303" t="s">
        <v>301</v>
      </c>
      <c r="H300" s="303" t="s">
        <v>619</v>
      </c>
      <c r="I300" s="305" t="s">
        <v>587</v>
      </c>
      <c r="J300" s="305" t="s">
        <v>81</v>
      </c>
      <c r="K300" s="533" t="s">
        <v>620</v>
      </c>
    </row>
    <row r="301" spans="1:11" hidden="1">
      <c r="A301" s="298" t="s">
        <v>44</v>
      </c>
      <c r="B301" s="300" t="s">
        <v>455</v>
      </c>
      <c r="C301" s="307">
        <v>43789</v>
      </c>
      <c r="D301" s="303" t="s">
        <v>58</v>
      </c>
      <c r="E301" s="303" t="s">
        <v>57</v>
      </c>
      <c r="F301" s="303" t="s">
        <v>57</v>
      </c>
      <c r="G301" s="303" t="s">
        <v>301</v>
      </c>
      <c r="H301" s="303" t="s">
        <v>621</v>
      </c>
      <c r="I301" s="305" t="s">
        <v>589</v>
      </c>
      <c r="J301" s="305" t="s">
        <v>81</v>
      </c>
      <c r="K301" s="534"/>
    </row>
    <row r="302" spans="1:11" hidden="1">
      <c r="A302" s="298" t="s">
        <v>44</v>
      </c>
      <c r="B302" s="300" t="s">
        <v>455</v>
      </c>
      <c r="C302" s="307">
        <v>43789</v>
      </c>
      <c r="D302" s="303" t="s">
        <v>58</v>
      </c>
      <c r="E302" s="303" t="s">
        <v>57</v>
      </c>
      <c r="F302" s="303" t="s">
        <v>57</v>
      </c>
      <c r="G302" s="303" t="s">
        <v>301</v>
      </c>
      <c r="H302" s="303" t="s">
        <v>622</v>
      </c>
      <c r="I302" s="305" t="s">
        <v>458</v>
      </c>
      <c r="J302" s="305" t="s">
        <v>81</v>
      </c>
      <c r="K302" s="534"/>
    </row>
    <row r="303" spans="1:11" hidden="1">
      <c r="A303" s="298" t="s">
        <v>44</v>
      </c>
      <c r="B303" s="300" t="s">
        <v>455</v>
      </c>
      <c r="C303" s="307">
        <v>43789</v>
      </c>
      <c r="D303" s="303" t="s">
        <v>58</v>
      </c>
      <c r="E303" s="303" t="s">
        <v>57</v>
      </c>
      <c r="F303" s="303" t="s">
        <v>57</v>
      </c>
      <c r="G303" s="303" t="s">
        <v>301</v>
      </c>
      <c r="H303" s="303" t="s">
        <v>623</v>
      </c>
      <c r="I303" s="305" t="s">
        <v>624</v>
      </c>
      <c r="J303" s="305" t="s">
        <v>81</v>
      </c>
      <c r="K303" s="534"/>
    </row>
    <row r="304" spans="1:11" hidden="1">
      <c r="A304" s="298" t="s">
        <v>44</v>
      </c>
      <c r="B304" s="300" t="s">
        <v>455</v>
      </c>
      <c r="C304" s="307">
        <v>43789</v>
      </c>
      <c r="D304" s="303" t="s">
        <v>58</v>
      </c>
      <c r="E304" s="303" t="s">
        <v>57</v>
      </c>
      <c r="F304" s="303" t="s">
        <v>57</v>
      </c>
      <c r="G304" s="303" t="s">
        <v>301</v>
      </c>
      <c r="H304" s="303" t="s">
        <v>625</v>
      </c>
      <c r="I304" s="305" t="s">
        <v>626</v>
      </c>
      <c r="J304" s="305" t="s">
        <v>81</v>
      </c>
      <c r="K304" s="534"/>
    </row>
    <row r="305" spans="1:11" hidden="1">
      <c r="A305" s="298" t="s">
        <v>44</v>
      </c>
      <c r="B305" s="300" t="s">
        <v>455</v>
      </c>
      <c r="C305" s="307">
        <v>43789</v>
      </c>
      <c r="D305" s="303" t="s">
        <v>58</v>
      </c>
      <c r="E305" s="303" t="s">
        <v>57</v>
      </c>
      <c r="F305" s="303" t="s">
        <v>57</v>
      </c>
      <c r="G305" s="303" t="s">
        <v>301</v>
      </c>
      <c r="H305" s="303" t="s">
        <v>627</v>
      </c>
      <c r="I305" s="305" t="s">
        <v>628</v>
      </c>
      <c r="J305" s="305" t="s">
        <v>81</v>
      </c>
      <c r="K305" s="535"/>
    </row>
    <row r="306" spans="1:11" ht="39.6" hidden="1">
      <c r="A306" s="298" t="s">
        <v>44</v>
      </c>
      <c r="B306" s="300" t="s">
        <v>455</v>
      </c>
      <c r="C306" s="307">
        <v>43789</v>
      </c>
      <c r="D306" s="303" t="s">
        <v>58</v>
      </c>
      <c r="E306" s="303" t="s">
        <v>57</v>
      </c>
      <c r="F306" s="303" t="s">
        <v>57</v>
      </c>
      <c r="G306" s="303" t="s">
        <v>301</v>
      </c>
      <c r="H306" s="303" t="s">
        <v>629</v>
      </c>
      <c r="I306" s="305" t="s">
        <v>630</v>
      </c>
      <c r="J306" s="305" t="s">
        <v>631</v>
      </c>
      <c r="K306" s="305" t="s">
        <v>632</v>
      </c>
    </row>
    <row r="307" spans="1:11" ht="39.6" hidden="1">
      <c r="A307" s="298" t="s">
        <v>44</v>
      </c>
      <c r="B307" s="300" t="s">
        <v>455</v>
      </c>
      <c r="C307" s="307">
        <v>43789</v>
      </c>
      <c r="D307" s="303" t="s">
        <v>58</v>
      </c>
      <c r="E307" s="303" t="s">
        <v>57</v>
      </c>
      <c r="F307" s="303" t="s">
        <v>57</v>
      </c>
      <c r="G307" s="303" t="s">
        <v>301</v>
      </c>
      <c r="H307" s="303" t="s">
        <v>633</v>
      </c>
      <c r="I307" s="305" t="s">
        <v>634</v>
      </c>
      <c r="J307" s="305" t="s">
        <v>635</v>
      </c>
      <c r="K307" s="305" t="s">
        <v>632</v>
      </c>
    </row>
    <row r="308" spans="1:11" ht="39.6" hidden="1">
      <c r="A308" s="298" t="s">
        <v>44</v>
      </c>
      <c r="B308" s="300" t="s">
        <v>455</v>
      </c>
      <c r="C308" s="307">
        <v>43789</v>
      </c>
      <c r="D308" s="303" t="s">
        <v>58</v>
      </c>
      <c r="E308" s="303" t="s">
        <v>57</v>
      </c>
      <c r="F308" s="303" t="s">
        <v>57</v>
      </c>
      <c r="G308" s="303" t="s">
        <v>301</v>
      </c>
      <c r="H308" s="303" t="s">
        <v>636</v>
      </c>
      <c r="I308" s="305" t="s">
        <v>637</v>
      </c>
      <c r="J308" s="305" t="s">
        <v>638</v>
      </c>
      <c r="K308" s="533" t="s">
        <v>639</v>
      </c>
    </row>
    <row r="309" spans="1:11" ht="39.6" hidden="1">
      <c r="A309" s="298" t="s">
        <v>44</v>
      </c>
      <c r="B309" s="300" t="s">
        <v>455</v>
      </c>
      <c r="C309" s="307">
        <v>43789</v>
      </c>
      <c r="D309" s="303" t="s">
        <v>58</v>
      </c>
      <c r="E309" s="303" t="s">
        <v>57</v>
      </c>
      <c r="F309" s="303" t="s">
        <v>57</v>
      </c>
      <c r="G309" s="303" t="s">
        <v>301</v>
      </c>
      <c r="H309" s="303" t="s">
        <v>566</v>
      </c>
      <c r="I309" s="305" t="s">
        <v>640</v>
      </c>
      <c r="J309" s="305" t="s">
        <v>641</v>
      </c>
      <c r="K309" s="535"/>
    </row>
    <row r="310" spans="1:11" hidden="1">
      <c r="A310" s="298" t="s">
        <v>44</v>
      </c>
      <c r="B310" s="300" t="s">
        <v>455</v>
      </c>
      <c r="C310" s="307">
        <v>43789</v>
      </c>
      <c r="D310" s="303" t="s">
        <v>58</v>
      </c>
      <c r="E310" s="303" t="s">
        <v>57</v>
      </c>
      <c r="F310" s="303" t="s">
        <v>57</v>
      </c>
      <c r="G310" s="303" t="s">
        <v>301</v>
      </c>
      <c r="H310" s="303" t="s">
        <v>642</v>
      </c>
      <c r="I310" s="305">
        <v>0</v>
      </c>
      <c r="J310" s="305" t="s">
        <v>81</v>
      </c>
      <c r="K310" s="533" t="s">
        <v>643</v>
      </c>
    </row>
    <row r="311" spans="1:11" hidden="1">
      <c r="A311" s="298" t="s">
        <v>44</v>
      </c>
      <c r="B311" s="300" t="s">
        <v>455</v>
      </c>
      <c r="C311" s="307">
        <v>43789</v>
      </c>
      <c r="D311" s="303" t="s">
        <v>58</v>
      </c>
      <c r="E311" s="303" t="s">
        <v>57</v>
      </c>
      <c r="F311" s="303" t="s">
        <v>57</v>
      </c>
      <c r="G311" s="303" t="s">
        <v>301</v>
      </c>
      <c r="H311" s="303" t="s">
        <v>644</v>
      </c>
      <c r="I311" s="305">
        <v>0</v>
      </c>
      <c r="J311" s="305" t="s">
        <v>81</v>
      </c>
      <c r="K311" s="534"/>
    </row>
    <row r="312" spans="1:11" hidden="1">
      <c r="A312" s="298" t="s">
        <v>44</v>
      </c>
      <c r="B312" s="300" t="s">
        <v>455</v>
      </c>
      <c r="C312" s="307">
        <v>43789</v>
      </c>
      <c r="D312" s="303" t="s">
        <v>58</v>
      </c>
      <c r="E312" s="303" t="s">
        <v>57</v>
      </c>
      <c r="F312" s="303" t="s">
        <v>57</v>
      </c>
      <c r="G312" s="303" t="s">
        <v>301</v>
      </c>
      <c r="H312" s="303" t="s">
        <v>645</v>
      </c>
      <c r="I312" s="305">
        <v>0</v>
      </c>
      <c r="J312" s="305" t="s">
        <v>81</v>
      </c>
      <c r="K312" s="534"/>
    </row>
    <row r="313" spans="1:11" hidden="1">
      <c r="A313" s="298" t="s">
        <v>44</v>
      </c>
      <c r="B313" s="300" t="s">
        <v>455</v>
      </c>
      <c r="C313" s="307">
        <v>43789</v>
      </c>
      <c r="D313" s="303" t="s">
        <v>58</v>
      </c>
      <c r="E313" s="303" t="s">
        <v>57</v>
      </c>
      <c r="F313" s="303" t="s">
        <v>57</v>
      </c>
      <c r="G313" s="303" t="s">
        <v>301</v>
      </c>
      <c r="H313" s="303" t="s">
        <v>646</v>
      </c>
      <c r="I313" s="305">
        <v>0</v>
      </c>
      <c r="J313" s="305" t="s">
        <v>81</v>
      </c>
      <c r="K313" s="534"/>
    </row>
    <row r="314" spans="1:11" hidden="1">
      <c r="A314" s="298" t="s">
        <v>44</v>
      </c>
      <c r="B314" s="300" t="s">
        <v>455</v>
      </c>
      <c r="C314" s="307">
        <v>43789</v>
      </c>
      <c r="D314" s="303" t="s">
        <v>58</v>
      </c>
      <c r="E314" s="303" t="s">
        <v>57</v>
      </c>
      <c r="F314" s="303" t="s">
        <v>57</v>
      </c>
      <c r="G314" s="303" t="s">
        <v>301</v>
      </c>
      <c r="H314" s="303" t="s">
        <v>647</v>
      </c>
      <c r="I314" s="305">
        <v>0</v>
      </c>
      <c r="J314" s="305" t="s">
        <v>81</v>
      </c>
      <c r="K314" s="534"/>
    </row>
    <row r="315" spans="1:11" hidden="1">
      <c r="A315" s="298" t="s">
        <v>44</v>
      </c>
      <c r="B315" s="300" t="s">
        <v>455</v>
      </c>
      <c r="C315" s="307">
        <v>43789</v>
      </c>
      <c r="D315" s="303" t="s">
        <v>58</v>
      </c>
      <c r="E315" s="303" t="s">
        <v>57</v>
      </c>
      <c r="F315" s="303" t="s">
        <v>57</v>
      </c>
      <c r="G315" s="303" t="s">
        <v>301</v>
      </c>
      <c r="H315" s="303" t="s">
        <v>648</v>
      </c>
      <c r="I315" s="305">
        <v>0</v>
      </c>
      <c r="J315" s="305" t="s">
        <v>81</v>
      </c>
      <c r="K315" s="534"/>
    </row>
    <row r="316" spans="1:11" hidden="1">
      <c r="A316" s="298" t="s">
        <v>44</v>
      </c>
      <c r="B316" s="300" t="s">
        <v>455</v>
      </c>
      <c r="C316" s="307">
        <v>43789</v>
      </c>
      <c r="D316" s="303" t="s">
        <v>58</v>
      </c>
      <c r="E316" s="303" t="s">
        <v>57</v>
      </c>
      <c r="F316" s="303" t="s">
        <v>57</v>
      </c>
      <c r="G316" s="303" t="s">
        <v>301</v>
      </c>
      <c r="H316" s="303" t="s">
        <v>649</v>
      </c>
      <c r="I316" s="305">
        <v>0</v>
      </c>
      <c r="J316" s="305" t="s">
        <v>81</v>
      </c>
      <c r="K316" s="534"/>
    </row>
    <row r="317" spans="1:11" hidden="1">
      <c r="A317" s="298" t="s">
        <v>44</v>
      </c>
      <c r="B317" s="300" t="s">
        <v>455</v>
      </c>
      <c r="C317" s="307">
        <v>43789</v>
      </c>
      <c r="D317" s="303" t="s">
        <v>58</v>
      </c>
      <c r="E317" s="303" t="s">
        <v>57</v>
      </c>
      <c r="F317" s="303" t="s">
        <v>57</v>
      </c>
      <c r="G317" s="303" t="s">
        <v>301</v>
      </c>
      <c r="H317" s="303" t="s">
        <v>650</v>
      </c>
      <c r="I317" s="305">
        <v>0</v>
      </c>
      <c r="J317" s="305" t="s">
        <v>81</v>
      </c>
      <c r="K317" s="534"/>
    </row>
    <row r="318" spans="1:11" hidden="1">
      <c r="A318" s="298" t="s">
        <v>44</v>
      </c>
      <c r="B318" s="300" t="s">
        <v>455</v>
      </c>
      <c r="C318" s="307">
        <v>43789</v>
      </c>
      <c r="D318" s="303" t="s">
        <v>58</v>
      </c>
      <c r="E318" s="303" t="s">
        <v>57</v>
      </c>
      <c r="F318" s="303" t="s">
        <v>57</v>
      </c>
      <c r="G318" s="303" t="s">
        <v>301</v>
      </c>
      <c r="H318" s="303" t="s">
        <v>651</v>
      </c>
      <c r="I318" s="305">
        <v>0</v>
      </c>
      <c r="J318" s="305" t="s">
        <v>81</v>
      </c>
      <c r="K318" s="534"/>
    </row>
    <row r="319" spans="1:11" hidden="1">
      <c r="A319" s="298" t="s">
        <v>44</v>
      </c>
      <c r="B319" s="300" t="s">
        <v>455</v>
      </c>
      <c r="C319" s="307">
        <v>43789</v>
      </c>
      <c r="D319" s="303" t="s">
        <v>58</v>
      </c>
      <c r="E319" s="303" t="s">
        <v>57</v>
      </c>
      <c r="F319" s="303" t="s">
        <v>57</v>
      </c>
      <c r="G319" s="303" t="s">
        <v>301</v>
      </c>
      <c r="H319" s="303" t="s">
        <v>652</v>
      </c>
      <c r="I319" s="305">
        <v>0</v>
      </c>
      <c r="J319" s="305" t="s">
        <v>81</v>
      </c>
      <c r="K319" s="534"/>
    </row>
    <row r="320" spans="1:11" hidden="1">
      <c r="A320" s="298" t="s">
        <v>44</v>
      </c>
      <c r="B320" s="300" t="s">
        <v>455</v>
      </c>
      <c r="C320" s="307">
        <v>43789</v>
      </c>
      <c r="D320" s="303" t="s">
        <v>58</v>
      </c>
      <c r="E320" s="303" t="s">
        <v>57</v>
      </c>
      <c r="F320" s="303" t="s">
        <v>57</v>
      </c>
      <c r="G320" s="303" t="s">
        <v>301</v>
      </c>
      <c r="H320" s="303" t="s">
        <v>653</v>
      </c>
      <c r="I320" s="305">
        <v>0</v>
      </c>
      <c r="J320" s="305" t="s">
        <v>81</v>
      </c>
      <c r="K320" s="534"/>
    </row>
    <row r="321" spans="1:11" hidden="1">
      <c r="A321" s="298" t="s">
        <v>44</v>
      </c>
      <c r="B321" s="300" t="s">
        <v>455</v>
      </c>
      <c r="C321" s="307">
        <v>43789</v>
      </c>
      <c r="D321" s="303" t="s">
        <v>58</v>
      </c>
      <c r="E321" s="303" t="s">
        <v>57</v>
      </c>
      <c r="F321" s="303" t="s">
        <v>57</v>
      </c>
      <c r="G321" s="303" t="s">
        <v>301</v>
      </c>
      <c r="H321" s="303" t="s">
        <v>654</v>
      </c>
      <c r="I321" s="305">
        <v>0</v>
      </c>
      <c r="J321" s="305" t="s">
        <v>81</v>
      </c>
      <c r="K321" s="534"/>
    </row>
    <row r="322" spans="1:11" hidden="1">
      <c r="A322" s="298" t="s">
        <v>44</v>
      </c>
      <c r="B322" s="300" t="s">
        <v>455</v>
      </c>
      <c r="C322" s="307">
        <v>43789</v>
      </c>
      <c r="D322" s="303" t="s">
        <v>58</v>
      </c>
      <c r="E322" s="303" t="s">
        <v>57</v>
      </c>
      <c r="F322" s="303" t="s">
        <v>57</v>
      </c>
      <c r="G322" s="303" t="s">
        <v>301</v>
      </c>
      <c r="H322" s="303" t="s">
        <v>655</v>
      </c>
      <c r="I322" s="305">
        <v>0</v>
      </c>
      <c r="J322" s="305" t="s">
        <v>81</v>
      </c>
      <c r="K322" s="534"/>
    </row>
    <row r="323" spans="1:11" hidden="1">
      <c r="A323" s="298" t="s">
        <v>44</v>
      </c>
      <c r="B323" s="300" t="s">
        <v>455</v>
      </c>
      <c r="C323" s="307">
        <v>43789</v>
      </c>
      <c r="D323" s="303" t="s">
        <v>58</v>
      </c>
      <c r="E323" s="303" t="s">
        <v>57</v>
      </c>
      <c r="F323" s="303" t="s">
        <v>57</v>
      </c>
      <c r="G323" s="303" t="s">
        <v>301</v>
      </c>
      <c r="H323" s="303" t="s">
        <v>656</v>
      </c>
      <c r="I323" s="305">
        <v>0</v>
      </c>
      <c r="J323" s="305" t="s">
        <v>81</v>
      </c>
      <c r="K323" s="534"/>
    </row>
    <row r="324" spans="1:11" hidden="1">
      <c r="A324" s="298" t="s">
        <v>44</v>
      </c>
      <c r="B324" s="300" t="s">
        <v>455</v>
      </c>
      <c r="C324" s="307">
        <v>43789</v>
      </c>
      <c r="D324" s="303" t="s">
        <v>58</v>
      </c>
      <c r="E324" s="303" t="s">
        <v>57</v>
      </c>
      <c r="F324" s="303" t="s">
        <v>57</v>
      </c>
      <c r="G324" s="303" t="s">
        <v>301</v>
      </c>
      <c r="H324" s="303" t="s">
        <v>657</v>
      </c>
      <c r="I324" s="305">
        <v>0</v>
      </c>
      <c r="J324" s="305" t="s">
        <v>81</v>
      </c>
      <c r="K324" s="534"/>
    </row>
    <row r="325" spans="1:11" hidden="1">
      <c r="A325" s="298" t="s">
        <v>44</v>
      </c>
      <c r="B325" s="300" t="s">
        <v>455</v>
      </c>
      <c r="C325" s="307">
        <v>43789</v>
      </c>
      <c r="D325" s="303" t="s">
        <v>58</v>
      </c>
      <c r="E325" s="303" t="s">
        <v>57</v>
      </c>
      <c r="F325" s="303" t="s">
        <v>57</v>
      </c>
      <c r="G325" s="303" t="s">
        <v>301</v>
      </c>
      <c r="H325" s="303" t="s">
        <v>658</v>
      </c>
      <c r="I325" s="305">
        <v>0</v>
      </c>
      <c r="J325" s="305" t="s">
        <v>81</v>
      </c>
      <c r="K325" s="534"/>
    </row>
    <row r="326" spans="1:11" hidden="1">
      <c r="A326" s="298" t="s">
        <v>44</v>
      </c>
      <c r="B326" s="300" t="s">
        <v>455</v>
      </c>
      <c r="C326" s="307">
        <v>43789</v>
      </c>
      <c r="D326" s="303" t="s">
        <v>58</v>
      </c>
      <c r="E326" s="303" t="s">
        <v>57</v>
      </c>
      <c r="F326" s="303" t="s">
        <v>57</v>
      </c>
      <c r="G326" s="303" t="s">
        <v>301</v>
      </c>
      <c r="H326" s="303" t="s">
        <v>659</v>
      </c>
      <c r="I326" s="305">
        <v>0</v>
      </c>
      <c r="J326" s="305" t="s">
        <v>81</v>
      </c>
      <c r="K326" s="534"/>
    </row>
    <row r="327" spans="1:11" hidden="1">
      <c r="A327" s="298" t="s">
        <v>44</v>
      </c>
      <c r="B327" s="300" t="s">
        <v>455</v>
      </c>
      <c r="C327" s="307">
        <v>43789</v>
      </c>
      <c r="D327" s="303" t="s">
        <v>58</v>
      </c>
      <c r="E327" s="303" t="s">
        <v>57</v>
      </c>
      <c r="F327" s="303" t="s">
        <v>57</v>
      </c>
      <c r="G327" s="303" t="s">
        <v>301</v>
      </c>
      <c r="H327" s="303" t="s">
        <v>660</v>
      </c>
      <c r="I327" s="305">
        <v>0</v>
      </c>
      <c r="J327" s="305" t="s">
        <v>81</v>
      </c>
      <c r="K327" s="534"/>
    </row>
    <row r="328" spans="1:11" hidden="1">
      <c r="A328" s="298" t="s">
        <v>44</v>
      </c>
      <c r="B328" s="300" t="s">
        <v>455</v>
      </c>
      <c r="C328" s="307">
        <v>43789</v>
      </c>
      <c r="D328" s="303" t="s">
        <v>58</v>
      </c>
      <c r="E328" s="303" t="s">
        <v>57</v>
      </c>
      <c r="F328" s="303" t="s">
        <v>57</v>
      </c>
      <c r="G328" s="303" t="s">
        <v>301</v>
      </c>
      <c r="H328" s="303" t="s">
        <v>661</v>
      </c>
      <c r="I328" s="305">
        <v>0</v>
      </c>
      <c r="J328" s="305" t="s">
        <v>81</v>
      </c>
      <c r="K328" s="534"/>
    </row>
    <row r="329" spans="1:11" hidden="1">
      <c r="A329" s="298" t="s">
        <v>44</v>
      </c>
      <c r="B329" s="300" t="s">
        <v>455</v>
      </c>
      <c r="C329" s="307">
        <v>43789</v>
      </c>
      <c r="D329" s="303" t="s">
        <v>58</v>
      </c>
      <c r="E329" s="303" t="s">
        <v>57</v>
      </c>
      <c r="F329" s="303" t="s">
        <v>57</v>
      </c>
      <c r="G329" s="303" t="s">
        <v>301</v>
      </c>
      <c r="H329" s="303" t="s">
        <v>662</v>
      </c>
      <c r="I329" s="305">
        <v>0</v>
      </c>
      <c r="J329" s="305" t="s">
        <v>81</v>
      </c>
      <c r="K329" s="534"/>
    </row>
    <row r="330" spans="1:11" hidden="1">
      <c r="A330" s="298" t="s">
        <v>44</v>
      </c>
      <c r="B330" s="300" t="s">
        <v>455</v>
      </c>
      <c r="C330" s="307">
        <v>43789</v>
      </c>
      <c r="D330" s="303" t="s">
        <v>58</v>
      </c>
      <c r="E330" s="303" t="s">
        <v>57</v>
      </c>
      <c r="F330" s="303" t="s">
        <v>57</v>
      </c>
      <c r="G330" s="303" t="s">
        <v>301</v>
      </c>
      <c r="H330" s="303" t="s">
        <v>663</v>
      </c>
      <c r="I330" s="305">
        <v>0</v>
      </c>
      <c r="J330" s="305" t="s">
        <v>81</v>
      </c>
      <c r="K330" s="534"/>
    </row>
    <row r="331" spans="1:11" hidden="1">
      <c r="A331" s="298" t="s">
        <v>44</v>
      </c>
      <c r="B331" s="300" t="s">
        <v>455</v>
      </c>
      <c r="C331" s="307">
        <v>43789</v>
      </c>
      <c r="D331" s="303" t="s">
        <v>58</v>
      </c>
      <c r="E331" s="303" t="s">
        <v>57</v>
      </c>
      <c r="F331" s="303" t="s">
        <v>57</v>
      </c>
      <c r="G331" s="303" t="s">
        <v>301</v>
      </c>
      <c r="H331" s="303" t="s">
        <v>664</v>
      </c>
      <c r="I331" s="305">
        <v>0</v>
      </c>
      <c r="J331" s="305" t="s">
        <v>81</v>
      </c>
      <c r="K331" s="534"/>
    </row>
    <row r="332" spans="1:11" hidden="1">
      <c r="A332" s="298" t="s">
        <v>44</v>
      </c>
      <c r="B332" s="300" t="s">
        <v>455</v>
      </c>
      <c r="C332" s="307">
        <v>43789</v>
      </c>
      <c r="D332" s="303" t="s">
        <v>58</v>
      </c>
      <c r="E332" s="303" t="s">
        <v>57</v>
      </c>
      <c r="F332" s="303" t="s">
        <v>57</v>
      </c>
      <c r="G332" s="303" t="s">
        <v>301</v>
      </c>
      <c r="H332" s="303" t="s">
        <v>665</v>
      </c>
      <c r="I332" s="305">
        <v>0</v>
      </c>
      <c r="J332" s="305" t="s">
        <v>81</v>
      </c>
      <c r="K332" s="534"/>
    </row>
    <row r="333" spans="1:11" hidden="1">
      <c r="A333" s="298" t="s">
        <v>44</v>
      </c>
      <c r="B333" s="300" t="s">
        <v>455</v>
      </c>
      <c r="C333" s="307">
        <v>43789</v>
      </c>
      <c r="D333" s="303" t="s">
        <v>58</v>
      </c>
      <c r="E333" s="303" t="s">
        <v>57</v>
      </c>
      <c r="F333" s="303" t="s">
        <v>57</v>
      </c>
      <c r="G333" s="303" t="s">
        <v>301</v>
      </c>
      <c r="H333" s="303" t="s">
        <v>666</v>
      </c>
      <c r="I333" s="305">
        <v>0</v>
      </c>
      <c r="J333" s="305" t="s">
        <v>81</v>
      </c>
      <c r="K333" s="534"/>
    </row>
    <row r="334" spans="1:11" hidden="1">
      <c r="A334" s="298" t="s">
        <v>44</v>
      </c>
      <c r="B334" s="300" t="s">
        <v>455</v>
      </c>
      <c r="C334" s="307">
        <v>43789</v>
      </c>
      <c r="D334" s="303" t="s">
        <v>58</v>
      </c>
      <c r="E334" s="303" t="s">
        <v>57</v>
      </c>
      <c r="F334" s="303" t="s">
        <v>57</v>
      </c>
      <c r="G334" s="303" t="s">
        <v>301</v>
      </c>
      <c r="H334" s="303" t="s">
        <v>667</v>
      </c>
      <c r="I334" s="305">
        <v>0</v>
      </c>
      <c r="J334" s="305" t="s">
        <v>81</v>
      </c>
      <c r="K334" s="534"/>
    </row>
    <row r="335" spans="1:11" hidden="1">
      <c r="A335" s="298" t="s">
        <v>44</v>
      </c>
      <c r="B335" s="300" t="s">
        <v>455</v>
      </c>
      <c r="C335" s="307">
        <v>43789</v>
      </c>
      <c r="D335" s="303" t="s">
        <v>58</v>
      </c>
      <c r="E335" s="303" t="s">
        <v>57</v>
      </c>
      <c r="F335" s="303" t="s">
        <v>57</v>
      </c>
      <c r="G335" s="303" t="s">
        <v>301</v>
      </c>
      <c r="H335" s="303" t="s">
        <v>668</v>
      </c>
      <c r="I335" s="305">
        <v>0</v>
      </c>
      <c r="J335" s="305" t="s">
        <v>81</v>
      </c>
      <c r="K335" s="534"/>
    </row>
    <row r="336" spans="1:11" hidden="1">
      <c r="A336" s="298" t="s">
        <v>44</v>
      </c>
      <c r="B336" s="300" t="s">
        <v>455</v>
      </c>
      <c r="C336" s="307">
        <v>43789</v>
      </c>
      <c r="D336" s="303" t="s">
        <v>58</v>
      </c>
      <c r="E336" s="303" t="s">
        <v>57</v>
      </c>
      <c r="F336" s="303" t="s">
        <v>57</v>
      </c>
      <c r="G336" s="303" t="s">
        <v>301</v>
      </c>
      <c r="H336" s="303" t="s">
        <v>669</v>
      </c>
      <c r="I336" s="305">
        <v>0</v>
      </c>
      <c r="J336" s="305" t="s">
        <v>81</v>
      </c>
      <c r="K336" s="535"/>
    </row>
    <row r="337" spans="1:11" hidden="1">
      <c r="A337" s="298" t="s">
        <v>44</v>
      </c>
      <c r="B337" s="300" t="s">
        <v>455</v>
      </c>
      <c r="C337" s="307">
        <v>43789</v>
      </c>
      <c r="D337" s="303" t="s">
        <v>58</v>
      </c>
      <c r="E337" s="303" t="s">
        <v>57</v>
      </c>
      <c r="F337" s="303" t="s">
        <v>57</v>
      </c>
      <c r="G337" s="303" t="s">
        <v>301</v>
      </c>
      <c r="H337" s="303" t="s">
        <v>670</v>
      </c>
      <c r="I337" s="305"/>
      <c r="J337" s="305"/>
      <c r="K337" s="533" t="s">
        <v>671</v>
      </c>
    </row>
    <row r="338" spans="1:11" hidden="1">
      <c r="A338" s="298" t="s">
        <v>44</v>
      </c>
      <c r="B338" s="300" t="s">
        <v>455</v>
      </c>
      <c r="C338" s="307">
        <v>43789</v>
      </c>
      <c r="D338" s="303" t="s">
        <v>58</v>
      </c>
      <c r="E338" s="303" t="s">
        <v>57</v>
      </c>
      <c r="F338" s="303" t="s">
        <v>57</v>
      </c>
      <c r="G338" s="303" t="s">
        <v>301</v>
      </c>
      <c r="H338" s="303" t="s">
        <v>672</v>
      </c>
      <c r="I338" s="305"/>
      <c r="J338" s="305"/>
      <c r="K338" s="534"/>
    </row>
    <row r="339" spans="1:11" hidden="1">
      <c r="A339" s="298" t="s">
        <v>44</v>
      </c>
      <c r="B339" s="300" t="s">
        <v>455</v>
      </c>
      <c r="C339" s="307">
        <v>43789</v>
      </c>
      <c r="D339" s="303" t="s">
        <v>58</v>
      </c>
      <c r="E339" s="303" t="s">
        <v>57</v>
      </c>
      <c r="F339" s="303" t="s">
        <v>57</v>
      </c>
      <c r="G339" s="303" t="s">
        <v>301</v>
      </c>
      <c r="H339" s="303" t="s">
        <v>673</v>
      </c>
      <c r="I339" s="305"/>
      <c r="J339" s="305"/>
      <c r="K339" s="534"/>
    </row>
    <row r="340" spans="1:11" hidden="1">
      <c r="A340" s="298" t="s">
        <v>44</v>
      </c>
      <c r="B340" s="300" t="s">
        <v>455</v>
      </c>
      <c r="C340" s="307">
        <v>43789</v>
      </c>
      <c r="D340" s="303" t="s">
        <v>58</v>
      </c>
      <c r="E340" s="303" t="s">
        <v>57</v>
      </c>
      <c r="F340" s="303" t="s">
        <v>57</v>
      </c>
      <c r="G340" s="303" t="s">
        <v>301</v>
      </c>
      <c r="H340" s="303" t="s">
        <v>674</v>
      </c>
      <c r="I340" s="305" t="s">
        <v>587</v>
      </c>
      <c r="J340" s="305" t="s">
        <v>81</v>
      </c>
      <c r="K340" s="534"/>
    </row>
    <row r="341" spans="1:11" hidden="1">
      <c r="A341" s="298" t="s">
        <v>44</v>
      </c>
      <c r="B341" s="300" t="s">
        <v>455</v>
      </c>
      <c r="C341" s="307">
        <v>43789</v>
      </c>
      <c r="D341" s="303" t="s">
        <v>58</v>
      </c>
      <c r="E341" s="303" t="s">
        <v>57</v>
      </c>
      <c r="F341" s="303" t="s">
        <v>57</v>
      </c>
      <c r="G341" s="303" t="s">
        <v>301</v>
      </c>
      <c r="H341" s="303" t="s">
        <v>675</v>
      </c>
      <c r="I341" s="305" t="s">
        <v>589</v>
      </c>
      <c r="J341" s="305" t="s">
        <v>81</v>
      </c>
      <c r="K341" s="534"/>
    </row>
    <row r="342" spans="1:11" hidden="1">
      <c r="A342" s="298" t="s">
        <v>44</v>
      </c>
      <c r="B342" s="300" t="s">
        <v>455</v>
      </c>
      <c r="C342" s="307">
        <v>43789</v>
      </c>
      <c r="D342" s="303" t="s">
        <v>58</v>
      </c>
      <c r="E342" s="303" t="s">
        <v>57</v>
      </c>
      <c r="F342" s="303" t="s">
        <v>57</v>
      </c>
      <c r="G342" s="303" t="s">
        <v>301</v>
      </c>
      <c r="H342" s="303" t="s">
        <v>676</v>
      </c>
      <c r="I342" s="305" t="s">
        <v>458</v>
      </c>
      <c r="J342" s="305" t="s">
        <v>81</v>
      </c>
      <c r="K342" s="534"/>
    </row>
    <row r="343" spans="1:11" hidden="1">
      <c r="A343" s="298" t="s">
        <v>44</v>
      </c>
      <c r="B343" s="300" t="s">
        <v>455</v>
      </c>
      <c r="C343" s="307">
        <v>43789</v>
      </c>
      <c r="D343" s="303" t="s">
        <v>58</v>
      </c>
      <c r="E343" s="303" t="s">
        <v>57</v>
      </c>
      <c r="F343" s="303" t="s">
        <v>57</v>
      </c>
      <c r="G343" s="303" t="s">
        <v>301</v>
      </c>
      <c r="H343" s="303" t="s">
        <v>677</v>
      </c>
      <c r="I343" s="305"/>
      <c r="J343" s="305"/>
      <c r="K343" s="534"/>
    </row>
    <row r="344" spans="1:11" hidden="1">
      <c r="A344" s="298" t="s">
        <v>44</v>
      </c>
      <c r="B344" s="300" t="s">
        <v>455</v>
      </c>
      <c r="C344" s="307">
        <v>43789</v>
      </c>
      <c r="D344" s="303" t="s">
        <v>58</v>
      </c>
      <c r="E344" s="303" t="s">
        <v>57</v>
      </c>
      <c r="F344" s="303" t="s">
        <v>57</v>
      </c>
      <c r="G344" s="303" t="s">
        <v>301</v>
      </c>
      <c r="H344" s="303" t="s">
        <v>678</v>
      </c>
      <c r="I344" s="305" t="s">
        <v>679</v>
      </c>
      <c r="J344" s="305" t="s">
        <v>81</v>
      </c>
      <c r="K344" s="534"/>
    </row>
    <row r="345" spans="1:11" hidden="1">
      <c r="A345" s="298" t="s">
        <v>44</v>
      </c>
      <c r="B345" s="300" t="s">
        <v>455</v>
      </c>
      <c r="C345" s="307">
        <v>43789</v>
      </c>
      <c r="D345" s="303" t="s">
        <v>58</v>
      </c>
      <c r="E345" s="303" t="s">
        <v>57</v>
      </c>
      <c r="F345" s="303" t="s">
        <v>57</v>
      </c>
      <c r="G345" s="303" t="s">
        <v>301</v>
      </c>
      <c r="H345" s="303" t="s">
        <v>680</v>
      </c>
      <c r="I345" s="305" t="s">
        <v>681</v>
      </c>
      <c r="J345" s="305" t="s">
        <v>81</v>
      </c>
      <c r="K345" s="534"/>
    </row>
    <row r="346" spans="1:11" hidden="1">
      <c r="A346" s="298" t="s">
        <v>44</v>
      </c>
      <c r="B346" s="300" t="s">
        <v>455</v>
      </c>
      <c r="C346" s="307">
        <v>43789</v>
      </c>
      <c r="D346" s="303" t="s">
        <v>58</v>
      </c>
      <c r="E346" s="303" t="s">
        <v>57</v>
      </c>
      <c r="F346" s="303" t="s">
        <v>57</v>
      </c>
      <c r="G346" s="303" t="s">
        <v>301</v>
      </c>
      <c r="H346" s="303" t="s">
        <v>682</v>
      </c>
      <c r="I346" s="305" t="s">
        <v>683</v>
      </c>
      <c r="J346" s="305" t="s">
        <v>81</v>
      </c>
      <c r="K346" s="534"/>
    </row>
    <row r="347" spans="1:11" hidden="1">
      <c r="A347" s="298" t="s">
        <v>44</v>
      </c>
      <c r="B347" s="300" t="s">
        <v>455</v>
      </c>
      <c r="C347" s="307">
        <v>43789</v>
      </c>
      <c r="D347" s="303" t="s">
        <v>58</v>
      </c>
      <c r="E347" s="303" t="s">
        <v>57</v>
      </c>
      <c r="F347" s="303" t="s">
        <v>57</v>
      </c>
      <c r="G347" s="303" t="s">
        <v>301</v>
      </c>
      <c r="H347" s="303" t="s">
        <v>684</v>
      </c>
      <c r="I347" s="305" t="s">
        <v>685</v>
      </c>
      <c r="J347" s="305" t="s">
        <v>81</v>
      </c>
      <c r="K347" s="534"/>
    </row>
    <row r="348" spans="1:11" hidden="1">
      <c r="A348" s="298" t="s">
        <v>44</v>
      </c>
      <c r="B348" s="300" t="s">
        <v>455</v>
      </c>
      <c r="C348" s="307">
        <v>43789</v>
      </c>
      <c r="D348" s="303" t="s">
        <v>58</v>
      </c>
      <c r="E348" s="303" t="s">
        <v>57</v>
      </c>
      <c r="F348" s="303" t="s">
        <v>57</v>
      </c>
      <c r="G348" s="303" t="s">
        <v>301</v>
      </c>
      <c r="H348" s="303" t="s">
        <v>686</v>
      </c>
      <c r="I348" s="305" t="s">
        <v>687</v>
      </c>
      <c r="J348" s="305" t="s">
        <v>81</v>
      </c>
      <c r="K348" s="534"/>
    </row>
    <row r="349" spans="1:11" hidden="1">
      <c r="A349" s="298" t="s">
        <v>44</v>
      </c>
      <c r="B349" s="300" t="s">
        <v>455</v>
      </c>
      <c r="C349" s="307">
        <v>43789</v>
      </c>
      <c r="D349" s="303" t="s">
        <v>58</v>
      </c>
      <c r="E349" s="303" t="s">
        <v>57</v>
      </c>
      <c r="F349" s="303" t="s">
        <v>57</v>
      </c>
      <c r="G349" s="303" t="s">
        <v>301</v>
      </c>
      <c r="H349" s="303" t="s">
        <v>688</v>
      </c>
      <c r="I349" s="305" t="s">
        <v>689</v>
      </c>
      <c r="J349" s="305" t="s">
        <v>81</v>
      </c>
      <c r="K349" s="534"/>
    </row>
    <row r="350" spans="1:11" hidden="1">
      <c r="A350" s="298" t="s">
        <v>44</v>
      </c>
      <c r="B350" s="300" t="s">
        <v>455</v>
      </c>
      <c r="C350" s="307">
        <v>43789</v>
      </c>
      <c r="D350" s="303" t="s">
        <v>58</v>
      </c>
      <c r="E350" s="303" t="s">
        <v>57</v>
      </c>
      <c r="F350" s="303" t="s">
        <v>57</v>
      </c>
      <c r="G350" s="303" t="s">
        <v>301</v>
      </c>
      <c r="H350" s="303" t="s">
        <v>690</v>
      </c>
      <c r="I350" s="305" t="s">
        <v>691</v>
      </c>
      <c r="J350" s="305" t="s">
        <v>81</v>
      </c>
      <c r="K350" s="534"/>
    </row>
    <row r="351" spans="1:11" hidden="1">
      <c r="A351" s="298" t="s">
        <v>44</v>
      </c>
      <c r="B351" s="300" t="s">
        <v>455</v>
      </c>
      <c r="C351" s="307">
        <v>43789</v>
      </c>
      <c r="D351" s="303" t="s">
        <v>58</v>
      </c>
      <c r="E351" s="303" t="s">
        <v>57</v>
      </c>
      <c r="F351" s="303" t="s">
        <v>57</v>
      </c>
      <c r="G351" s="303" t="s">
        <v>301</v>
      </c>
      <c r="H351" s="303" t="s">
        <v>692</v>
      </c>
      <c r="I351" s="305" t="s">
        <v>693</v>
      </c>
      <c r="J351" s="305" t="s">
        <v>81</v>
      </c>
      <c r="K351" s="534"/>
    </row>
    <row r="352" spans="1:11" hidden="1">
      <c r="A352" s="298" t="s">
        <v>44</v>
      </c>
      <c r="B352" s="300" t="s">
        <v>455</v>
      </c>
      <c r="C352" s="307">
        <v>43789</v>
      </c>
      <c r="D352" s="303" t="s">
        <v>58</v>
      </c>
      <c r="E352" s="303" t="s">
        <v>57</v>
      </c>
      <c r="F352" s="303" t="s">
        <v>57</v>
      </c>
      <c r="G352" s="303" t="s">
        <v>301</v>
      </c>
      <c r="H352" s="303" t="s">
        <v>694</v>
      </c>
      <c r="I352" s="305" t="s">
        <v>695</v>
      </c>
      <c r="J352" s="305" t="s">
        <v>81</v>
      </c>
      <c r="K352" s="534"/>
    </row>
    <row r="353" spans="1:11" hidden="1">
      <c r="A353" s="298" t="s">
        <v>44</v>
      </c>
      <c r="B353" s="300" t="s">
        <v>455</v>
      </c>
      <c r="C353" s="307">
        <v>43789</v>
      </c>
      <c r="D353" s="303" t="s">
        <v>58</v>
      </c>
      <c r="E353" s="303" t="s">
        <v>57</v>
      </c>
      <c r="F353" s="303" t="s">
        <v>57</v>
      </c>
      <c r="G353" s="303" t="s">
        <v>301</v>
      </c>
      <c r="H353" s="303" t="s">
        <v>696</v>
      </c>
      <c r="I353" s="305" t="s">
        <v>697</v>
      </c>
      <c r="J353" s="305" t="s">
        <v>81</v>
      </c>
      <c r="K353" s="534"/>
    </row>
    <row r="354" spans="1:11" hidden="1">
      <c r="A354" s="298" t="s">
        <v>44</v>
      </c>
      <c r="B354" s="300" t="s">
        <v>455</v>
      </c>
      <c r="C354" s="307">
        <v>43789</v>
      </c>
      <c r="D354" s="303" t="s">
        <v>58</v>
      </c>
      <c r="E354" s="303" t="s">
        <v>57</v>
      </c>
      <c r="F354" s="303" t="s">
        <v>57</v>
      </c>
      <c r="G354" s="303" t="s">
        <v>301</v>
      </c>
      <c r="H354" s="303" t="s">
        <v>698</v>
      </c>
      <c r="I354" s="305" t="s">
        <v>699</v>
      </c>
      <c r="J354" s="305" t="s">
        <v>81</v>
      </c>
      <c r="K354" s="534"/>
    </row>
    <row r="355" spans="1:11" hidden="1">
      <c r="A355" s="298" t="s">
        <v>44</v>
      </c>
      <c r="B355" s="300" t="s">
        <v>455</v>
      </c>
      <c r="C355" s="307">
        <v>43789</v>
      </c>
      <c r="D355" s="303" t="s">
        <v>58</v>
      </c>
      <c r="E355" s="303" t="s">
        <v>57</v>
      </c>
      <c r="F355" s="303" t="s">
        <v>57</v>
      </c>
      <c r="G355" s="303" t="s">
        <v>301</v>
      </c>
      <c r="H355" s="303" t="s">
        <v>700</v>
      </c>
      <c r="I355" s="305" t="s">
        <v>701</v>
      </c>
      <c r="J355" s="305" t="s">
        <v>81</v>
      </c>
      <c r="K355" s="534"/>
    </row>
    <row r="356" spans="1:11" hidden="1">
      <c r="A356" s="298" t="s">
        <v>44</v>
      </c>
      <c r="B356" s="300" t="s">
        <v>455</v>
      </c>
      <c r="C356" s="307">
        <v>43789</v>
      </c>
      <c r="D356" s="303" t="s">
        <v>58</v>
      </c>
      <c r="E356" s="303" t="s">
        <v>57</v>
      </c>
      <c r="F356" s="303" t="s">
        <v>57</v>
      </c>
      <c r="G356" s="303" t="s">
        <v>301</v>
      </c>
      <c r="H356" s="303" t="s">
        <v>702</v>
      </c>
      <c r="I356" s="305" t="s">
        <v>703</v>
      </c>
      <c r="J356" s="305" t="s">
        <v>81</v>
      </c>
      <c r="K356" s="534"/>
    </row>
    <row r="357" spans="1:11" hidden="1">
      <c r="A357" s="298" t="s">
        <v>44</v>
      </c>
      <c r="B357" s="300" t="s">
        <v>455</v>
      </c>
      <c r="C357" s="307">
        <v>43789</v>
      </c>
      <c r="D357" s="303" t="s">
        <v>58</v>
      </c>
      <c r="E357" s="303" t="s">
        <v>57</v>
      </c>
      <c r="F357" s="303" t="s">
        <v>57</v>
      </c>
      <c r="G357" s="303" t="s">
        <v>301</v>
      </c>
      <c r="H357" s="303" t="s">
        <v>704</v>
      </c>
      <c r="I357" s="305" t="s">
        <v>705</v>
      </c>
      <c r="J357" s="305" t="s">
        <v>81</v>
      </c>
      <c r="K357" s="534"/>
    </row>
    <row r="358" spans="1:11" hidden="1">
      <c r="A358" s="298" t="s">
        <v>44</v>
      </c>
      <c r="B358" s="300" t="s">
        <v>455</v>
      </c>
      <c r="C358" s="307">
        <v>43789</v>
      </c>
      <c r="D358" s="303" t="s">
        <v>58</v>
      </c>
      <c r="E358" s="303" t="s">
        <v>57</v>
      </c>
      <c r="F358" s="303" t="s">
        <v>57</v>
      </c>
      <c r="G358" s="303" t="s">
        <v>301</v>
      </c>
      <c r="H358" s="303" t="s">
        <v>706</v>
      </c>
      <c r="I358" s="305" t="s">
        <v>707</v>
      </c>
      <c r="J358" s="305" t="s">
        <v>81</v>
      </c>
      <c r="K358" s="534"/>
    </row>
    <row r="359" spans="1:11" hidden="1">
      <c r="A359" s="298" t="s">
        <v>44</v>
      </c>
      <c r="B359" s="300" t="s">
        <v>455</v>
      </c>
      <c r="C359" s="307">
        <v>43789</v>
      </c>
      <c r="D359" s="303" t="s">
        <v>58</v>
      </c>
      <c r="E359" s="303" t="s">
        <v>57</v>
      </c>
      <c r="F359" s="303" t="s">
        <v>57</v>
      </c>
      <c r="G359" s="303" t="s">
        <v>301</v>
      </c>
      <c r="H359" s="303" t="s">
        <v>708</v>
      </c>
      <c r="I359" s="305" t="s">
        <v>709</v>
      </c>
      <c r="J359" s="305" t="s">
        <v>81</v>
      </c>
      <c r="K359" s="534"/>
    </row>
    <row r="360" spans="1:11" hidden="1">
      <c r="A360" s="298" t="s">
        <v>44</v>
      </c>
      <c r="B360" s="300" t="s">
        <v>455</v>
      </c>
      <c r="C360" s="307">
        <v>43789</v>
      </c>
      <c r="D360" s="303" t="s">
        <v>58</v>
      </c>
      <c r="E360" s="303" t="s">
        <v>57</v>
      </c>
      <c r="F360" s="303" t="s">
        <v>57</v>
      </c>
      <c r="G360" s="303" t="s">
        <v>301</v>
      </c>
      <c r="H360" s="303" t="s">
        <v>710</v>
      </c>
      <c r="I360" s="305" t="s">
        <v>711</v>
      </c>
      <c r="J360" s="305" t="s">
        <v>81</v>
      </c>
      <c r="K360" s="534"/>
    </row>
    <row r="361" spans="1:11" hidden="1">
      <c r="A361" s="298" t="s">
        <v>44</v>
      </c>
      <c r="B361" s="300" t="s">
        <v>455</v>
      </c>
      <c r="C361" s="307">
        <v>43789</v>
      </c>
      <c r="D361" s="303" t="s">
        <v>58</v>
      </c>
      <c r="E361" s="303" t="s">
        <v>57</v>
      </c>
      <c r="F361" s="303" t="s">
        <v>57</v>
      </c>
      <c r="G361" s="303" t="s">
        <v>301</v>
      </c>
      <c r="H361" s="303" t="s">
        <v>712</v>
      </c>
      <c r="I361" s="305" t="s">
        <v>713</v>
      </c>
      <c r="J361" s="305" t="s">
        <v>81</v>
      </c>
      <c r="K361" s="534"/>
    </row>
    <row r="362" spans="1:11" hidden="1">
      <c r="A362" s="298" t="s">
        <v>44</v>
      </c>
      <c r="B362" s="300" t="s">
        <v>455</v>
      </c>
      <c r="C362" s="307">
        <v>43789</v>
      </c>
      <c r="D362" s="303" t="s">
        <v>58</v>
      </c>
      <c r="E362" s="303" t="s">
        <v>57</v>
      </c>
      <c r="F362" s="303" t="s">
        <v>57</v>
      </c>
      <c r="G362" s="303" t="s">
        <v>301</v>
      </c>
      <c r="H362" s="303" t="s">
        <v>714</v>
      </c>
      <c r="I362" s="305" t="s">
        <v>715</v>
      </c>
      <c r="J362" s="305" t="s">
        <v>81</v>
      </c>
      <c r="K362" s="534"/>
    </row>
    <row r="363" spans="1:11" hidden="1">
      <c r="A363" s="298" t="s">
        <v>44</v>
      </c>
      <c r="B363" s="300" t="s">
        <v>455</v>
      </c>
      <c r="C363" s="307">
        <v>43789</v>
      </c>
      <c r="D363" s="303" t="s">
        <v>58</v>
      </c>
      <c r="E363" s="303" t="s">
        <v>57</v>
      </c>
      <c r="F363" s="303" t="s">
        <v>57</v>
      </c>
      <c r="G363" s="303" t="s">
        <v>301</v>
      </c>
      <c r="H363" s="303" t="s">
        <v>716</v>
      </c>
      <c r="I363" s="305" t="s">
        <v>717</v>
      </c>
      <c r="J363" s="305" t="s">
        <v>81</v>
      </c>
      <c r="K363" s="534"/>
    </row>
    <row r="364" spans="1:11" hidden="1">
      <c r="A364" s="298" t="s">
        <v>44</v>
      </c>
      <c r="B364" s="300" t="s">
        <v>455</v>
      </c>
      <c r="C364" s="307">
        <v>43789</v>
      </c>
      <c r="D364" s="303" t="s">
        <v>58</v>
      </c>
      <c r="E364" s="303" t="s">
        <v>57</v>
      </c>
      <c r="F364" s="303" t="s">
        <v>57</v>
      </c>
      <c r="G364" s="303" t="s">
        <v>301</v>
      </c>
      <c r="H364" s="303" t="s">
        <v>718</v>
      </c>
      <c r="I364" s="305" t="s">
        <v>719</v>
      </c>
      <c r="J364" s="305" t="s">
        <v>81</v>
      </c>
      <c r="K364" s="534"/>
    </row>
    <row r="365" spans="1:11" hidden="1">
      <c r="A365" s="298" t="s">
        <v>44</v>
      </c>
      <c r="B365" s="300" t="s">
        <v>455</v>
      </c>
      <c r="C365" s="307">
        <v>43789</v>
      </c>
      <c r="D365" s="303" t="s">
        <v>58</v>
      </c>
      <c r="E365" s="303" t="s">
        <v>57</v>
      </c>
      <c r="F365" s="303" t="s">
        <v>57</v>
      </c>
      <c r="G365" s="303" t="s">
        <v>301</v>
      </c>
      <c r="H365" s="303" t="s">
        <v>720</v>
      </c>
      <c r="I365" s="305" t="s">
        <v>721</v>
      </c>
      <c r="J365" s="305" t="s">
        <v>81</v>
      </c>
      <c r="K365" s="534"/>
    </row>
    <row r="366" spans="1:11" hidden="1">
      <c r="A366" s="298" t="s">
        <v>44</v>
      </c>
      <c r="B366" s="300" t="s">
        <v>455</v>
      </c>
      <c r="C366" s="307">
        <v>43789</v>
      </c>
      <c r="D366" s="303" t="s">
        <v>58</v>
      </c>
      <c r="E366" s="303" t="s">
        <v>57</v>
      </c>
      <c r="F366" s="303" t="s">
        <v>57</v>
      </c>
      <c r="G366" s="303" t="s">
        <v>301</v>
      </c>
      <c r="H366" s="303" t="s">
        <v>722</v>
      </c>
      <c r="I366" s="305" t="s">
        <v>723</v>
      </c>
      <c r="J366" s="305" t="s">
        <v>81</v>
      </c>
      <c r="K366" s="534"/>
    </row>
    <row r="367" spans="1:11" hidden="1">
      <c r="A367" s="298" t="s">
        <v>44</v>
      </c>
      <c r="B367" s="300" t="s">
        <v>455</v>
      </c>
      <c r="C367" s="307">
        <v>43789</v>
      </c>
      <c r="D367" s="303" t="s">
        <v>58</v>
      </c>
      <c r="E367" s="303" t="s">
        <v>57</v>
      </c>
      <c r="F367" s="303" t="s">
        <v>57</v>
      </c>
      <c r="G367" s="303" t="s">
        <v>301</v>
      </c>
      <c r="H367" s="303" t="s">
        <v>724</v>
      </c>
      <c r="I367" s="305" t="s">
        <v>725</v>
      </c>
      <c r="J367" s="305" t="s">
        <v>81</v>
      </c>
      <c r="K367" s="534"/>
    </row>
    <row r="368" spans="1:11" hidden="1">
      <c r="A368" s="298" t="s">
        <v>44</v>
      </c>
      <c r="B368" s="300" t="s">
        <v>455</v>
      </c>
      <c r="C368" s="307">
        <v>43789</v>
      </c>
      <c r="D368" s="303" t="s">
        <v>58</v>
      </c>
      <c r="E368" s="303" t="s">
        <v>57</v>
      </c>
      <c r="F368" s="303" t="s">
        <v>57</v>
      </c>
      <c r="G368" s="303" t="s">
        <v>301</v>
      </c>
      <c r="H368" s="303" t="s">
        <v>726</v>
      </c>
      <c r="I368" s="305" t="s">
        <v>727</v>
      </c>
      <c r="J368" s="305" t="s">
        <v>81</v>
      </c>
      <c r="K368" s="534"/>
    </row>
    <row r="369" spans="1:11" hidden="1">
      <c r="A369" s="298" t="s">
        <v>44</v>
      </c>
      <c r="B369" s="300" t="s">
        <v>455</v>
      </c>
      <c r="C369" s="307">
        <v>43789</v>
      </c>
      <c r="D369" s="303" t="s">
        <v>58</v>
      </c>
      <c r="E369" s="303" t="s">
        <v>57</v>
      </c>
      <c r="F369" s="303" t="s">
        <v>57</v>
      </c>
      <c r="G369" s="303" t="s">
        <v>301</v>
      </c>
      <c r="H369" s="303" t="s">
        <v>728</v>
      </c>
      <c r="I369" s="305" t="s">
        <v>729</v>
      </c>
      <c r="J369" s="305" t="s">
        <v>81</v>
      </c>
      <c r="K369" s="534"/>
    </row>
    <row r="370" spans="1:11" hidden="1">
      <c r="A370" s="298" t="s">
        <v>44</v>
      </c>
      <c r="B370" s="300" t="s">
        <v>455</v>
      </c>
      <c r="C370" s="307">
        <v>43789</v>
      </c>
      <c r="D370" s="303" t="s">
        <v>58</v>
      </c>
      <c r="E370" s="303" t="s">
        <v>57</v>
      </c>
      <c r="F370" s="303" t="s">
        <v>57</v>
      </c>
      <c r="G370" s="303" t="s">
        <v>301</v>
      </c>
      <c r="H370" s="303" t="s">
        <v>730</v>
      </c>
      <c r="I370" s="305" t="s">
        <v>731</v>
      </c>
      <c r="J370" s="305" t="s">
        <v>81</v>
      </c>
      <c r="K370" s="534"/>
    </row>
    <row r="371" spans="1:11" hidden="1">
      <c r="A371" s="298" t="s">
        <v>44</v>
      </c>
      <c r="B371" s="300" t="s">
        <v>455</v>
      </c>
      <c r="C371" s="307">
        <v>43789</v>
      </c>
      <c r="D371" s="303" t="s">
        <v>58</v>
      </c>
      <c r="E371" s="303" t="s">
        <v>57</v>
      </c>
      <c r="F371" s="303" t="s">
        <v>57</v>
      </c>
      <c r="G371" s="303" t="s">
        <v>301</v>
      </c>
      <c r="H371" s="303" t="s">
        <v>732</v>
      </c>
      <c r="I371" s="305" t="s">
        <v>733</v>
      </c>
      <c r="J371" s="305" t="s">
        <v>81</v>
      </c>
      <c r="K371" s="534"/>
    </row>
    <row r="372" spans="1:11" hidden="1">
      <c r="A372" s="298" t="s">
        <v>44</v>
      </c>
      <c r="B372" s="300" t="s">
        <v>455</v>
      </c>
      <c r="C372" s="307">
        <v>43789</v>
      </c>
      <c r="D372" s="303" t="s">
        <v>58</v>
      </c>
      <c r="E372" s="303" t="s">
        <v>57</v>
      </c>
      <c r="F372" s="303" t="s">
        <v>57</v>
      </c>
      <c r="G372" s="303" t="s">
        <v>301</v>
      </c>
      <c r="H372" s="303" t="s">
        <v>734</v>
      </c>
      <c r="I372" s="305" t="s">
        <v>735</v>
      </c>
      <c r="J372" s="305" t="s">
        <v>81</v>
      </c>
      <c r="K372" s="534"/>
    </row>
    <row r="373" spans="1:11" hidden="1">
      <c r="A373" s="298" t="s">
        <v>44</v>
      </c>
      <c r="B373" s="300" t="s">
        <v>455</v>
      </c>
      <c r="C373" s="307">
        <v>43789</v>
      </c>
      <c r="D373" s="303" t="s">
        <v>58</v>
      </c>
      <c r="E373" s="303" t="s">
        <v>57</v>
      </c>
      <c r="F373" s="303" t="s">
        <v>57</v>
      </c>
      <c r="G373" s="303" t="s">
        <v>301</v>
      </c>
      <c r="H373" s="303" t="s">
        <v>736</v>
      </c>
      <c r="I373" s="305" t="s">
        <v>737</v>
      </c>
      <c r="J373" s="305" t="s">
        <v>81</v>
      </c>
      <c r="K373" s="534"/>
    </row>
    <row r="374" spans="1:11" hidden="1">
      <c r="A374" s="298" t="s">
        <v>44</v>
      </c>
      <c r="B374" s="300" t="s">
        <v>455</v>
      </c>
      <c r="C374" s="307">
        <v>43789</v>
      </c>
      <c r="D374" s="303" t="s">
        <v>58</v>
      </c>
      <c r="E374" s="303" t="s">
        <v>57</v>
      </c>
      <c r="F374" s="303" t="s">
        <v>57</v>
      </c>
      <c r="G374" s="303" t="s">
        <v>301</v>
      </c>
      <c r="H374" s="303" t="s">
        <v>738</v>
      </c>
      <c r="I374" s="305" t="s">
        <v>739</v>
      </c>
      <c r="J374" s="305" t="s">
        <v>81</v>
      </c>
      <c r="K374" s="534"/>
    </row>
    <row r="375" spans="1:11" hidden="1">
      <c r="A375" s="298" t="s">
        <v>44</v>
      </c>
      <c r="B375" s="300" t="s">
        <v>455</v>
      </c>
      <c r="C375" s="307">
        <v>43789</v>
      </c>
      <c r="D375" s="303" t="s">
        <v>58</v>
      </c>
      <c r="E375" s="303" t="s">
        <v>57</v>
      </c>
      <c r="F375" s="303" t="s">
        <v>57</v>
      </c>
      <c r="G375" s="303" t="s">
        <v>301</v>
      </c>
      <c r="H375" s="303" t="s">
        <v>740</v>
      </c>
      <c r="I375" s="305" t="s">
        <v>741</v>
      </c>
      <c r="J375" s="305" t="s">
        <v>81</v>
      </c>
      <c r="K375" s="534"/>
    </row>
    <row r="376" spans="1:11" hidden="1">
      <c r="A376" s="298" t="s">
        <v>44</v>
      </c>
      <c r="B376" s="300" t="s">
        <v>455</v>
      </c>
      <c r="C376" s="307">
        <v>43789</v>
      </c>
      <c r="D376" s="303" t="s">
        <v>58</v>
      </c>
      <c r="E376" s="303" t="s">
        <v>57</v>
      </c>
      <c r="F376" s="303" t="s">
        <v>57</v>
      </c>
      <c r="G376" s="303" t="s">
        <v>301</v>
      </c>
      <c r="H376" s="303" t="s">
        <v>742</v>
      </c>
      <c r="I376" s="305" t="s">
        <v>743</v>
      </c>
      <c r="J376" s="305" t="s">
        <v>81</v>
      </c>
      <c r="K376" s="534"/>
    </row>
    <row r="377" spans="1:11" hidden="1">
      <c r="A377" s="298" t="s">
        <v>44</v>
      </c>
      <c r="B377" s="300" t="s">
        <v>455</v>
      </c>
      <c r="C377" s="307">
        <v>43789</v>
      </c>
      <c r="D377" s="303" t="s">
        <v>58</v>
      </c>
      <c r="E377" s="303" t="s">
        <v>57</v>
      </c>
      <c r="F377" s="303" t="s">
        <v>57</v>
      </c>
      <c r="G377" s="303" t="s">
        <v>301</v>
      </c>
      <c r="H377" s="303" t="s">
        <v>744</v>
      </c>
      <c r="I377" s="305" t="s">
        <v>745</v>
      </c>
      <c r="J377" s="305" t="s">
        <v>81</v>
      </c>
      <c r="K377" s="534"/>
    </row>
    <row r="378" spans="1:11" hidden="1">
      <c r="A378" s="298" t="s">
        <v>44</v>
      </c>
      <c r="B378" s="300" t="s">
        <v>455</v>
      </c>
      <c r="C378" s="307">
        <v>43789</v>
      </c>
      <c r="D378" s="303" t="s">
        <v>58</v>
      </c>
      <c r="E378" s="303" t="s">
        <v>57</v>
      </c>
      <c r="F378" s="303" t="s">
        <v>57</v>
      </c>
      <c r="G378" s="303" t="s">
        <v>301</v>
      </c>
      <c r="H378" s="303" t="s">
        <v>746</v>
      </c>
      <c r="I378" s="305" t="s">
        <v>747</v>
      </c>
      <c r="J378" s="305" t="s">
        <v>81</v>
      </c>
      <c r="K378" s="534"/>
    </row>
    <row r="379" spans="1:11" hidden="1">
      <c r="A379" s="298" t="s">
        <v>44</v>
      </c>
      <c r="B379" s="300" t="s">
        <v>455</v>
      </c>
      <c r="C379" s="307">
        <v>43789</v>
      </c>
      <c r="D379" s="303" t="s">
        <v>58</v>
      </c>
      <c r="E379" s="303" t="s">
        <v>57</v>
      </c>
      <c r="F379" s="303" t="s">
        <v>57</v>
      </c>
      <c r="G379" s="303" t="s">
        <v>301</v>
      </c>
      <c r="H379" s="303" t="s">
        <v>748</v>
      </c>
      <c r="I379" s="305" t="s">
        <v>749</v>
      </c>
      <c r="J379" s="305" t="s">
        <v>81</v>
      </c>
      <c r="K379" s="534"/>
    </row>
    <row r="380" spans="1:11" hidden="1">
      <c r="A380" s="298" t="s">
        <v>44</v>
      </c>
      <c r="B380" s="300" t="s">
        <v>455</v>
      </c>
      <c r="C380" s="307">
        <v>43789</v>
      </c>
      <c r="D380" s="303" t="s">
        <v>58</v>
      </c>
      <c r="E380" s="303" t="s">
        <v>57</v>
      </c>
      <c r="F380" s="303" t="s">
        <v>57</v>
      </c>
      <c r="G380" s="303" t="s">
        <v>301</v>
      </c>
      <c r="H380" s="303" t="s">
        <v>750</v>
      </c>
      <c r="I380" s="305" t="s">
        <v>751</v>
      </c>
      <c r="J380" s="305" t="s">
        <v>81</v>
      </c>
      <c r="K380" s="534"/>
    </row>
    <row r="381" spans="1:11" hidden="1">
      <c r="A381" s="298" t="s">
        <v>44</v>
      </c>
      <c r="B381" s="300" t="s">
        <v>455</v>
      </c>
      <c r="C381" s="307">
        <v>43789</v>
      </c>
      <c r="D381" s="303" t="s">
        <v>58</v>
      </c>
      <c r="E381" s="303" t="s">
        <v>57</v>
      </c>
      <c r="F381" s="303" t="s">
        <v>57</v>
      </c>
      <c r="G381" s="303" t="s">
        <v>301</v>
      </c>
      <c r="H381" s="303" t="s">
        <v>752</v>
      </c>
      <c r="I381" s="305" t="s">
        <v>753</v>
      </c>
      <c r="J381" s="305" t="s">
        <v>81</v>
      </c>
      <c r="K381" s="534"/>
    </row>
    <row r="382" spans="1:11" hidden="1">
      <c r="A382" s="298" t="s">
        <v>44</v>
      </c>
      <c r="B382" s="300" t="s">
        <v>455</v>
      </c>
      <c r="C382" s="307">
        <v>43789</v>
      </c>
      <c r="D382" s="303" t="s">
        <v>58</v>
      </c>
      <c r="E382" s="303" t="s">
        <v>57</v>
      </c>
      <c r="F382" s="303" t="s">
        <v>57</v>
      </c>
      <c r="G382" s="303" t="s">
        <v>301</v>
      </c>
      <c r="H382" s="303" t="s">
        <v>754</v>
      </c>
      <c r="I382" s="305" t="s">
        <v>755</v>
      </c>
      <c r="J382" s="305" t="s">
        <v>81</v>
      </c>
      <c r="K382" s="534"/>
    </row>
    <row r="383" spans="1:11" hidden="1">
      <c r="A383" s="298" t="s">
        <v>44</v>
      </c>
      <c r="B383" s="300" t="s">
        <v>455</v>
      </c>
      <c r="C383" s="307">
        <v>43789</v>
      </c>
      <c r="D383" s="303" t="s">
        <v>58</v>
      </c>
      <c r="E383" s="303" t="s">
        <v>57</v>
      </c>
      <c r="F383" s="303" t="s">
        <v>57</v>
      </c>
      <c r="G383" s="303" t="s">
        <v>301</v>
      </c>
      <c r="H383" s="303" t="s">
        <v>756</v>
      </c>
      <c r="I383" s="305" t="s">
        <v>757</v>
      </c>
      <c r="J383" s="305" t="s">
        <v>81</v>
      </c>
      <c r="K383" s="534"/>
    </row>
    <row r="384" spans="1:11" hidden="1">
      <c r="A384" s="298" t="s">
        <v>44</v>
      </c>
      <c r="B384" s="300" t="s">
        <v>455</v>
      </c>
      <c r="C384" s="307">
        <v>43789</v>
      </c>
      <c r="D384" s="303" t="s">
        <v>58</v>
      </c>
      <c r="E384" s="303" t="s">
        <v>57</v>
      </c>
      <c r="F384" s="303" t="s">
        <v>57</v>
      </c>
      <c r="G384" s="303" t="s">
        <v>301</v>
      </c>
      <c r="H384" s="303" t="s">
        <v>758</v>
      </c>
      <c r="I384" s="305" t="s">
        <v>759</v>
      </c>
      <c r="J384" s="305" t="s">
        <v>81</v>
      </c>
      <c r="K384" s="535"/>
    </row>
    <row r="385" spans="1:11" ht="39.6" hidden="1">
      <c r="A385" s="298" t="s">
        <v>44</v>
      </c>
      <c r="B385" s="300" t="s">
        <v>455</v>
      </c>
      <c r="C385" s="307">
        <v>43789</v>
      </c>
      <c r="D385" s="303" t="s">
        <v>58</v>
      </c>
      <c r="E385" s="303" t="s">
        <v>57</v>
      </c>
      <c r="F385" s="303" t="s">
        <v>57</v>
      </c>
      <c r="G385" s="303" t="s">
        <v>301</v>
      </c>
      <c r="H385" s="303" t="s">
        <v>760</v>
      </c>
      <c r="I385" s="305" t="s">
        <v>761</v>
      </c>
      <c r="J385" s="305" t="s">
        <v>762</v>
      </c>
      <c r="K385" s="305" t="s">
        <v>671</v>
      </c>
    </row>
    <row r="386" spans="1:11" ht="26.4" hidden="1">
      <c r="A386" s="298" t="s">
        <v>44</v>
      </c>
      <c r="B386" s="300" t="s">
        <v>455</v>
      </c>
      <c r="C386" s="307">
        <v>43789</v>
      </c>
      <c r="D386" s="303" t="s">
        <v>58</v>
      </c>
      <c r="E386" s="303" t="s">
        <v>57</v>
      </c>
      <c r="F386" s="303" t="s">
        <v>57</v>
      </c>
      <c r="G386" s="303" t="s">
        <v>301</v>
      </c>
      <c r="H386" s="303" t="s">
        <v>763</v>
      </c>
      <c r="I386" s="305" t="s">
        <v>764</v>
      </c>
      <c r="J386" s="305" t="s">
        <v>81</v>
      </c>
      <c r="K386" s="533" t="s">
        <v>765</v>
      </c>
    </row>
    <row r="387" spans="1:11" ht="26.4" hidden="1">
      <c r="A387" s="298" t="s">
        <v>44</v>
      </c>
      <c r="B387" s="300" t="s">
        <v>455</v>
      </c>
      <c r="C387" s="307">
        <v>43789</v>
      </c>
      <c r="D387" s="303" t="s">
        <v>58</v>
      </c>
      <c r="E387" s="303" t="s">
        <v>57</v>
      </c>
      <c r="F387" s="303" t="s">
        <v>57</v>
      </c>
      <c r="G387" s="303" t="s">
        <v>301</v>
      </c>
      <c r="H387" s="303" t="s">
        <v>766</v>
      </c>
      <c r="I387" s="305" t="s">
        <v>767</v>
      </c>
      <c r="J387" s="305" t="s">
        <v>81</v>
      </c>
      <c r="K387" s="534"/>
    </row>
    <row r="388" spans="1:11" ht="26.4" hidden="1">
      <c r="A388" s="298" t="s">
        <v>44</v>
      </c>
      <c r="B388" s="300" t="s">
        <v>455</v>
      </c>
      <c r="C388" s="307">
        <v>43789</v>
      </c>
      <c r="D388" s="303" t="s">
        <v>58</v>
      </c>
      <c r="E388" s="303" t="s">
        <v>57</v>
      </c>
      <c r="F388" s="303" t="s">
        <v>57</v>
      </c>
      <c r="G388" s="303" t="s">
        <v>301</v>
      </c>
      <c r="H388" s="303" t="s">
        <v>768</v>
      </c>
      <c r="I388" s="305" t="s">
        <v>769</v>
      </c>
      <c r="J388" s="305" t="s">
        <v>81</v>
      </c>
      <c r="K388" s="534"/>
    </row>
    <row r="389" spans="1:11" ht="26.4" hidden="1">
      <c r="A389" s="298" t="s">
        <v>44</v>
      </c>
      <c r="B389" s="300" t="s">
        <v>455</v>
      </c>
      <c r="C389" s="307">
        <v>43789</v>
      </c>
      <c r="D389" s="303" t="s">
        <v>58</v>
      </c>
      <c r="E389" s="303" t="s">
        <v>57</v>
      </c>
      <c r="F389" s="303" t="s">
        <v>57</v>
      </c>
      <c r="G389" s="303" t="s">
        <v>301</v>
      </c>
      <c r="H389" s="303" t="s">
        <v>770</v>
      </c>
      <c r="I389" s="305" t="s">
        <v>771</v>
      </c>
      <c r="J389" s="305" t="s">
        <v>81</v>
      </c>
      <c r="K389" s="535"/>
    </row>
    <row r="390" spans="1:11" hidden="1">
      <c r="A390" s="298" t="s">
        <v>44</v>
      </c>
      <c r="B390" s="300" t="s">
        <v>455</v>
      </c>
      <c r="C390" s="307">
        <v>43789</v>
      </c>
      <c r="D390" s="303" t="s">
        <v>58</v>
      </c>
      <c r="E390" s="303" t="s">
        <v>57</v>
      </c>
      <c r="F390" s="303" t="s">
        <v>57</v>
      </c>
      <c r="G390" s="303" t="s">
        <v>301</v>
      </c>
      <c r="H390" s="303" t="s">
        <v>772</v>
      </c>
      <c r="I390" s="305" t="s">
        <v>773</v>
      </c>
      <c r="J390" s="305" t="s">
        <v>774</v>
      </c>
      <c r="K390" s="533" t="s">
        <v>775</v>
      </c>
    </row>
    <row r="391" spans="1:11" hidden="1">
      <c r="A391" s="298" t="s">
        <v>44</v>
      </c>
      <c r="B391" s="300" t="s">
        <v>455</v>
      </c>
      <c r="C391" s="307">
        <v>43789</v>
      </c>
      <c r="D391" s="303" t="s">
        <v>58</v>
      </c>
      <c r="E391" s="303" t="s">
        <v>57</v>
      </c>
      <c r="F391" s="303" t="s">
        <v>57</v>
      </c>
      <c r="G391" s="303" t="s">
        <v>301</v>
      </c>
      <c r="H391" s="303" t="s">
        <v>776</v>
      </c>
      <c r="I391" s="305" t="s">
        <v>777</v>
      </c>
      <c r="J391" s="305" t="s">
        <v>778</v>
      </c>
      <c r="K391" s="534"/>
    </row>
    <row r="392" spans="1:11" hidden="1">
      <c r="A392" s="298" t="s">
        <v>44</v>
      </c>
      <c r="B392" s="300" t="s">
        <v>455</v>
      </c>
      <c r="C392" s="307">
        <v>43789</v>
      </c>
      <c r="D392" s="303" t="s">
        <v>58</v>
      </c>
      <c r="E392" s="303" t="s">
        <v>57</v>
      </c>
      <c r="F392" s="303" t="s">
        <v>57</v>
      </c>
      <c r="G392" s="303" t="s">
        <v>301</v>
      </c>
      <c r="H392" s="303" t="s">
        <v>779</v>
      </c>
      <c r="I392" s="305" t="s">
        <v>780</v>
      </c>
      <c r="J392" s="305" t="s">
        <v>781</v>
      </c>
      <c r="K392" s="534"/>
    </row>
    <row r="393" spans="1:11" hidden="1">
      <c r="A393" s="298" t="s">
        <v>44</v>
      </c>
      <c r="B393" s="300" t="s">
        <v>455</v>
      </c>
      <c r="C393" s="307">
        <v>43789</v>
      </c>
      <c r="D393" s="303" t="s">
        <v>58</v>
      </c>
      <c r="E393" s="303" t="s">
        <v>57</v>
      </c>
      <c r="F393" s="303" t="s">
        <v>57</v>
      </c>
      <c r="G393" s="303" t="s">
        <v>301</v>
      </c>
      <c r="H393" s="303" t="s">
        <v>782</v>
      </c>
      <c r="I393" s="305" t="s">
        <v>783</v>
      </c>
      <c r="J393" s="305" t="s">
        <v>784</v>
      </c>
      <c r="K393" s="534"/>
    </row>
    <row r="394" spans="1:11" hidden="1">
      <c r="A394" s="298" t="s">
        <v>44</v>
      </c>
      <c r="B394" s="300" t="s">
        <v>455</v>
      </c>
      <c r="C394" s="307">
        <v>43789</v>
      </c>
      <c r="D394" s="303" t="s">
        <v>58</v>
      </c>
      <c r="E394" s="303" t="s">
        <v>57</v>
      </c>
      <c r="F394" s="303" t="s">
        <v>57</v>
      </c>
      <c r="G394" s="303" t="s">
        <v>301</v>
      </c>
      <c r="H394" s="303" t="s">
        <v>785</v>
      </c>
      <c r="I394" s="305" t="s">
        <v>786</v>
      </c>
      <c r="J394" s="305" t="s">
        <v>787</v>
      </c>
      <c r="K394" s="534"/>
    </row>
    <row r="395" spans="1:11" hidden="1">
      <c r="A395" s="298" t="s">
        <v>44</v>
      </c>
      <c r="B395" s="300" t="s">
        <v>455</v>
      </c>
      <c r="C395" s="307">
        <v>43789</v>
      </c>
      <c r="D395" s="303" t="s">
        <v>58</v>
      </c>
      <c r="E395" s="303" t="s">
        <v>57</v>
      </c>
      <c r="F395" s="303" t="s">
        <v>57</v>
      </c>
      <c r="G395" s="303" t="s">
        <v>301</v>
      </c>
      <c r="H395" s="303" t="s">
        <v>788</v>
      </c>
      <c r="I395" s="305" t="s">
        <v>789</v>
      </c>
      <c r="J395" s="305" t="s">
        <v>790</v>
      </c>
      <c r="K395" s="534"/>
    </row>
    <row r="396" spans="1:11" hidden="1">
      <c r="A396" s="298" t="s">
        <v>44</v>
      </c>
      <c r="B396" s="300" t="s">
        <v>455</v>
      </c>
      <c r="C396" s="307">
        <v>43789</v>
      </c>
      <c r="D396" s="303" t="s">
        <v>58</v>
      </c>
      <c r="E396" s="303" t="s">
        <v>57</v>
      </c>
      <c r="F396" s="303" t="s">
        <v>57</v>
      </c>
      <c r="G396" s="303" t="s">
        <v>301</v>
      </c>
      <c r="H396" s="303" t="s">
        <v>791</v>
      </c>
      <c r="I396" s="305" t="s">
        <v>792</v>
      </c>
      <c r="J396" s="305" t="s">
        <v>793</v>
      </c>
      <c r="K396" s="534"/>
    </row>
    <row r="397" spans="1:11" hidden="1">
      <c r="A397" s="298" t="s">
        <v>44</v>
      </c>
      <c r="B397" s="300" t="s">
        <v>455</v>
      </c>
      <c r="C397" s="307">
        <v>43789</v>
      </c>
      <c r="D397" s="303" t="s">
        <v>58</v>
      </c>
      <c r="E397" s="303" t="s">
        <v>57</v>
      </c>
      <c r="F397" s="303" t="s">
        <v>57</v>
      </c>
      <c r="G397" s="303" t="s">
        <v>301</v>
      </c>
      <c r="H397" s="303" t="s">
        <v>794</v>
      </c>
      <c r="I397" s="305" t="s">
        <v>795</v>
      </c>
      <c r="J397" s="305" t="s">
        <v>796</v>
      </c>
      <c r="K397" s="534"/>
    </row>
    <row r="398" spans="1:11" hidden="1">
      <c r="A398" s="298" t="s">
        <v>44</v>
      </c>
      <c r="B398" s="300" t="s">
        <v>455</v>
      </c>
      <c r="C398" s="307">
        <v>43789</v>
      </c>
      <c r="D398" s="303" t="s">
        <v>58</v>
      </c>
      <c r="E398" s="303" t="s">
        <v>57</v>
      </c>
      <c r="F398" s="303" t="s">
        <v>57</v>
      </c>
      <c r="G398" s="303" t="s">
        <v>301</v>
      </c>
      <c r="H398" s="303" t="s">
        <v>797</v>
      </c>
      <c r="I398" s="305" t="s">
        <v>798</v>
      </c>
      <c r="J398" s="305" t="s">
        <v>799</v>
      </c>
      <c r="K398" s="535"/>
    </row>
    <row r="399" spans="1:11" ht="26.4" hidden="1">
      <c r="A399" s="298" t="s">
        <v>44</v>
      </c>
      <c r="B399" s="300" t="s">
        <v>455</v>
      </c>
      <c r="C399" s="307">
        <v>43789</v>
      </c>
      <c r="D399" s="303" t="s">
        <v>58</v>
      </c>
      <c r="E399" s="303" t="s">
        <v>57</v>
      </c>
      <c r="F399" s="303" t="s">
        <v>57</v>
      </c>
      <c r="G399" s="303" t="s">
        <v>301</v>
      </c>
      <c r="H399" s="303" t="s">
        <v>800</v>
      </c>
      <c r="I399" s="308" t="s">
        <v>801</v>
      </c>
      <c r="J399" s="305" t="s">
        <v>802</v>
      </c>
      <c r="K399" s="533" t="s">
        <v>803</v>
      </c>
    </row>
    <row r="400" spans="1:11" ht="26.4" hidden="1">
      <c r="A400" s="298" t="s">
        <v>44</v>
      </c>
      <c r="B400" s="300" t="s">
        <v>455</v>
      </c>
      <c r="C400" s="307">
        <v>43789</v>
      </c>
      <c r="D400" s="303" t="s">
        <v>58</v>
      </c>
      <c r="E400" s="303" t="s">
        <v>57</v>
      </c>
      <c r="F400" s="303" t="s">
        <v>57</v>
      </c>
      <c r="G400" s="303" t="s">
        <v>301</v>
      </c>
      <c r="H400" s="303" t="s">
        <v>804</v>
      </c>
      <c r="I400" s="305" t="s">
        <v>805</v>
      </c>
      <c r="J400" s="305" t="s">
        <v>806</v>
      </c>
      <c r="K400" s="534"/>
    </row>
    <row r="401" spans="1:11" ht="26.4" hidden="1">
      <c r="A401" s="298" t="s">
        <v>44</v>
      </c>
      <c r="B401" s="300" t="s">
        <v>455</v>
      </c>
      <c r="C401" s="307">
        <v>43789</v>
      </c>
      <c r="D401" s="303" t="s">
        <v>58</v>
      </c>
      <c r="E401" s="303" t="s">
        <v>57</v>
      </c>
      <c r="F401" s="303" t="s">
        <v>57</v>
      </c>
      <c r="G401" s="303" t="s">
        <v>301</v>
      </c>
      <c r="H401" s="303" t="s">
        <v>807</v>
      </c>
      <c r="I401" s="305" t="s">
        <v>808</v>
      </c>
      <c r="J401" s="305" t="s">
        <v>809</v>
      </c>
      <c r="K401" s="534"/>
    </row>
    <row r="402" spans="1:11" ht="26.4" hidden="1">
      <c r="A402" s="298" t="s">
        <v>44</v>
      </c>
      <c r="B402" s="300" t="s">
        <v>455</v>
      </c>
      <c r="C402" s="307">
        <v>43789</v>
      </c>
      <c r="D402" s="303" t="s">
        <v>58</v>
      </c>
      <c r="E402" s="303" t="s">
        <v>57</v>
      </c>
      <c r="F402" s="303" t="s">
        <v>57</v>
      </c>
      <c r="G402" s="303" t="s">
        <v>301</v>
      </c>
      <c r="H402" s="303" t="s">
        <v>810</v>
      </c>
      <c r="I402" s="305" t="s">
        <v>811</v>
      </c>
      <c r="J402" s="305" t="s">
        <v>812</v>
      </c>
      <c r="K402" s="534"/>
    </row>
    <row r="403" spans="1:11" ht="26.4" hidden="1">
      <c r="A403" s="298" t="s">
        <v>44</v>
      </c>
      <c r="B403" s="300" t="s">
        <v>455</v>
      </c>
      <c r="C403" s="307">
        <v>43789</v>
      </c>
      <c r="D403" s="303" t="s">
        <v>58</v>
      </c>
      <c r="E403" s="303" t="s">
        <v>57</v>
      </c>
      <c r="F403" s="303" t="s">
        <v>57</v>
      </c>
      <c r="G403" s="303" t="s">
        <v>301</v>
      </c>
      <c r="H403" s="303" t="s">
        <v>813</v>
      </c>
      <c r="I403" s="305" t="s">
        <v>814</v>
      </c>
      <c r="J403" s="305" t="s">
        <v>815</v>
      </c>
      <c r="K403" s="534"/>
    </row>
    <row r="404" spans="1:11" ht="26.4" hidden="1">
      <c r="A404" s="298" t="s">
        <v>44</v>
      </c>
      <c r="B404" s="300" t="s">
        <v>455</v>
      </c>
      <c r="C404" s="307">
        <v>43789</v>
      </c>
      <c r="D404" s="303" t="s">
        <v>58</v>
      </c>
      <c r="E404" s="303" t="s">
        <v>57</v>
      </c>
      <c r="F404" s="303" t="s">
        <v>57</v>
      </c>
      <c r="G404" s="303" t="s">
        <v>301</v>
      </c>
      <c r="H404" s="303" t="s">
        <v>816</v>
      </c>
      <c r="I404" s="305" t="s">
        <v>817</v>
      </c>
      <c r="J404" s="305" t="s">
        <v>818</v>
      </c>
      <c r="K404" s="534"/>
    </row>
    <row r="405" spans="1:11" ht="26.4" hidden="1">
      <c r="A405" s="298" t="s">
        <v>44</v>
      </c>
      <c r="B405" s="300" t="s">
        <v>455</v>
      </c>
      <c r="C405" s="307">
        <v>43789</v>
      </c>
      <c r="D405" s="303" t="s">
        <v>58</v>
      </c>
      <c r="E405" s="303" t="s">
        <v>57</v>
      </c>
      <c r="F405" s="303" t="s">
        <v>57</v>
      </c>
      <c r="G405" s="303" t="s">
        <v>301</v>
      </c>
      <c r="H405" s="303" t="s">
        <v>819</v>
      </c>
      <c r="I405" s="305" t="s">
        <v>820</v>
      </c>
      <c r="J405" s="305" t="s">
        <v>821</v>
      </c>
      <c r="K405" s="534"/>
    </row>
    <row r="406" spans="1:11" ht="26.4" hidden="1">
      <c r="A406" s="298" t="s">
        <v>44</v>
      </c>
      <c r="B406" s="300" t="s">
        <v>455</v>
      </c>
      <c r="C406" s="307">
        <v>43789</v>
      </c>
      <c r="D406" s="303" t="s">
        <v>58</v>
      </c>
      <c r="E406" s="303" t="s">
        <v>57</v>
      </c>
      <c r="F406" s="303" t="s">
        <v>57</v>
      </c>
      <c r="G406" s="303" t="s">
        <v>301</v>
      </c>
      <c r="H406" s="303" t="s">
        <v>822</v>
      </c>
      <c r="I406" s="305" t="s">
        <v>823</v>
      </c>
      <c r="J406" s="305" t="s">
        <v>824</v>
      </c>
      <c r="K406" s="534"/>
    </row>
    <row r="407" spans="1:11" ht="26.4" hidden="1">
      <c r="A407" s="298" t="s">
        <v>44</v>
      </c>
      <c r="B407" s="300" t="s">
        <v>455</v>
      </c>
      <c r="C407" s="307">
        <v>43789</v>
      </c>
      <c r="D407" s="303" t="s">
        <v>58</v>
      </c>
      <c r="E407" s="303" t="s">
        <v>57</v>
      </c>
      <c r="F407" s="303" t="s">
        <v>57</v>
      </c>
      <c r="G407" s="303" t="s">
        <v>301</v>
      </c>
      <c r="H407" s="303" t="s">
        <v>825</v>
      </c>
      <c r="I407" s="305" t="s">
        <v>826</v>
      </c>
      <c r="J407" s="305" t="s">
        <v>827</v>
      </c>
      <c r="K407" s="534"/>
    </row>
    <row r="408" spans="1:11" ht="26.4" hidden="1">
      <c r="A408" s="298" t="s">
        <v>44</v>
      </c>
      <c r="B408" s="300" t="s">
        <v>455</v>
      </c>
      <c r="C408" s="307">
        <v>43789</v>
      </c>
      <c r="D408" s="303" t="s">
        <v>58</v>
      </c>
      <c r="E408" s="303" t="s">
        <v>57</v>
      </c>
      <c r="F408" s="303" t="s">
        <v>57</v>
      </c>
      <c r="G408" s="303" t="s">
        <v>301</v>
      </c>
      <c r="H408" s="303" t="s">
        <v>828</v>
      </c>
      <c r="I408" s="305" t="s">
        <v>829</v>
      </c>
      <c r="J408" s="305" t="s">
        <v>830</v>
      </c>
      <c r="K408" s="535"/>
    </row>
    <row r="409" spans="1:11" hidden="1">
      <c r="A409" s="298" t="s">
        <v>44</v>
      </c>
      <c r="B409" s="300" t="s">
        <v>455</v>
      </c>
      <c r="C409" s="307">
        <v>43789</v>
      </c>
      <c r="D409" s="303" t="s">
        <v>58</v>
      </c>
      <c r="E409" s="303" t="s">
        <v>57</v>
      </c>
      <c r="F409" s="303" t="s">
        <v>57</v>
      </c>
      <c r="G409" s="303" t="s">
        <v>301</v>
      </c>
      <c r="H409" s="303" t="s">
        <v>831</v>
      </c>
      <c r="I409" s="305" t="s">
        <v>832</v>
      </c>
      <c r="J409" s="305" t="s">
        <v>833</v>
      </c>
      <c r="K409" s="533" t="s">
        <v>834</v>
      </c>
    </row>
    <row r="410" spans="1:11" hidden="1">
      <c r="A410" s="298" t="s">
        <v>44</v>
      </c>
      <c r="B410" s="300" t="s">
        <v>455</v>
      </c>
      <c r="C410" s="307">
        <v>43789</v>
      </c>
      <c r="D410" s="303" t="s">
        <v>58</v>
      </c>
      <c r="E410" s="303" t="s">
        <v>57</v>
      </c>
      <c r="F410" s="303" t="s">
        <v>57</v>
      </c>
      <c r="G410" s="303" t="s">
        <v>301</v>
      </c>
      <c r="H410" s="303" t="s">
        <v>835</v>
      </c>
      <c r="I410" s="305" t="s">
        <v>836</v>
      </c>
      <c r="J410" s="305" t="s">
        <v>837</v>
      </c>
      <c r="K410" s="534"/>
    </row>
    <row r="411" spans="1:11" hidden="1">
      <c r="A411" s="298" t="s">
        <v>44</v>
      </c>
      <c r="B411" s="300" t="s">
        <v>455</v>
      </c>
      <c r="C411" s="307">
        <v>43789</v>
      </c>
      <c r="D411" s="303" t="s">
        <v>58</v>
      </c>
      <c r="E411" s="303" t="s">
        <v>57</v>
      </c>
      <c r="F411" s="303" t="s">
        <v>57</v>
      </c>
      <c r="G411" s="303" t="s">
        <v>301</v>
      </c>
      <c r="H411" s="303" t="s">
        <v>838</v>
      </c>
      <c r="I411" s="305" t="s">
        <v>839</v>
      </c>
      <c r="J411" s="305" t="s">
        <v>840</v>
      </c>
      <c r="K411" s="534"/>
    </row>
    <row r="412" spans="1:11" hidden="1">
      <c r="A412" s="298" t="s">
        <v>44</v>
      </c>
      <c r="B412" s="300" t="s">
        <v>455</v>
      </c>
      <c r="C412" s="307">
        <v>43789</v>
      </c>
      <c r="D412" s="303" t="s">
        <v>58</v>
      </c>
      <c r="E412" s="303" t="s">
        <v>57</v>
      </c>
      <c r="F412" s="303" t="s">
        <v>57</v>
      </c>
      <c r="G412" s="303" t="s">
        <v>301</v>
      </c>
      <c r="H412" s="303" t="s">
        <v>841</v>
      </c>
      <c r="I412" s="305" t="s">
        <v>842</v>
      </c>
      <c r="J412" s="305" t="s">
        <v>843</v>
      </c>
      <c r="K412" s="534"/>
    </row>
    <row r="413" spans="1:11" hidden="1">
      <c r="A413" s="298" t="s">
        <v>44</v>
      </c>
      <c r="B413" s="300" t="s">
        <v>455</v>
      </c>
      <c r="C413" s="307">
        <v>43789</v>
      </c>
      <c r="D413" s="303" t="s">
        <v>58</v>
      </c>
      <c r="E413" s="303" t="s">
        <v>57</v>
      </c>
      <c r="F413" s="303" t="s">
        <v>57</v>
      </c>
      <c r="G413" s="303" t="s">
        <v>301</v>
      </c>
      <c r="H413" s="303" t="s">
        <v>844</v>
      </c>
      <c r="I413" s="305" t="s">
        <v>845</v>
      </c>
      <c r="J413" s="305" t="s">
        <v>846</v>
      </c>
      <c r="K413" s="534"/>
    </row>
    <row r="414" spans="1:11" hidden="1">
      <c r="A414" s="298" t="s">
        <v>44</v>
      </c>
      <c r="B414" s="300" t="s">
        <v>455</v>
      </c>
      <c r="C414" s="307">
        <v>43789</v>
      </c>
      <c r="D414" s="303" t="s">
        <v>58</v>
      </c>
      <c r="E414" s="303" t="s">
        <v>57</v>
      </c>
      <c r="F414" s="303" t="s">
        <v>57</v>
      </c>
      <c r="G414" s="303" t="s">
        <v>301</v>
      </c>
      <c r="H414" s="303" t="s">
        <v>847</v>
      </c>
      <c r="I414" s="305" t="s">
        <v>848</v>
      </c>
      <c r="J414" s="305" t="s">
        <v>849</v>
      </c>
      <c r="K414" s="534"/>
    </row>
    <row r="415" spans="1:11" hidden="1">
      <c r="A415" s="298" t="s">
        <v>44</v>
      </c>
      <c r="B415" s="300" t="s">
        <v>455</v>
      </c>
      <c r="C415" s="307">
        <v>43789</v>
      </c>
      <c r="D415" s="303" t="s">
        <v>58</v>
      </c>
      <c r="E415" s="303" t="s">
        <v>57</v>
      </c>
      <c r="F415" s="303" t="s">
        <v>57</v>
      </c>
      <c r="G415" s="303" t="s">
        <v>301</v>
      </c>
      <c r="H415" s="303" t="s">
        <v>850</v>
      </c>
      <c r="I415" s="305" t="s">
        <v>851</v>
      </c>
      <c r="J415" s="305" t="s">
        <v>852</v>
      </c>
      <c r="K415" s="534"/>
    </row>
    <row r="416" spans="1:11" hidden="1">
      <c r="A416" s="298" t="s">
        <v>44</v>
      </c>
      <c r="B416" s="300" t="s">
        <v>455</v>
      </c>
      <c r="C416" s="307">
        <v>43789</v>
      </c>
      <c r="D416" s="303" t="s">
        <v>58</v>
      </c>
      <c r="E416" s="303" t="s">
        <v>57</v>
      </c>
      <c r="F416" s="303" t="s">
        <v>57</v>
      </c>
      <c r="G416" s="303" t="s">
        <v>301</v>
      </c>
      <c r="H416" s="303" t="s">
        <v>853</v>
      </c>
      <c r="I416" s="305" t="s">
        <v>854</v>
      </c>
      <c r="J416" s="305" t="s">
        <v>855</v>
      </c>
      <c r="K416" s="534"/>
    </row>
    <row r="417" spans="1:11" hidden="1">
      <c r="A417" s="298" t="s">
        <v>44</v>
      </c>
      <c r="B417" s="300" t="s">
        <v>455</v>
      </c>
      <c r="C417" s="307">
        <v>43789</v>
      </c>
      <c r="D417" s="303" t="s">
        <v>58</v>
      </c>
      <c r="E417" s="303" t="s">
        <v>57</v>
      </c>
      <c r="F417" s="303" t="s">
        <v>57</v>
      </c>
      <c r="G417" s="303" t="s">
        <v>301</v>
      </c>
      <c r="H417" s="303" t="s">
        <v>856</v>
      </c>
      <c r="I417" s="305" t="s">
        <v>857</v>
      </c>
      <c r="J417" s="305" t="s">
        <v>858</v>
      </c>
      <c r="K417" s="534"/>
    </row>
    <row r="418" spans="1:11" hidden="1">
      <c r="A418" s="298" t="s">
        <v>44</v>
      </c>
      <c r="B418" s="300" t="s">
        <v>455</v>
      </c>
      <c r="C418" s="307">
        <v>43789</v>
      </c>
      <c r="D418" s="303" t="s">
        <v>58</v>
      </c>
      <c r="E418" s="303" t="s">
        <v>57</v>
      </c>
      <c r="F418" s="303" t="s">
        <v>57</v>
      </c>
      <c r="G418" s="303" t="s">
        <v>301</v>
      </c>
      <c r="H418" s="303" t="s">
        <v>859</v>
      </c>
      <c r="I418" s="305" t="s">
        <v>860</v>
      </c>
      <c r="J418" s="305" t="s">
        <v>861</v>
      </c>
      <c r="K418" s="535"/>
    </row>
    <row r="419" spans="1:11" ht="39.6" hidden="1">
      <c r="A419" s="298" t="s">
        <v>44</v>
      </c>
      <c r="B419" s="300" t="s">
        <v>455</v>
      </c>
      <c r="C419" s="307">
        <v>43789</v>
      </c>
      <c r="D419" s="303" t="s">
        <v>58</v>
      </c>
      <c r="E419" s="303" t="s">
        <v>57</v>
      </c>
      <c r="F419" s="303" t="s">
        <v>57</v>
      </c>
      <c r="G419" s="303" t="s">
        <v>301</v>
      </c>
      <c r="H419" s="303" t="s">
        <v>862</v>
      </c>
      <c r="I419" s="305" t="s">
        <v>863</v>
      </c>
      <c r="J419" s="305" t="s">
        <v>864</v>
      </c>
      <c r="K419" s="305" t="s">
        <v>865</v>
      </c>
    </row>
    <row r="420" spans="1:11" ht="26.4" hidden="1">
      <c r="A420" s="298" t="s">
        <v>44</v>
      </c>
      <c r="B420" s="300" t="s">
        <v>455</v>
      </c>
      <c r="C420" s="307">
        <v>43789</v>
      </c>
      <c r="D420" s="303" t="s">
        <v>58</v>
      </c>
      <c r="E420" s="303" t="s">
        <v>57</v>
      </c>
      <c r="F420" s="303" t="s">
        <v>57</v>
      </c>
      <c r="G420" s="303" t="s">
        <v>301</v>
      </c>
      <c r="H420" s="303" t="s">
        <v>866</v>
      </c>
      <c r="I420" s="305" t="s">
        <v>867</v>
      </c>
      <c r="J420" s="305" t="s">
        <v>81</v>
      </c>
      <c r="K420" s="533" t="s">
        <v>868</v>
      </c>
    </row>
    <row r="421" spans="1:11" ht="26.4" hidden="1">
      <c r="A421" s="298" t="s">
        <v>44</v>
      </c>
      <c r="B421" s="300" t="s">
        <v>455</v>
      </c>
      <c r="C421" s="307">
        <v>43789</v>
      </c>
      <c r="D421" s="303" t="s">
        <v>58</v>
      </c>
      <c r="E421" s="303" t="s">
        <v>57</v>
      </c>
      <c r="F421" s="303" t="s">
        <v>57</v>
      </c>
      <c r="G421" s="303" t="s">
        <v>301</v>
      </c>
      <c r="H421" s="303" t="s">
        <v>869</v>
      </c>
      <c r="I421" s="305" t="s">
        <v>870</v>
      </c>
      <c r="J421" s="305" t="s">
        <v>81</v>
      </c>
      <c r="K421" s="534"/>
    </row>
    <row r="422" spans="1:11" hidden="1">
      <c r="A422" s="298" t="s">
        <v>44</v>
      </c>
      <c r="B422" s="300" t="s">
        <v>455</v>
      </c>
      <c r="C422" s="307">
        <v>43789</v>
      </c>
      <c r="D422" s="303" t="s">
        <v>58</v>
      </c>
      <c r="E422" s="303" t="s">
        <v>57</v>
      </c>
      <c r="F422" s="303" t="s">
        <v>57</v>
      </c>
      <c r="G422" s="303" t="s">
        <v>301</v>
      </c>
      <c r="H422" s="303" t="s">
        <v>871</v>
      </c>
      <c r="I422" s="305" t="s">
        <v>872</v>
      </c>
      <c r="J422" s="305" t="s">
        <v>81</v>
      </c>
      <c r="K422" s="534"/>
    </row>
    <row r="423" spans="1:11" hidden="1">
      <c r="A423" s="298" t="s">
        <v>44</v>
      </c>
      <c r="B423" s="300" t="s">
        <v>455</v>
      </c>
      <c r="C423" s="307">
        <v>43789</v>
      </c>
      <c r="D423" s="303" t="s">
        <v>58</v>
      </c>
      <c r="E423" s="303" t="s">
        <v>57</v>
      </c>
      <c r="F423" s="303" t="s">
        <v>57</v>
      </c>
      <c r="G423" s="303" t="s">
        <v>301</v>
      </c>
      <c r="H423" s="303" t="s">
        <v>873</v>
      </c>
      <c r="I423" s="305" t="s">
        <v>874</v>
      </c>
      <c r="J423" s="305" t="s">
        <v>81</v>
      </c>
      <c r="K423" s="534"/>
    </row>
    <row r="424" spans="1:11" hidden="1">
      <c r="A424" s="298" t="s">
        <v>44</v>
      </c>
      <c r="B424" s="300" t="s">
        <v>455</v>
      </c>
      <c r="C424" s="307">
        <v>43789</v>
      </c>
      <c r="D424" s="303" t="s">
        <v>58</v>
      </c>
      <c r="E424" s="303" t="s">
        <v>57</v>
      </c>
      <c r="F424" s="303" t="s">
        <v>57</v>
      </c>
      <c r="G424" s="303" t="s">
        <v>301</v>
      </c>
      <c r="H424" s="303" t="s">
        <v>875</v>
      </c>
      <c r="I424" s="305"/>
      <c r="J424" s="305"/>
      <c r="K424" s="534"/>
    </row>
    <row r="425" spans="1:11" hidden="1">
      <c r="A425" s="298" t="s">
        <v>44</v>
      </c>
      <c r="B425" s="300" t="s">
        <v>455</v>
      </c>
      <c r="C425" s="307">
        <v>43789</v>
      </c>
      <c r="D425" s="303" t="s">
        <v>58</v>
      </c>
      <c r="E425" s="303" t="s">
        <v>57</v>
      </c>
      <c r="F425" s="303" t="s">
        <v>57</v>
      </c>
      <c r="G425" s="303" t="s">
        <v>301</v>
      </c>
      <c r="H425" s="303" t="s">
        <v>876</v>
      </c>
      <c r="I425" s="305" t="s">
        <v>877</v>
      </c>
      <c r="J425" s="305" t="s">
        <v>81</v>
      </c>
      <c r="K425" s="534"/>
    </row>
    <row r="426" spans="1:11" hidden="1">
      <c r="A426" s="298" t="s">
        <v>44</v>
      </c>
      <c r="B426" s="300" t="s">
        <v>455</v>
      </c>
      <c r="C426" s="307">
        <v>43789</v>
      </c>
      <c r="D426" s="303" t="s">
        <v>58</v>
      </c>
      <c r="E426" s="303" t="s">
        <v>57</v>
      </c>
      <c r="F426" s="303" t="s">
        <v>57</v>
      </c>
      <c r="G426" s="303" t="s">
        <v>301</v>
      </c>
      <c r="H426" s="303" t="s">
        <v>878</v>
      </c>
      <c r="I426" s="305" t="s">
        <v>879</v>
      </c>
      <c r="J426" s="305" t="s">
        <v>81</v>
      </c>
      <c r="K426" s="534"/>
    </row>
    <row r="427" spans="1:11" hidden="1">
      <c r="A427" s="298" t="s">
        <v>44</v>
      </c>
      <c r="B427" s="300" t="s">
        <v>455</v>
      </c>
      <c r="C427" s="307">
        <v>43789</v>
      </c>
      <c r="D427" s="303" t="s">
        <v>58</v>
      </c>
      <c r="E427" s="303" t="s">
        <v>57</v>
      </c>
      <c r="F427" s="303" t="s">
        <v>57</v>
      </c>
      <c r="G427" s="303" t="s">
        <v>301</v>
      </c>
      <c r="H427" s="303" t="s">
        <v>880</v>
      </c>
      <c r="I427" s="305"/>
      <c r="J427" s="305"/>
      <c r="K427" s="534"/>
    </row>
    <row r="428" spans="1:11" hidden="1">
      <c r="A428" s="298" t="s">
        <v>44</v>
      </c>
      <c r="B428" s="300" t="s">
        <v>455</v>
      </c>
      <c r="C428" s="307">
        <v>43789</v>
      </c>
      <c r="D428" s="303" t="s">
        <v>58</v>
      </c>
      <c r="E428" s="303" t="s">
        <v>57</v>
      </c>
      <c r="F428" s="303" t="s">
        <v>57</v>
      </c>
      <c r="G428" s="303" t="s">
        <v>301</v>
      </c>
      <c r="H428" s="303" t="s">
        <v>881</v>
      </c>
      <c r="I428" s="305" t="s">
        <v>882</v>
      </c>
      <c r="J428" s="305" t="s">
        <v>81</v>
      </c>
      <c r="K428" s="534"/>
    </row>
    <row r="429" spans="1:11" hidden="1">
      <c r="A429" s="298" t="s">
        <v>44</v>
      </c>
      <c r="B429" s="300" t="s">
        <v>455</v>
      </c>
      <c r="C429" s="307">
        <v>43789</v>
      </c>
      <c r="D429" s="303" t="s">
        <v>58</v>
      </c>
      <c r="E429" s="303" t="s">
        <v>57</v>
      </c>
      <c r="F429" s="303" t="s">
        <v>57</v>
      </c>
      <c r="G429" s="303" t="s">
        <v>301</v>
      </c>
      <c r="H429" s="303" t="s">
        <v>883</v>
      </c>
      <c r="I429" s="305" t="s">
        <v>884</v>
      </c>
      <c r="J429" s="305" t="s">
        <v>81</v>
      </c>
      <c r="K429" s="535"/>
    </row>
    <row r="430" spans="1:11" ht="26.4" hidden="1">
      <c r="A430" s="298" t="s">
        <v>44</v>
      </c>
      <c r="B430" s="300" t="s">
        <v>455</v>
      </c>
      <c r="C430" s="307">
        <v>43789</v>
      </c>
      <c r="D430" s="303" t="s">
        <v>58</v>
      </c>
      <c r="E430" s="303" t="s">
        <v>57</v>
      </c>
      <c r="F430" s="303" t="s">
        <v>57</v>
      </c>
      <c r="G430" s="303" t="s">
        <v>301</v>
      </c>
      <c r="H430" s="303" t="s">
        <v>885</v>
      </c>
      <c r="I430" s="305" t="s">
        <v>886</v>
      </c>
      <c r="J430" s="305" t="s">
        <v>887</v>
      </c>
      <c r="K430" s="305" t="s">
        <v>888</v>
      </c>
    </row>
    <row r="431" spans="1:11" ht="39.6" hidden="1">
      <c r="A431" s="298" t="s">
        <v>44</v>
      </c>
      <c r="B431" s="300" t="s">
        <v>455</v>
      </c>
      <c r="C431" s="307">
        <v>43789</v>
      </c>
      <c r="D431" s="303" t="s">
        <v>58</v>
      </c>
      <c r="E431" s="303" t="s">
        <v>57</v>
      </c>
      <c r="F431" s="303" t="s">
        <v>57</v>
      </c>
      <c r="G431" s="303" t="s">
        <v>301</v>
      </c>
      <c r="H431" s="303" t="s">
        <v>889</v>
      </c>
      <c r="I431" s="305" t="s">
        <v>890</v>
      </c>
      <c r="J431" s="305" t="s">
        <v>891</v>
      </c>
      <c r="K431" s="305" t="s">
        <v>892</v>
      </c>
    </row>
    <row r="432" spans="1:11" ht="66" hidden="1">
      <c r="A432" s="298" t="s">
        <v>44</v>
      </c>
      <c r="B432" s="300" t="s">
        <v>455</v>
      </c>
      <c r="C432" s="307">
        <v>43789</v>
      </c>
      <c r="D432" s="303" t="s">
        <v>58</v>
      </c>
      <c r="E432" s="303" t="s">
        <v>57</v>
      </c>
      <c r="F432" s="303" t="s">
        <v>57</v>
      </c>
      <c r="G432" s="303" t="s">
        <v>301</v>
      </c>
      <c r="H432" s="303" t="s">
        <v>893</v>
      </c>
      <c r="I432" s="305" t="s">
        <v>894</v>
      </c>
      <c r="J432" s="305" t="s">
        <v>895</v>
      </c>
      <c r="K432" s="305" t="s">
        <v>892</v>
      </c>
    </row>
    <row r="433" spans="1:11" ht="52.8" hidden="1">
      <c r="A433" s="298" t="s">
        <v>44</v>
      </c>
      <c r="B433" s="300" t="s">
        <v>455</v>
      </c>
      <c r="C433" s="307">
        <v>43791</v>
      </c>
      <c r="D433" s="303" t="s">
        <v>58</v>
      </c>
      <c r="E433" s="303" t="s">
        <v>57</v>
      </c>
      <c r="F433" s="303" t="s">
        <v>57</v>
      </c>
      <c r="G433" s="303" t="s">
        <v>301</v>
      </c>
      <c r="H433" s="303" t="s">
        <v>896</v>
      </c>
      <c r="I433" s="304" t="s">
        <v>897</v>
      </c>
      <c r="J433" s="304" t="s">
        <v>898</v>
      </c>
      <c r="K433" s="305" t="s">
        <v>899</v>
      </c>
    </row>
    <row r="434" spans="1:11" hidden="1">
      <c r="A434" s="298" t="s">
        <v>44</v>
      </c>
      <c r="B434" s="300" t="s">
        <v>455</v>
      </c>
      <c r="C434" s="307">
        <v>43798</v>
      </c>
      <c r="D434" s="303" t="s">
        <v>58</v>
      </c>
      <c r="E434" s="303" t="s">
        <v>57</v>
      </c>
      <c r="F434" s="303" t="s">
        <v>57</v>
      </c>
      <c r="G434" s="303" t="s">
        <v>293</v>
      </c>
      <c r="H434" s="303" t="s">
        <v>900</v>
      </c>
      <c r="I434" s="305"/>
      <c r="J434" s="305"/>
      <c r="K434" s="530" t="s">
        <v>901</v>
      </c>
    </row>
    <row r="435" spans="1:11" hidden="1">
      <c r="A435" s="298" t="s">
        <v>44</v>
      </c>
      <c r="B435" s="300" t="s">
        <v>455</v>
      </c>
      <c r="C435" s="307">
        <v>43798</v>
      </c>
      <c r="D435" s="303" t="s">
        <v>58</v>
      </c>
      <c r="E435" s="303" t="s">
        <v>57</v>
      </c>
      <c r="F435" s="303" t="s">
        <v>57</v>
      </c>
      <c r="G435" s="303" t="s">
        <v>293</v>
      </c>
      <c r="H435" s="303" t="s">
        <v>902</v>
      </c>
      <c r="I435" s="305" t="s">
        <v>903</v>
      </c>
      <c r="J435" s="305" t="s">
        <v>81</v>
      </c>
      <c r="K435" s="531"/>
    </row>
    <row r="436" spans="1:11" hidden="1">
      <c r="A436" s="298" t="s">
        <v>44</v>
      </c>
      <c r="B436" s="300" t="s">
        <v>455</v>
      </c>
      <c r="C436" s="307">
        <v>43798</v>
      </c>
      <c r="D436" s="303" t="s">
        <v>58</v>
      </c>
      <c r="E436" s="303" t="s">
        <v>57</v>
      </c>
      <c r="F436" s="303" t="s">
        <v>57</v>
      </c>
      <c r="G436" s="303" t="s">
        <v>293</v>
      </c>
      <c r="H436" s="303" t="s">
        <v>904</v>
      </c>
      <c r="I436" s="305" t="s">
        <v>905</v>
      </c>
      <c r="J436" s="305" t="s">
        <v>81</v>
      </c>
      <c r="K436" s="531"/>
    </row>
    <row r="437" spans="1:11" hidden="1">
      <c r="A437" s="298" t="s">
        <v>44</v>
      </c>
      <c r="B437" s="300" t="s">
        <v>455</v>
      </c>
      <c r="C437" s="307">
        <v>43798</v>
      </c>
      <c r="D437" s="303" t="s">
        <v>58</v>
      </c>
      <c r="E437" s="303" t="s">
        <v>57</v>
      </c>
      <c r="F437" s="303" t="s">
        <v>57</v>
      </c>
      <c r="G437" s="303" t="s">
        <v>293</v>
      </c>
      <c r="H437" s="303" t="s">
        <v>906</v>
      </c>
      <c r="I437" s="305" t="s">
        <v>96</v>
      </c>
      <c r="J437" s="305" t="s">
        <v>81</v>
      </c>
      <c r="K437" s="531"/>
    </row>
    <row r="438" spans="1:11" hidden="1">
      <c r="A438" s="298" t="s">
        <v>44</v>
      </c>
      <c r="B438" s="300" t="s">
        <v>455</v>
      </c>
      <c r="C438" s="307">
        <v>43798</v>
      </c>
      <c r="D438" s="303" t="s">
        <v>58</v>
      </c>
      <c r="E438" s="303" t="s">
        <v>57</v>
      </c>
      <c r="F438" s="303" t="s">
        <v>57</v>
      </c>
      <c r="G438" s="303" t="s">
        <v>293</v>
      </c>
      <c r="H438" s="303" t="s">
        <v>907</v>
      </c>
      <c r="I438" s="305" t="s">
        <v>908</v>
      </c>
      <c r="J438" s="305" t="s">
        <v>81</v>
      </c>
      <c r="K438" s="531"/>
    </row>
    <row r="439" spans="1:11" hidden="1">
      <c r="A439" s="298" t="s">
        <v>44</v>
      </c>
      <c r="B439" s="300" t="s">
        <v>455</v>
      </c>
      <c r="C439" s="307">
        <v>43798</v>
      </c>
      <c r="D439" s="303" t="s">
        <v>58</v>
      </c>
      <c r="E439" s="303" t="s">
        <v>57</v>
      </c>
      <c r="F439" s="303" t="s">
        <v>57</v>
      </c>
      <c r="G439" s="303" t="s">
        <v>293</v>
      </c>
      <c r="H439" s="303" t="s">
        <v>465</v>
      </c>
      <c r="I439" s="305">
        <v>0</v>
      </c>
      <c r="J439" s="305" t="s">
        <v>81</v>
      </c>
      <c r="K439" s="531"/>
    </row>
    <row r="440" spans="1:11" hidden="1">
      <c r="A440" s="298" t="s">
        <v>44</v>
      </c>
      <c r="B440" s="300" t="s">
        <v>455</v>
      </c>
      <c r="C440" s="307">
        <v>43798</v>
      </c>
      <c r="D440" s="303" t="s">
        <v>58</v>
      </c>
      <c r="E440" s="303" t="s">
        <v>57</v>
      </c>
      <c r="F440" s="303" t="s">
        <v>57</v>
      </c>
      <c r="G440" s="303" t="s">
        <v>293</v>
      </c>
      <c r="H440" s="303" t="s">
        <v>909</v>
      </c>
      <c r="I440" s="305" t="s">
        <v>910</v>
      </c>
      <c r="J440" s="305" t="s">
        <v>81</v>
      </c>
      <c r="K440" s="531"/>
    </row>
    <row r="441" spans="1:11" hidden="1">
      <c r="A441" s="298" t="s">
        <v>44</v>
      </c>
      <c r="B441" s="300" t="s">
        <v>455</v>
      </c>
      <c r="C441" s="307">
        <v>43798</v>
      </c>
      <c r="D441" s="303" t="s">
        <v>58</v>
      </c>
      <c r="E441" s="303" t="s">
        <v>57</v>
      </c>
      <c r="F441" s="303" t="s">
        <v>57</v>
      </c>
      <c r="G441" s="303" t="s">
        <v>293</v>
      </c>
      <c r="H441" s="303" t="s">
        <v>911</v>
      </c>
      <c r="I441" s="305" t="s">
        <v>912</v>
      </c>
      <c r="J441" s="305" t="s">
        <v>81</v>
      </c>
      <c r="K441" s="531"/>
    </row>
    <row r="442" spans="1:11" hidden="1">
      <c r="A442" s="298" t="s">
        <v>44</v>
      </c>
      <c r="B442" s="300" t="s">
        <v>455</v>
      </c>
      <c r="C442" s="307">
        <v>43798</v>
      </c>
      <c r="D442" s="303" t="s">
        <v>58</v>
      </c>
      <c r="E442" s="303" t="s">
        <v>57</v>
      </c>
      <c r="F442" s="303" t="s">
        <v>57</v>
      </c>
      <c r="G442" s="303" t="s">
        <v>293</v>
      </c>
      <c r="H442" s="303" t="s">
        <v>913</v>
      </c>
      <c r="I442" s="305" t="s">
        <v>914</v>
      </c>
      <c r="J442" s="305" t="s">
        <v>915</v>
      </c>
      <c r="K442" s="531"/>
    </row>
    <row r="443" spans="1:11" hidden="1">
      <c r="A443" s="298" t="s">
        <v>44</v>
      </c>
      <c r="B443" s="300" t="s">
        <v>455</v>
      </c>
      <c r="C443" s="307">
        <v>43798</v>
      </c>
      <c r="D443" s="303" t="s">
        <v>58</v>
      </c>
      <c r="E443" s="303" t="s">
        <v>57</v>
      </c>
      <c r="F443" s="303" t="s">
        <v>57</v>
      </c>
      <c r="G443" s="303" t="s">
        <v>293</v>
      </c>
      <c r="H443" s="303" t="s">
        <v>916</v>
      </c>
      <c r="I443" s="305" t="s">
        <v>917</v>
      </c>
      <c r="J443" s="305" t="s">
        <v>918</v>
      </c>
      <c r="K443" s="532"/>
    </row>
    <row r="444" spans="1:11" hidden="1">
      <c r="A444" s="298" t="s">
        <v>44</v>
      </c>
      <c r="B444" s="300" t="s">
        <v>919</v>
      </c>
      <c r="C444" s="307">
        <v>43901</v>
      </c>
      <c r="D444" s="303" t="s">
        <v>920</v>
      </c>
      <c r="E444" s="303" t="s">
        <v>921</v>
      </c>
      <c r="F444" s="303" t="s">
        <v>921</v>
      </c>
      <c r="G444" s="303" t="s">
        <v>922</v>
      </c>
      <c r="H444" s="303" t="s">
        <v>923</v>
      </c>
      <c r="I444" s="305" t="s">
        <v>924</v>
      </c>
      <c r="J444" s="305" t="s">
        <v>925</v>
      </c>
      <c r="K444" s="309" t="s">
        <v>926</v>
      </c>
    </row>
    <row r="445" spans="1:11" ht="26.4" hidden="1">
      <c r="A445" s="298" t="s">
        <v>44</v>
      </c>
      <c r="B445" s="300" t="s">
        <v>927</v>
      </c>
      <c r="C445" s="300">
        <v>43983</v>
      </c>
      <c r="D445" s="303" t="s">
        <v>58</v>
      </c>
      <c r="E445" s="303" t="s">
        <v>57</v>
      </c>
      <c r="F445" s="303" t="s">
        <v>57</v>
      </c>
      <c r="G445" s="303" t="s">
        <v>928</v>
      </c>
      <c r="H445" s="303" t="s">
        <v>929</v>
      </c>
      <c r="I445" s="305"/>
      <c r="J445" s="305"/>
      <c r="K445" s="310" t="s">
        <v>930</v>
      </c>
    </row>
    <row r="446" spans="1:11" hidden="1">
      <c r="A446" s="298" t="s">
        <v>44</v>
      </c>
      <c r="B446" s="300" t="s">
        <v>927</v>
      </c>
      <c r="C446" s="300">
        <v>43983</v>
      </c>
      <c r="D446" s="303" t="s">
        <v>58</v>
      </c>
      <c r="E446" s="303" t="s">
        <v>57</v>
      </c>
      <c r="F446" s="303" t="s">
        <v>57</v>
      </c>
      <c r="G446" s="303" t="s">
        <v>928</v>
      </c>
      <c r="H446" s="303" t="s">
        <v>931</v>
      </c>
      <c r="I446" s="305" t="s">
        <v>932</v>
      </c>
      <c r="J446" s="305" t="s">
        <v>81</v>
      </c>
      <c r="K446" s="311"/>
    </row>
    <row r="447" spans="1:11" ht="26.4" hidden="1">
      <c r="A447" s="298" t="s">
        <v>44</v>
      </c>
      <c r="B447" s="300" t="s">
        <v>927</v>
      </c>
      <c r="C447" s="300">
        <v>43983</v>
      </c>
      <c r="D447" s="303" t="s">
        <v>58</v>
      </c>
      <c r="E447" s="303" t="s">
        <v>57</v>
      </c>
      <c r="F447" s="303" t="s">
        <v>57</v>
      </c>
      <c r="G447" s="303" t="s">
        <v>928</v>
      </c>
      <c r="H447" s="303" t="s">
        <v>933</v>
      </c>
      <c r="I447" s="305" t="s">
        <v>934</v>
      </c>
      <c r="J447" s="305" t="s">
        <v>81</v>
      </c>
      <c r="K447" s="310" t="s">
        <v>935</v>
      </c>
    </row>
    <row r="448" spans="1:11" hidden="1">
      <c r="A448" s="298" t="s">
        <v>44</v>
      </c>
      <c r="B448" s="300" t="s">
        <v>927</v>
      </c>
      <c r="C448" s="300">
        <v>43983</v>
      </c>
      <c r="D448" s="303" t="s">
        <v>58</v>
      </c>
      <c r="E448" s="303" t="s">
        <v>57</v>
      </c>
      <c r="F448" s="303" t="s">
        <v>57</v>
      </c>
      <c r="G448" s="303" t="s">
        <v>928</v>
      </c>
      <c r="H448" s="303" t="s">
        <v>936</v>
      </c>
      <c r="I448" s="305" t="s">
        <v>937</v>
      </c>
      <c r="J448" s="305" t="s">
        <v>81</v>
      </c>
      <c r="K448" s="312"/>
    </row>
    <row r="449" spans="1:11" hidden="1">
      <c r="A449" s="298" t="s">
        <v>44</v>
      </c>
      <c r="B449" s="300" t="s">
        <v>927</v>
      </c>
      <c r="C449" s="300">
        <v>43983</v>
      </c>
      <c r="D449" s="303" t="s">
        <v>58</v>
      </c>
      <c r="E449" s="303" t="s">
        <v>57</v>
      </c>
      <c r="F449" s="303" t="s">
        <v>57</v>
      </c>
      <c r="G449" s="303" t="s">
        <v>928</v>
      </c>
      <c r="H449" s="303" t="s">
        <v>938</v>
      </c>
      <c r="I449" s="305" t="s">
        <v>939</v>
      </c>
      <c r="J449" s="305" t="s">
        <v>81</v>
      </c>
      <c r="K449" s="312"/>
    </row>
    <row r="450" spans="1:11" hidden="1">
      <c r="A450" s="298" t="s">
        <v>44</v>
      </c>
      <c r="B450" s="300" t="s">
        <v>927</v>
      </c>
      <c r="C450" s="300">
        <v>43983</v>
      </c>
      <c r="D450" s="303" t="s">
        <v>58</v>
      </c>
      <c r="E450" s="303" t="s">
        <v>57</v>
      </c>
      <c r="F450" s="303" t="s">
        <v>57</v>
      </c>
      <c r="G450" s="303" t="s">
        <v>928</v>
      </c>
      <c r="H450" s="303" t="s">
        <v>940</v>
      </c>
      <c r="I450" s="305" t="s">
        <v>941</v>
      </c>
      <c r="J450" s="305" t="s">
        <v>81</v>
      </c>
      <c r="K450" s="312"/>
    </row>
    <row r="451" spans="1:11" hidden="1">
      <c r="A451" s="298" t="s">
        <v>44</v>
      </c>
      <c r="B451" s="300" t="s">
        <v>927</v>
      </c>
      <c r="C451" s="300">
        <v>43983</v>
      </c>
      <c r="D451" s="303" t="s">
        <v>58</v>
      </c>
      <c r="E451" s="303" t="s">
        <v>57</v>
      </c>
      <c r="F451" s="303" t="s">
        <v>57</v>
      </c>
      <c r="G451" s="303" t="s">
        <v>928</v>
      </c>
      <c r="H451" s="303" t="s">
        <v>942</v>
      </c>
      <c r="I451" s="305" t="s">
        <v>943</v>
      </c>
      <c r="J451" s="305" t="s">
        <v>81</v>
      </c>
      <c r="K451" s="312"/>
    </row>
    <row r="452" spans="1:11" hidden="1">
      <c r="A452" s="298" t="s">
        <v>44</v>
      </c>
      <c r="B452" s="300" t="s">
        <v>927</v>
      </c>
      <c r="C452" s="300">
        <v>43983</v>
      </c>
      <c r="D452" s="303" t="s">
        <v>58</v>
      </c>
      <c r="E452" s="303" t="s">
        <v>57</v>
      </c>
      <c r="F452" s="303" t="s">
        <v>57</v>
      </c>
      <c r="G452" s="303" t="s">
        <v>928</v>
      </c>
      <c r="H452" s="303" t="s">
        <v>944</v>
      </c>
      <c r="I452" s="305" t="s">
        <v>945</v>
      </c>
      <c r="J452" s="305" t="s">
        <v>81</v>
      </c>
      <c r="K452" s="312"/>
    </row>
    <row r="453" spans="1:11" hidden="1">
      <c r="A453" s="298" t="s">
        <v>44</v>
      </c>
      <c r="B453" s="300" t="s">
        <v>927</v>
      </c>
      <c r="C453" s="300">
        <v>43983</v>
      </c>
      <c r="D453" s="303" t="s">
        <v>58</v>
      </c>
      <c r="E453" s="303" t="s">
        <v>57</v>
      </c>
      <c r="F453" s="303" t="s">
        <v>57</v>
      </c>
      <c r="G453" s="303" t="s">
        <v>928</v>
      </c>
      <c r="H453" s="303" t="s">
        <v>946</v>
      </c>
      <c r="I453" s="305" t="s">
        <v>947</v>
      </c>
      <c r="J453" s="305" t="s">
        <v>81</v>
      </c>
      <c r="K453" s="312"/>
    </row>
    <row r="454" spans="1:11" hidden="1">
      <c r="A454" s="298" t="s">
        <v>44</v>
      </c>
      <c r="B454" s="300" t="s">
        <v>927</v>
      </c>
      <c r="C454" s="300">
        <v>43983</v>
      </c>
      <c r="D454" s="303" t="s">
        <v>58</v>
      </c>
      <c r="E454" s="303" t="s">
        <v>57</v>
      </c>
      <c r="F454" s="303" t="s">
        <v>57</v>
      </c>
      <c r="G454" s="303" t="s">
        <v>928</v>
      </c>
      <c r="H454" s="303" t="s">
        <v>948</v>
      </c>
      <c r="I454" s="305" t="s">
        <v>949</v>
      </c>
      <c r="J454" s="305" t="s">
        <v>81</v>
      </c>
      <c r="K454" s="311"/>
    </row>
    <row r="455" spans="1:11" ht="25.5" hidden="1" customHeight="1">
      <c r="A455" s="298" t="s">
        <v>44</v>
      </c>
      <c r="B455" s="300" t="s">
        <v>927</v>
      </c>
      <c r="C455" s="300">
        <v>43983</v>
      </c>
      <c r="D455" s="303" t="s">
        <v>58</v>
      </c>
      <c r="E455" s="303" t="s">
        <v>57</v>
      </c>
      <c r="F455" s="303" t="s">
        <v>57</v>
      </c>
      <c r="G455" s="303" t="s">
        <v>301</v>
      </c>
      <c r="H455" s="303" t="s">
        <v>950</v>
      </c>
      <c r="I455" s="305" t="s">
        <v>951</v>
      </c>
      <c r="J455" s="305" t="s">
        <v>81</v>
      </c>
      <c r="K455" s="527" t="s">
        <v>952</v>
      </c>
    </row>
    <row r="456" spans="1:11" hidden="1">
      <c r="A456" s="298" t="s">
        <v>44</v>
      </c>
      <c r="B456" s="300" t="s">
        <v>927</v>
      </c>
      <c r="C456" s="300">
        <v>43983</v>
      </c>
      <c r="D456" s="303" t="s">
        <v>58</v>
      </c>
      <c r="E456" s="303" t="s">
        <v>57</v>
      </c>
      <c r="F456" s="303" t="s">
        <v>57</v>
      </c>
      <c r="G456" s="303" t="s">
        <v>301</v>
      </c>
      <c r="H456" s="303" t="s">
        <v>953</v>
      </c>
      <c r="I456" s="305" t="s">
        <v>954</v>
      </c>
      <c r="J456" s="305" t="s">
        <v>81</v>
      </c>
      <c r="K456" s="528"/>
    </row>
    <row r="457" spans="1:11" hidden="1">
      <c r="A457" s="298" t="s">
        <v>44</v>
      </c>
      <c r="B457" s="300" t="s">
        <v>927</v>
      </c>
      <c r="C457" s="300">
        <v>43983</v>
      </c>
      <c r="D457" s="303" t="s">
        <v>58</v>
      </c>
      <c r="E457" s="303" t="s">
        <v>57</v>
      </c>
      <c r="F457" s="303" t="s">
        <v>57</v>
      </c>
      <c r="G457" s="303" t="s">
        <v>301</v>
      </c>
      <c r="H457" s="303" t="s">
        <v>955</v>
      </c>
      <c r="I457" s="305" t="s">
        <v>956</v>
      </c>
      <c r="J457" s="305" t="s">
        <v>81</v>
      </c>
      <c r="K457" s="528"/>
    </row>
    <row r="458" spans="1:11" hidden="1">
      <c r="A458" s="298" t="s">
        <v>44</v>
      </c>
      <c r="B458" s="300" t="s">
        <v>927</v>
      </c>
      <c r="C458" s="300">
        <v>43983</v>
      </c>
      <c r="D458" s="303" t="s">
        <v>58</v>
      </c>
      <c r="E458" s="303" t="s">
        <v>57</v>
      </c>
      <c r="F458" s="303" t="s">
        <v>57</v>
      </c>
      <c r="G458" s="303" t="s">
        <v>301</v>
      </c>
      <c r="H458" s="303" t="s">
        <v>957</v>
      </c>
      <c r="I458" s="305" t="s">
        <v>958</v>
      </c>
      <c r="J458" s="305" t="s">
        <v>81</v>
      </c>
      <c r="K458" s="528"/>
    </row>
    <row r="459" spans="1:11" hidden="1">
      <c r="A459" s="298" t="s">
        <v>44</v>
      </c>
      <c r="B459" s="300" t="s">
        <v>927</v>
      </c>
      <c r="C459" s="300">
        <v>43983</v>
      </c>
      <c r="D459" s="303" t="s">
        <v>58</v>
      </c>
      <c r="E459" s="303" t="s">
        <v>57</v>
      </c>
      <c r="F459" s="303" t="s">
        <v>57</v>
      </c>
      <c r="G459" s="303" t="s">
        <v>301</v>
      </c>
      <c r="H459" s="303" t="s">
        <v>959</v>
      </c>
      <c r="I459" s="305" t="s">
        <v>960</v>
      </c>
      <c r="J459" s="305" t="s">
        <v>81</v>
      </c>
      <c r="K459" s="528"/>
    </row>
    <row r="460" spans="1:11" hidden="1">
      <c r="A460" s="298" t="s">
        <v>44</v>
      </c>
      <c r="B460" s="300" t="s">
        <v>927</v>
      </c>
      <c r="C460" s="300">
        <v>43983</v>
      </c>
      <c r="D460" s="303" t="s">
        <v>58</v>
      </c>
      <c r="E460" s="303" t="s">
        <v>57</v>
      </c>
      <c r="F460" s="303" t="s">
        <v>57</v>
      </c>
      <c r="G460" s="303" t="s">
        <v>301</v>
      </c>
      <c r="H460" s="303" t="s">
        <v>961</v>
      </c>
      <c r="I460" s="305" t="s">
        <v>962</v>
      </c>
      <c r="J460" s="305" t="s">
        <v>81</v>
      </c>
      <c r="K460" s="528"/>
    </row>
    <row r="461" spans="1:11" ht="26.4" hidden="1">
      <c r="A461" s="298" t="s">
        <v>44</v>
      </c>
      <c r="B461" s="300" t="s">
        <v>927</v>
      </c>
      <c r="C461" s="300">
        <v>43983</v>
      </c>
      <c r="D461" s="303" t="s">
        <v>58</v>
      </c>
      <c r="E461" s="303" t="s">
        <v>57</v>
      </c>
      <c r="F461" s="303" t="s">
        <v>57</v>
      </c>
      <c r="G461" s="303" t="s">
        <v>301</v>
      </c>
      <c r="H461" s="303" t="s">
        <v>963</v>
      </c>
      <c r="I461" s="305" t="s">
        <v>964</v>
      </c>
      <c r="J461" s="305" t="s">
        <v>81</v>
      </c>
      <c r="K461" s="528"/>
    </row>
    <row r="462" spans="1:11" hidden="1">
      <c r="A462" s="298" t="s">
        <v>44</v>
      </c>
      <c r="B462" s="300" t="s">
        <v>927</v>
      </c>
      <c r="C462" s="300">
        <v>43983</v>
      </c>
      <c r="D462" s="303" t="s">
        <v>58</v>
      </c>
      <c r="E462" s="303" t="s">
        <v>57</v>
      </c>
      <c r="F462" s="303" t="s">
        <v>57</v>
      </c>
      <c r="G462" s="303" t="s">
        <v>301</v>
      </c>
      <c r="H462" s="303" t="s">
        <v>965</v>
      </c>
      <c r="I462" s="305" t="s">
        <v>934</v>
      </c>
      <c r="J462" s="305" t="s">
        <v>81</v>
      </c>
      <c r="K462" s="528"/>
    </row>
    <row r="463" spans="1:11" hidden="1">
      <c r="A463" s="298" t="s">
        <v>44</v>
      </c>
      <c r="B463" s="300" t="s">
        <v>927</v>
      </c>
      <c r="C463" s="300">
        <v>43983</v>
      </c>
      <c r="D463" s="303" t="s">
        <v>58</v>
      </c>
      <c r="E463" s="303" t="s">
        <v>57</v>
      </c>
      <c r="F463" s="303" t="s">
        <v>57</v>
      </c>
      <c r="G463" s="303" t="s">
        <v>301</v>
      </c>
      <c r="H463" s="303" t="s">
        <v>966</v>
      </c>
      <c r="I463" s="305" t="s">
        <v>937</v>
      </c>
      <c r="J463" s="305" t="s">
        <v>81</v>
      </c>
      <c r="K463" s="528"/>
    </row>
    <row r="464" spans="1:11" hidden="1">
      <c r="A464" s="298" t="s">
        <v>44</v>
      </c>
      <c r="B464" s="300" t="s">
        <v>927</v>
      </c>
      <c r="C464" s="300">
        <v>43983</v>
      </c>
      <c r="D464" s="303" t="s">
        <v>58</v>
      </c>
      <c r="E464" s="303" t="s">
        <v>57</v>
      </c>
      <c r="F464" s="303" t="s">
        <v>57</v>
      </c>
      <c r="G464" s="303" t="s">
        <v>301</v>
      </c>
      <c r="H464" s="303" t="s">
        <v>967</v>
      </c>
      <c r="I464" s="305" t="s">
        <v>939</v>
      </c>
      <c r="J464" s="305" t="s">
        <v>81</v>
      </c>
      <c r="K464" s="528"/>
    </row>
    <row r="465" spans="1:11" hidden="1">
      <c r="A465" s="298" t="s">
        <v>44</v>
      </c>
      <c r="B465" s="300" t="s">
        <v>927</v>
      </c>
      <c r="C465" s="300">
        <v>43983</v>
      </c>
      <c r="D465" s="303" t="s">
        <v>58</v>
      </c>
      <c r="E465" s="303" t="s">
        <v>57</v>
      </c>
      <c r="F465" s="303" t="s">
        <v>57</v>
      </c>
      <c r="G465" s="303" t="s">
        <v>301</v>
      </c>
      <c r="H465" s="303" t="s">
        <v>968</v>
      </c>
      <c r="I465" s="305" t="s">
        <v>941</v>
      </c>
      <c r="J465" s="305" t="s">
        <v>81</v>
      </c>
      <c r="K465" s="528"/>
    </row>
    <row r="466" spans="1:11" hidden="1">
      <c r="A466" s="298" t="s">
        <v>44</v>
      </c>
      <c r="B466" s="300" t="s">
        <v>927</v>
      </c>
      <c r="C466" s="300">
        <v>43983</v>
      </c>
      <c r="D466" s="303" t="s">
        <v>58</v>
      </c>
      <c r="E466" s="303" t="s">
        <v>57</v>
      </c>
      <c r="F466" s="303" t="s">
        <v>57</v>
      </c>
      <c r="G466" s="303" t="s">
        <v>301</v>
      </c>
      <c r="H466" s="303" t="s">
        <v>969</v>
      </c>
      <c r="I466" s="305" t="s">
        <v>943</v>
      </c>
      <c r="J466" s="305" t="s">
        <v>81</v>
      </c>
      <c r="K466" s="528"/>
    </row>
    <row r="467" spans="1:11" hidden="1">
      <c r="A467" s="298" t="s">
        <v>44</v>
      </c>
      <c r="B467" s="300" t="s">
        <v>927</v>
      </c>
      <c r="C467" s="300">
        <v>43983</v>
      </c>
      <c r="D467" s="303" t="s">
        <v>58</v>
      </c>
      <c r="E467" s="303" t="s">
        <v>57</v>
      </c>
      <c r="F467" s="303" t="s">
        <v>57</v>
      </c>
      <c r="G467" s="303" t="s">
        <v>301</v>
      </c>
      <c r="H467" s="303" t="s">
        <v>970</v>
      </c>
      <c r="I467" s="305" t="s">
        <v>945</v>
      </c>
      <c r="J467" s="305" t="s">
        <v>81</v>
      </c>
      <c r="K467" s="528"/>
    </row>
    <row r="468" spans="1:11" hidden="1">
      <c r="A468" s="298" t="s">
        <v>44</v>
      </c>
      <c r="B468" s="300" t="s">
        <v>927</v>
      </c>
      <c r="C468" s="300">
        <v>43983</v>
      </c>
      <c r="D468" s="303" t="s">
        <v>58</v>
      </c>
      <c r="E468" s="303" t="s">
        <v>57</v>
      </c>
      <c r="F468" s="303" t="s">
        <v>57</v>
      </c>
      <c r="G468" s="303" t="s">
        <v>301</v>
      </c>
      <c r="H468" s="303" t="s">
        <v>971</v>
      </c>
      <c r="I468" s="305" t="s">
        <v>947</v>
      </c>
      <c r="J468" s="305" t="s">
        <v>81</v>
      </c>
      <c r="K468" s="528"/>
    </row>
    <row r="469" spans="1:11" hidden="1">
      <c r="A469" s="298" t="s">
        <v>44</v>
      </c>
      <c r="B469" s="300" t="s">
        <v>927</v>
      </c>
      <c r="C469" s="300">
        <v>43983</v>
      </c>
      <c r="D469" s="303" t="s">
        <v>58</v>
      </c>
      <c r="E469" s="303" t="s">
        <v>57</v>
      </c>
      <c r="F469" s="303" t="s">
        <v>57</v>
      </c>
      <c r="G469" s="303" t="s">
        <v>301</v>
      </c>
      <c r="H469" s="303" t="s">
        <v>972</v>
      </c>
      <c r="I469" s="305" t="s">
        <v>949</v>
      </c>
      <c r="J469" s="305" t="s">
        <v>81</v>
      </c>
      <c r="K469" s="529"/>
    </row>
    <row r="470" spans="1:11" ht="26.4" hidden="1">
      <c r="A470" s="298" t="s">
        <v>44</v>
      </c>
      <c r="B470" s="300" t="s">
        <v>927</v>
      </c>
      <c r="C470" s="300">
        <v>43983</v>
      </c>
      <c r="D470" s="303" t="s">
        <v>58</v>
      </c>
      <c r="E470" s="303" t="s">
        <v>57</v>
      </c>
      <c r="F470" s="303" t="s">
        <v>57</v>
      </c>
      <c r="G470" s="303" t="s">
        <v>301</v>
      </c>
      <c r="H470" s="303" t="s">
        <v>973</v>
      </c>
      <c r="I470" s="305" t="s">
        <v>974</v>
      </c>
      <c r="J470" s="305" t="s">
        <v>81</v>
      </c>
      <c r="K470" s="302" t="s">
        <v>975</v>
      </c>
    </row>
    <row r="471" spans="1:11" ht="105.6" hidden="1">
      <c r="A471" s="298" t="s">
        <v>44</v>
      </c>
      <c r="B471" s="300" t="s">
        <v>927</v>
      </c>
      <c r="C471" s="300">
        <v>43983</v>
      </c>
      <c r="D471" s="303" t="s">
        <v>58</v>
      </c>
      <c r="E471" s="303" t="s">
        <v>57</v>
      </c>
      <c r="F471" s="303" t="s">
        <v>57</v>
      </c>
      <c r="G471" s="303" t="s">
        <v>301</v>
      </c>
      <c r="H471" s="303" t="s">
        <v>896</v>
      </c>
      <c r="I471" s="304" t="s">
        <v>976</v>
      </c>
      <c r="J471" s="304" t="s">
        <v>977</v>
      </c>
      <c r="K471" s="302" t="s">
        <v>978</v>
      </c>
    </row>
    <row r="472" spans="1:11" ht="26.4" hidden="1">
      <c r="A472" s="298" t="s">
        <v>44</v>
      </c>
      <c r="B472" s="300" t="s">
        <v>979</v>
      </c>
      <c r="C472" s="313">
        <v>44236</v>
      </c>
      <c r="D472" s="300" t="s">
        <v>920</v>
      </c>
      <c r="E472" s="307" t="s">
        <v>58</v>
      </c>
      <c r="F472" s="307" t="s">
        <v>980</v>
      </c>
      <c r="G472" s="301" t="s">
        <v>59</v>
      </c>
      <c r="H472" s="301" t="s">
        <v>981</v>
      </c>
      <c r="I472" s="306" t="s">
        <v>982</v>
      </c>
      <c r="J472" s="302" t="s">
        <v>419</v>
      </c>
      <c r="K472" s="310" t="s">
        <v>983</v>
      </c>
    </row>
    <row r="473" spans="1:11" hidden="1">
      <c r="A473" s="298" t="s">
        <v>44</v>
      </c>
      <c r="B473" s="300" t="s">
        <v>979</v>
      </c>
      <c r="C473" s="313">
        <v>44236</v>
      </c>
      <c r="D473" s="300" t="s">
        <v>920</v>
      </c>
      <c r="E473" s="307" t="s">
        <v>58</v>
      </c>
      <c r="F473" s="307" t="s">
        <v>980</v>
      </c>
      <c r="G473" s="301" t="s">
        <v>59</v>
      </c>
      <c r="H473" s="301" t="s">
        <v>984</v>
      </c>
      <c r="I473" s="306" t="s">
        <v>985</v>
      </c>
      <c r="J473" s="302" t="s">
        <v>986</v>
      </c>
      <c r="K473" s="527" t="s">
        <v>987</v>
      </c>
    </row>
    <row r="474" spans="1:11" hidden="1">
      <c r="A474" s="298" t="s">
        <v>44</v>
      </c>
      <c r="B474" s="300" t="s">
        <v>979</v>
      </c>
      <c r="C474" s="313">
        <v>44236</v>
      </c>
      <c r="D474" s="300" t="s">
        <v>920</v>
      </c>
      <c r="E474" s="307" t="s">
        <v>58</v>
      </c>
      <c r="F474" s="307" t="s">
        <v>980</v>
      </c>
      <c r="G474" s="301" t="s">
        <v>59</v>
      </c>
      <c r="H474" s="301" t="s">
        <v>988</v>
      </c>
      <c r="I474" s="306">
        <v>0.2</v>
      </c>
      <c r="J474" s="302">
        <v>0.1</v>
      </c>
      <c r="K474" s="528"/>
    </row>
    <row r="475" spans="1:11" hidden="1">
      <c r="A475" s="298" t="s">
        <v>44</v>
      </c>
      <c r="B475" s="300" t="s">
        <v>979</v>
      </c>
      <c r="C475" s="313">
        <v>44236</v>
      </c>
      <c r="D475" s="300" t="s">
        <v>920</v>
      </c>
      <c r="E475" s="307" t="s">
        <v>58</v>
      </c>
      <c r="F475" s="307" t="s">
        <v>980</v>
      </c>
      <c r="G475" s="301" t="s">
        <v>59</v>
      </c>
      <c r="H475" s="301" t="s">
        <v>989</v>
      </c>
      <c r="I475" s="306" t="s">
        <v>990</v>
      </c>
      <c r="J475" s="302" t="s">
        <v>991</v>
      </c>
      <c r="K475" s="528"/>
    </row>
    <row r="476" spans="1:11" ht="26.4" hidden="1">
      <c r="A476" s="298" t="s">
        <v>44</v>
      </c>
      <c r="B476" s="300" t="s">
        <v>979</v>
      </c>
      <c r="C476" s="313">
        <v>44236</v>
      </c>
      <c r="D476" s="300" t="s">
        <v>920</v>
      </c>
      <c r="E476" s="307" t="s">
        <v>58</v>
      </c>
      <c r="F476" s="307" t="s">
        <v>980</v>
      </c>
      <c r="G476" s="301" t="s">
        <v>59</v>
      </c>
      <c r="H476" s="301" t="s">
        <v>992</v>
      </c>
      <c r="I476" s="306" t="s">
        <v>990</v>
      </c>
      <c r="J476" s="302" t="s">
        <v>993</v>
      </c>
      <c r="K476" s="528"/>
    </row>
    <row r="477" spans="1:11" ht="26.4" hidden="1">
      <c r="A477" s="298" t="s">
        <v>44</v>
      </c>
      <c r="B477" s="300" t="s">
        <v>979</v>
      </c>
      <c r="C477" s="313">
        <v>44236</v>
      </c>
      <c r="D477" s="300" t="s">
        <v>920</v>
      </c>
      <c r="E477" s="307" t="s">
        <v>58</v>
      </c>
      <c r="F477" s="307" t="s">
        <v>980</v>
      </c>
      <c r="G477" s="301" t="s">
        <v>59</v>
      </c>
      <c r="H477" s="301" t="s">
        <v>994</v>
      </c>
      <c r="I477" s="306" t="s">
        <v>990</v>
      </c>
      <c r="J477" s="302" t="s">
        <v>993</v>
      </c>
      <c r="K477" s="528"/>
    </row>
    <row r="478" spans="1:11" hidden="1">
      <c r="A478" s="298" t="s">
        <v>44</v>
      </c>
      <c r="B478" s="300" t="s">
        <v>979</v>
      </c>
      <c r="C478" s="313">
        <v>44236</v>
      </c>
      <c r="D478" s="300" t="s">
        <v>920</v>
      </c>
      <c r="E478" s="307" t="s">
        <v>58</v>
      </c>
      <c r="F478" s="307" t="s">
        <v>980</v>
      </c>
      <c r="G478" s="301" t="s">
        <v>59</v>
      </c>
      <c r="H478" s="301" t="s">
        <v>995</v>
      </c>
      <c r="I478" s="306" t="s">
        <v>996</v>
      </c>
      <c r="J478" s="302" t="s">
        <v>997</v>
      </c>
      <c r="K478" s="528"/>
    </row>
    <row r="479" spans="1:11" hidden="1">
      <c r="A479" s="298" t="s">
        <v>44</v>
      </c>
      <c r="B479" s="300" t="s">
        <v>979</v>
      </c>
      <c r="C479" s="313">
        <v>44236</v>
      </c>
      <c r="D479" s="300" t="s">
        <v>920</v>
      </c>
      <c r="E479" s="307" t="s">
        <v>58</v>
      </c>
      <c r="F479" s="307" t="s">
        <v>980</v>
      </c>
      <c r="G479" s="301" t="s">
        <v>59</v>
      </c>
      <c r="H479" s="301" t="s">
        <v>998</v>
      </c>
      <c r="I479" s="306" t="s">
        <v>996</v>
      </c>
      <c r="J479" s="302" t="s">
        <v>997</v>
      </c>
      <c r="K479" s="529"/>
    </row>
    <row r="480" spans="1:11" hidden="1">
      <c r="A480" s="298" t="s">
        <v>44</v>
      </c>
      <c r="B480" s="300" t="s">
        <v>979</v>
      </c>
      <c r="C480" s="313">
        <v>44236</v>
      </c>
      <c r="D480" s="300" t="s">
        <v>920</v>
      </c>
      <c r="E480" s="307" t="s">
        <v>58</v>
      </c>
      <c r="F480" s="307" t="s">
        <v>980</v>
      </c>
      <c r="G480" s="301" t="s">
        <v>59</v>
      </c>
      <c r="H480" s="301" t="s">
        <v>999</v>
      </c>
      <c r="I480" s="306" t="s">
        <v>1000</v>
      </c>
      <c r="J480" s="302" t="s">
        <v>1001</v>
      </c>
      <c r="K480" s="527" t="s">
        <v>1002</v>
      </c>
    </row>
    <row r="481" spans="1:11" hidden="1">
      <c r="A481" s="298" t="s">
        <v>44</v>
      </c>
      <c r="B481" s="300" t="s">
        <v>979</v>
      </c>
      <c r="C481" s="313">
        <v>44236</v>
      </c>
      <c r="D481" s="300" t="s">
        <v>920</v>
      </c>
      <c r="E481" s="307" t="s">
        <v>58</v>
      </c>
      <c r="F481" s="307" t="s">
        <v>980</v>
      </c>
      <c r="G481" s="301" t="s">
        <v>59</v>
      </c>
      <c r="H481" s="301" t="s">
        <v>1003</v>
      </c>
      <c r="I481" s="306" t="s">
        <v>1000</v>
      </c>
      <c r="J481" s="302" t="s">
        <v>1001</v>
      </c>
      <c r="K481" s="528"/>
    </row>
    <row r="482" spans="1:11" hidden="1">
      <c r="A482" s="298" t="s">
        <v>44</v>
      </c>
      <c r="B482" s="300" t="s">
        <v>979</v>
      </c>
      <c r="C482" s="313">
        <v>44236</v>
      </c>
      <c r="D482" s="300" t="s">
        <v>920</v>
      </c>
      <c r="E482" s="307" t="s">
        <v>58</v>
      </c>
      <c r="F482" s="307" t="s">
        <v>980</v>
      </c>
      <c r="G482" s="301" t="s">
        <v>59</v>
      </c>
      <c r="H482" s="301" t="s">
        <v>1004</v>
      </c>
      <c r="I482" s="306" t="s">
        <v>1000</v>
      </c>
      <c r="J482" s="302" t="s">
        <v>1001</v>
      </c>
      <c r="K482" s="528"/>
    </row>
    <row r="483" spans="1:11" hidden="1">
      <c r="A483" s="298" t="s">
        <v>44</v>
      </c>
      <c r="B483" s="300" t="s">
        <v>979</v>
      </c>
      <c r="C483" s="313">
        <v>44236</v>
      </c>
      <c r="D483" s="300" t="s">
        <v>920</v>
      </c>
      <c r="E483" s="307" t="s">
        <v>58</v>
      </c>
      <c r="F483" s="307" t="s">
        <v>980</v>
      </c>
      <c r="G483" s="301" t="s">
        <v>59</v>
      </c>
      <c r="H483" s="301" t="s">
        <v>1005</v>
      </c>
      <c r="I483" s="306" t="s">
        <v>1006</v>
      </c>
      <c r="J483" s="302" t="s">
        <v>1007</v>
      </c>
      <c r="K483" s="528"/>
    </row>
    <row r="484" spans="1:11" hidden="1">
      <c r="A484" s="298" t="s">
        <v>44</v>
      </c>
      <c r="B484" s="300" t="s">
        <v>979</v>
      </c>
      <c r="C484" s="313">
        <v>44236</v>
      </c>
      <c r="D484" s="300" t="s">
        <v>920</v>
      </c>
      <c r="E484" s="307" t="s">
        <v>58</v>
      </c>
      <c r="F484" s="307" t="s">
        <v>980</v>
      </c>
      <c r="G484" s="301" t="s">
        <v>59</v>
      </c>
      <c r="H484" s="301" t="s">
        <v>1008</v>
      </c>
      <c r="I484" s="306" t="s">
        <v>1006</v>
      </c>
      <c r="J484" s="302" t="s">
        <v>1007</v>
      </c>
      <c r="K484" s="529"/>
    </row>
    <row r="485" spans="1:11" hidden="1">
      <c r="A485" s="298" t="s">
        <v>44</v>
      </c>
      <c r="B485" s="300" t="s">
        <v>979</v>
      </c>
      <c r="C485" s="313">
        <v>44236</v>
      </c>
      <c r="D485" s="300" t="s">
        <v>920</v>
      </c>
      <c r="E485" s="307" t="s">
        <v>58</v>
      </c>
      <c r="F485" s="307" t="s">
        <v>980</v>
      </c>
      <c r="G485" s="301" t="s">
        <v>59</v>
      </c>
      <c r="H485" s="301" t="s">
        <v>1009</v>
      </c>
      <c r="I485" s="306">
        <v>0.81</v>
      </c>
      <c r="J485" s="302">
        <v>0.82</v>
      </c>
      <c r="K485" s="527" t="s">
        <v>1010</v>
      </c>
    </row>
    <row r="486" spans="1:11" hidden="1">
      <c r="A486" s="298" t="s">
        <v>44</v>
      </c>
      <c r="B486" s="300" t="s">
        <v>979</v>
      </c>
      <c r="C486" s="313">
        <v>44236</v>
      </c>
      <c r="D486" s="300" t="s">
        <v>920</v>
      </c>
      <c r="E486" s="307" t="s">
        <v>58</v>
      </c>
      <c r="F486" s="307" t="s">
        <v>980</v>
      </c>
      <c r="G486" s="301" t="s">
        <v>59</v>
      </c>
      <c r="H486" s="301" t="s">
        <v>1011</v>
      </c>
      <c r="I486" s="306" t="s">
        <v>1012</v>
      </c>
      <c r="J486" s="302" t="s">
        <v>1013</v>
      </c>
      <c r="K486" s="528"/>
    </row>
    <row r="487" spans="1:11" hidden="1">
      <c r="A487" s="298" t="s">
        <v>44</v>
      </c>
      <c r="B487" s="300" t="s">
        <v>979</v>
      </c>
      <c r="C487" s="313">
        <v>44236</v>
      </c>
      <c r="D487" s="300" t="s">
        <v>920</v>
      </c>
      <c r="E487" s="307" t="s">
        <v>58</v>
      </c>
      <c r="F487" s="307" t="s">
        <v>980</v>
      </c>
      <c r="G487" s="301" t="s">
        <v>59</v>
      </c>
      <c r="H487" s="301" t="s">
        <v>1014</v>
      </c>
      <c r="I487" s="306">
        <v>0.81</v>
      </c>
      <c r="J487" s="302">
        <v>0.82</v>
      </c>
      <c r="K487" s="528"/>
    </row>
    <row r="488" spans="1:11" hidden="1">
      <c r="A488" s="298" t="s">
        <v>44</v>
      </c>
      <c r="B488" s="300" t="s">
        <v>979</v>
      </c>
      <c r="C488" s="313">
        <v>44236</v>
      </c>
      <c r="D488" s="300" t="s">
        <v>920</v>
      </c>
      <c r="E488" s="307" t="s">
        <v>58</v>
      </c>
      <c r="F488" s="307" t="s">
        <v>980</v>
      </c>
      <c r="G488" s="301" t="s">
        <v>59</v>
      </c>
      <c r="H488" s="301" t="s">
        <v>1015</v>
      </c>
      <c r="I488" s="306" t="s">
        <v>1012</v>
      </c>
      <c r="J488" s="302" t="s">
        <v>1013</v>
      </c>
      <c r="K488" s="528"/>
    </row>
    <row r="489" spans="1:11" hidden="1">
      <c r="A489" s="298" t="s">
        <v>44</v>
      </c>
      <c r="B489" s="300" t="s">
        <v>979</v>
      </c>
      <c r="C489" s="313">
        <v>44236</v>
      </c>
      <c r="D489" s="300" t="s">
        <v>920</v>
      </c>
      <c r="E489" s="307" t="s">
        <v>58</v>
      </c>
      <c r="F489" s="307" t="s">
        <v>980</v>
      </c>
      <c r="G489" s="301" t="s">
        <v>59</v>
      </c>
      <c r="H489" s="301" t="s">
        <v>1016</v>
      </c>
      <c r="I489" s="306">
        <v>1.02</v>
      </c>
      <c r="J489" s="302">
        <v>1.07</v>
      </c>
      <c r="K489" s="528"/>
    </row>
    <row r="490" spans="1:11" hidden="1">
      <c r="A490" s="298" t="s">
        <v>44</v>
      </c>
      <c r="B490" s="300" t="s">
        <v>979</v>
      </c>
      <c r="C490" s="313">
        <v>44236</v>
      </c>
      <c r="D490" s="300" t="s">
        <v>920</v>
      </c>
      <c r="E490" s="307" t="s">
        <v>58</v>
      </c>
      <c r="F490" s="307" t="s">
        <v>980</v>
      </c>
      <c r="G490" s="301" t="s">
        <v>59</v>
      </c>
      <c r="H490" s="301" t="s">
        <v>1017</v>
      </c>
      <c r="I490" s="306" t="s">
        <v>1012</v>
      </c>
      <c r="J490" s="302" t="s">
        <v>1013</v>
      </c>
      <c r="K490" s="528"/>
    </row>
    <row r="491" spans="1:11" hidden="1">
      <c r="A491" s="298" t="s">
        <v>44</v>
      </c>
      <c r="B491" s="300" t="s">
        <v>979</v>
      </c>
      <c r="C491" s="313">
        <v>44236</v>
      </c>
      <c r="D491" s="300" t="s">
        <v>920</v>
      </c>
      <c r="E491" s="307" t="s">
        <v>58</v>
      </c>
      <c r="F491" s="307" t="s">
        <v>980</v>
      </c>
      <c r="G491" s="301" t="s">
        <v>59</v>
      </c>
      <c r="H491" s="301" t="s">
        <v>1018</v>
      </c>
      <c r="I491" s="306">
        <v>0.81</v>
      </c>
      <c r="J491" s="302">
        <v>0.8</v>
      </c>
      <c r="K491" s="528"/>
    </row>
    <row r="492" spans="1:11" hidden="1">
      <c r="A492" s="298" t="s">
        <v>44</v>
      </c>
      <c r="B492" s="300" t="s">
        <v>979</v>
      </c>
      <c r="C492" s="313">
        <v>44236</v>
      </c>
      <c r="D492" s="300" t="s">
        <v>920</v>
      </c>
      <c r="E492" s="307" t="s">
        <v>58</v>
      </c>
      <c r="F492" s="307" t="s">
        <v>980</v>
      </c>
      <c r="G492" s="301" t="s">
        <v>59</v>
      </c>
      <c r="H492" s="301" t="s">
        <v>1019</v>
      </c>
      <c r="I492" s="306" t="s">
        <v>1012</v>
      </c>
      <c r="J492" s="302" t="s">
        <v>1013</v>
      </c>
      <c r="K492" s="528"/>
    </row>
    <row r="493" spans="1:11" hidden="1">
      <c r="A493" s="298" t="s">
        <v>44</v>
      </c>
      <c r="B493" s="300" t="s">
        <v>979</v>
      </c>
      <c r="C493" s="313">
        <v>44236</v>
      </c>
      <c r="D493" s="300" t="s">
        <v>920</v>
      </c>
      <c r="E493" s="307" t="s">
        <v>58</v>
      </c>
      <c r="F493" s="307" t="s">
        <v>980</v>
      </c>
      <c r="G493" s="301" t="s">
        <v>59</v>
      </c>
      <c r="H493" s="301" t="s">
        <v>1020</v>
      </c>
      <c r="I493" s="306">
        <v>0.44</v>
      </c>
      <c r="J493" s="302">
        <v>0.51</v>
      </c>
      <c r="K493" s="528"/>
    </row>
    <row r="494" spans="1:11" hidden="1">
      <c r="A494" s="298" t="s">
        <v>44</v>
      </c>
      <c r="B494" s="300" t="s">
        <v>979</v>
      </c>
      <c r="C494" s="313">
        <v>44236</v>
      </c>
      <c r="D494" s="300" t="s">
        <v>920</v>
      </c>
      <c r="E494" s="307" t="s">
        <v>58</v>
      </c>
      <c r="F494" s="307" t="s">
        <v>980</v>
      </c>
      <c r="G494" s="301" t="s">
        <v>59</v>
      </c>
      <c r="H494" s="301" t="s">
        <v>1021</v>
      </c>
      <c r="I494" s="306" t="s">
        <v>1012</v>
      </c>
      <c r="J494" s="302" t="s">
        <v>1013</v>
      </c>
      <c r="K494" s="528"/>
    </row>
    <row r="495" spans="1:11" hidden="1">
      <c r="A495" s="298" t="s">
        <v>44</v>
      </c>
      <c r="B495" s="300" t="s">
        <v>979</v>
      </c>
      <c r="C495" s="313">
        <v>44236</v>
      </c>
      <c r="D495" s="300" t="s">
        <v>920</v>
      </c>
      <c r="E495" s="307" t="s">
        <v>58</v>
      </c>
      <c r="F495" s="307" t="s">
        <v>980</v>
      </c>
      <c r="G495" s="301" t="s">
        <v>59</v>
      </c>
      <c r="H495" s="301" t="s">
        <v>1022</v>
      </c>
      <c r="I495" s="306">
        <v>0.69</v>
      </c>
      <c r="J495" s="302">
        <v>0.7</v>
      </c>
      <c r="K495" s="528"/>
    </row>
    <row r="496" spans="1:11" hidden="1">
      <c r="A496" s="298" t="s">
        <v>44</v>
      </c>
      <c r="B496" s="300" t="s">
        <v>979</v>
      </c>
      <c r="C496" s="313">
        <v>44236</v>
      </c>
      <c r="D496" s="300" t="s">
        <v>920</v>
      </c>
      <c r="E496" s="307" t="s">
        <v>58</v>
      </c>
      <c r="F496" s="307" t="s">
        <v>980</v>
      </c>
      <c r="G496" s="301" t="s">
        <v>59</v>
      </c>
      <c r="H496" s="301" t="s">
        <v>1023</v>
      </c>
      <c r="I496" s="306" t="s">
        <v>1012</v>
      </c>
      <c r="J496" s="302" t="s">
        <v>1013</v>
      </c>
      <c r="K496" s="528"/>
    </row>
    <row r="497" spans="1:11" hidden="1">
      <c r="A497" s="298" t="s">
        <v>44</v>
      </c>
      <c r="B497" s="300" t="s">
        <v>979</v>
      </c>
      <c r="C497" s="313">
        <v>44236</v>
      </c>
      <c r="D497" s="300" t="s">
        <v>920</v>
      </c>
      <c r="E497" s="307" t="s">
        <v>58</v>
      </c>
      <c r="F497" s="307" t="s">
        <v>980</v>
      </c>
      <c r="G497" s="301" t="s">
        <v>59</v>
      </c>
      <c r="H497" s="301" t="s">
        <v>1024</v>
      </c>
      <c r="I497" s="306">
        <v>0.59</v>
      </c>
      <c r="J497" s="302">
        <v>0.6</v>
      </c>
      <c r="K497" s="528"/>
    </row>
    <row r="498" spans="1:11" hidden="1">
      <c r="A498" s="298" t="s">
        <v>44</v>
      </c>
      <c r="B498" s="300" t="s">
        <v>979</v>
      </c>
      <c r="C498" s="313">
        <v>44236</v>
      </c>
      <c r="D498" s="300" t="s">
        <v>920</v>
      </c>
      <c r="E498" s="307" t="s">
        <v>58</v>
      </c>
      <c r="F498" s="307" t="s">
        <v>980</v>
      </c>
      <c r="G498" s="301" t="s">
        <v>59</v>
      </c>
      <c r="H498" s="301" t="s">
        <v>1025</v>
      </c>
      <c r="I498" s="306" t="s">
        <v>1012</v>
      </c>
      <c r="J498" s="302" t="s">
        <v>1013</v>
      </c>
      <c r="K498" s="528"/>
    </row>
    <row r="499" spans="1:11" hidden="1">
      <c r="A499" s="298" t="s">
        <v>44</v>
      </c>
      <c r="B499" s="300" t="s">
        <v>979</v>
      </c>
      <c r="C499" s="313">
        <v>44236</v>
      </c>
      <c r="D499" s="300" t="s">
        <v>920</v>
      </c>
      <c r="E499" s="307" t="s">
        <v>58</v>
      </c>
      <c r="F499" s="307" t="s">
        <v>980</v>
      </c>
      <c r="G499" s="301" t="s">
        <v>59</v>
      </c>
      <c r="H499" s="301" t="s">
        <v>1026</v>
      </c>
      <c r="I499" s="306">
        <v>0.55000000000000004</v>
      </c>
      <c r="J499" s="302">
        <v>0.56000000000000005</v>
      </c>
      <c r="K499" s="528"/>
    </row>
    <row r="500" spans="1:11" hidden="1">
      <c r="A500" s="298" t="s">
        <v>44</v>
      </c>
      <c r="B500" s="300" t="s">
        <v>979</v>
      </c>
      <c r="C500" s="313">
        <v>44236</v>
      </c>
      <c r="D500" s="300" t="s">
        <v>920</v>
      </c>
      <c r="E500" s="307" t="s">
        <v>58</v>
      </c>
      <c r="F500" s="307" t="s">
        <v>980</v>
      </c>
      <c r="G500" s="301" t="s">
        <v>59</v>
      </c>
      <c r="H500" s="301" t="s">
        <v>1027</v>
      </c>
      <c r="I500" s="306" t="s">
        <v>1012</v>
      </c>
      <c r="J500" s="302" t="s">
        <v>1013</v>
      </c>
      <c r="K500" s="528"/>
    </row>
    <row r="501" spans="1:11" hidden="1">
      <c r="A501" s="298" t="s">
        <v>44</v>
      </c>
      <c r="B501" s="300" t="s">
        <v>979</v>
      </c>
      <c r="C501" s="313">
        <v>44236</v>
      </c>
      <c r="D501" s="300" t="s">
        <v>920</v>
      </c>
      <c r="E501" s="307" t="s">
        <v>58</v>
      </c>
      <c r="F501" s="307" t="s">
        <v>980</v>
      </c>
      <c r="G501" s="301" t="s">
        <v>59</v>
      </c>
      <c r="H501" s="301" t="s">
        <v>1028</v>
      </c>
      <c r="I501" s="306">
        <v>0.63</v>
      </c>
      <c r="J501" s="302">
        <v>0.64</v>
      </c>
      <c r="K501" s="528"/>
    </row>
    <row r="502" spans="1:11" hidden="1">
      <c r="A502" s="298" t="s">
        <v>44</v>
      </c>
      <c r="B502" s="300" t="s">
        <v>979</v>
      </c>
      <c r="C502" s="313">
        <v>44236</v>
      </c>
      <c r="D502" s="300" t="s">
        <v>920</v>
      </c>
      <c r="E502" s="307" t="s">
        <v>58</v>
      </c>
      <c r="F502" s="307" t="s">
        <v>980</v>
      </c>
      <c r="G502" s="301" t="s">
        <v>59</v>
      </c>
      <c r="H502" s="301" t="s">
        <v>1029</v>
      </c>
      <c r="I502" s="306" t="s">
        <v>1012</v>
      </c>
      <c r="J502" s="302" t="s">
        <v>1013</v>
      </c>
      <c r="K502" s="528"/>
    </row>
    <row r="503" spans="1:11" hidden="1">
      <c r="A503" s="298" t="s">
        <v>44</v>
      </c>
      <c r="B503" s="300" t="s">
        <v>979</v>
      </c>
      <c r="C503" s="313">
        <v>44236</v>
      </c>
      <c r="D503" s="300" t="s">
        <v>920</v>
      </c>
      <c r="E503" s="307" t="s">
        <v>58</v>
      </c>
      <c r="F503" s="307" t="s">
        <v>980</v>
      </c>
      <c r="G503" s="301" t="s">
        <v>59</v>
      </c>
      <c r="H503" s="301" t="s">
        <v>1030</v>
      </c>
      <c r="I503" s="306">
        <v>0.15</v>
      </c>
      <c r="J503" s="302">
        <v>0.19</v>
      </c>
      <c r="K503" s="528"/>
    </row>
    <row r="504" spans="1:11" hidden="1">
      <c r="A504" s="298" t="s">
        <v>44</v>
      </c>
      <c r="B504" s="300" t="s">
        <v>979</v>
      </c>
      <c r="C504" s="313">
        <v>44236</v>
      </c>
      <c r="D504" s="300" t="s">
        <v>920</v>
      </c>
      <c r="E504" s="307" t="s">
        <v>58</v>
      </c>
      <c r="F504" s="307" t="s">
        <v>980</v>
      </c>
      <c r="G504" s="301" t="s">
        <v>59</v>
      </c>
      <c r="H504" s="301" t="s">
        <v>1031</v>
      </c>
      <c r="I504" s="306" t="s">
        <v>1012</v>
      </c>
      <c r="J504" s="302" t="s">
        <v>1013</v>
      </c>
      <c r="K504" s="529"/>
    </row>
    <row r="505" spans="1:11" hidden="1">
      <c r="A505" s="298" t="s">
        <v>44</v>
      </c>
      <c r="B505" s="300" t="s">
        <v>979</v>
      </c>
      <c r="C505" s="313">
        <v>44236</v>
      </c>
      <c r="D505" s="300" t="s">
        <v>920</v>
      </c>
      <c r="E505" s="307" t="s">
        <v>58</v>
      </c>
      <c r="F505" s="307" t="s">
        <v>980</v>
      </c>
      <c r="G505" s="301" t="s">
        <v>59</v>
      </c>
      <c r="H505" s="301" t="s">
        <v>1032</v>
      </c>
      <c r="I505" s="306">
        <v>25</v>
      </c>
      <c r="J505" s="302">
        <v>28</v>
      </c>
      <c r="K505" s="536" t="s">
        <v>1033</v>
      </c>
    </row>
    <row r="506" spans="1:11" hidden="1">
      <c r="A506" s="298" t="s">
        <v>44</v>
      </c>
      <c r="B506" s="300" t="s">
        <v>979</v>
      </c>
      <c r="C506" s="313">
        <v>44236</v>
      </c>
      <c r="D506" s="300" t="s">
        <v>920</v>
      </c>
      <c r="E506" s="307" t="s">
        <v>58</v>
      </c>
      <c r="F506" s="307" t="s">
        <v>980</v>
      </c>
      <c r="G506" s="301" t="s">
        <v>59</v>
      </c>
      <c r="H506" s="301" t="s">
        <v>1034</v>
      </c>
      <c r="I506" s="306" t="s">
        <v>1035</v>
      </c>
      <c r="J506" s="302" t="s">
        <v>1036</v>
      </c>
      <c r="K506" s="537"/>
    </row>
    <row r="507" spans="1:11" hidden="1">
      <c r="A507" s="298" t="s">
        <v>44</v>
      </c>
      <c r="B507" s="300" t="s">
        <v>979</v>
      </c>
      <c r="C507" s="313">
        <v>44236</v>
      </c>
      <c r="D507" s="300" t="s">
        <v>920</v>
      </c>
      <c r="E507" s="307" t="s">
        <v>58</v>
      </c>
      <c r="F507" s="307" t="s">
        <v>980</v>
      </c>
      <c r="G507" s="301" t="s">
        <v>59</v>
      </c>
      <c r="H507" s="301" t="s">
        <v>1037</v>
      </c>
      <c r="I507" s="306">
        <v>25</v>
      </c>
      <c r="J507" s="302">
        <v>28</v>
      </c>
      <c r="K507" s="537"/>
    </row>
    <row r="508" spans="1:11" hidden="1">
      <c r="A508" s="298" t="s">
        <v>44</v>
      </c>
      <c r="B508" s="300" t="s">
        <v>979</v>
      </c>
      <c r="C508" s="313">
        <v>44236</v>
      </c>
      <c r="D508" s="300" t="s">
        <v>920</v>
      </c>
      <c r="E508" s="307" t="s">
        <v>58</v>
      </c>
      <c r="F508" s="307" t="s">
        <v>980</v>
      </c>
      <c r="G508" s="301" t="s">
        <v>59</v>
      </c>
      <c r="H508" s="301" t="s">
        <v>1038</v>
      </c>
      <c r="I508" s="306" t="s">
        <v>1035</v>
      </c>
      <c r="J508" s="302" t="s">
        <v>1036</v>
      </c>
      <c r="K508" s="537"/>
    </row>
    <row r="509" spans="1:11" hidden="1">
      <c r="A509" s="298" t="s">
        <v>44</v>
      </c>
      <c r="B509" s="300" t="s">
        <v>979</v>
      </c>
      <c r="C509" s="313">
        <v>44236</v>
      </c>
      <c r="D509" s="300" t="s">
        <v>920</v>
      </c>
      <c r="E509" s="307" t="s">
        <v>58</v>
      </c>
      <c r="F509" s="307" t="s">
        <v>980</v>
      </c>
      <c r="G509" s="301" t="s">
        <v>59</v>
      </c>
      <c r="H509" s="301" t="s">
        <v>1039</v>
      </c>
      <c r="I509" s="306">
        <v>29</v>
      </c>
      <c r="J509" s="302">
        <v>27</v>
      </c>
      <c r="K509" s="537"/>
    </row>
    <row r="510" spans="1:11" hidden="1">
      <c r="A510" s="298" t="s">
        <v>44</v>
      </c>
      <c r="B510" s="300" t="s">
        <v>979</v>
      </c>
      <c r="C510" s="313">
        <v>44236</v>
      </c>
      <c r="D510" s="300" t="s">
        <v>920</v>
      </c>
      <c r="E510" s="307" t="s">
        <v>58</v>
      </c>
      <c r="F510" s="307" t="s">
        <v>980</v>
      </c>
      <c r="G510" s="301" t="s">
        <v>59</v>
      </c>
      <c r="H510" s="301" t="s">
        <v>1040</v>
      </c>
      <c r="I510" s="306" t="s">
        <v>1035</v>
      </c>
      <c r="J510" s="302" t="s">
        <v>1036</v>
      </c>
      <c r="K510" s="537"/>
    </row>
    <row r="511" spans="1:11" hidden="1">
      <c r="A511" s="298" t="s">
        <v>44</v>
      </c>
      <c r="B511" s="300" t="s">
        <v>979</v>
      </c>
      <c r="C511" s="313">
        <v>44236</v>
      </c>
      <c r="D511" s="300" t="s">
        <v>920</v>
      </c>
      <c r="E511" s="307" t="s">
        <v>58</v>
      </c>
      <c r="F511" s="307" t="s">
        <v>980</v>
      </c>
      <c r="G511" s="301" t="s">
        <v>59</v>
      </c>
      <c r="H511" s="301" t="s">
        <v>1041</v>
      </c>
      <c r="I511" s="306">
        <v>33</v>
      </c>
      <c r="J511" s="302">
        <v>35</v>
      </c>
      <c r="K511" s="537"/>
    </row>
    <row r="512" spans="1:11" hidden="1">
      <c r="A512" s="298" t="s">
        <v>44</v>
      </c>
      <c r="B512" s="300" t="s">
        <v>979</v>
      </c>
      <c r="C512" s="313">
        <v>44236</v>
      </c>
      <c r="D512" s="300" t="s">
        <v>920</v>
      </c>
      <c r="E512" s="307" t="s">
        <v>58</v>
      </c>
      <c r="F512" s="307" t="s">
        <v>980</v>
      </c>
      <c r="G512" s="301" t="s">
        <v>59</v>
      </c>
      <c r="H512" s="301" t="s">
        <v>1042</v>
      </c>
      <c r="I512" s="306" t="s">
        <v>1035</v>
      </c>
      <c r="J512" s="302" t="s">
        <v>1036</v>
      </c>
      <c r="K512" s="537"/>
    </row>
    <row r="513" spans="1:11" hidden="1">
      <c r="A513" s="298" t="s">
        <v>44</v>
      </c>
      <c r="B513" s="300" t="s">
        <v>979</v>
      </c>
      <c r="C513" s="313">
        <v>44236</v>
      </c>
      <c r="D513" s="300" t="s">
        <v>920</v>
      </c>
      <c r="E513" s="307" t="s">
        <v>58</v>
      </c>
      <c r="F513" s="307" t="s">
        <v>980</v>
      </c>
      <c r="G513" s="301" t="s">
        <v>59</v>
      </c>
      <c r="H513" s="301" t="s">
        <v>1043</v>
      </c>
      <c r="I513" s="306">
        <v>27</v>
      </c>
      <c r="J513" s="302">
        <v>28</v>
      </c>
      <c r="K513" s="537"/>
    </row>
    <row r="514" spans="1:11" hidden="1">
      <c r="A514" s="298" t="s">
        <v>44</v>
      </c>
      <c r="B514" s="300" t="s">
        <v>979</v>
      </c>
      <c r="C514" s="313">
        <v>44236</v>
      </c>
      <c r="D514" s="300" t="s">
        <v>920</v>
      </c>
      <c r="E514" s="307" t="s">
        <v>58</v>
      </c>
      <c r="F514" s="307" t="s">
        <v>980</v>
      </c>
      <c r="G514" s="301" t="s">
        <v>59</v>
      </c>
      <c r="H514" s="301" t="s">
        <v>1044</v>
      </c>
      <c r="I514" s="306" t="s">
        <v>1035</v>
      </c>
      <c r="J514" s="302" t="s">
        <v>1036</v>
      </c>
      <c r="K514" s="537"/>
    </row>
    <row r="515" spans="1:11" hidden="1">
      <c r="A515" s="298" t="s">
        <v>44</v>
      </c>
      <c r="B515" s="300" t="s">
        <v>979</v>
      </c>
      <c r="C515" s="313">
        <v>44236</v>
      </c>
      <c r="D515" s="300" t="s">
        <v>920</v>
      </c>
      <c r="E515" s="307" t="s">
        <v>58</v>
      </c>
      <c r="F515" s="307" t="s">
        <v>980</v>
      </c>
      <c r="G515" s="301" t="s">
        <v>59</v>
      </c>
      <c r="H515" s="301" t="s">
        <v>1045</v>
      </c>
      <c r="I515" s="306">
        <v>12</v>
      </c>
      <c r="J515" s="302">
        <v>13</v>
      </c>
      <c r="K515" s="537"/>
    </row>
    <row r="516" spans="1:11" hidden="1">
      <c r="A516" s="298" t="s">
        <v>44</v>
      </c>
      <c r="B516" s="300" t="s">
        <v>979</v>
      </c>
      <c r="C516" s="313">
        <v>44236</v>
      </c>
      <c r="D516" s="300" t="s">
        <v>920</v>
      </c>
      <c r="E516" s="307" t="s">
        <v>58</v>
      </c>
      <c r="F516" s="307" t="s">
        <v>980</v>
      </c>
      <c r="G516" s="301" t="s">
        <v>59</v>
      </c>
      <c r="H516" s="301" t="s">
        <v>1046</v>
      </c>
      <c r="I516" s="306" t="s">
        <v>1035</v>
      </c>
      <c r="J516" s="302" t="s">
        <v>1036</v>
      </c>
      <c r="K516" s="537"/>
    </row>
    <row r="517" spans="1:11" hidden="1">
      <c r="A517" s="298" t="s">
        <v>44</v>
      </c>
      <c r="B517" s="300" t="s">
        <v>979</v>
      </c>
      <c r="C517" s="313">
        <v>44236</v>
      </c>
      <c r="D517" s="300" t="s">
        <v>920</v>
      </c>
      <c r="E517" s="307" t="s">
        <v>58</v>
      </c>
      <c r="F517" s="307" t="s">
        <v>980</v>
      </c>
      <c r="G517" s="301" t="s">
        <v>59</v>
      </c>
      <c r="H517" s="301" t="s">
        <v>1047</v>
      </c>
      <c r="I517" s="306">
        <v>23</v>
      </c>
      <c r="J517" s="302">
        <v>25</v>
      </c>
      <c r="K517" s="537"/>
    </row>
    <row r="518" spans="1:11" hidden="1">
      <c r="A518" s="298" t="s">
        <v>44</v>
      </c>
      <c r="B518" s="300" t="s">
        <v>979</v>
      </c>
      <c r="C518" s="313">
        <v>44236</v>
      </c>
      <c r="D518" s="300" t="s">
        <v>920</v>
      </c>
      <c r="E518" s="307" t="s">
        <v>58</v>
      </c>
      <c r="F518" s="307" t="s">
        <v>980</v>
      </c>
      <c r="G518" s="301" t="s">
        <v>59</v>
      </c>
      <c r="H518" s="301" t="s">
        <v>1048</v>
      </c>
      <c r="I518" s="306" t="s">
        <v>1035</v>
      </c>
      <c r="J518" s="302" t="s">
        <v>1036</v>
      </c>
      <c r="K518" s="537"/>
    </row>
    <row r="519" spans="1:11" hidden="1">
      <c r="A519" s="298" t="s">
        <v>44</v>
      </c>
      <c r="B519" s="300" t="s">
        <v>979</v>
      </c>
      <c r="C519" s="313">
        <v>44236</v>
      </c>
      <c r="D519" s="300" t="s">
        <v>920</v>
      </c>
      <c r="E519" s="307" t="s">
        <v>58</v>
      </c>
      <c r="F519" s="307" t="s">
        <v>980</v>
      </c>
      <c r="G519" s="301" t="s">
        <v>59</v>
      </c>
      <c r="H519" s="301" t="s">
        <v>1049</v>
      </c>
      <c r="I519" s="306">
        <v>6</v>
      </c>
      <c r="J519" s="302">
        <v>8</v>
      </c>
      <c r="K519" s="537"/>
    </row>
    <row r="520" spans="1:11" hidden="1">
      <c r="A520" s="298" t="s">
        <v>44</v>
      </c>
      <c r="B520" s="300" t="s">
        <v>979</v>
      </c>
      <c r="C520" s="313">
        <v>44236</v>
      </c>
      <c r="D520" s="300" t="s">
        <v>920</v>
      </c>
      <c r="E520" s="307" t="s">
        <v>58</v>
      </c>
      <c r="F520" s="307" t="s">
        <v>980</v>
      </c>
      <c r="G520" s="301" t="s">
        <v>59</v>
      </c>
      <c r="H520" s="301" t="s">
        <v>1050</v>
      </c>
      <c r="I520" s="306" t="s">
        <v>1035</v>
      </c>
      <c r="J520" s="302" t="s">
        <v>1036</v>
      </c>
      <c r="K520" s="538"/>
    </row>
    <row r="521" spans="1:11" hidden="1">
      <c r="A521" s="298" t="s">
        <v>44</v>
      </c>
      <c r="B521" s="300" t="s">
        <v>979</v>
      </c>
      <c r="C521" s="313">
        <v>44236</v>
      </c>
      <c r="D521" s="300" t="s">
        <v>920</v>
      </c>
      <c r="E521" s="307" t="s">
        <v>58</v>
      </c>
      <c r="F521" s="307" t="s">
        <v>980</v>
      </c>
      <c r="G521" s="301" t="s">
        <v>59</v>
      </c>
      <c r="H521" s="301" t="s">
        <v>1051</v>
      </c>
      <c r="I521" s="306" t="s">
        <v>1052</v>
      </c>
      <c r="J521" s="302" t="s">
        <v>1053</v>
      </c>
      <c r="K521" s="527" t="s">
        <v>1054</v>
      </c>
    </row>
    <row r="522" spans="1:11" hidden="1">
      <c r="A522" s="298" t="s">
        <v>44</v>
      </c>
      <c r="B522" s="300" t="s">
        <v>979</v>
      </c>
      <c r="C522" s="313">
        <v>44236</v>
      </c>
      <c r="D522" s="300" t="s">
        <v>920</v>
      </c>
      <c r="E522" s="307" t="s">
        <v>58</v>
      </c>
      <c r="F522" s="307" t="s">
        <v>980</v>
      </c>
      <c r="G522" s="301" t="s">
        <v>59</v>
      </c>
      <c r="H522" s="301" t="s">
        <v>1055</v>
      </c>
      <c r="I522" s="306" t="s">
        <v>1052</v>
      </c>
      <c r="J522" s="302" t="s">
        <v>1053</v>
      </c>
      <c r="K522" s="528"/>
    </row>
    <row r="523" spans="1:11" hidden="1">
      <c r="A523" s="298" t="s">
        <v>44</v>
      </c>
      <c r="B523" s="300" t="s">
        <v>979</v>
      </c>
      <c r="C523" s="313">
        <v>44236</v>
      </c>
      <c r="D523" s="300" t="s">
        <v>920</v>
      </c>
      <c r="E523" s="307" t="s">
        <v>58</v>
      </c>
      <c r="F523" s="307" t="s">
        <v>980</v>
      </c>
      <c r="G523" s="301" t="s">
        <v>59</v>
      </c>
      <c r="H523" s="301" t="s">
        <v>1056</v>
      </c>
      <c r="I523" s="306" t="s">
        <v>1052</v>
      </c>
      <c r="J523" s="302" t="s">
        <v>1053</v>
      </c>
      <c r="K523" s="528"/>
    </row>
    <row r="524" spans="1:11" hidden="1">
      <c r="A524" s="298" t="s">
        <v>44</v>
      </c>
      <c r="B524" s="300" t="s">
        <v>979</v>
      </c>
      <c r="C524" s="313">
        <v>44236</v>
      </c>
      <c r="D524" s="300" t="s">
        <v>920</v>
      </c>
      <c r="E524" s="307" t="s">
        <v>58</v>
      </c>
      <c r="F524" s="307" t="s">
        <v>980</v>
      </c>
      <c r="G524" s="301" t="s">
        <v>59</v>
      </c>
      <c r="H524" s="301" t="s">
        <v>259</v>
      </c>
      <c r="I524" s="306" t="s">
        <v>1052</v>
      </c>
      <c r="J524" s="302" t="s">
        <v>1053</v>
      </c>
      <c r="K524" s="528"/>
    </row>
    <row r="525" spans="1:11" hidden="1">
      <c r="A525" s="298" t="s">
        <v>44</v>
      </c>
      <c r="B525" s="300" t="s">
        <v>979</v>
      </c>
      <c r="C525" s="313">
        <v>44236</v>
      </c>
      <c r="D525" s="300" t="s">
        <v>920</v>
      </c>
      <c r="E525" s="307" t="s">
        <v>58</v>
      </c>
      <c r="F525" s="307" t="s">
        <v>980</v>
      </c>
      <c r="G525" s="301" t="s">
        <v>59</v>
      </c>
      <c r="H525" s="301" t="s">
        <v>1057</v>
      </c>
      <c r="I525" s="306" t="s">
        <v>1058</v>
      </c>
      <c r="J525" s="302" t="s">
        <v>1059</v>
      </c>
      <c r="K525" s="529"/>
    </row>
    <row r="526" spans="1:11" hidden="1">
      <c r="A526" s="298" t="s">
        <v>44</v>
      </c>
      <c r="B526" s="300" t="s">
        <v>979</v>
      </c>
      <c r="C526" s="313">
        <v>44236</v>
      </c>
      <c r="D526" s="300" t="s">
        <v>920</v>
      </c>
      <c r="E526" s="307" t="s">
        <v>58</v>
      </c>
      <c r="F526" s="307" t="s">
        <v>980</v>
      </c>
      <c r="G526" s="301" t="s">
        <v>59</v>
      </c>
      <c r="H526" s="301" t="s">
        <v>1060</v>
      </c>
      <c r="I526" s="306" t="s">
        <v>1061</v>
      </c>
      <c r="J526" s="302" t="s">
        <v>985</v>
      </c>
      <c r="K526" s="527" t="s">
        <v>1062</v>
      </c>
    </row>
    <row r="527" spans="1:11" hidden="1">
      <c r="A527" s="298" t="s">
        <v>44</v>
      </c>
      <c r="B527" s="300" t="s">
        <v>979</v>
      </c>
      <c r="C527" s="313">
        <v>44236</v>
      </c>
      <c r="D527" s="300" t="s">
        <v>920</v>
      </c>
      <c r="E527" s="307" t="s">
        <v>58</v>
      </c>
      <c r="F527" s="307" t="s">
        <v>980</v>
      </c>
      <c r="G527" s="301" t="s">
        <v>59</v>
      </c>
      <c r="H527" s="301" t="s">
        <v>1063</v>
      </c>
      <c r="I527" s="306">
        <v>0.1</v>
      </c>
      <c r="J527" s="302">
        <v>0.2</v>
      </c>
      <c r="K527" s="528"/>
    </row>
    <row r="528" spans="1:11" hidden="1">
      <c r="A528" s="298" t="s">
        <v>44</v>
      </c>
      <c r="B528" s="300" t="s">
        <v>979</v>
      </c>
      <c r="C528" s="313">
        <v>44236</v>
      </c>
      <c r="D528" s="300" t="s">
        <v>920</v>
      </c>
      <c r="E528" s="307" t="s">
        <v>58</v>
      </c>
      <c r="F528" s="307" t="s">
        <v>980</v>
      </c>
      <c r="G528" s="301" t="s">
        <v>59</v>
      </c>
      <c r="H528" s="301" t="s">
        <v>1064</v>
      </c>
      <c r="I528" s="306" t="s">
        <v>1065</v>
      </c>
      <c r="J528" s="302" t="s">
        <v>990</v>
      </c>
      <c r="K528" s="528"/>
    </row>
    <row r="529" spans="1:11" hidden="1">
      <c r="A529" s="298" t="s">
        <v>44</v>
      </c>
      <c r="B529" s="300" t="s">
        <v>979</v>
      </c>
      <c r="C529" s="313">
        <v>44236</v>
      </c>
      <c r="D529" s="300" t="s">
        <v>920</v>
      </c>
      <c r="E529" s="307" t="s">
        <v>58</v>
      </c>
      <c r="F529" s="307" t="s">
        <v>980</v>
      </c>
      <c r="G529" s="301" t="s">
        <v>59</v>
      </c>
      <c r="H529" s="301" t="s">
        <v>1066</v>
      </c>
      <c r="I529" s="306" t="s">
        <v>1065</v>
      </c>
      <c r="J529" s="302" t="s">
        <v>990</v>
      </c>
      <c r="K529" s="528"/>
    </row>
    <row r="530" spans="1:11" hidden="1">
      <c r="A530" s="298" t="s">
        <v>44</v>
      </c>
      <c r="B530" s="300" t="s">
        <v>979</v>
      </c>
      <c r="C530" s="313">
        <v>44236</v>
      </c>
      <c r="D530" s="300" t="s">
        <v>920</v>
      </c>
      <c r="E530" s="307" t="s">
        <v>58</v>
      </c>
      <c r="F530" s="307" t="s">
        <v>980</v>
      </c>
      <c r="G530" s="301" t="s">
        <v>59</v>
      </c>
      <c r="H530" s="301" t="s">
        <v>1067</v>
      </c>
      <c r="I530" s="306" t="s">
        <v>1065</v>
      </c>
      <c r="J530" s="302" t="s">
        <v>990</v>
      </c>
      <c r="K530" s="528"/>
    </row>
    <row r="531" spans="1:11" hidden="1">
      <c r="A531" s="298" t="s">
        <v>44</v>
      </c>
      <c r="B531" s="300" t="s">
        <v>979</v>
      </c>
      <c r="C531" s="313">
        <v>44236</v>
      </c>
      <c r="D531" s="300" t="s">
        <v>920</v>
      </c>
      <c r="E531" s="307" t="s">
        <v>58</v>
      </c>
      <c r="F531" s="307" t="s">
        <v>980</v>
      </c>
      <c r="G531" s="301" t="s">
        <v>59</v>
      </c>
      <c r="H531" s="301" t="s">
        <v>1068</v>
      </c>
      <c r="I531" s="306">
        <v>0.04</v>
      </c>
      <c r="J531" s="302">
        <v>0.03</v>
      </c>
      <c r="K531" s="528"/>
    </row>
    <row r="532" spans="1:11" hidden="1">
      <c r="A532" s="298" t="s">
        <v>44</v>
      </c>
      <c r="B532" s="300" t="s">
        <v>979</v>
      </c>
      <c r="C532" s="313">
        <v>44236</v>
      </c>
      <c r="D532" s="300" t="s">
        <v>920</v>
      </c>
      <c r="E532" s="307" t="s">
        <v>58</v>
      </c>
      <c r="F532" s="307" t="s">
        <v>980</v>
      </c>
      <c r="G532" s="301" t="s">
        <v>59</v>
      </c>
      <c r="H532" s="301" t="s">
        <v>1069</v>
      </c>
      <c r="I532" s="306" t="s">
        <v>1070</v>
      </c>
      <c r="J532" s="302" t="s">
        <v>996</v>
      </c>
      <c r="K532" s="528"/>
    </row>
    <row r="533" spans="1:11" hidden="1">
      <c r="A533" s="298" t="s">
        <v>44</v>
      </c>
      <c r="B533" s="300" t="s">
        <v>979</v>
      </c>
      <c r="C533" s="313">
        <v>44236</v>
      </c>
      <c r="D533" s="300" t="s">
        <v>920</v>
      </c>
      <c r="E533" s="307" t="s">
        <v>58</v>
      </c>
      <c r="F533" s="307" t="s">
        <v>980</v>
      </c>
      <c r="G533" s="301" t="s">
        <v>59</v>
      </c>
      <c r="H533" s="301" t="s">
        <v>1071</v>
      </c>
      <c r="I533" s="306">
        <v>0.04</v>
      </c>
      <c r="J533" s="302">
        <v>0.03</v>
      </c>
      <c r="K533" s="528"/>
    </row>
    <row r="534" spans="1:11" hidden="1">
      <c r="A534" s="298" t="s">
        <v>44</v>
      </c>
      <c r="B534" s="300" t="s">
        <v>979</v>
      </c>
      <c r="C534" s="313">
        <v>44236</v>
      </c>
      <c r="D534" s="300" t="s">
        <v>920</v>
      </c>
      <c r="E534" s="307" t="s">
        <v>58</v>
      </c>
      <c r="F534" s="307" t="s">
        <v>980</v>
      </c>
      <c r="G534" s="301" t="s">
        <v>59</v>
      </c>
      <c r="H534" s="301" t="s">
        <v>1072</v>
      </c>
      <c r="I534" s="306" t="s">
        <v>1070</v>
      </c>
      <c r="J534" s="302" t="s">
        <v>996</v>
      </c>
      <c r="K534" s="529"/>
    </row>
    <row r="535" spans="1:11" hidden="1">
      <c r="A535" s="298" t="s">
        <v>44</v>
      </c>
      <c r="B535" s="300" t="s">
        <v>979</v>
      </c>
      <c r="C535" s="313">
        <v>44236</v>
      </c>
      <c r="D535" s="300" t="s">
        <v>920</v>
      </c>
      <c r="E535" s="307" t="s">
        <v>58</v>
      </c>
      <c r="F535" s="307" t="s">
        <v>980</v>
      </c>
      <c r="G535" s="301" t="s">
        <v>59</v>
      </c>
      <c r="H535" s="301" t="s">
        <v>1073</v>
      </c>
      <c r="I535" s="306" t="s">
        <v>1074</v>
      </c>
      <c r="J535" s="302" t="s">
        <v>1000</v>
      </c>
      <c r="K535" s="527" t="s">
        <v>1075</v>
      </c>
    </row>
    <row r="536" spans="1:11" hidden="1">
      <c r="A536" s="298" t="s">
        <v>44</v>
      </c>
      <c r="B536" s="300" t="s">
        <v>979</v>
      </c>
      <c r="C536" s="313">
        <v>44236</v>
      </c>
      <c r="D536" s="300" t="s">
        <v>920</v>
      </c>
      <c r="E536" s="307" t="s">
        <v>58</v>
      </c>
      <c r="F536" s="307" t="s">
        <v>980</v>
      </c>
      <c r="G536" s="301" t="s">
        <v>59</v>
      </c>
      <c r="H536" s="301" t="s">
        <v>933</v>
      </c>
      <c r="I536" s="306" t="s">
        <v>1074</v>
      </c>
      <c r="J536" s="302" t="s">
        <v>1000</v>
      </c>
      <c r="K536" s="528"/>
    </row>
    <row r="537" spans="1:11" hidden="1">
      <c r="A537" s="298" t="s">
        <v>44</v>
      </c>
      <c r="B537" s="300" t="s">
        <v>979</v>
      </c>
      <c r="C537" s="313">
        <v>44236</v>
      </c>
      <c r="D537" s="300" t="s">
        <v>920</v>
      </c>
      <c r="E537" s="307" t="s">
        <v>58</v>
      </c>
      <c r="F537" s="307" t="s">
        <v>980</v>
      </c>
      <c r="G537" s="301" t="s">
        <v>59</v>
      </c>
      <c r="H537" s="301" t="s">
        <v>936</v>
      </c>
      <c r="I537" s="306" t="s">
        <v>1074</v>
      </c>
      <c r="J537" s="302" t="s">
        <v>1000</v>
      </c>
      <c r="K537" s="528"/>
    </row>
    <row r="538" spans="1:11" hidden="1">
      <c r="A538" s="298" t="s">
        <v>44</v>
      </c>
      <c r="B538" s="300" t="s">
        <v>979</v>
      </c>
      <c r="C538" s="313">
        <v>44236</v>
      </c>
      <c r="D538" s="300" t="s">
        <v>920</v>
      </c>
      <c r="E538" s="307" t="s">
        <v>58</v>
      </c>
      <c r="F538" s="307" t="s">
        <v>980</v>
      </c>
      <c r="G538" s="301" t="s">
        <v>59</v>
      </c>
      <c r="H538" s="301" t="s">
        <v>938</v>
      </c>
      <c r="I538" s="306" t="s">
        <v>1076</v>
      </c>
      <c r="J538" s="302" t="s">
        <v>1006</v>
      </c>
      <c r="K538" s="528"/>
    </row>
    <row r="539" spans="1:11" hidden="1">
      <c r="A539" s="298" t="s">
        <v>44</v>
      </c>
      <c r="B539" s="300" t="s">
        <v>979</v>
      </c>
      <c r="C539" s="313">
        <v>44236</v>
      </c>
      <c r="D539" s="300" t="s">
        <v>920</v>
      </c>
      <c r="E539" s="307" t="s">
        <v>58</v>
      </c>
      <c r="F539" s="307" t="s">
        <v>980</v>
      </c>
      <c r="G539" s="301" t="s">
        <v>59</v>
      </c>
      <c r="H539" s="301" t="s">
        <v>940</v>
      </c>
      <c r="I539" s="306" t="s">
        <v>1076</v>
      </c>
      <c r="J539" s="302" t="s">
        <v>1006</v>
      </c>
      <c r="K539" s="529"/>
    </row>
    <row r="540" spans="1:11" hidden="1">
      <c r="A540" s="298" t="s">
        <v>44</v>
      </c>
      <c r="B540" s="300" t="s">
        <v>979</v>
      </c>
      <c r="C540" s="313">
        <v>44236</v>
      </c>
      <c r="D540" s="300" t="s">
        <v>920</v>
      </c>
      <c r="E540" s="307" t="s">
        <v>58</v>
      </c>
      <c r="F540" s="307" t="s">
        <v>980</v>
      </c>
      <c r="G540" s="301" t="s">
        <v>59</v>
      </c>
      <c r="H540" s="301" t="s">
        <v>1077</v>
      </c>
      <c r="I540" s="306" t="s">
        <v>1078</v>
      </c>
      <c r="J540" s="302" t="s">
        <v>1012</v>
      </c>
      <c r="K540" s="527" t="s">
        <v>1079</v>
      </c>
    </row>
    <row r="541" spans="1:11" hidden="1">
      <c r="A541" s="298" t="s">
        <v>44</v>
      </c>
      <c r="B541" s="300" t="s">
        <v>979</v>
      </c>
      <c r="C541" s="313">
        <v>44236</v>
      </c>
      <c r="D541" s="300" t="s">
        <v>920</v>
      </c>
      <c r="E541" s="307" t="s">
        <v>58</v>
      </c>
      <c r="F541" s="307" t="s">
        <v>980</v>
      </c>
      <c r="G541" s="301" t="s">
        <v>59</v>
      </c>
      <c r="H541" s="301" t="s">
        <v>1080</v>
      </c>
      <c r="I541" s="306" t="s">
        <v>1078</v>
      </c>
      <c r="J541" s="302" t="s">
        <v>1012</v>
      </c>
      <c r="K541" s="528"/>
    </row>
    <row r="542" spans="1:11" hidden="1">
      <c r="A542" s="298" t="s">
        <v>44</v>
      </c>
      <c r="B542" s="300" t="s">
        <v>979</v>
      </c>
      <c r="C542" s="313">
        <v>44236</v>
      </c>
      <c r="D542" s="300" t="s">
        <v>920</v>
      </c>
      <c r="E542" s="307" t="s">
        <v>58</v>
      </c>
      <c r="F542" s="307" t="s">
        <v>980</v>
      </c>
      <c r="G542" s="301" t="s">
        <v>59</v>
      </c>
      <c r="H542" s="301" t="s">
        <v>1081</v>
      </c>
      <c r="I542" s="306">
        <v>0.98</v>
      </c>
      <c r="J542" s="302">
        <v>1.02</v>
      </c>
      <c r="K542" s="528"/>
    </row>
    <row r="543" spans="1:11" hidden="1">
      <c r="A543" s="298" t="s">
        <v>44</v>
      </c>
      <c r="B543" s="300" t="s">
        <v>979</v>
      </c>
      <c r="C543" s="313">
        <v>44236</v>
      </c>
      <c r="D543" s="300" t="s">
        <v>920</v>
      </c>
      <c r="E543" s="307" t="s">
        <v>58</v>
      </c>
      <c r="F543" s="307" t="s">
        <v>980</v>
      </c>
      <c r="G543" s="301" t="s">
        <v>59</v>
      </c>
      <c r="H543" s="301" t="s">
        <v>1082</v>
      </c>
      <c r="I543" s="306" t="s">
        <v>1078</v>
      </c>
      <c r="J543" s="302" t="s">
        <v>1012</v>
      </c>
      <c r="K543" s="528"/>
    </row>
    <row r="544" spans="1:11" hidden="1">
      <c r="A544" s="298" t="s">
        <v>44</v>
      </c>
      <c r="B544" s="300" t="s">
        <v>979</v>
      </c>
      <c r="C544" s="313">
        <v>44236</v>
      </c>
      <c r="D544" s="300" t="s">
        <v>920</v>
      </c>
      <c r="E544" s="307" t="s">
        <v>58</v>
      </c>
      <c r="F544" s="307" t="s">
        <v>980</v>
      </c>
      <c r="G544" s="301" t="s">
        <v>59</v>
      </c>
      <c r="H544" s="301" t="s">
        <v>1083</v>
      </c>
      <c r="I544" s="306" t="s">
        <v>1078</v>
      </c>
      <c r="J544" s="302" t="s">
        <v>1012</v>
      </c>
      <c r="K544" s="528"/>
    </row>
    <row r="545" spans="1:11" hidden="1">
      <c r="A545" s="298" t="s">
        <v>44</v>
      </c>
      <c r="B545" s="300" t="s">
        <v>979</v>
      </c>
      <c r="C545" s="313">
        <v>44236</v>
      </c>
      <c r="D545" s="300" t="s">
        <v>920</v>
      </c>
      <c r="E545" s="307" t="s">
        <v>58</v>
      </c>
      <c r="F545" s="307" t="s">
        <v>980</v>
      </c>
      <c r="G545" s="301" t="s">
        <v>59</v>
      </c>
      <c r="H545" s="301" t="s">
        <v>1084</v>
      </c>
      <c r="I545" s="306">
        <v>0.43</v>
      </c>
      <c r="J545" s="302">
        <v>0.44</v>
      </c>
      <c r="K545" s="528"/>
    </row>
    <row r="546" spans="1:11" hidden="1">
      <c r="A546" s="298" t="s">
        <v>44</v>
      </c>
      <c r="B546" s="300" t="s">
        <v>979</v>
      </c>
      <c r="C546" s="313">
        <v>44236</v>
      </c>
      <c r="D546" s="300" t="s">
        <v>920</v>
      </c>
      <c r="E546" s="307" t="s">
        <v>58</v>
      </c>
      <c r="F546" s="307" t="s">
        <v>980</v>
      </c>
      <c r="G546" s="301" t="s">
        <v>59</v>
      </c>
      <c r="H546" s="301" t="s">
        <v>1085</v>
      </c>
      <c r="I546" s="306" t="s">
        <v>1078</v>
      </c>
      <c r="J546" s="302" t="s">
        <v>1012</v>
      </c>
      <c r="K546" s="528"/>
    </row>
    <row r="547" spans="1:11" hidden="1">
      <c r="A547" s="298" t="s">
        <v>44</v>
      </c>
      <c r="B547" s="300" t="s">
        <v>979</v>
      </c>
      <c r="C547" s="313">
        <v>44236</v>
      </c>
      <c r="D547" s="300" t="s">
        <v>920</v>
      </c>
      <c r="E547" s="307" t="s">
        <v>58</v>
      </c>
      <c r="F547" s="307" t="s">
        <v>980</v>
      </c>
      <c r="G547" s="301" t="s">
        <v>59</v>
      </c>
      <c r="H547" s="301" t="s">
        <v>1086</v>
      </c>
      <c r="I547" s="306">
        <v>0.68</v>
      </c>
      <c r="J547" s="302">
        <v>0.69</v>
      </c>
      <c r="K547" s="528"/>
    </row>
    <row r="548" spans="1:11" hidden="1">
      <c r="A548" s="298" t="s">
        <v>44</v>
      </c>
      <c r="B548" s="300" t="s">
        <v>979</v>
      </c>
      <c r="C548" s="313">
        <v>44236</v>
      </c>
      <c r="D548" s="300" t="s">
        <v>920</v>
      </c>
      <c r="E548" s="307" t="s">
        <v>58</v>
      </c>
      <c r="F548" s="307" t="s">
        <v>980</v>
      </c>
      <c r="G548" s="301" t="s">
        <v>59</v>
      </c>
      <c r="H548" s="301" t="s">
        <v>1087</v>
      </c>
      <c r="I548" s="306" t="s">
        <v>1078</v>
      </c>
      <c r="J548" s="302" t="s">
        <v>1012</v>
      </c>
      <c r="K548" s="528"/>
    </row>
    <row r="549" spans="1:11" hidden="1">
      <c r="A549" s="298" t="s">
        <v>44</v>
      </c>
      <c r="B549" s="300" t="s">
        <v>979</v>
      </c>
      <c r="C549" s="313">
        <v>44236</v>
      </c>
      <c r="D549" s="300" t="s">
        <v>920</v>
      </c>
      <c r="E549" s="307" t="s">
        <v>58</v>
      </c>
      <c r="F549" s="307" t="s">
        <v>980</v>
      </c>
      <c r="G549" s="301" t="s">
        <v>59</v>
      </c>
      <c r="H549" s="301" t="s">
        <v>909</v>
      </c>
      <c r="I549" s="306">
        <v>0.57999999999999996</v>
      </c>
      <c r="J549" s="302">
        <v>0.59</v>
      </c>
      <c r="K549" s="528"/>
    </row>
    <row r="550" spans="1:11" hidden="1">
      <c r="A550" s="298" t="s">
        <v>44</v>
      </c>
      <c r="B550" s="300" t="s">
        <v>979</v>
      </c>
      <c r="C550" s="313">
        <v>44236</v>
      </c>
      <c r="D550" s="300" t="s">
        <v>920</v>
      </c>
      <c r="E550" s="307" t="s">
        <v>58</v>
      </c>
      <c r="F550" s="307" t="s">
        <v>980</v>
      </c>
      <c r="G550" s="301" t="s">
        <v>59</v>
      </c>
      <c r="H550" s="301" t="s">
        <v>1088</v>
      </c>
      <c r="I550" s="306" t="s">
        <v>1078</v>
      </c>
      <c r="J550" s="302" t="s">
        <v>1012</v>
      </c>
      <c r="K550" s="528"/>
    </row>
    <row r="551" spans="1:11" hidden="1">
      <c r="A551" s="298" t="s">
        <v>44</v>
      </c>
      <c r="B551" s="300" t="s">
        <v>979</v>
      </c>
      <c r="C551" s="313">
        <v>44236</v>
      </c>
      <c r="D551" s="300" t="s">
        <v>920</v>
      </c>
      <c r="E551" s="307" t="s">
        <v>58</v>
      </c>
      <c r="F551" s="307" t="s">
        <v>980</v>
      </c>
      <c r="G551" s="301" t="s">
        <v>59</v>
      </c>
      <c r="H551" s="301" t="s">
        <v>1089</v>
      </c>
      <c r="I551" s="306">
        <v>0.53</v>
      </c>
      <c r="J551" s="302">
        <v>0.55000000000000004</v>
      </c>
      <c r="K551" s="528"/>
    </row>
    <row r="552" spans="1:11" hidden="1">
      <c r="A552" s="298" t="s">
        <v>44</v>
      </c>
      <c r="B552" s="300" t="s">
        <v>979</v>
      </c>
      <c r="C552" s="313">
        <v>44236</v>
      </c>
      <c r="D552" s="300" t="s">
        <v>920</v>
      </c>
      <c r="E552" s="307" t="s">
        <v>58</v>
      </c>
      <c r="F552" s="307" t="s">
        <v>980</v>
      </c>
      <c r="G552" s="301" t="s">
        <v>59</v>
      </c>
      <c r="H552" s="301" t="s">
        <v>1090</v>
      </c>
      <c r="I552" s="306" t="s">
        <v>1078</v>
      </c>
      <c r="J552" s="302" t="s">
        <v>1012</v>
      </c>
      <c r="K552" s="528"/>
    </row>
    <row r="553" spans="1:11" hidden="1">
      <c r="A553" s="298" t="s">
        <v>44</v>
      </c>
      <c r="B553" s="300" t="s">
        <v>979</v>
      </c>
      <c r="C553" s="313">
        <v>44236</v>
      </c>
      <c r="D553" s="300" t="s">
        <v>920</v>
      </c>
      <c r="E553" s="307" t="s">
        <v>58</v>
      </c>
      <c r="F553" s="307" t="s">
        <v>980</v>
      </c>
      <c r="G553" s="301" t="s">
        <v>59</v>
      </c>
      <c r="H553" s="301" t="s">
        <v>1091</v>
      </c>
      <c r="I553" s="306">
        <v>0.62</v>
      </c>
      <c r="J553" s="302">
        <v>0.63</v>
      </c>
      <c r="K553" s="528"/>
    </row>
    <row r="554" spans="1:11" hidden="1">
      <c r="A554" s="298" t="s">
        <v>44</v>
      </c>
      <c r="B554" s="300" t="s">
        <v>979</v>
      </c>
      <c r="C554" s="313">
        <v>44236</v>
      </c>
      <c r="D554" s="300" t="s">
        <v>920</v>
      </c>
      <c r="E554" s="307" t="s">
        <v>58</v>
      </c>
      <c r="F554" s="307" t="s">
        <v>980</v>
      </c>
      <c r="G554" s="301" t="s">
        <v>59</v>
      </c>
      <c r="H554" s="301" t="s">
        <v>1092</v>
      </c>
      <c r="I554" s="306" t="s">
        <v>1078</v>
      </c>
      <c r="J554" s="302" t="s">
        <v>1012</v>
      </c>
      <c r="K554" s="528"/>
    </row>
    <row r="555" spans="1:11" hidden="1">
      <c r="A555" s="298" t="s">
        <v>44</v>
      </c>
      <c r="B555" s="300" t="s">
        <v>979</v>
      </c>
      <c r="C555" s="313">
        <v>44236</v>
      </c>
      <c r="D555" s="300" t="s">
        <v>920</v>
      </c>
      <c r="E555" s="307" t="s">
        <v>58</v>
      </c>
      <c r="F555" s="307" t="s">
        <v>980</v>
      </c>
      <c r="G555" s="301" t="s">
        <v>59</v>
      </c>
      <c r="H555" s="301" t="s">
        <v>1093</v>
      </c>
      <c r="I555" s="306">
        <v>0.17</v>
      </c>
      <c r="J555" s="302">
        <v>0.15</v>
      </c>
      <c r="K555" s="528"/>
    </row>
    <row r="556" spans="1:11" hidden="1">
      <c r="A556" s="298" t="s">
        <v>44</v>
      </c>
      <c r="B556" s="300" t="s">
        <v>979</v>
      </c>
      <c r="C556" s="313">
        <v>44236</v>
      </c>
      <c r="D556" s="300" t="s">
        <v>920</v>
      </c>
      <c r="E556" s="307" t="s">
        <v>58</v>
      </c>
      <c r="F556" s="307" t="s">
        <v>980</v>
      </c>
      <c r="G556" s="301" t="s">
        <v>59</v>
      </c>
      <c r="H556" s="301" t="s">
        <v>1094</v>
      </c>
      <c r="I556" s="306" t="s">
        <v>1078</v>
      </c>
      <c r="J556" s="302" t="s">
        <v>1012</v>
      </c>
      <c r="K556" s="529"/>
    </row>
    <row r="557" spans="1:11" hidden="1">
      <c r="A557" s="298" t="s">
        <v>44</v>
      </c>
      <c r="B557" s="300" t="s">
        <v>979</v>
      </c>
      <c r="C557" s="313">
        <v>44236</v>
      </c>
      <c r="D557" s="300" t="s">
        <v>920</v>
      </c>
      <c r="E557" s="307" t="s">
        <v>58</v>
      </c>
      <c r="F557" s="307" t="s">
        <v>980</v>
      </c>
      <c r="G557" s="301" t="s">
        <v>59</v>
      </c>
      <c r="H557" s="301" t="s">
        <v>1095</v>
      </c>
      <c r="I557" s="306">
        <v>24</v>
      </c>
      <c r="J557" s="302">
        <v>25</v>
      </c>
      <c r="K557" s="527" t="s">
        <v>1096</v>
      </c>
    </row>
    <row r="558" spans="1:11" hidden="1">
      <c r="A558" s="298" t="s">
        <v>44</v>
      </c>
      <c r="B558" s="300" t="s">
        <v>979</v>
      </c>
      <c r="C558" s="313">
        <v>44236</v>
      </c>
      <c r="D558" s="300" t="s">
        <v>920</v>
      </c>
      <c r="E558" s="307" t="s">
        <v>58</v>
      </c>
      <c r="F558" s="307" t="s">
        <v>980</v>
      </c>
      <c r="G558" s="301" t="s">
        <v>59</v>
      </c>
      <c r="H558" s="301" t="s">
        <v>1097</v>
      </c>
      <c r="I558" s="306" t="s">
        <v>1098</v>
      </c>
      <c r="J558" s="302" t="s">
        <v>1035</v>
      </c>
      <c r="K558" s="528"/>
    </row>
    <row r="559" spans="1:11" hidden="1">
      <c r="A559" s="298" t="s">
        <v>44</v>
      </c>
      <c r="B559" s="300" t="s">
        <v>979</v>
      </c>
      <c r="C559" s="313">
        <v>44236</v>
      </c>
      <c r="D559" s="300" t="s">
        <v>920</v>
      </c>
      <c r="E559" s="307" t="s">
        <v>58</v>
      </c>
      <c r="F559" s="307" t="s">
        <v>980</v>
      </c>
      <c r="G559" s="301" t="s">
        <v>59</v>
      </c>
      <c r="H559" s="301" t="s">
        <v>1099</v>
      </c>
      <c r="I559" s="306">
        <v>24</v>
      </c>
      <c r="J559" s="302">
        <v>25</v>
      </c>
      <c r="K559" s="528"/>
    </row>
    <row r="560" spans="1:11" hidden="1">
      <c r="A560" s="298" t="s">
        <v>44</v>
      </c>
      <c r="B560" s="300" t="s">
        <v>979</v>
      </c>
      <c r="C560" s="313">
        <v>44236</v>
      </c>
      <c r="D560" s="300" t="s">
        <v>920</v>
      </c>
      <c r="E560" s="307" t="s">
        <v>58</v>
      </c>
      <c r="F560" s="307" t="s">
        <v>980</v>
      </c>
      <c r="G560" s="301" t="s">
        <v>59</v>
      </c>
      <c r="H560" s="301" t="s">
        <v>1100</v>
      </c>
      <c r="I560" s="306" t="s">
        <v>1098</v>
      </c>
      <c r="J560" s="302" t="s">
        <v>1035</v>
      </c>
      <c r="K560" s="528"/>
    </row>
    <row r="561" spans="1:11" hidden="1">
      <c r="A561" s="298" t="s">
        <v>44</v>
      </c>
      <c r="B561" s="300" t="s">
        <v>979</v>
      </c>
      <c r="C561" s="313">
        <v>44236</v>
      </c>
      <c r="D561" s="300" t="s">
        <v>920</v>
      </c>
      <c r="E561" s="307" t="s">
        <v>58</v>
      </c>
      <c r="F561" s="307" t="s">
        <v>980</v>
      </c>
      <c r="G561" s="301" t="s">
        <v>59</v>
      </c>
      <c r="H561" s="301" t="s">
        <v>1101</v>
      </c>
      <c r="I561" s="306" t="s">
        <v>1098</v>
      </c>
      <c r="J561" s="302" t="s">
        <v>1035</v>
      </c>
      <c r="K561" s="528"/>
    </row>
    <row r="562" spans="1:11" hidden="1">
      <c r="A562" s="298" t="s">
        <v>44</v>
      </c>
      <c r="B562" s="300" t="s">
        <v>979</v>
      </c>
      <c r="C562" s="313">
        <v>44236</v>
      </c>
      <c r="D562" s="300" t="s">
        <v>920</v>
      </c>
      <c r="E562" s="307" t="s">
        <v>58</v>
      </c>
      <c r="F562" s="307" t="s">
        <v>980</v>
      </c>
      <c r="G562" s="301" t="s">
        <v>59</v>
      </c>
      <c r="H562" s="301" t="s">
        <v>1102</v>
      </c>
      <c r="I562" s="306" t="s">
        <v>1098</v>
      </c>
      <c r="J562" s="302" t="s">
        <v>1035</v>
      </c>
      <c r="K562" s="528"/>
    </row>
    <row r="563" spans="1:11" hidden="1">
      <c r="A563" s="298" t="s">
        <v>44</v>
      </c>
      <c r="B563" s="300" t="s">
        <v>979</v>
      </c>
      <c r="C563" s="313">
        <v>44236</v>
      </c>
      <c r="D563" s="300" t="s">
        <v>920</v>
      </c>
      <c r="E563" s="307" t="s">
        <v>58</v>
      </c>
      <c r="F563" s="307" t="s">
        <v>980</v>
      </c>
      <c r="G563" s="301" t="s">
        <v>59</v>
      </c>
      <c r="H563" s="301" t="s">
        <v>1103</v>
      </c>
      <c r="I563" s="306">
        <v>24</v>
      </c>
      <c r="J563" s="302">
        <v>27</v>
      </c>
      <c r="K563" s="528"/>
    </row>
    <row r="564" spans="1:11" hidden="1">
      <c r="A564" s="298" t="s">
        <v>44</v>
      </c>
      <c r="B564" s="300" t="s">
        <v>979</v>
      </c>
      <c r="C564" s="313">
        <v>44236</v>
      </c>
      <c r="D564" s="300" t="s">
        <v>920</v>
      </c>
      <c r="E564" s="307" t="s">
        <v>58</v>
      </c>
      <c r="F564" s="307" t="s">
        <v>980</v>
      </c>
      <c r="G564" s="301" t="s">
        <v>59</v>
      </c>
      <c r="H564" s="301" t="s">
        <v>1104</v>
      </c>
      <c r="I564" s="306" t="s">
        <v>1098</v>
      </c>
      <c r="J564" s="302" t="s">
        <v>1035</v>
      </c>
      <c r="K564" s="528"/>
    </row>
    <row r="565" spans="1:11" hidden="1">
      <c r="A565" s="298" t="s">
        <v>44</v>
      </c>
      <c r="B565" s="300" t="s">
        <v>979</v>
      </c>
      <c r="C565" s="313">
        <v>44236</v>
      </c>
      <c r="D565" s="300" t="s">
        <v>920</v>
      </c>
      <c r="E565" s="307" t="s">
        <v>58</v>
      </c>
      <c r="F565" s="307" t="s">
        <v>980</v>
      </c>
      <c r="G565" s="301" t="s">
        <v>59</v>
      </c>
      <c r="H565" s="301" t="s">
        <v>1105</v>
      </c>
      <c r="I565" s="306">
        <v>6</v>
      </c>
      <c r="J565" s="302">
        <v>12</v>
      </c>
      <c r="K565" s="528"/>
    </row>
    <row r="566" spans="1:11" hidden="1">
      <c r="A566" s="298" t="s">
        <v>44</v>
      </c>
      <c r="B566" s="300" t="s">
        <v>979</v>
      </c>
      <c r="C566" s="313">
        <v>44236</v>
      </c>
      <c r="D566" s="300" t="s">
        <v>920</v>
      </c>
      <c r="E566" s="307" t="s">
        <v>58</v>
      </c>
      <c r="F566" s="307" t="s">
        <v>980</v>
      </c>
      <c r="G566" s="301" t="s">
        <v>59</v>
      </c>
      <c r="H566" s="301" t="s">
        <v>1106</v>
      </c>
      <c r="I566" s="306" t="s">
        <v>1098</v>
      </c>
      <c r="J566" s="302" t="s">
        <v>1035</v>
      </c>
      <c r="K566" s="528"/>
    </row>
    <row r="567" spans="1:11" hidden="1">
      <c r="A567" s="298" t="s">
        <v>44</v>
      </c>
      <c r="B567" s="300" t="s">
        <v>979</v>
      </c>
      <c r="C567" s="313">
        <v>44236</v>
      </c>
      <c r="D567" s="300" t="s">
        <v>920</v>
      </c>
      <c r="E567" s="307" t="s">
        <v>58</v>
      </c>
      <c r="F567" s="307" t="s">
        <v>980</v>
      </c>
      <c r="G567" s="301" t="s">
        <v>59</v>
      </c>
      <c r="H567" s="301" t="s">
        <v>1107</v>
      </c>
      <c r="I567" s="306">
        <v>20</v>
      </c>
      <c r="J567" s="302">
        <v>23</v>
      </c>
      <c r="K567" s="528"/>
    </row>
    <row r="568" spans="1:11" hidden="1">
      <c r="A568" s="298" t="s">
        <v>44</v>
      </c>
      <c r="B568" s="300" t="s">
        <v>979</v>
      </c>
      <c r="C568" s="313">
        <v>44236</v>
      </c>
      <c r="D568" s="300" t="s">
        <v>920</v>
      </c>
      <c r="E568" s="307" t="s">
        <v>58</v>
      </c>
      <c r="F568" s="307" t="s">
        <v>980</v>
      </c>
      <c r="G568" s="301" t="s">
        <v>59</v>
      </c>
      <c r="H568" s="301" t="s">
        <v>1108</v>
      </c>
      <c r="I568" s="306" t="s">
        <v>1098</v>
      </c>
      <c r="J568" s="302" t="s">
        <v>1035</v>
      </c>
      <c r="K568" s="528"/>
    </row>
    <row r="569" spans="1:11" hidden="1">
      <c r="A569" s="298" t="s">
        <v>44</v>
      </c>
      <c r="B569" s="300" t="s">
        <v>979</v>
      </c>
      <c r="C569" s="313">
        <v>44236</v>
      </c>
      <c r="D569" s="300" t="s">
        <v>920</v>
      </c>
      <c r="E569" s="307" t="s">
        <v>58</v>
      </c>
      <c r="F569" s="307" t="s">
        <v>980</v>
      </c>
      <c r="G569" s="301" t="s">
        <v>59</v>
      </c>
      <c r="H569" s="301" t="s">
        <v>1109</v>
      </c>
      <c r="I569" s="306">
        <v>7</v>
      </c>
      <c r="J569" s="302">
        <v>6</v>
      </c>
      <c r="K569" s="528"/>
    </row>
    <row r="570" spans="1:11" hidden="1">
      <c r="A570" s="298" t="s">
        <v>44</v>
      </c>
      <c r="B570" s="300" t="s">
        <v>979</v>
      </c>
      <c r="C570" s="313">
        <v>44236</v>
      </c>
      <c r="D570" s="300" t="s">
        <v>920</v>
      </c>
      <c r="E570" s="307" t="s">
        <v>58</v>
      </c>
      <c r="F570" s="307" t="s">
        <v>980</v>
      </c>
      <c r="G570" s="301" t="s">
        <v>59</v>
      </c>
      <c r="H570" s="301" t="s">
        <v>1110</v>
      </c>
      <c r="I570" s="306" t="s">
        <v>1098</v>
      </c>
      <c r="J570" s="302" t="s">
        <v>1035</v>
      </c>
      <c r="K570" s="529"/>
    </row>
    <row r="571" spans="1:11" hidden="1">
      <c r="A571" s="298" t="s">
        <v>44</v>
      </c>
      <c r="B571" s="300" t="s">
        <v>979</v>
      </c>
      <c r="C571" s="313">
        <v>44236</v>
      </c>
      <c r="D571" s="300" t="s">
        <v>920</v>
      </c>
      <c r="E571" s="307" t="s">
        <v>58</v>
      </c>
      <c r="F571" s="307" t="s">
        <v>980</v>
      </c>
      <c r="G571" s="301" t="s">
        <v>59</v>
      </c>
      <c r="H571" s="301" t="s">
        <v>1111</v>
      </c>
      <c r="I571" s="306">
        <v>13.1</v>
      </c>
      <c r="J571" s="302">
        <v>12.8</v>
      </c>
      <c r="K571" s="527" t="s">
        <v>1112</v>
      </c>
    </row>
    <row r="572" spans="1:11" hidden="1">
      <c r="A572" s="298" t="s">
        <v>44</v>
      </c>
      <c r="B572" s="300" t="s">
        <v>979</v>
      </c>
      <c r="C572" s="313">
        <v>44236</v>
      </c>
      <c r="D572" s="300" t="s">
        <v>920</v>
      </c>
      <c r="E572" s="307" t="s">
        <v>58</v>
      </c>
      <c r="F572" s="307" t="s">
        <v>980</v>
      </c>
      <c r="G572" s="301" t="s">
        <v>59</v>
      </c>
      <c r="H572" s="301" t="s">
        <v>1113</v>
      </c>
      <c r="I572" s="306">
        <v>14</v>
      </c>
      <c r="J572" s="302">
        <v>13.6</v>
      </c>
      <c r="K572" s="528"/>
    </row>
    <row r="573" spans="1:11" hidden="1">
      <c r="A573" s="298" t="s">
        <v>44</v>
      </c>
      <c r="B573" s="300" t="s">
        <v>979</v>
      </c>
      <c r="C573" s="313">
        <v>44236</v>
      </c>
      <c r="D573" s="300" t="s">
        <v>920</v>
      </c>
      <c r="E573" s="307" t="s">
        <v>58</v>
      </c>
      <c r="F573" s="307" t="s">
        <v>980</v>
      </c>
      <c r="G573" s="301" t="s">
        <v>59</v>
      </c>
      <c r="H573" s="301" t="s">
        <v>1114</v>
      </c>
      <c r="I573" s="306">
        <v>13.1</v>
      </c>
      <c r="J573" s="302">
        <v>12.8</v>
      </c>
      <c r="K573" s="528"/>
    </row>
    <row r="574" spans="1:11" hidden="1">
      <c r="A574" s="298" t="s">
        <v>44</v>
      </c>
      <c r="B574" s="300" t="s">
        <v>979</v>
      </c>
      <c r="C574" s="313">
        <v>44236</v>
      </c>
      <c r="D574" s="300" t="s">
        <v>920</v>
      </c>
      <c r="E574" s="307" t="s">
        <v>58</v>
      </c>
      <c r="F574" s="307" t="s">
        <v>980</v>
      </c>
      <c r="G574" s="301" t="s">
        <v>59</v>
      </c>
      <c r="H574" s="301" t="s">
        <v>1115</v>
      </c>
      <c r="I574" s="306">
        <v>14</v>
      </c>
      <c r="J574" s="302">
        <v>13.6</v>
      </c>
      <c r="K574" s="528"/>
    </row>
    <row r="575" spans="1:11" hidden="1">
      <c r="A575" s="298" t="s">
        <v>44</v>
      </c>
      <c r="B575" s="300" t="s">
        <v>979</v>
      </c>
      <c r="C575" s="313">
        <v>44236</v>
      </c>
      <c r="D575" s="300" t="s">
        <v>920</v>
      </c>
      <c r="E575" s="307" t="s">
        <v>58</v>
      </c>
      <c r="F575" s="307" t="s">
        <v>980</v>
      </c>
      <c r="G575" s="301" t="s">
        <v>59</v>
      </c>
      <c r="H575" s="301" t="s">
        <v>397</v>
      </c>
      <c r="I575" s="306">
        <v>4</v>
      </c>
      <c r="J575" s="302">
        <v>3.9</v>
      </c>
      <c r="K575" s="528"/>
    </row>
    <row r="576" spans="1:11" hidden="1">
      <c r="A576" s="298" t="s">
        <v>44</v>
      </c>
      <c r="B576" s="300" t="s">
        <v>979</v>
      </c>
      <c r="C576" s="313">
        <v>44236</v>
      </c>
      <c r="D576" s="300" t="s">
        <v>920</v>
      </c>
      <c r="E576" s="307" t="s">
        <v>58</v>
      </c>
      <c r="F576" s="307" t="s">
        <v>980</v>
      </c>
      <c r="G576" s="301" t="s">
        <v>59</v>
      </c>
      <c r="H576" s="301" t="s">
        <v>1116</v>
      </c>
      <c r="I576" s="306">
        <v>4</v>
      </c>
      <c r="J576" s="302">
        <v>3.9</v>
      </c>
      <c r="K576" s="528"/>
    </row>
    <row r="577" spans="1:11" hidden="1">
      <c r="A577" s="298" t="s">
        <v>44</v>
      </c>
      <c r="B577" s="300" t="s">
        <v>979</v>
      </c>
      <c r="C577" s="313">
        <v>44236</v>
      </c>
      <c r="D577" s="300" t="s">
        <v>920</v>
      </c>
      <c r="E577" s="307" t="s">
        <v>58</v>
      </c>
      <c r="F577" s="307" t="s">
        <v>980</v>
      </c>
      <c r="G577" s="301" t="s">
        <v>59</v>
      </c>
      <c r="H577" s="301" t="s">
        <v>1117</v>
      </c>
      <c r="I577" s="306">
        <v>8.8000000000000007</v>
      </c>
      <c r="J577" s="302">
        <v>8.6999999999999993</v>
      </c>
      <c r="K577" s="528"/>
    </row>
    <row r="578" spans="1:11" hidden="1">
      <c r="A578" s="298" t="s">
        <v>44</v>
      </c>
      <c r="B578" s="300" t="s">
        <v>979</v>
      </c>
      <c r="C578" s="313">
        <v>44236</v>
      </c>
      <c r="D578" s="300" t="s">
        <v>920</v>
      </c>
      <c r="E578" s="307" t="s">
        <v>58</v>
      </c>
      <c r="F578" s="307" t="s">
        <v>980</v>
      </c>
      <c r="G578" s="301" t="s">
        <v>59</v>
      </c>
      <c r="H578" s="301" t="s">
        <v>1118</v>
      </c>
      <c r="I578" s="306">
        <v>7.9</v>
      </c>
      <c r="J578" s="302">
        <v>7.8</v>
      </c>
      <c r="K578" s="528"/>
    </row>
    <row r="579" spans="1:11" hidden="1">
      <c r="A579" s="298" t="s">
        <v>44</v>
      </c>
      <c r="B579" s="300" t="s">
        <v>979</v>
      </c>
      <c r="C579" s="313">
        <v>44236</v>
      </c>
      <c r="D579" s="300" t="s">
        <v>920</v>
      </c>
      <c r="E579" s="307" t="s">
        <v>58</v>
      </c>
      <c r="F579" s="307" t="s">
        <v>980</v>
      </c>
      <c r="G579" s="301" t="s">
        <v>59</v>
      </c>
      <c r="H579" s="301" t="s">
        <v>1119</v>
      </c>
      <c r="I579" s="306">
        <v>10.7</v>
      </c>
      <c r="J579" s="302">
        <v>10.4</v>
      </c>
      <c r="K579" s="528"/>
    </row>
    <row r="580" spans="1:11" hidden="1">
      <c r="A580" s="298" t="s">
        <v>44</v>
      </c>
      <c r="B580" s="300" t="s">
        <v>979</v>
      </c>
      <c r="C580" s="313">
        <v>44236</v>
      </c>
      <c r="D580" s="300" t="s">
        <v>920</v>
      </c>
      <c r="E580" s="307" t="s">
        <v>58</v>
      </c>
      <c r="F580" s="307" t="s">
        <v>980</v>
      </c>
      <c r="G580" s="301" t="s">
        <v>59</v>
      </c>
      <c r="H580" s="301" t="s">
        <v>1120</v>
      </c>
      <c r="I580" s="306">
        <v>10.6</v>
      </c>
      <c r="J580" s="302">
        <v>10.3</v>
      </c>
      <c r="K580" s="528"/>
    </row>
    <row r="581" spans="1:11" hidden="1">
      <c r="A581" s="298" t="s">
        <v>44</v>
      </c>
      <c r="B581" s="300" t="s">
        <v>979</v>
      </c>
      <c r="C581" s="313">
        <v>44236</v>
      </c>
      <c r="D581" s="300" t="s">
        <v>920</v>
      </c>
      <c r="E581" s="307" t="s">
        <v>58</v>
      </c>
      <c r="F581" s="307" t="s">
        <v>980</v>
      </c>
      <c r="G581" s="301" t="s">
        <v>59</v>
      </c>
      <c r="H581" s="301" t="s">
        <v>586</v>
      </c>
      <c r="I581" s="306">
        <v>4.0999999999999996</v>
      </c>
      <c r="J581" s="302">
        <v>4</v>
      </c>
      <c r="K581" s="528"/>
    </row>
    <row r="582" spans="1:11" hidden="1">
      <c r="A582" s="298" t="s">
        <v>44</v>
      </c>
      <c r="B582" s="300" t="s">
        <v>979</v>
      </c>
      <c r="C582" s="313">
        <v>44236</v>
      </c>
      <c r="D582" s="300" t="s">
        <v>920</v>
      </c>
      <c r="E582" s="307" t="s">
        <v>58</v>
      </c>
      <c r="F582" s="307" t="s">
        <v>980</v>
      </c>
      <c r="G582" s="301" t="s">
        <v>59</v>
      </c>
      <c r="H582" s="301" t="s">
        <v>588</v>
      </c>
      <c r="I582" s="306">
        <v>4</v>
      </c>
      <c r="J582" s="302">
        <v>3.9</v>
      </c>
      <c r="K582" s="528"/>
    </row>
    <row r="583" spans="1:11" hidden="1">
      <c r="A583" s="298" t="s">
        <v>44</v>
      </c>
      <c r="B583" s="300" t="s">
        <v>979</v>
      </c>
      <c r="C583" s="313">
        <v>44236</v>
      </c>
      <c r="D583" s="300" t="s">
        <v>920</v>
      </c>
      <c r="E583" s="307" t="s">
        <v>58</v>
      </c>
      <c r="F583" s="307" t="s">
        <v>980</v>
      </c>
      <c r="G583" s="301" t="s">
        <v>59</v>
      </c>
      <c r="H583" s="301" t="s">
        <v>590</v>
      </c>
      <c r="I583" s="306" t="s">
        <v>1052</v>
      </c>
      <c r="J583" s="302" t="s">
        <v>1053</v>
      </c>
      <c r="K583" s="528"/>
    </row>
    <row r="584" spans="1:11" hidden="1">
      <c r="A584" s="298" t="s">
        <v>44</v>
      </c>
      <c r="B584" s="300" t="s">
        <v>979</v>
      </c>
      <c r="C584" s="313">
        <v>44236</v>
      </c>
      <c r="D584" s="300" t="s">
        <v>920</v>
      </c>
      <c r="E584" s="307" t="s">
        <v>58</v>
      </c>
      <c r="F584" s="307" t="s">
        <v>980</v>
      </c>
      <c r="G584" s="301" t="s">
        <v>59</v>
      </c>
      <c r="H584" s="301" t="s">
        <v>1121</v>
      </c>
      <c r="I584" s="306" t="s">
        <v>1052</v>
      </c>
      <c r="J584" s="302" t="s">
        <v>1053</v>
      </c>
      <c r="K584" s="528"/>
    </row>
    <row r="585" spans="1:11" hidden="1">
      <c r="A585" s="298" t="s">
        <v>44</v>
      </c>
      <c r="B585" s="300" t="s">
        <v>979</v>
      </c>
      <c r="C585" s="313">
        <v>44236</v>
      </c>
      <c r="D585" s="300" t="s">
        <v>920</v>
      </c>
      <c r="E585" s="307" t="s">
        <v>58</v>
      </c>
      <c r="F585" s="307" t="s">
        <v>980</v>
      </c>
      <c r="G585" s="301" t="s">
        <v>59</v>
      </c>
      <c r="H585" s="301" t="s">
        <v>1122</v>
      </c>
      <c r="I585" s="306" t="s">
        <v>1052</v>
      </c>
      <c r="J585" s="302" t="s">
        <v>1053</v>
      </c>
      <c r="K585" s="528"/>
    </row>
    <row r="586" spans="1:11" hidden="1">
      <c r="A586" s="298" t="s">
        <v>44</v>
      </c>
      <c r="B586" s="300" t="s">
        <v>979</v>
      </c>
      <c r="C586" s="313">
        <v>44236</v>
      </c>
      <c r="D586" s="300" t="s">
        <v>920</v>
      </c>
      <c r="E586" s="307" t="s">
        <v>58</v>
      </c>
      <c r="F586" s="307" t="s">
        <v>980</v>
      </c>
      <c r="G586" s="301" t="s">
        <v>59</v>
      </c>
      <c r="H586" s="301" t="s">
        <v>1123</v>
      </c>
      <c r="I586" s="306" t="s">
        <v>1052</v>
      </c>
      <c r="J586" s="302" t="s">
        <v>1053</v>
      </c>
      <c r="K586" s="528"/>
    </row>
    <row r="587" spans="1:11" hidden="1">
      <c r="A587" s="298" t="s">
        <v>44</v>
      </c>
      <c r="B587" s="300" t="s">
        <v>979</v>
      </c>
      <c r="C587" s="313">
        <v>44236</v>
      </c>
      <c r="D587" s="300" t="s">
        <v>920</v>
      </c>
      <c r="E587" s="307" t="s">
        <v>58</v>
      </c>
      <c r="F587" s="307" t="s">
        <v>980</v>
      </c>
      <c r="G587" s="301" t="s">
        <v>59</v>
      </c>
      <c r="H587" s="301" t="s">
        <v>1124</v>
      </c>
      <c r="I587" s="306" t="s">
        <v>1125</v>
      </c>
      <c r="J587" s="302" t="s">
        <v>1058</v>
      </c>
      <c r="K587" s="529"/>
    </row>
    <row r="588" spans="1:11" hidden="1">
      <c r="A588" s="298" t="s">
        <v>44</v>
      </c>
      <c r="B588" s="300" t="s">
        <v>979</v>
      </c>
      <c r="C588" s="313">
        <v>44236</v>
      </c>
      <c r="D588" s="300" t="s">
        <v>920</v>
      </c>
      <c r="E588" s="307" t="s">
        <v>58</v>
      </c>
      <c r="F588" s="307" t="s">
        <v>980</v>
      </c>
      <c r="G588" s="301" t="s">
        <v>928</v>
      </c>
      <c r="H588" s="301" t="s">
        <v>1126</v>
      </c>
      <c r="I588" s="306" t="s">
        <v>1127</v>
      </c>
      <c r="J588" s="302" t="s">
        <v>1128</v>
      </c>
      <c r="K588" s="530" t="s">
        <v>1129</v>
      </c>
    </row>
    <row r="589" spans="1:11" hidden="1">
      <c r="A589" s="298" t="s">
        <v>44</v>
      </c>
      <c r="B589" s="300" t="s">
        <v>979</v>
      </c>
      <c r="C589" s="313">
        <v>44236</v>
      </c>
      <c r="D589" s="300" t="s">
        <v>920</v>
      </c>
      <c r="E589" s="307" t="s">
        <v>58</v>
      </c>
      <c r="F589" s="307" t="s">
        <v>980</v>
      </c>
      <c r="G589" s="301" t="s">
        <v>162</v>
      </c>
      <c r="H589" s="301" t="s">
        <v>1126</v>
      </c>
      <c r="I589" s="306" t="s">
        <v>1127</v>
      </c>
      <c r="J589" s="302" t="s">
        <v>1128</v>
      </c>
      <c r="K589" s="531"/>
    </row>
    <row r="590" spans="1:11" hidden="1">
      <c r="A590" s="298" t="s">
        <v>44</v>
      </c>
      <c r="B590" s="300" t="s">
        <v>979</v>
      </c>
      <c r="C590" s="313">
        <v>44236</v>
      </c>
      <c r="D590" s="300" t="s">
        <v>920</v>
      </c>
      <c r="E590" s="307" t="s">
        <v>58</v>
      </c>
      <c r="F590" s="307" t="s">
        <v>980</v>
      </c>
      <c r="G590" s="301" t="s">
        <v>226</v>
      </c>
      <c r="H590" s="301" t="s">
        <v>1126</v>
      </c>
      <c r="I590" s="306" t="s">
        <v>1127</v>
      </c>
      <c r="J590" s="302" t="s">
        <v>1128</v>
      </c>
      <c r="K590" s="531"/>
    </row>
    <row r="591" spans="1:11" hidden="1">
      <c r="A591" s="298" t="s">
        <v>44</v>
      </c>
      <c r="B591" s="300" t="s">
        <v>979</v>
      </c>
      <c r="C591" s="313">
        <v>44236</v>
      </c>
      <c r="D591" s="300" t="s">
        <v>920</v>
      </c>
      <c r="E591" s="307" t="s">
        <v>58</v>
      </c>
      <c r="F591" s="307" t="s">
        <v>980</v>
      </c>
      <c r="G591" s="301" t="s">
        <v>246</v>
      </c>
      <c r="H591" s="301" t="s">
        <v>1130</v>
      </c>
      <c r="I591" s="306" t="s">
        <v>1127</v>
      </c>
      <c r="J591" s="302" t="s">
        <v>1128</v>
      </c>
      <c r="K591" s="531"/>
    </row>
    <row r="592" spans="1:11" hidden="1">
      <c r="A592" s="298" t="s">
        <v>44</v>
      </c>
      <c r="B592" s="300" t="s">
        <v>979</v>
      </c>
      <c r="C592" s="313">
        <v>44236</v>
      </c>
      <c r="D592" s="300" t="s">
        <v>920</v>
      </c>
      <c r="E592" s="307" t="s">
        <v>58</v>
      </c>
      <c r="F592" s="307" t="s">
        <v>980</v>
      </c>
      <c r="G592" s="301" t="s">
        <v>293</v>
      </c>
      <c r="H592" s="301" t="s">
        <v>1126</v>
      </c>
      <c r="I592" s="306" t="s">
        <v>1131</v>
      </c>
      <c r="J592" s="302" t="s">
        <v>1128</v>
      </c>
      <c r="K592" s="532"/>
    </row>
    <row r="593" spans="1:11" hidden="1">
      <c r="A593" s="298" t="s">
        <v>44</v>
      </c>
      <c r="B593" s="300" t="s">
        <v>979</v>
      </c>
      <c r="C593" s="313">
        <v>44236</v>
      </c>
      <c r="D593" s="300" t="s">
        <v>920</v>
      </c>
      <c r="E593" s="307" t="s">
        <v>58</v>
      </c>
      <c r="F593" s="307" t="s">
        <v>980</v>
      </c>
      <c r="G593" s="301" t="s">
        <v>301</v>
      </c>
      <c r="H593" s="301" t="s">
        <v>1132</v>
      </c>
      <c r="I593" s="306"/>
      <c r="J593" s="302"/>
      <c r="K593" s="530" t="s">
        <v>1133</v>
      </c>
    </row>
    <row r="594" spans="1:11" hidden="1">
      <c r="A594" s="298" t="s">
        <v>44</v>
      </c>
      <c r="B594" s="300" t="s">
        <v>979</v>
      </c>
      <c r="C594" s="313">
        <v>44236</v>
      </c>
      <c r="D594" s="300" t="s">
        <v>920</v>
      </c>
      <c r="E594" s="307" t="s">
        <v>58</v>
      </c>
      <c r="F594" s="307" t="s">
        <v>980</v>
      </c>
      <c r="G594" s="301" t="s">
        <v>301</v>
      </c>
      <c r="H594" s="301" t="s">
        <v>1134</v>
      </c>
      <c r="I594" s="306" t="s">
        <v>1135</v>
      </c>
      <c r="J594" s="302" t="s">
        <v>81</v>
      </c>
      <c r="K594" s="531"/>
    </row>
    <row r="595" spans="1:11" hidden="1">
      <c r="A595" s="298" t="s">
        <v>44</v>
      </c>
      <c r="B595" s="300" t="s">
        <v>979</v>
      </c>
      <c r="C595" s="313">
        <v>44236</v>
      </c>
      <c r="D595" s="300" t="s">
        <v>920</v>
      </c>
      <c r="E595" s="307" t="s">
        <v>58</v>
      </c>
      <c r="F595" s="307" t="s">
        <v>980</v>
      </c>
      <c r="G595" s="301" t="s">
        <v>301</v>
      </c>
      <c r="H595" s="301" t="s">
        <v>1136</v>
      </c>
      <c r="I595" s="306" t="s">
        <v>1137</v>
      </c>
      <c r="J595" s="302" t="s">
        <v>1138</v>
      </c>
      <c r="K595" s="532"/>
    </row>
    <row r="596" spans="1:11" ht="26.4" hidden="1">
      <c r="A596" s="298" t="s">
        <v>44</v>
      </c>
      <c r="B596" s="300" t="s">
        <v>1139</v>
      </c>
      <c r="C596" s="313">
        <v>44855</v>
      </c>
      <c r="D596" s="300" t="s">
        <v>920</v>
      </c>
      <c r="E596" s="300" t="s">
        <v>920</v>
      </c>
      <c r="F596" s="300" t="s">
        <v>920</v>
      </c>
      <c r="G596" s="302" t="s">
        <v>162</v>
      </c>
      <c r="H596" s="302" t="s">
        <v>1140</v>
      </c>
      <c r="I596" s="306" t="s">
        <v>1141</v>
      </c>
      <c r="J596" s="302" t="s">
        <v>81</v>
      </c>
      <c r="K596" s="302" t="s">
        <v>1142</v>
      </c>
    </row>
    <row r="597" spans="1:11" hidden="1">
      <c r="A597" s="298" t="s">
        <v>44</v>
      </c>
      <c r="B597" s="300" t="s">
        <v>1139</v>
      </c>
      <c r="C597" s="313">
        <v>44880</v>
      </c>
      <c r="D597" s="300" t="s">
        <v>920</v>
      </c>
      <c r="E597" s="300" t="s">
        <v>920</v>
      </c>
      <c r="F597" s="300" t="s">
        <v>920</v>
      </c>
      <c r="G597" s="302" t="s">
        <v>301</v>
      </c>
      <c r="H597" s="302" t="s">
        <v>1143</v>
      </c>
      <c r="I597" s="306" t="s">
        <v>1144</v>
      </c>
      <c r="J597" s="306" t="s">
        <v>1145</v>
      </c>
      <c r="K597" s="302" t="s">
        <v>1146</v>
      </c>
    </row>
    <row r="598" spans="1:11" ht="39.6" hidden="1">
      <c r="A598" s="298" t="s">
        <v>44</v>
      </c>
      <c r="B598" s="300" t="s">
        <v>1139</v>
      </c>
      <c r="C598" s="313">
        <v>44880</v>
      </c>
      <c r="D598" s="300" t="s">
        <v>920</v>
      </c>
      <c r="E598" s="300" t="s">
        <v>920</v>
      </c>
      <c r="F598" s="300" t="s">
        <v>920</v>
      </c>
      <c r="G598" s="302" t="s">
        <v>59</v>
      </c>
      <c r="H598" s="302" t="s">
        <v>1147</v>
      </c>
      <c r="I598" s="306"/>
      <c r="J598" s="302"/>
      <c r="K598" s="302" t="s">
        <v>1148</v>
      </c>
    </row>
    <row r="599" spans="1:11" ht="26.4" hidden="1">
      <c r="A599" s="298" t="s">
        <v>44</v>
      </c>
      <c r="B599" s="300" t="s">
        <v>1139</v>
      </c>
      <c r="C599" s="313">
        <v>44880</v>
      </c>
      <c r="D599" s="300" t="s">
        <v>920</v>
      </c>
      <c r="E599" s="300" t="s">
        <v>920</v>
      </c>
      <c r="F599" s="300" t="s">
        <v>920</v>
      </c>
      <c r="G599" s="302" t="s">
        <v>928</v>
      </c>
      <c r="H599" s="302" t="s">
        <v>1147</v>
      </c>
      <c r="I599" s="306"/>
      <c r="J599" s="302"/>
      <c r="K599" s="302" t="s">
        <v>1149</v>
      </c>
    </row>
    <row r="600" spans="1:11" ht="26.4" hidden="1">
      <c r="B600" s="302" t="s">
        <v>1150</v>
      </c>
      <c r="C600" s="313">
        <v>44880</v>
      </c>
      <c r="D600" s="302" t="s">
        <v>920</v>
      </c>
      <c r="E600" s="302" t="s">
        <v>920</v>
      </c>
      <c r="F600" s="302" t="s">
        <v>920</v>
      </c>
      <c r="G600" s="302" t="s">
        <v>1151</v>
      </c>
      <c r="H600" s="302"/>
      <c r="I600" s="302"/>
      <c r="J600" s="302"/>
      <c r="K600" s="302" t="s">
        <v>1152</v>
      </c>
    </row>
    <row r="601" spans="1:11" ht="39.6" hidden="1">
      <c r="B601" s="302" t="s">
        <v>1153</v>
      </c>
      <c r="C601" s="313">
        <v>45637</v>
      </c>
      <c r="D601" s="302" t="s">
        <v>1154</v>
      </c>
      <c r="E601" s="302" t="s">
        <v>1154</v>
      </c>
      <c r="F601" s="302" t="s">
        <v>1154</v>
      </c>
      <c r="G601" s="302" t="s">
        <v>1155</v>
      </c>
      <c r="H601" s="302" t="s">
        <v>1156</v>
      </c>
      <c r="I601" s="302" t="s">
        <v>1157</v>
      </c>
      <c r="J601" s="302" t="s">
        <v>1158</v>
      </c>
      <c r="K601" s="302" t="s">
        <v>1159</v>
      </c>
    </row>
    <row r="602" spans="1:11" hidden="1">
      <c r="B602" s="308"/>
      <c r="C602" s="503"/>
      <c r="D602" s="308"/>
      <c r="E602" s="308"/>
      <c r="F602" s="308"/>
      <c r="G602" s="308"/>
      <c r="H602" s="308"/>
      <c r="I602" s="308"/>
      <c r="J602" s="308"/>
      <c r="K602" s="308"/>
    </row>
  </sheetData>
  <sheetProtection algorithmName="SHA-512" hashValue="ghI8kgPZOIZ2WVLxMv70eN6OyTnM+SPZFQogt82IQzDq1238+8hMh7HBOJY1vyUk7bS5j5f1xEwzkPvOSTrQ9g==" saltValue="wkdFkxsil1XpzhImsTbw7w==" spinCount="100000" sheet="1" objects="1" scenarios="1" selectLockedCells="1" selectUnlockedCells="1"/>
  <customSheetViews>
    <customSheetView guid="{BA12A2B5-8B2E-47CE-85C5-00A71CD7042B}" scale="70" showGridLines="0" topLeftCell="A120">
      <selection activeCell="J154" sqref="J154"/>
      <pageMargins left="0" right="0" top="0" bottom="0" header="0" footer="0"/>
      <pageSetup paperSize="9" orientation="portrait" r:id="rId1"/>
    </customSheetView>
    <customSheetView guid="{6E4579C3-98CA-4325-AF39-19A629870080}" scale="70" showGridLines="0" topLeftCell="A127">
      <selection activeCell="F155" sqref="F155:J195"/>
      <pageMargins left="0" right="0" top="0" bottom="0" header="0" footer="0"/>
      <pageSetup paperSize="9" orientation="portrait" r:id="rId2"/>
    </customSheetView>
    <customSheetView guid="{BC75B7F8-7A05-4F92-B953-0DB7EDA000F8}" showGridLines="0">
      <selection activeCell="J6" sqref="J5:J6"/>
      <pageMargins left="0" right="0" top="0" bottom="0" header="0" footer="0"/>
      <pageSetup paperSize="9" orientation="portrait" r:id="rId3"/>
    </customSheetView>
    <customSheetView guid="{BF159B5C-C230-4B3A-8DDE-333808894C93}" showGridLines="0" hiddenRows="1" topLeftCell="A559">
      <selection activeCell="G582" sqref="G582:J590"/>
      <pageMargins left="0" right="0" top="0" bottom="0" header="0" footer="0"/>
      <pageSetup paperSize="9" orientation="portrait" r:id="rId4"/>
    </customSheetView>
  </customSheetViews>
  <mergeCells count="45">
    <mergeCell ref="D8:H8"/>
    <mergeCell ref="K223:K280"/>
    <mergeCell ref="D9:H9"/>
    <mergeCell ref="B2:H2"/>
    <mergeCell ref="D20:H20"/>
    <mergeCell ref="D14:H14"/>
    <mergeCell ref="B27:I27"/>
    <mergeCell ref="D6:H6"/>
    <mergeCell ref="D15:H15"/>
    <mergeCell ref="D16:H16"/>
    <mergeCell ref="D17:H17"/>
    <mergeCell ref="D18:H18"/>
    <mergeCell ref="D19:H19"/>
    <mergeCell ref="D13:H13"/>
    <mergeCell ref="D12:H12"/>
    <mergeCell ref="D11:H11"/>
    <mergeCell ref="D10:H10"/>
    <mergeCell ref="K588:K592"/>
    <mergeCell ref="K593:K595"/>
    <mergeCell ref="K473:K479"/>
    <mergeCell ref="K480:K484"/>
    <mergeCell ref="K485:K504"/>
    <mergeCell ref="K505:K520"/>
    <mergeCell ref="K521:K525"/>
    <mergeCell ref="K526:K534"/>
    <mergeCell ref="K535:K539"/>
    <mergeCell ref="K540:K556"/>
    <mergeCell ref="K557:K570"/>
    <mergeCell ref="K571:K587"/>
    <mergeCell ref="D7:H7"/>
    <mergeCell ref="B7:B18"/>
    <mergeCell ref="K455:K469"/>
    <mergeCell ref="K434:K443"/>
    <mergeCell ref="K300:K305"/>
    <mergeCell ref="K420:K429"/>
    <mergeCell ref="K409:K418"/>
    <mergeCell ref="K308:K309"/>
    <mergeCell ref="K310:K336"/>
    <mergeCell ref="K337:K384"/>
    <mergeCell ref="K386:K389"/>
    <mergeCell ref="K390:K398"/>
    <mergeCell ref="K399:K408"/>
    <mergeCell ref="K290:K299"/>
    <mergeCell ref="K285:K289"/>
    <mergeCell ref="K283:K284"/>
  </mergeCells>
  <pageMargins left="0.7" right="0.7" top="0.75" bottom="0.75" header="0.3" footer="0.3"/>
  <pageSetup paperSize="9" orientation="portrait" r:id="rId5"/>
  <drawing r:id="rId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0">
    <tabColor theme="3"/>
    <pageSetUpPr fitToPage="1"/>
  </sheetPr>
  <dimension ref="B1:L301"/>
  <sheetViews>
    <sheetView showGridLines="0" tabSelected="1" topLeftCell="A5" zoomScale="80" zoomScaleNormal="80" workbookViewId="0">
      <selection activeCell="D86" sqref="D86:F86"/>
    </sheetView>
  </sheetViews>
  <sheetFormatPr defaultColWidth="9.33203125" defaultRowHeight="13.2"/>
  <cols>
    <col min="1" max="1" width="5.6640625" style="11" customWidth="1"/>
    <col min="2" max="2" width="34.6640625" style="11" customWidth="1"/>
    <col min="3" max="3" width="31.33203125" style="11" customWidth="1"/>
    <col min="4" max="4" width="27" style="11" customWidth="1"/>
    <col min="5" max="9" width="23.33203125" style="11" customWidth="1"/>
    <col min="10" max="10" width="23.33203125" style="14" customWidth="1"/>
    <col min="11" max="11" width="9.33203125" style="11" customWidth="1"/>
    <col min="12" max="12" width="0" style="11" hidden="1" customWidth="1"/>
    <col min="13" max="16384" width="9.33203125" style="11"/>
  </cols>
  <sheetData>
    <row r="1" spans="2:12" ht="86.25" customHeight="1"/>
    <row r="2" spans="2:12" ht="12.75" customHeight="1"/>
    <row r="3" spans="2:12" s="315" customFormat="1" ht="33.75" customHeight="1">
      <c r="B3" s="180" t="s">
        <v>1160</v>
      </c>
      <c r="C3" s="180"/>
      <c r="D3" s="180"/>
      <c r="E3" s="180"/>
      <c r="F3" s="180"/>
      <c r="G3" s="180"/>
      <c r="H3" s="180"/>
      <c r="I3" s="180"/>
      <c r="J3" s="180"/>
      <c r="K3" s="185"/>
      <c r="L3" s="185"/>
    </row>
    <row r="5" spans="2:12" ht="15.6">
      <c r="B5" s="316" t="s">
        <v>1161</v>
      </c>
      <c r="C5" s="316"/>
      <c r="D5" s="316"/>
      <c r="E5" s="316"/>
      <c r="F5" s="316"/>
      <c r="G5" s="316"/>
      <c r="H5" s="316"/>
      <c r="I5" s="316"/>
      <c r="J5" s="316"/>
    </row>
    <row r="6" spans="2:12">
      <c r="I6" s="14"/>
      <c r="J6" s="11"/>
    </row>
    <row r="7" spans="2:12" ht="30" customHeight="1">
      <c r="B7" s="81" t="s">
        <v>71</v>
      </c>
      <c r="C7" s="75"/>
      <c r="D7" s="75"/>
      <c r="E7" s="75"/>
      <c r="G7" s="78" t="s">
        <v>1162</v>
      </c>
      <c r="H7" s="175" t="s">
        <v>1163</v>
      </c>
      <c r="J7" s="11"/>
      <c r="L7" s="11" t="s">
        <v>934</v>
      </c>
    </row>
    <row r="8" spans="2:12" ht="30" customHeight="1">
      <c r="B8" s="80" t="s">
        <v>1127</v>
      </c>
      <c r="C8" s="569"/>
      <c r="D8" s="570"/>
      <c r="E8" s="76"/>
      <c r="G8" s="77" t="s">
        <v>1164</v>
      </c>
      <c r="H8" s="360"/>
      <c r="J8" s="11"/>
      <c r="L8" s="11" t="s">
        <v>937</v>
      </c>
    </row>
    <row r="9" spans="2:12" ht="30" customHeight="1">
      <c r="B9" s="80" t="s">
        <v>932</v>
      </c>
      <c r="C9" s="575"/>
      <c r="D9" s="576"/>
      <c r="E9" s="76"/>
      <c r="G9" s="79" t="s">
        <v>1165</v>
      </c>
      <c r="H9" s="13">
        <f>DATE(YEAR(H8)+1,MONTH(H8),DAY(H8)-1)</f>
        <v>365</v>
      </c>
      <c r="J9" s="11"/>
      <c r="L9" s="11" t="s">
        <v>939</v>
      </c>
    </row>
    <row r="10" spans="2:12" ht="30" customHeight="1">
      <c r="B10" s="93" t="s">
        <v>1166</v>
      </c>
      <c r="C10" s="569"/>
      <c r="D10" s="570"/>
      <c r="E10" s="76"/>
      <c r="G10" s="79" t="s">
        <v>1167</v>
      </c>
      <c r="H10" s="192">
        <f>YEAR(H9)</f>
        <v>1900</v>
      </c>
      <c r="J10" s="11"/>
      <c r="L10" s="11" t="s">
        <v>941</v>
      </c>
    </row>
    <row r="11" spans="2:12" ht="30" customHeight="1">
      <c r="B11" s="93" t="s">
        <v>1168</v>
      </c>
      <c r="C11" s="569"/>
      <c r="D11" s="570"/>
      <c r="E11" s="76"/>
      <c r="F11" s="317"/>
      <c r="J11" s="11"/>
      <c r="L11" s="11" t="s">
        <v>943</v>
      </c>
    </row>
    <row r="12" spans="2:12" ht="30" customHeight="1">
      <c r="B12" s="93" t="s">
        <v>1169</v>
      </c>
      <c r="C12" s="571"/>
      <c r="D12" s="572"/>
      <c r="E12" s="211">
        <f>IF(C13="NZ", CONCATENATE(0,C12), C12)</f>
        <v>0</v>
      </c>
      <c r="J12" s="11"/>
      <c r="L12" s="11" t="s">
        <v>945</v>
      </c>
    </row>
    <row r="13" spans="2:12" ht="30" customHeight="1">
      <c r="B13" s="93" t="s">
        <v>1170</v>
      </c>
      <c r="C13" s="573"/>
      <c r="D13" s="574"/>
      <c r="E13" s="76"/>
      <c r="G13" s="3" t="str">
        <f>IF(C13="NZ", "Net Lettable Area (m2)", "Gross building area (m2)")</f>
        <v>Gross building area (m2)</v>
      </c>
      <c r="H13" s="4">
        <f>D71</f>
        <v>0</v>
      </c>
      <c r="J13" s="11"/>
      <c r="L13" s="11" t="s">
        <v>947</v>
      </c>
    </row>
    <row r="14" spans="2:12" ht="30" customHeight="1">
      <c r="B14" s="93" t="s">
        <v>1171</v>
      </c>
      <c r="C14" s="573"/>
      <c r="D14" s="574"/>
      <c r="E14" s="76"/>
      <c r="G14" s="3" t="s">
        <v>1172</v>
      </c>
      <c r="H14" s="4" t="str">
        <f>IFERROR(VLOOKUP($E$12,'CDD &amp; HDD table'!$A:$D,3,FALSE),"")</f>
        <v/>
      </c>
      <c r="J14" s="11"/>
      <c r="L14" s="11" t="s">
        <v>949</v>
      </c>
    </row>
    <row r="15" spans="2:12" ht="32.25" customHeight="1">
      <c r="B15" s="16"/>
      <c r="C15" s="16"/>
      <c r="D15" s="18"/>
      <c r="E15" s="18"/>
      <c r="G15" s="3" t="s">
        <v>1173</v>
      </c>
      <c r="H15" s="4" t="str">
        <f>IFERROR(VLOOKUP($E$12,'CDD &amp; HDD table'!$A:$D,4,FALSE),"")</f>
        <v/>
      </c>
      <c r="J15" s="11"/>
    </row>
    <row r="16" spans="2:12" ht="35.25" customHeight="1">
      <c r="B16" s="93" t="s">
        <v>1174</v>
      </c>
      <c r="C16" s="82"/>
      <c r="D16" s="558" t="s">
        <v>1175</v>
      </c>
      <c r="E16" s="558"/>
      <c r="J16" s="11"/>
    </row>
    <row r="17" spans="2:10" ht="41.25" customHeight="1">
      <c r="B17" s="93" t="s">
        <v>1176</v>
      </c>
      <c r="C17" s="82"/>
      <c r="D17" s="558" t="s">
        <v>1177</v>
      </c>
      <c r="E17" s="558"/>
    </row>
    <row r="18" spans="2:10" ht="42.75" customHeight="1">
      <c r="B18" s="93" t="s">
        <v>1178</v>
      </c>
      <c r="C18" s="82"/>
      <c r="D18" s="558" t="s">
        <v>1179</v>
      </c>
      <c r="E18" s="558"/>
      <c r="J18" s="11"/>
    </row>
    <row r="19" spans="2:10" ht="66.75" customHeight="1">
      <c r="B19" s="189" t="s">
        <v>1180</v>
      </c>
      <c r="C19" s="82"/>
      <c r="D19" s="558" t="s">
        <v>1181</v>
      </c>
      <c r="E19" s="558"/>
      <c r="J19" s="11"/>
    </row>
    <row r="20" spans="2:10" ht="66.75" customHeight="1">
      <c r="B20" s="189" t="s">
        <v>1182</v>
      </c>
      <c r="C20" s="82"/>
      <c r="D20" s="558"/>
      <c r="E20" s="558"/>
      <c r="J20" s="11"/>
    </row>
    <row r="21" spans="2:10">
      <c r="J21" s="11"/>
    </row>
    <row r="22" spans="2:10" ht="15.6">
      <c r="B22" s="316" t="s">
        <v>1184</v>
      </c>
      <c r="C22" s="316"/>
      <c r="D22" s="316"/>
      <c r="E22" s="316"/>
      <c r="F22" s="316"/>
      <c r="G22" s="316"/>
      <c r="H22" s="316"/>
      <c r="I22" s="316"/>
      <c r="J22" s="316"/>
    </row>
    <row r="23" spans="2:10">
      <c r="J23" s="11"/>
    </row>
    <row r="24" spans="2:10" ht="19.5" customHeight="1">
      <c r="B24" s="577" t="s">
        <v>358</v>
      </c>
      <c r="C24" s="577" t="s">
        <v>360</v>
      </c>
      <c r="D24" s="577" t="s">
        <v>363</v>
      </c>
      <c r="E24" s="577" t="s">
        <v>1185</v>
      </c>
      <c r="F24" s="577" t="s">
        <v>1186</v>
      </c>
      <c r="G24" s="19"/>
      <c r="H24" s="20"/>
      <c r="I24" s="20"/>
      <c r="J24" s="20"/>
    </row>
    <row r="25" spans="2:10" ht="17.25" customHeight="1">
      <c r="B25" s="578"/>
      <c r="C25" s="578"/>
      <c r="D25" s="578"/>
      <c r="E25" s="578"/>
      <c r="F25" s="578"/>
      <c r="G25" s="21"/>
      <c r="H25" s="14"/>
      <c r="J25" s="11"/>
    </row>
    <row r="26" spans="2:10" ht="20.100000000000001" customHeight="1">
      <c r="B26" s="83">
        <v>1</v>
      </c>
      <c r="C26" s="83" t="str">
        <f>C78</f>
        <v>Electricity</v>
      </c>
      <c r="D26" s="243" t="e">
        <f>$C$80/C$82</f>
        <v>#N/A</v>
      </c>
      <c r="E26" s="243">
        <f>SUM(I86:I97)</f>
        <v>0</v>
      </c>
      <c r="F26" s="243">
        <f>IFERROR(E26*$D26,0)</f>
        <v>0</v>
      </c>
      <c r="G26" s="22"/>
      <c r="H26" s="14"/>
      <c r="J26" s="11"/>
    </row>
    <row r="27" spans="2:10" ht="20.100000000000001" customHeight="1">
      <c r="B27" s="83">
        <v>2</v>
      </c>
      <c r="C27" s="83" t="str">
        <f>C101</f>
        <v>GreenPower</v>
      </c>
      <c r="D27" s="243">
        <f>C103</f>
        <v>0</v>
      </c>
      <c r="E27" s="243">
        <f>SUM(I109:I120)</f>
        <v>0</v>
      </c>
      <c r="F27" s="243">
        <f t="shared" ref="F27:F35" si="0">IFERROR(E27*$D27,0)</f>
        <v>0</v>
      </c>
      <c r="G27" s="22"/>
      <c r="H27" s="14"/>
      <c r="J27" s="11"/>
    </row>
    <row r="28" spans="2:10" ht="20.100000000000001" customHeight="1">
      <c r="B28" s="83">
        <v>3</v>
      </c>
      <c r="C28" s="83" t="str">
        <f>C124</f>
        <v>Natural gas distributed in a pipeline</v>
      </c>
      <c r="D28" s="243" t="b">
        <f>C126</f>
        <v>0</v>
      </c>
      <c r="E28" s="243">
        <f>SUM(I132:I143)</f>
        <v>0</v>
      </c>
      <c r="F28" s="243">
        <f t="shared" si="0"/>
        <v>0</v>
      </c>
      <c r="G28" s="22"/>
      <c r="H28" s="14"/>
      <c r="J28" s="11"/>
    </row>
    <row r="29" spans="2:10" ht="20.100000000000001" customHeight="1">
      <c r="B29" s="83">
        <v>4</v>
      </c>
      <c r="C29" s="83" t="str">
        <f>C147</f>
        <v>Liquefied petroleum gas</v>
      </c>
      <c r="D29" s="243" t="b">
        <f>C149</f>
        <v>0</v>
      </c>
      <c r="E29" s="243">
        <f>SUM(I155:I166)</f>
        <v>0</v>
      </c>
      <c r="F29" s="243">
        <f t="shared" si="0"/>
        <v>0</v>
      </c>
      <c r="G29" s="22"/>
      <c r="H29" s="14"/>
      <c r="J29" s="11"/>
    </row>
    <row r="30" spans="2:10" ht="20.100000000000001" customHeight="1">
      <c r="B30" s="83">
        <v>5</v>
      </c>
      <c r="C30" s="83" t="str">
        <f>C170</f>
        <v>Diesel Oil</v>
      </c>
      <c r="D30" s="243" t="b">
        <f>C172</f>
        <v>0</v>
      </c>
      <c r="E30" s="243">
        <f>SUM(I178:I189)</f>
        <v>0</v>
      </c>
      <c r="F30" s="243">
        <f t="shared" si="0"/>
        <v>0</v>
      </c>
      <c r="G30" s="22"/>
      <c r="H30" s="14"/>
      <c r="J30" s="11"/>
    </row>
    <row r="31" spans="2:10" ht="20.100000000000001" customHeight="1">
      <c r="B31" s="83">
        <v>6</v>
      </c>
      <c r="C31" s="83" t="str">
        <f>C193</f>
        <v>Bituminous coal</v>
      </c>
      <c r="D31" s="243" t="b">
        <f>C195</f>
        <v>0</v>
      </c>
      <c r="E31" s="243">
        <f>SUM(I201:I212)</f>
        <v>0</v>
      </c>
      <c r="F31" s="243">
        <f t="shared" si="0"/>
        <v>0</v>
      </c>
      <c r="G31" s="22"/>
      <c r="H31" s="14"/>
      <c r="J31" s="11"/>
    </row>
    <row r="32" spans="2:10" ht="20.100000000000001" customHeight="1">
      <c r="B32" s="83">
        <v>7</v>
      </c>
      <c r="C32" s="83" t="str">
        <f>C216</f>
        <v>Other</v>
      </c>
      <c r="D32" s="243">
        <f>C218</f>
        <v>0</v>
      </c>
      <c r="E32" s="243">
        <f>SUM(I224:I235)</f>
        <v>0</v>
      </c>
      <c r="F32" s="243">
        <f t="shared" si="0"/>
        <v>0</v>
      </c>
      <c r="G32" s="22"/>
      <c r="H32" s="14"/>
      <c r="J32" s="11"/>
    </row>
    <row r="33" spans="2:10" ht="20.100000000000001" customHeight="1">
      <c r="B33" s="83">
        <v>8</v>
      </c>
      <c r="C33" s="83" t="str">
        <f>B237</f>
        <v>Onsite Renewable</v>
      </c>
      <c r="D33" s="243">
        <v>0</v>
      </c>
      <c r="E33" s="243">
        <f>SUM(I245:I256)</f>
        <v>0</v>
      </c>
      <c r="F33" s="243">
        <f t="shared" si="0"/>
        <v>0</v>
      </c>
      <c r="G33" s="22"/>
      <c r="H33" s="14"/>
      <c r="J33" s="11"/>
    </row>
    <row r="34" spans="2:10" ht="20.100000000000001" customHeight="1">
      <c r="B34" s="83">
        <v>9</v>
      </c>
      <c r="C34" s="83" t="s">
        <v>589</v>
      </c>
      <c r="D34" s="243">
        <v>0</v>
      </c>
      <c r="E34" s="243">
        <f>SUM(I267:I278)</f>
        <v>0</v>
      </c>
      <c r="F34" s="243">
        <f t="shared" si="0"/>
        <v>0</v>
      </c>
      <c r="G34" s="22"/>
      <c r="H34" s="14"/>
      <c r="J34" s="11"/>
    </row>
    <row r="35" spans="2:10" ht="20.100000000000001" customHeight="1">
      <c r="B35" s="83">
        <v>10</v>
      </c>
      <c r="C35" s="83" t="s">
        <v>458</v>
      </c>
      <c r="D35" s="243" t="e">
        <f>D26</f>
        <v>#N/A</v>
      </c>
      <c r="E35" s="243">
        <f>SUM(I290:I301)</f>
        <v>0</v>
      </c>
      <c r="F35" s="243">
        <f t="shared" si="0"/>
        <v>0</v>
      </c>
      <c r="G35" s="22"/>
      <c r="H35" s="14"/>
      <c r="J35" s="11"/>
    </row>
    <row r="36" spans="2:10" s="25" customFormat="1" ht="20.100000000000001" customHeight="1">
      <c r="B36" s="594" t="s">
        <v>1187</v>
      </c>
      <c r="C36" s="594"/>
      <c r="D36" s="594"/>
      <c r="E36" s="246">
        <f>SUM(E26:E35)</f>
        <v>0</v>
      </c>
      <c r="F36" s="246">
        <f>SUM(F26:F35)</f>
        <v>0</v>
      </c>
      <c r="G36" s="23"/>
      <c r="H36" s="24"/>
    </row>
    <row r="37" spans="2:10">
      <c r="J37" s="11"/>
    </row>
    <row r="39" spans="2:10" ht="15.6">
      <c r="B39" s="316" t="s">
        <v>1188</v>
      </c>
      <c r="C39" s="316"/>
      <c r="D39" s="316"/>
      <c r="E39" s="316"/>
      <c r="F39" s="316"/>
      <c r="G39" s="316"/>
      <c r="H39" s="316"/>
      <c r="I39" s="316"/>
      <c r="J39" s="316"/>
    </row>
    <row r="41" spans="2:10" ht="16.5" customHeight="1">
      <c r="B41" s="595" t="s">
        <v>1189</v>
      </c>
      <c r="C41" s="595" t="s">
        <v>1190</v>
      </c>
      <c r="J41" s="11"/>
    </row>
    <row r="42" spans="2:10" ht="13.5" customHeight="1">
      <c r="B42" s="596"/>
      <c r="C42" s="596"/>
      <c r="J42" s="11"/>
    </row>
    <row r="43" spans="2:10" ht="20.100000000000001" customHeight="1">
      <c r="B43" s="83" t="s">
        <v>1172</v>
      </c>
      <c r="C43" s="84" t="str">
        <f>H14</f>
        <v/>
      </c>
      <c r="J43" s="11"/>
    </row>
    <row r="44" spans="2:10" ht="20.100000000000001" customHeight="1">
      <c r="B44" s="83" t="s">
        <v>1173</v>
      </c>
      <c r="C44" s="84" t="str">
        <f>H15</f>
        <v/>
      </c>
      <c r="J44" s="11"/>
    </row>
    <row r="45" spans="2:10" ht="20.100000000000001" customHeight="1">
      <c r="B45" s="83" t="s">
        <v>1191</v>
      </c>
      <c r="C45" s="84">
        <f>IFERROR(D71,0)</f>
        <v>0</v>
      </c>
      <c r="J45" s="11"/>
    </row>
    <row r="46" spans="2:10" ht="20.100000000000001" customHeight="1">
      <c r="B46" s="83" t="s">
        <v>1192</v>
      </c>
      <c r="C46" s="84" t="e">
        <f>E71</f>
        <v>#DIV/0!</v>
      </c>
      <c r="J46" s="11"/>
    </row>
    <row r="47" spans="2:10" ht="20.100000000000001" customHeight="1">
      <c r="B47" s="83" t="str">
        <f>F70</f>
        <v>Adjusted Operational Variable 1</v>
      </c>
      <c r="C47" s="84">
        <f>F71</f>
        <v>1</v>
      </c>
      <c r="J47" s="11"/>
    </row>
    <row r="48" spans="2:10" ht="20.100000000000001" customHeight="1">
      <c r="B48" s="83" t="str">
        <f>G70</f>
        <v>Adjusted Operational Variable 2</v>
      </c>
      <c r="C48" s="84">
        <f>G71</f>
        <v>1</v>
      </c>
      <c r="J48" s="11"/>
    </row>
    <row r="49" spans="2:10" ht="20.100000000000001" customHeight="1">
      <c r="B49" s="83" t="str">
        <f>H70</f>
        <v>Adjusted Operational Variable 3</v>
      </c>
      <c r="C49" s="84">
        <f>H71</f>
        <v>1</v>
      </c>
      <c r="J49" s="11"/>
    </row>
    <row r="50" spans="2:10">
      <c r="J50" s="11"/>
    </row>
    <row r="52" spans="2:10" ht="15.6">
      <c r="B52" s="316" t="s">
        <v>1193</v>
      </c>
      <c r="C52" s="316"/>
      <c r="D52" s="316"/>
      <c r="E52" s="316"/>
      <c r="F52" s="316"/>
      <c r="G52" s="316"/>
      <c r="H52" s="316"/>
      <c r="I52" s="316"/>
      <c r="J52" s="316"/>
    </row>
    <row r="54" spans="2:10" ht="40.200000000000003" thickBot="1">
      <c r="B54" s="89" t="s">
        <v>1194</v>
      </c>
      <c r="C54" s="89" t="s">
        <v>1195</v>
      </c>
      <c r="D54" s="89" t="s">
        <v>1196</v>
      </c>
      <c r="E54" s="89" t="s">
        <v>1197</v>
      </c>
      <c r="F54" s="89" t="s">
        <v>1198</v>
      </c>
      <c r="G54" s="89" t="s">
        <v>1199</v>
      </c>
      <c r="H54" s="89" t="s">
        <v>1200</v>
      </c>
      <c r="I54" s="89" t="s">
        <v>1201</v>
      </c>
      <c r="J54" s="89" t="s">
        <v>55</v>
      </c>
    </row>
    <row r="55" spans="2:10" ht="30" customHeight="1">
      <c r="B55" s="120" t="s">
        <v>1202</v>
      </c>
      <c r="C55" s="361"/>
      <c r="D55" s="112"/>
      <c r="E55" s="112"/>
      <c r="F55" s="112"/>
      <c r="G55" s="112"/>
      <c r="H55" s="112"/>
      <c r="I55" s="112"/>
      <c r="J55" s="113"/>
    </row>
    <row r="56" spans="2:10" ht="30" customHeight="1">
      <c r="B56" s="123" t="s">
        <v>1203</v>
      </c>
      <c r="C56" s="362"/>
      <c r="D56" s="115"/>
      <c r="E56" s="115"/>
      <c r="F56" s="115"/>
      <c r="G56" s="115"/>
      <c r="H56" s="115"/>
      <c r="I56" s="115"/>
      <c r="J56" s="116"/>
    </row>
    <row r="57" spans="2:10" ht="30" customHeight="1">
      <c r="B57" s="123" t="s">
        <v>1204</v>
      </c>
      <c r="C57" s="362"/>
      <c r="D57" s="115"/>
      <c r="E57" s="115"/>
      <c r="F57" s="115"/>
      <c r="G57" s="115"/>
      <c r="H57" s="115"/>
      <c r="I57" s="115"/>
      <c r="J57" s="116"/>
    </row>
    <row r="58" spans="2:10" ht="30" customHeight="1">
      <c r="B58" s="123" t="s">
        <v>1205</v>
      </c>
      <c r="C58" s="362"/>
      <c r="D58" s="115"/>
      <c r="E58" s="115"/>
      <c r="F58" s="115"/>
      <c r="G58" s="115"/>
      <c r="H58" s="115"/>
      <c r="I58" s="115"/>
      <c r="J58" s="116"/>
    </row>
    <row r="59" spans="2:10" ht="30" customHeight="1">
      <c r="B59" s="123" t="s">
        <v>1206</v>
      </c>
      <c r="C59" s="362"/>
      <c r="D59" s="115"/>
      <c r="E59" s="115"/>
      <c r="F59" s="115"/>
      <c r="G59" s="115"/>
      <c r="H59" s="115"/>
      <c r="I59" s="115"/>
      <c r="J59" s="116"/>
    </row>
    <row r="60" spans="2:10" ht="30" customHeight="1">
      <c r="B60" s="123" t="s">
        <v>1207</v>
      </c>
      <c r="C60" s="362"/>
      <c r="D60" s="115"/>
      <c r="E60" s="115"/>
      <c r="F60" s="115"/>
      <c r="G60" s="115"/>
      <c r="H60" s="115"/>
      <c r="I60" s="115"/>
      <c r="J60" s="116"/>
    </row>
    <row r="61" spans="2:10" ht="30" customHeight="1">
      <c r="B61" s="123" t="s">
        <v>1208</v>
      </c>
      <c r="C61" s="362"/>
      <c r="D61" s="115"/>
      <c r="E61" s="115"/>
      <c r="F61" s="115"/>
      <c r="G61" s="115"/>
      <c r="H61" s="115"/>
      <c r="I61" s="115"/>
      <c r="J61" s="116"/>
    </row>
    <row r="62" spans="2:10" ht="30" customHeight="1">
      <c r="B62" s="123" t="s">
        <v>1209</v>
      </c>
      <c r="C62" s="362"/>
      <c r="D62" s="115"/>
      <c r="E62" s="115"/>
      <c r="F62" s="115"/>
      <c r="G62" s="115"/>
      <c r="H62" s="115"/>
      <c r="I62" s="115"/>
      <c r="J62" s="116"/>
    </row>
    <row r="63" spans="2:10" ht="30" customHeight="1">
      <c r="B63" s="123" t="s">
        <v>1210</v>
      </c>
      <c r="C63" s="362"/>
      <c r="D63" s="115"/>
      <c r="E63" s="115"/>
      <c r="F63" s="115"/>
      <c r="G63" s="115"/>
      <c r="H63" s="115"/>
      <c r="I63" s="115"/>
      <c r="J63" s="116"/>
    </row>
    <row r="64" spans="2:10" ht="30" customHeight="1">
      <c r="B64" s="123" t="s">
        <v>1211</v>
      </c>
      <c r="C64" s="362"/>
      <c r="D64" s="115"/>
      <c r="E64" s="115"/>
      <c r="F64" s="115"/>
      <c r="G64" s="115"/>
      <c r="H64" s="115"/>
      <c r="I64" s="115"/>
      <c r="J64" s="116"/>
    </row>
    <row r="65" spans="2:10" ht="30" customHeight="1">
      <c r="B65" s="123" t="s">
        <v>1212</v>
      </c>
      <c r="C65" s="362"/>
      <c r="D65" s="115"/>
      <c r="E65" s="115"/>
      <c r="F65" s="115"/>
      <c r="G65" s="115"/>
      <c r="H65" s="115"/>
      <c r="I65" s="115"/>
      <c r="J65" s="116"/>
    </row>
    <row r="66" spans="2:10" ht="30" customHeight="1">
      <c r="B66" s="123" t="s">
        <v>1213</v>
      </c>
      <c r="C66" s="362"/>
      <c r="D66" s="115"/>
      <c r="E66" s="115"/>
      <c r="F66" s="115"/>
      <c r="G66" s="115"/>
      <c r="H66" s="115"/>
      <c r="I66" s="115"/>
      <c r="J66" s="116"/>
    </row>
    <row r="67" spans="2:10" ht="30" customHeight="1">
      <c r="B67" s="123" t="s">
        <v>1214</v>
      </c>
      <c r="C67" s="362"/>
      <c r="D67" s="115"/>
      <c r="E67" s="115"/>
      <c r="F67" s="115"/>
      <c r="G67" s="115"/>
      <c r="H67" s="115"/>
      <c r="I67" s="115"/>
      <c r="J67" s="116"/>
    </row>
    <row r="68" spans="2:10" ht="30" customHeight="1">
      <c r="B68" s="123" t="s">
        <v>1215</v>
      </c>
      <c r="C68" s="362"/>
      <c r="D68" s="115"/>
      <c r="E68" s="115"/>
      <c r="F68" s="115"/>
      <c r="G68" s="115"/>
      <c r="H68" s="115"/>
      <c r="I68" s="115"/>
      <c r="J68" s="116"/>
    </row>
    <row r="69" spans="2:10" ht="30" customHeight="1" thickBot="1">
      <c r="B69" s="126" t="s">
        <v>1216</v>
      </c>
      <c r="C69" s="363"/>
      <c r="D69" s="118"/>
      <c r="E69" s="118"/>
      <c r="F69" s="118"/>
      <c r="G69" s="118"/>
      <c r="H69" s="118"/>
      <c r="I69" s="118"/>
      <c r="J69" s="119"/>
    </row>
    <row r="70" spans="2:10" ht="26.4">
      <c r="B70" s="15"/>
      <c r="D70" s="92" t="s">
        <v>1217</v>
      </c>
      <c r="E70" s="92" t="s">
        <v>1218</v>
      </c>
      <c r="F70" s="92" t="str">
        <f>"Adjusted "&amp;F$54</f>
        <v>Adjusted Operational Variable 1</v>
      </c>
      <c r="G70" s="92" t="str">
        <f>"Adjusted "&amp;G$54</f>
        <v>Adjusted Operational Variable 2</v>
      </c>
      <c r="H70" s="92" t="str">
        <f>"Adjusted "&amp;H$54</f>
        <v>Adjusted Operational Variable 3</v>
      </c>
    </row>
    <row r="71" spans="2:10" ht="20.100000000000001" customHeight="1">
      <c r="D71" s="5">
        <f>SUMPRODUCT(D55:D69,I55:I69)/($H$9-$H$8+1)</f>
        <v>0</v>
      </c>
      <c r="E71" s="5" t="e">
        <f>SUMPRODUCT(E55:E69,$I55:$I69,$D55:$D69)/($H$9-$H$8+1)/SUM($D55:$D69)</f>
        <v>#DIV/0!</v>
      </c>
      <c r="F71" s="5">
        <f>IFERROR(SUMPRODUCT(F55:F69,$I55:$I69,$D55:$D69)/($H$9-$H$8+1)/SUM($D55:$D69),1)</f>
        <v>1</v>
      </c>
      <c r="G71" s="5">
        <f>IFERROR(SUMPRODUCT(G55:G69,$I55:$I69,$D55:$D69)/($H$9-$H$8+1)/SUM($D55:$D69),1)</f>
        <v>1</v>
      </c>
      <c r="H71" s="5">
        <f>IFERROR(SUMPRODUCT(H55:H69,$I55:$I69,$D55:$D69)/($H$9-$H$8+1)/SUM($D55:$D69),1)</f>
        <v>1</v>
      </c>
    </row>
    <row r="72" spans="2:10">
      <c r="B72" s="11" t="s">
        <v>1219</v>
      </c>
    </row>
    <row r="74" spans="2:10" ht="15.6">
      <c r="B74" s="316" t="s">
        <v>1220</v>
      </c>
      <c r="C74" s="316"/>
      <c r="D74" s="316"/>
      <c r="E74" s="316"/>
      <c r="F74" s="316"/>
      <c r="G74" s="316"/>
      <c r="H74" s="316"/>
      <c r="I74" s="316"/>
      <c r="J74" s="316"/>
    </row>
    <row r="76" spans="2:10" ht="15.6">
      <c r="B76" s="316" t="s">
        <v>1221</v>
      </c>
      <c r="C76" s="316"/>
      <c r="D76" s="316"/>
      <c r="E76" s="316"/>
      <c r="F76" s="316"/>
      <c r="G76" s="316"/>
      <c r="H76" s="316"/>
      <c r="I76" s="316"/>
      <c r="J76" s="316"/>
    </row>
    <row r="77" spans="2:10" ht="13.8" thickBot="1"/>
    <row r="78" spans="2:10" ht="20.100000000000001" customHeight="1" thickBot="1">
      <c r="B78" s="91" t="s">
        <v>471</v>
      </c>
      <c r="C78" s="84" t="s">
        <v>569</v>
      </c>
      <c r="E78" s="91" t="s">
        <v>475</v>
      </c>
      <c r="F78" s="585"/>
      <c r="G78" s="586"/>
      <c r="H78" s="586"/>
      <c r="I78" s="587"/>
    </row>
    <row r="79" spans="2:10" ht="20.100000000000001" customHeight="1">
      <c r="B79" s="90" t="s">
        <v>477</v>
      </c>
      <c r="C79" s="85" t="s">
        <v>96</v>
      </c>
      <c r="E79" s="561" t="s">
        <v>479</v>
      </c>
      <c r="F79" s="588"/>
      <c r="G79" s="589"/>
      <c r="H79" s="589"/>
      <c r="I79" s="590"/>
    </row>
    <row r="80" spans="2:10" ht="20.100000000000001" customHeight="1" thickBot="1">
      <c r="B80" s="90" t="s">
        <v>483</v>
      </c>
      <c r="C80" s="511" t="e" cm="1">
        <f t="array" ref="C80">INDEX('NGER Emission Factors'!$D$84:$D$128,MATCH(1,($C$20='NGER Emission Factors'!$B$84:$B$128)*($H$10='NGER Emission Factors'!$C$84:$C$128),0),1)</f>
        <v>#N/A</v>
      </c>
      <c r="D80" s="317"/>
      <c r="E80" s="562"/>
      <c r="F80" s="591"/>
      <c r="G80" s="592"/>
      <c r="H80" s="592"/>
      <c r="I80" s="593"/>
    </row>
    <row r="81" spans="2:10" ht="20.100000000000001" customHeight="1">
      <c r="B81" s="90" t="s">
        <v>485</v>
      </c>
      <c r="C81" s="84" t="s">
        <v>100</v>
      </c>
    </row>
    <row r="82" spans="2:10" ht="20.100000000000001" customHeight="1">
      <c r="B82" s="90" t="s">
        <v>487</v>
      </c>
      <c r="C82" s="87">
        <v>3.5999999999999999E-3</v>
      </c>
      <c r="E82" s="11" t="s">
        <v>489</v>
      </c>
    </row>
    <row r="83" spans="2:10" ht="16.5" customHeight="1">
      <c r="G83" s="14"/>
      <c r="J83" s="11"/>
    </row>
    <row r="85" spans="2:10" ht="42.75" customHeight="1" thickBot="1">
      <c r="B85" s="89" t="s">
        <v>491</v>
      </c>
      <c r="C85" s="89" t="s">
        <v>493</v>
      </c>
      <c r="D85" s="89" t="s">
        <v>495</v>
      </c>
      <c r="E85" s="89" t="s">
        <v>497</v>
      </c>
      <c r="F85" s="89" t="str">
        <f>"Billed Quantity ("&amp;C81&amp;")"</f>
        <v>Billed Quantity (kWh)</v>
      </c>
      <c r="G85" s="90" t="s">
        <v>501</v>
      </c>
      <c r="H85" s="90" t="s">
        <v>487</v>
      </c>
      <c r="I85" s="90" t="s">
        <v>504</v>
      </c>
      <c r="J85" s="11"/>
    </row>
    <row r="86" spans="2:10" ht="20.100000000000001" customHeight="1">
      <c r="B86" s="120"/>
      <c r="C86" s="121"/>
      <c r="D86" s="122"/>
      <c r="E86" s="122"/>
      <c r="F86" s="113"/>
      <c r="G86" s="88" t="str">
        <f t="shared" ref="G86:G97" si="1">IF(ISBLANK(D86),"",E86-D86+1)</f>
        <v/>
      </c>
      <c r="H86" s="84">
        <f t="shared" ref="H86:H97" si="2">$C$82</f>
        <v>3.5999999999999999E-3</v>
      </c>
      <c r="I86" s="84">
        <f t="shared" ref="I86:I97" si="3">IF(F86&gt;0,F86*H86*IF(OR(D86&gt;$H$9,E86&lt;$H$8), 0, IF(D86&lt;$H$8,E86-$H$8,IF($H$9&lt;E86,E86-$H$9,G86)))/G86,0)</f>
        <v>0</v>
      </c>
      <c r="J86" s="210"/>
    </row>
    <row r="87" spans="2:10" ht="20.100000000000001" customHeight="1">
      <c r="B87" s="123"/>
      <c r="C87" s="124"/>
      <c r="D87" s="125"/>
      <c r="E87" s="125"/>
      <c r="F87" s="116"/>
      <c r="G87" s="88" t="str">
        <f t="shared" si="1"/>
        <v/>
      </c>
      <c r="H87" s="84">
        <f t="shared" si="2"/>
        <v>3.5999999999999999E-3</v>
      </c>
      <c r="I87" s="84">
        <f t="shared" si="3"/>
        <v>0</v>
      </c>
      <c r="J87" s="11"/>
    </row>
    <row r="88" spans="2:10" ht="20.100000000000001" customHeight="1">
      <c r="B88" s="123"/>
      <c r="C88" s="124"/>
      <c r="D88" s="125"/>
      <c r="E88" s="125"/>
      <c r="F88" s="116"/>
      <c r="G88" s="88" t="str">
        <f t="shared" si="1"/>
        <v/>
      </c>
      <c r="H88" s="84">
        <f t="shared" si="2"/>
        <v>3.5999999999999999E-3</v>
      </c>
      <c r="I88" s="84">
        <f t="shared" si="3"/>
        <v>0</v>
      </c>
      <c r="J88" s="11"/>
    </row>
    <row r="89" spans="2:10" ht="20.100000000000001" customHeight="1">
      <c r="B89" s="123"/>
      <c r="C89" s="124"/>
      <c r="D89" s="125"/>
      <c r="E89" s="125"/>
      <c r="F89" s="116"/>
      <c r="G89" s="88" t="str">
        <f t="shared" si="1"/>
        <v/>
      </c>
      <c r="H89" s="84">
        <f t="shared" si="2"/>
        <v>3.5999999999999999E-3</v>
      </c>
      <c r="I89" s="84">
        <f t="shared" si="3"/>
        <v>0</v>
      </c>
      <c r="J89" s="11"/>
    </row>
    <row r="90" spans="2:10" ht="20.100000000000001" customHeight="1">
      <c r="B90" s="123"/>
      <c r="C90" s="124"/>
      <c r="D90" s="125"/>
      <c r="E90" s="125"/>
      <c r="F90" s="116"/>
      <c r="G90" s="88" t="str">
        <f t="shared" si="1"/>
        <v/>
      </c>
      <c r="H90" s="84">
        <f t="shared" si="2"/>
        <v>3.5999999999999999E-3</v>
      </c>
      <c r="I90" s="84">
        <f t="shared" si="3"/>
        <v>0</v>
      </c>
      <c r="J90" s="11"/>
    </row>
    <row r="91" spans="2:10" ht="20.100000000000001" customHeight="1">
      <c r="B91" s="123"/>
      <c r="C91" s="124"/>
      <c r="D91" s="125"/>
      <c r="E91" s="125"/>
      <c r="F91" s="116"/>
      <c r="G91" s="88" t="str">
        <f t="shared" si="1"/>
        <v/>
      </c>
      <c r="H91" s="84">
        <f t="shared" si="2"/>
        <v>3.5999999999999999E-3</v>
      </c>
      <c r="I91" s="84">
        <f t="shared" si="3"/>
        <v>0</v>
      </c>
      <c r="J91" s="11"/>
    </row>
    <row r="92" spans="2:10" ht="20.100000000000001" customHeight="1">
      <c r="B92" s="123"/>
      <c r="C92" s="124"/>
      <c r="D92" s="125"/>
      <c r="E92" s="125"/>
      <c r="F92" s="116"/>
      <c r="G92" s="88" t="str">
        <f t="shared" si="1"/>
        <v/>
      </c>
      <c r="H92" s="84">
        <f t="shared" si="2"/>
        <v>3.5999999999999999E-3</v>
      </c>
      <c r="I92" s="84">
        <f t="shared" si="3"/>
        <v>0</v>
      </c>
      <c r="J92" s="11"/>
    </row>
    <row r="93" spans="2:10" ht="20.100000000000001" customHeight="1">
      <c r="B93" s="123"/>
      <c r="C93" s="124"/>
      <c r="D93" s="125"/>
      <c r="E93" s="125"/>
      <c r="F93" s="116"/>
      <c r="G93" s="88" t="str">
        <f t="shared" si="1"/>
        <v/>
      </c>
      <c r="H93" s="84">
        <f t="shared" si="2"/>
        <v>3.5999999999999999E-3</v>
      </c>
      <c r="I93" s="84">
        <f t="shared" si="3"/>
        <v>0</v>
      </c>
      <c r="J93" s="11"/>
    </row>
    <row r="94" spans="2:10" ht="20.100000000000001" customHeight="1">
      <c r="B94" s="123"/>
      <c r="C94" s="124"/>
      <c r="D94" s="125"/>
      <c r="E94" s="125"/>
      <c r="F94" s="116"/>
      <c r="G94" s="88" t="str">
        <f t="shared" si="1"/>
        <v/>
      </c>
      <c r="H94" s="84">
        <f t="shared" si="2"/>
        <v>3.5999999999999999E-3</v>
      </c>
      <c r="I94" s="84">
        <f t="shared" si="3"/>
        <v>0</v>
      </c>
      <c r="J94" s="11"/>
    </row>
    <row r="95" spans="2:10" ht="20.100000000000001" customHeight="1">
      <c r="B95" s="123"/>
      <c r="C95" s="124"/>
      <c r="D95" s="125"/>
      <c r="E95" s="125"/>
      <c r="F95" s="116"/>
      <c r="G95" s="88" t="str">
        <f t="shared" si="1"/>
        <v/>
      </c>
      <c r="H95" s="84">
        <f t="shared" si="2"/>
        <v>3.5999999999999999E-3</v>
      </c>
      <c r="I95" s="84">
        <f t="shared" si="3"/>
        <v>0</v>
      </c>
      <c r="J95" s="11"/>
    </row>
    <row r="96" spans="2:10" ht="20.100000000000001" customHeight="1">
      <c r="B96" s="123"/>
      <c r="C96" s="124"/>
      <c r="D96" s="125"/>
      <c r="E96" s="125"/>
      <c r="F96" s="116"/>
      <c r="G96" s="88" t="str">
        <f t="shared" si="1"/>
        <v/>
      </c>
      <c r="H96" s="84">
        <f t="shared" si="2"/>
        <v>3.5999999999999999E-3</v>
      </c>
      <c r="I96" s="84">
        <f t="shared" si="3"/>
        <v>0</v>
      </c>
      <c r="J96" s="11"/>
    </row>
    <row r="97" spans="2:10" ht="20.100000000000001" customHeight="1" thickBot="1">
      <c r="B97" s="126"/>
      <c r="C97" s="127"/>
      <c r="D97" s="128"/>
      <c r="E97" s="128"/>
      <c r="F97" s="119"/>
      <c r="G97" s="88" t="str">
        <f t="shared" si="1"/>
        <v/>
      </c>
      <c r="H97" s="84">
        <f t="shared" si="2"/>
        <v>3.5999999999999999E-3</v>
      </c>
      <c r="I97" s="84">
        <f t="shared" si="3"/>
        <v>0</v>
      </c>
      <c r="J97" s="11"/>
    </row>
    <row r="98" spans="2:10">
      <c r="D98" s="26"/>
      <c r="E98" s="26"/>
      <c r="F98" s="27"/>
      <c r="J98" s="11"/>
    </row>
    <row r="99" spans="2:10" ht="15.6">
      <c r="B99" s="316" t="s">
        <v>1222</v>
      </c>
      <c r="C99" s="316"/>
      <c r="D99" s="316"/>
      <c r="E99" s="316"/>
      <c r="F99" s="316"/>
      <c r="G99" s="316"/>
      <c r="H99" s="316"/>
      <c r="I99" s="316"/>
      <c r="J99" s="316"/>
    </row>
    <row r="100" spans="2:10" ht="13.8" thickBot="1">
      <c r="J100" s="11"/>
    </row>
    <row r="101" spans="2:10" ht="20.100000000000001" customHeight="1" thickBot="1">
      <c r="B101" s="90" t="s">
        <v>471</v>
      </c>
      <c r="C101" s="84" t="s">
        <v>1223</v>
      </c>
      <c r="D101" s="560" t="str">
        <f>IF(C13="NZ", "Note: All NZ projects cannot utilise GreenPower in their ratings", "")</f>
        <v/>
      </c>
      <c r="E101" s="91" t="s">
        <v>475</v>
      </c>
      <c r="F101" s="555"/>
      <c r="G101" s="556"/>
      <c r="H101" s="556"/>
      <c r="I101" s="557"/>
      <c r="J101" s="11"/>
    </row>
    <row r="102" spans="2:10" ht="20.100000000000001" customHeight="1">
      <c r="B102" s="90" t="s">
        <v>477</v>
      </c>
      <c r="C102" s="84" t="s">
        <v>96</v>
      </c>
      <c r="D102" s="560"/>
      <c r="E102" s="561" t="s">
        <v>479</v>
      </c>
      <c r="F102" s="579" t="s">
        <v>481</v>
      </c>
      <c r="G102" s="580"/>
      <c r="H102" s="580"/>
      <c r="I102" s="581"/>
      <c r="J102" s="11"/>
    </row>
    <row r="103" spans="2:10" ht="20.100000000000001" customHeight="1" thickBot="1">
      <c r="B103" s="90" t="s">
        <v>483</v>
      </c>
      <c r="C103" s="86">
        <v>0</v>
      </c>
      <c r="D103" s="560"/>
      <c r="E103" s="562"/>
      <c r="F103" s="582"/>
      <c r="G103" s="583"/>
      <c r="H103" s="583"/>
      <c r="I103" s="584"/>
      <c r="J103" s="11"/>
    </row>
    <row r="104" spans="2:10" ht="20.100000000000001" customHeight="1">
      <c r="B104" s="90" t="s">
        <v>485</v>
      </c>
      <c r="C104" s="84" t="str">
        <f>IF(C101="Electricity",VLOOKUP($C$13,'NGER Emission Factors old'!$A$23:$J$34,5,FALSE),IF(C101="GreenPower",VLOOKUP(C101,'NGER Emission Factors old'!$A$23:$J$35,5,FALSE),VLOOKUP(C101,'NGER Emission Factors old'!$A$5:$J$18,5,FALSE)))</f>
        <v>kWh</v>
      </c>
      <c r="D104" s="560"/>
      <c r="J104" s="11"/>
    </row>
    <row r="105" spans="2:10" ht="20.100000000000001" customHeight="1">
      <c r="B105" s="90" t="s">
        <v>487</v>
      </c>
      <c r="C105" s="87">
        <f>IF(C101="Electricity",VLOOKUP($C$13,'NGER Emission Factors old'!$A$23:$J$34,6,FALSE),IF(C101="GreenPower",VLOOKUP(C101,'NGER Emission Factors old'!$A$23:$J$35,6,FALSE),VLOOKUP(C101,'NGER Emission Factors old'!$A$5:$J$18,6,FALSE)))</f>
        <v>3.5999999999999999E-3</v>
      </c>
      <c r="D105" s="560"/>
      <c r="E105" s="11" t="s">
        <v>489</v>
      </c>
      <c r="J105" s="11"/>
    </row>
    <row r="106" spans="2:10" ht="14.25" customHeight="1">
      <c r="G106" s="14"/>
      <c r="J106" s="11"/>
    </row>
    <row r="107" spans="2:10" ht="16.5" customHeight="1">
      <c r="J107" s="11"/>
    </row>
    <row r="108" spans="2:10" ht="44.25" customHeight="1" thickBot="1">
      <c r="B108" s="89" t="s">
        <v>491</v>
      </c>
      <c r="C108" s="89" t="s">
        <v>493</v>
      </c>
      <c r="D108" s="89" t="s">
        <v>495</v>
      </c>
      <c r="E108" s="89" t="s">
        <v>497</v>
      </c>
      <c r="F108" s="89" t="str">
        <f>"Billed Quantity ("&amp;C104&amp;")"</f>
        <v>Billed Quantity (kWh)</v>
      </c>
      <c r="G108" s="90" t="s">
        <v>501</v>
      </c>
      <c r="H108" s="90" t="s">
        <v>487</v>
      </c>
      <c r="I108" s="90" t="s">
        <v>504</v>
      </c>
      <c r="J108" s="11"/>
    </row>
    <row r="109" spans="2:10" ht="20.100000000000001" customHeight="1">
      <c r="B109" s="120"/>
      <c r="C109" s="121"/>
      <c r="D109" s="122"/>
      <c r="E109" s="122"/>
      <c r="F109" s="113"/>
      <c r="G109" s="88" t="str">
        <f>IF(ISBLANK(D109),"",E109-D109+1)</f>
        <v/>
      </c>
      <c r="H109" s="84">
        <f t="shared" ref="H109:H120" si="4">$C$105</f>
        <v>3.5999999999999999E-3</v>
      </c>
      <c r="I109" s="84">
        <f t="shared" ref="I109:I120" si="5">IF(F109&gt;0,F109*H109*IF(OR(D109&gt;$H$9,E109&lt;$H$8), 0, IF(D109&lt;$H$8,E109-$H$8,IF($H$9&lt;E109,E109-$H$9,G109)))/G109,0)</f>
        <v>0</v>
      </c>
      <c r="J109" s="11"/>
    </row>
    <row r="110" spans="2:10" ht="20.100000000000001" customHeight="1">
      <c r="B110" s="123"/>
      <c r="C110" s="124"/>
      <c r="D110" s="125"/>
      <c r="E110" s="125"/>
      <c r="F110" s="116"/>
      <c r="G110" s="88" t="str">
        <f t="shared" ref="G110:G120" si="6">IF(ISBLANK(D110),"",E110-D110+1)</f>
        <v/>
      </c>
      <c r="H110" s="84">
        <f t="shared" si="4"/>
        <v>3.5999999999999999E-3</v>
      </c>
      <c r="I110" s="84">
        <f t="shared" si="5"/>
        <v>0</v>
      </c>
      <c r="J110" s="11"/>
    </row>
    <row r="111" spans="2:10" ht="20.100000000000001" customHeight="1">
      <c r="B111" s="123"/>
      <c r="C111" s="124"/>
      <c r="D111" s="125"/>
      <c r="E111" s="125"/>
      <c r="F111" s="116"/>
      <c r="G111" s="88" t="str">
        <f t="shared" si="6"/>
        <v/>
      </c>
      <c r="H111" s="84">
        <f t="shared" si="4"/>
        <v>3.5999999999999999E-3</v>
      </c>
      <c r="I111" s="84">
        <f t="shared" si="5"/>
        <v>0</v>
      </c>
      <c r="J111" s="11"/>
    </row>
    <row r="112" spans="2:10" ht="20.100000000000001" customHeight="1">
      <c r="B112" s="123"/>
      <c r="C112" s="124"/>
      <c r="D112" s="125"/>
      <c r="E112" s="125"/>
      <c r="F112" s="116"/>
      <c r="G112" s="88" t="str">
        <f t="shared" si="6"/>
        <v/>
      </c>
      <c r="H112" s="84">
        <f t="shared" si="4"/>
        <v>3.5999999999999999E-3</v>
      </c>
      <c r="I112" s="84">
        <f t="shared" si="5"/>
        <v>0</v>
      </c>
      <c r="J112" s="11"/>
    </row>
    <row r="113" spans="2:10" ht="20.100000000000001" customHeight="1">
      <c r="B113" s="123"/>
      <c r="C113" s="124"/>
      <c r="D113" s="125"/>
      <c r="E113" s="125"/>
      <c r="F113" s="116"/>
      <c r="G113" s="88" t="str">
        <f t="shared" si="6"/>
        <v/>
      </c>
      <c r="H113" s="84">
        <f t="shared" si="4"/>
        <v>3.5999999999999999E-3</v>
      </c>
      <c r="I113" s="84">
        <f t="shared" si="5"/>
        <v>0</v>
      </c>
      <c r="J113" s="11"/>
    </row>
    <row r="114" spans="2:10" ht="20.100000000000001" customHeight="1">
      <c r="B114" s="123"/>
      <c r="C114" s="124"/>
      <c r="D114" s="125"/>
      <c r="E114" s="125"/>
      <c r="F114" s="116"/>
      <c r="G114" s="88" t="str">
        <f t="shared" si="6"/>
        <v/>
      </c>
      <c r="H114" s="84">
        <f t="shared" si="4"/>
        <v>3.5999999999999999E-3</v>
      </c>
      <c r="I114" s="84">
        <f t="shared" si="5"/>
        <v>0</v>
      </c>
      <c r="J114" s="11"/>
    </row>
    <row r="115" spans="2:10" ht="20.100000000000001" customHeight="1">
      <c r="B115" s="123"/>
      <c r="C115" s="124"/>
      <c r="D115" s="125"/>
      <c r="E115" s="125"/>
      <c r="F115" s="116"/>
      <c r="G115" s="88" t="str">
        <f t="shared" si="6"/>
        <v/>
      </c>
      <c r="H115" s="84">
        <f t="shared" si="4"/>
        <v>3.5999999999999999E-3</v>
      </c>
      <c r="I115" s="84">
        <f t="shared" si="5"/>
        <v>0</v>
      </c>
      <c r="J115" s="11"/>
    </row>
    <row r="116" spans="2:10" ht="20.100000000000001" customHeight="1">
      <c r="B116" s="123"/>
      <c r="C116" s="124"/>
      <c r="D116" s="125"/>
      <c r="E116" s="125"/>
      <c r="F116" s="116"/>
      <c r="G116" s="88" t="str">
        <f t="shared" si="6"/>
        <v/>
      </c>
      <c r="H116" s="84">
        <f t="shared" si="4"/>
        <v>3.5999999999999999E-3</v>
      </c>
      <c r="I116" s="84">
        <f t="shared" si="5"/>
        <v>0</v>
      </c>
      <c r="J116" s="11"/>
    </row>
    <row r="117" spans="2:10" ht="20.100000000000001" customHeight="1">
      <c r="B117" s="123"/>
      <c r="C117" s="124"/>
      <c r="D117" s="125"/>
      <c r="E117" s="125"/>
      <c r="F117" s="116"/>
      <c r="G117" s="88" t="str">
        <f t="shared" si="6"/>
        <v/>
      </c>
      <c r="H117" s="84">
        <f t="shared" si="4"/>
        <v>3.5999999999999999E-3</v>
      </c>
      <c r="I117" s="84">
        <f t="shared" si="5"/>
        <v>0</v>
      </c>
      <c r="J117" s="11"/>
    </row>
    <row r="118" spans="2:10" ht="20.100000000000001" customHeight="1">
      <c r="B118" s="123"/>
      <c r="C118" s="124"/>
      <c r="D118" s="125"/>
      <c r="E118" s="125"/>
      <c r="F118" s="116"/>
      <c r="G118" s="88" t="str">
        <f t="shared" si="6"/>
        <v/>
      </c>
      <c r="H118" s="84">
        <f t="shared" si="4"/>
        <v>3.5999999999999999E-3</v>
      </c>
      <c r="I118" s="84">
        <f t="shared" si="5"/>
        <v>0</v>
      </c>
      <c r="J118" s="11"/>
    </row>
    <row r="119" spans="2:10" ht="20.100000000000001" customHeight="1">
      <c r="B119" s="123"/>
      <c r="C119" s="124"/>
      <c r="D119" s="125"/>
      <c r="E119" s="125"/>
      <c r="F119" s="116"/>
      <c r="G119" s="88" t="str">
        <f t="shared" si="6"/>
        <v/>
      </c>
      <c r="H119" s="84">
        <f t="shared" si="4"/>
        <v>3.5999999999999999E-3</v>
      </c>
      <c r="I119" s="84">
        <f t="shared" si="5"/>
        <v>0</v>
      </c>
      <c r="J119" s="11"/>
    </row>
    <row r="120" spans="2:10" ht="20.100000000000001" customHeight="1" thickBot="1">
      <c r="B120" s="126"/>
      <c r="C120" s="127"/>
      <c r="D120" s="128"/>
      <c r="E120" s="128"/>
      <c r="F120" s="119"/>
      <c r="G120" s="88" t="str">
        <f t="shared" si="6"/>
        <v/>
      </c>
      <c r="H120" s="84">
        <f t="shared" si="4"/>
        <v>3.5999999999999999E-3</v>
      </c>
      <c r="I120" s="84">
        <f t="shared" si="5"/>
        <v>0</v>
      </c>
      <c r="J120" s="11"/>
    </row>
    <row r="121" spans="2:10">
      <c r="D121" s="26"/>
      <c r="E121" s="26"/>
      <c r="F121" s="27"/>
      <c r="J121" s="11"/>
    </row>
    <row r="122" spans="2:10" ht="15.6">
      <c r="B122" s="316" t="s">
        <v>1224</v>
      </c>
      <c r="C122" s="316"/>
      <c r="D122" s="316"/>
      <c r="E122" s="316"/>
      <c r="F122" s="316"/>
      <c r="G122" s="316"/>
      <c r="H122" s="316"/>
      <c r="I122" s="316"/>
      <c r="J122" s="316"/>
    </row>
    <row r="123" spans="2:10" ht="13.8" thickBot="1">
      <c r="J123" s="11"/>
    </row>
    <row r="124" spans="2:10" ht="20.100000000000001" customHeight="1" thickBot="1">
      <c r="B124" s="90" t="s">
        <v>471</v>
      </c>
      <c r="C124" s="84" t="s">
        <v>1225</v>
      </c>
      <c r="E124" s="91" t="s">
        <v>475</v>
      </c>
      <c r="F124" s="555"/>
      <c r="G124" s="556"/>
      <c r="H124" s="556"/>
      <c r="I124" s="557"/>
      <c r="J124" s="11"/>
    </row>
    <row r="125" spans="2:10" ht="20.100000000000001" customHeight="1">
      <c r="B125" s="90" t="s">
        <v>477</v>
      </c>
      <c r="C125" s="84" t="s">
        <v>113</v>
      </c>
      <c r="E125" s="561" t="s">
        <v>479</v>
      </c>
      <c r="F125" s="563"/>
      <c r="G125" s="564"/>
      <c r="H125" s="564"/>
      <c r="I125" s="565"/>
      <c r="J125" s="11"/>
    </row>
    <row r="126" spans="2:10" ht="20.100000000000001" customHeight="1" thickBot="1">
      <c r="B126" s="90" t="s">
        <v>483</v>
      </c>
      <c r="C126" s="86" t="b" cm="1">
        <f t="array" ref="C126">IF($C$13="NZ",INDEX('NGER Emission Factors'!$G$32:$G$81,MATCH(1,(C124='NGER Emission Factors'!$B$32:$B$81)*($H$10='NGER Emission Factors'!$C$32:$C$81),0),1))</f>
        <v>0</v>
      </c>
      <c r="D126" s="317"/>
      <c r="E126" s="562"/>
      <c r="F126" s="566"/>
      <c r="G126" s="567"/>
      <c r="H126" s="567"/>
      <c r="I126" s="568"/>
      <c r="J126" s="11"/>
    </row>
    <row r="127" spans="2:10" ht="20.100000000000001" customHeight="1">
      <c r="B127" s="90" t="s">
        <v>485</v>
      </c>
      <c r="C127" s="84" t="s">
        <v>108</v>
      </c>
      <c r="J127" s="11"/>
    </row>
    <row r="128" spans="2:10" ht="20.100000000000001" customHeight="1">
      <c r="B128" s="90" t="s">
        <v>487</v>
      </c>
      <c r="C128" s="87">
        <v>1E-3</v>
      </c>
      <c r="E128" s="11" t="s">
        <v>489</v>
      </c>
      <c r="J128" s="11"/>
    </row>
    <row r="129" spans="2:9" s="11" customFormat="1" ht="16.5" customHeight="1">
      <c r="G129" s="14"/>
    </row>
    <row r="130" spans="2:9" s="11" customFormat="1"/>
    <row r="131" spans="2:9" s="11" customFormat="1" ht="49.5" customHeight="1" thickBot="1">
      <c r="B131" s="89" t="s">
        <v>491</v>
      </c>
      <c r="C131" s="89" t="s">
        <v>493</v>
      </c>
      <c r="D131" s="89" t="s">
        <v>495</v>
      </c>
      <c r="E131" s="89" t="s">
        <v>497</v>
      </c>
      <c r="F131" s="89" t="str">
        <f>"Billed Quantity ("&amp;C127&amp;")"</f>
        <v>Billed Quantity (MJ)</v>
      </c>
      <c r="G131" s="90" t="s">
        <v>501</v>
      </c>
      <c r="H131" s="90" t="s">
        <v>487</v>
      </c>
      <c r="I131" s="90" t="s">
        <v>504</v>
      </c>
    </row>
    <row r="132" spans="2:9" s="11" customFormat="1" ht="20.100000000000001" customHeight="1">
      <c r="B132" s="120"/>
      <c r="C132" s="121"/>
      <c r="D132" s="122"/>
      <c r="E132" s="122"/>
      <c r="F132" s="113"/>
      <c r="G132" s="88" t="str">
        <f t="shared" ref="G132:G143" si="7">IF(ISBLANK(D132),"",E132-D132+1)</f>
        <v/>
      </c>
      <c r="H132" s="84">
        <f>$C$128</f>
        <v>1E-3</v>
      </c>
      <c r="I132" s="84">
        <f t="shared" ref="I132:I143" si="8">IF(F132&gt;0,F132*H132*IF(OR(D132&gt;$H$9,E132&lt;$H$8), 0, IF(D132&lt;$H$8,E132-$H$8,IF($H$9&lt;E132,E132-$H$9,G132)))/G132,0)</f>
        <v>0</v>
      </c>
    </row>
    <row r="133" spans="2:9" s="11" customFormat="1" ht="20.100000000000001" customHeight="1">
      <c r="B133" s="123"/>
      <c r="C133" s="124"/>
      <c r="D133" s="125"/>
      <c r="E133" s="125"/>
      <c r="F133" s="116"/>
      <c r="G133" s="88" t="str">
        <f t="shared" si="7"/>
        <v/>
      </c>
      <c r="H133" s="84">
        <f t="shared" ref="H133:H143" si="9">$C$128</f>
        <v>1E-3</v>
      </c>
      <c r="I133" s="84">
        <f t="shared" si="8"/>
        <v>0</v>
      </c>
    </row>
    <row r="134" spans="2:9" s="11" customFormat="1" ht="20.100000000000001" customHeight="1">
      <c r="B134" s="123"/>
      <c r="C134" s="124"/>
      <c r="D134" s="125"/>
      <c r="E134" s="125"/>
      <c r="F134" s="116"/>
      <c r="G134" s="88" t="str">
        <f t="shared" si="7"/>
        <v/>
      </c>
      <c r="H134" s="84">
        <f t="shared" si="9"/>
        <v>1E-3</v>
      </c>
      <c r="I134" s="84">
        <f t="shared" si="8"/>
        <v>0</v>
      </c>
    </row>
    <row r="135" spans="2:9" s="11" customFormat="1" ht="20.100000000000001" customHeight="1">
      <c r="B135" s="123"/>
      <c r="C135" s="124"/>
      <c r="D135" s="125"/>
      <c r="E135" s="125"/>
      <c r="F135" s="116"/>
      <c r="G135" s="88" t="str">
        <f t="shared" si="7"/>
        <v/>
      </c>
      <c r="H135" s="84">
        <f t="shared" si="9"/>
        <v>1E-3</v>
      </c>
      <c r="I135" s="84">
        <f t="shared" si="8"/>
        <v>0</v>
      </c>
    </row>
    <row r="136" spans="2:9" s="11" customFormat="1" ht="20.100000000000001" customHeight="1">
      <c r="B136" s="123"/>
      <c r="C136" s="124"/>
      <c r="D136" s="125"/>
      <c r="E136" s="125"/>
      <c r="F136" s="116"/>
      <c r="G136" s="88" t="str">
        <f t="shared" si="7"/>
        <v/>
      </c>
      <c r="H136" s="84">
        <f t="shared" si="9"/>
        <v>1E-3</v>
      </c>
      <c r="I136" s="84">
        <f t="shared" si="8"/>
        <v>0</v>
      </c>
    </row>
    <row r="137" spans="2:9" s="11" customFormat="1" ht="20.100000000000001" customHeight="1">
      <c r="B137" s="123"/>
      <c r="C137" s="124"/>
      <c r="D137" s="125"/>
      <c r="E137" s="125"/>
      <c r="F137" s="116"/>
      <c r="G137" s="88" t="str">
        <f t="shared" si="7"/>
        <v/>
      </c>
      <c r="H137" s="84">
        <f t="shared" si="9"/>
        <v>1E-3</v>
      </c>
      <c r="I137" s="84">
        <f t="shared" si="8"/>
        <v>0</v>
      </c>
    </row>
    <row r="138" spans="2:9" s="11" customFormat="1" ht="20.100000000000001" customHeight="1">
      <c r="B138" s="123"/>
      <c r="C138" s="124"/>
      <c r="D138" s="125"/>
      <c r="E138" s="125"/>
      <c r="F138" s="116"/>
      <c r="G138" s="88" t="str">
        <f t="shared" si="7"/>
        <v/>
      </c>
      <c r="H138" s="84">
        <f t="shared" si="9"/>
        <v>1E-3</v>
      </c>
      <c r="I138" s="84">
        <f t="shared" si="8"/>
        <v>0</v>
      </c>
    </row>
    <row r="139" spans="2:9" s="11" customFormat="1" ht="20.100000000000001" customHeight="1">
      <c r="B139" s="123"/>
      <c r="C139" s="124"/>
      <c r="D139" s="125"/>
      <c r="E139" s="125"/>
      <c r="F139" s="116"/>
      <c r="G139" s="88" t="str">
        <f t="shared" si="7"/>
        <v/>
      </c>
      <c r="H139" s="84">
        <f t="shared" si="9"/>
        <v>1E-3</v>
      </c>
      <c r="I139" s="84">
        <f t="shared" si="8"/>
        <v>0</v>
      </c>
    </row>
    <row r="140" spans="2:9" s="11" customFormat="1" ht="20.100000000000001" customHeight="1">
      <c r="B140" s="123"/>
      <c r="C140" s="124"/>
      <c r="D140" s="125"/>
      <c r="E140" s="125"/>
      <c r="F140" s="116"/>
      <c r="G140" s="88" t="str">
        <f t="shared" si="7"/>
        <v/>
      </c>
      <c r="H140" s="84">
        <f t="shared" si="9"/>
        <v>1E-3</v>
      </c>
      <c r="I140" s="84">
        <f t="shared" si="8"/>
        <v>0</v>
      </c>
    </row>
    <row r="141" spans="2:9" s="11" customFormat="1" ht="20.100000000000001" customHeight="1">
      <c r="B141" s="123"/>
      <c r="C141" s="124"/>
      <c r="D141" s="125"/>
      <c r="E141" s="125"/>
      <c r="F141" s="116"/>
      <c r="G141" s="88" t="str">
        <f t="shared" si="7"/>
        <v/>
      </c>
      <c r="H141" s="84">
        <f t="shared" si="9"/>
        <v>1E-3</v>
      </c>
      <c r="I141" s="84">
        <f t="shared" si="8"/>
        <v>0</v>
      </c>
    </row>
    <row r="142" spans="2:9" s="11" customFormat="1" ht="20.100000000000001" customHeight="1">
      <c r="B142" s="123"/>
      <c r="C142" s="124"/>
      <c r="D142" s="125"/>
      <c r="E142" s="125"/>
      <c r="F142" s="116"/>
      <c r="G142" s="88" t="str">
        <f t="shared" si="7"/>
        <v/>
      </c>
      <c r="H142" s="84">
        <f t="shared" si="9"/>
        <v>1E-3</v>
      </c>
      <c r="I142" s="84">
        <f t="shared" si="8"/>
        <v>0</v>
      </c>
    </row>
    <row r="143" spans="2:9" s="11" customFormat="1" ht="20.100000000000001" customHeight="1" thickBot="1">
      <c r="B143" s="126"/>
      <c r="C143" s="127"/>
      <c r="D143" s="128"/>
      <c r="E143" s="128"/>
      <c r="F143" s="119"/>
      <c r="G143" s="88" t="str">
        <f t="shared" si="7"/>
        <v/>
      </c>
      <c r="H143" s="84">
        <f t="shared" si="9"/>
        <v>1E-3</v>
      </c>
      <c r="I143" s="84">
        <f t="shared" si="8"/>
        <v>0</v>
      </c>
    </row>
    <row r="144" spans="2:9" s="11" customFormat="1">
      <c r="D144" s="26"/>
      <c r="E144" s="26"/>
      <c r="F144" s="27"/>
    </row>
    <row r="145" spans="2:10" ht="15.6">
      <c r="B145" s="316" t="s">
        <v>1226</v>
      </c>
      <c r="C145" s="316"/>
      <c r="D145" s="316"/>
      <c r="E145" s="316"/>
      <c r="F145" s="316"/>
      <c r="G145" s="316"/>
      <c r="H145" s="316"/>
      <c r="I145" s="316"/>
      <c r="J145" s="316"/>
    </row>
    <row r="146" spans="2:10" ht="13.8" thickBot="1">
      <c r="J146" s="11"/>
    </row>
    <row r="147" spans="2:10" ht="20.100000000000001" customHeight="1" thickBot="1">
      <c r="B147" s="90" t="s">
        <v>471</v>
      </c>
      <c r="C147" s="84" t="s">
        <v>1227</v>
      </c>
      <c r="E147" s="91" t="s">
        <v>475</v>
      </c>
      <c r="F147" s="555"/>
      <c r="G147" s="556"/>
      <c r="H147" s="556"/>
      <c r="I147" s="557"/>
      <c r="J147" s="11"/>
    </row>
    <row r="148" spans="2:10" ht="20.100000000000001" customHeight="1">
      <c r="B148" s="90" t="s">
        <v>477</v>
      </c>
      <c r="C148" s="84" t="s">
        <v>113</v>
      </c>
      <c r="E148" s="561" t="s">
        <v>479</v>
      </c>
      <c r="F148" s="563"/>
      <c r="G148" s="564"/>
      <c r="H148" s="564"/>
      <c r="I148" s="565"/>
      <c r="J148" s="11"/>
    </row>
    <row r="149" spans="2:10" ht="20.100000000000001" customHeight="1" thickBot="1">
      <c r="B149" s="90" t="s">
        <v>483</v>
      </c>
      <c r="C149" s="86" t="b" cm="1">
        <f t="array" ref="C149">IF($C$13="NZ",INDEX('NGER Emission Factors'!$G$33:$G$81,MATCH(1,(C147='NGER Emission Factors'!$B$33:$B$81)*($H$10='NGER Emission Factors'!$C$33:$C$81),0),1))</f>
        <v>0</v>
      </c>
      <c r="D149" s="317"/>
      <c r="E149" s="562"/>
      <c r="F149" s="566"/>
      <c r="G149" s="567"/>
      <c r="H149" s="567"/>
      <c r="I149" s="568"/>
      <c r="J149" s="11"/>
    </row>
    <row r="150" spans="2:10" ht="20.100000000000001" customHeight="1">
      <c r="B150" s="90" t="s">
        <v>485</v>
      </c>
      <c r="C150" s="84" t="s">
        <v>121</v>
      </c>
      <c r="J150" s="11"/>
    </row>
    <row r="151" spans="2:10" ht="20.100000000000001" customHeight="1">
      <c r="B151" s="90" t="s">
        <v>487</v>
      </c>
      <c r="C151" s="87">
        <v>26.2</v>
      </c>
      <c r="E151" s="11" t="s">
        <v>489</v>
      </c>
      <c r="J151" s="11"/>
    </row>
    <row r="152" spans="2:10" ht="20.100000000000001" customHeight="1">
      <c r="G152" s="14"/>
      <c r="J152" s="11"/>
    </row>
    <row r="153" spans="2:10" ht="20.100000000000001" customHeight="1">
      <c r="J153" s="11"/>
    </row>
    <row r="154" spans="2:10" ht="42.75" customHeight="1" thickBot="1">
      <c r="B154" s="89" t="s">
        <v>491</v>
      </c>
      <c r="C154" s="89" t="s">
        <v>493</v>
      </c>
      <c r="D154" s="89" t="s">
        <v>495</v>
      </c>
      <c r="E154" s="89" t="s">
        <v>497</v>
      </c>
      <c r="F154" s="89" t="str">
        <f>"Billed Quantity ("&amp;C150&amp;")"</f>
        <v>Billed Quantity (kL)</v>
      </c>
      <c r="G154" s="90" t="s">
        <v>501</v>
      </c>
      <c r="H154" s="90" t="s">
        <v>487</v>
      </c>
      <c r="I154" s="90" t="s">
        <v>504</v>
      </c>
      <c r="J154" s="11"/>
    </row>
    <row r="155" spans="2:10" ht="20.100000000000001" customHeight="1">
      <c r="B155" s="120"/>
      <c r="C155" s="121"/>
      <c r="D155" s="122"/>
      <c r="E155" s="122"/>
      <c r="F155" s="113"/>
      <c r="G155" s="88" t="str">
        <f t="shared" ref="G155:G166" si="10">IF(ISBLANK(D155),"",E155-D155+1)</f>
        <v/>
      </c>
      <c r="H155" s="84">
        <f>$C$151</f>
        <v>26.2</v>
      </c>
      <c r="I155" s="84">
        <f t="shared" ref="I155:I166" si="11">IF(F155&gt;0,F155*H155*IF(OR(D155&gt;$H$9,E155&lt;$H$8), 0, IF(D155&lt;$H$8,E155-$H$8,IF($H$9&lt;E155,E155-$H$9,G155)))/G155,0)</f>
        <v>0</v>
      </c>
      <c r="J155" s="11"/>
    </row>
    <row r="156" spans="2:10" ht="20.100000000000001" customHeight="1">
      <c r="B156" s="123"/>
      <c r="C156" s="124"/>
      <c r="D156" s="125"/>
      <c r="E156" s="125"/>
      <c r="F156" s="116"/>
      <c r="G156" s="88" t="str">
        <f t="shared" si="10"/>
        <v/>
      </c>
      <c r="H156" s="84">
        <f t="shared" ref="H156:H166" si="12">$C$151</f>
        <v>26.2</v>
      </c>
      <c r="I156" s="84">
        <f t="shared" si="11"/>
        <v>0</v>
      </c>
      <c r="J156" s="11"/>
    </row>
    <row r="157" spans="2:10" ht="20.100000000000001" customHeight="1">
      <c r="B157" s="123"/>
      <c r="C157" s="124"/>
      <c r="D157" s="125"/>
      <c r="E157" s="125"/>
      <c r="F157" s="116"/>
      <c r="G157" s="88" t="str">
        <f t="shared" si="10"/>
        <v/>
      </c>
      <c r="H157" s="84">
        <f t="shared" si="12"/>
        <v>26.2</v>
      </c>
      <c r="I157" s="84">
        <f t="shared" si="11"/>
        <v>0</v>
      </c>
      <c r="J157" s="11"/>
    </row>
    <row r="158" spans="2:10" ht="20.100000000000001" customHeight="1">
      <c r="B158" s="123"/>
      <c r="C158" s="124"/>
      <c r="D158" s="125"/>
      <c r="E158" s="125"/>
      <c r="F158" s="116"/>
      <c r="G158" s="88" t="str">
        <f t="shared" si="10"/>
        <v/>
      </c>
      <c r="H158" s="84">
        <f t="shared" si="12"/>
        <v>26.2</v>
      </c>
      <c r="I158" s="84">
        <f t="shared" si="11"/>
        <v>0</v>
      </c>
      <c r="J158" s="11"/>
    </row>
    <row r="159" spans="2:10" ht="20.100000000000001" customHeight="1">
      <c r="B159" s="123"/>
      <c r="C159" s="124"/>
      <c r="D159" s="125"/>
      <c r="E159" s="125"/>
      <c r="F159" s="116"/>
      <c r="G159" s="88" t="str">
        <f t="shared" si="10"/>
        <v/>
      </c>
      <c r="H159" s="84">
        <f t="shared" si="12"/>
        <v>26.2</v>
      </c>
      <c r="I159" s="84">
        <f t="shared" si="11"/>
        <v>0</v>
      </c>
      <c r="J159" s="11"/>
    </row>
    <row r="160" spans="2:10" ht="20.100000000000001" customHeight="1">
      <c r="B160" s="123"/>
      <c r="C160" s="124"/>
      <c r="D160" s="125"/>
      <c r="E160" s="125"/>
      <c r="F160" s="116"/>
      <c r="G160" s="88" t="str">
        <f t="shared" si="10"/>
        <v/>
      </c>
      <c r="H160" s="84">
        <f t="shared" si="12"/>
        <v>26.2</v>
      </c>
      <c r="I160" s="84">
        <f t="shared" si="11"/>
        <v>0</v>
      </c>
      <c r="J160" s="11"/>
    </row>
    <row r="161" spans="2:10" ht="20.100000000000001" customHeight="1">
      <c r="B161" s="123"/>
      <c r="C161" s="124"/>
      <c r="D161" s="125"/>
      <c r="E161" s="125"/>
      <c r="F161" s="116"/>
      <c r="G161" s="88" t="str">
        <f t="shared" si="10"/>
        <v/>
      </c>
      <c r="H161" s="84">
        <f t="shared" si="12"/>
        <v>26.2</v>
      </c>
      <c r="I161" s="84">
        <f t="shared" si="11"/>
        <v>0</v>
      </c>
      <c r="J161" s="11"/>
    </row>
    <row r="162" spans="2:10" ht="20.100000000000001" customHeight="1">
      <c r="B162" s="123"/>
      <c r="C162" s="124"/>
      <c r="D162" s="125"/>
      <c r="E162" s="125"/>
      <c r="F162" s="116"/>
      <c r="G162" s="88" t="str">
        <f t="shared" si="10"/>
        <v/>
      </c>
      <c r="H162" s="84">
        <f t="shared" si="12"/>
        <v>26.2</v>
      </c>
      <c r="I162" s="84">
        <f t="shared" si="11"/>
        <v>0</v>
      </c>
      <c r="J162" s="11"/>
    </row>
    <row r="163" spans="2:10" ht="20.100000000000001" customHeight="1">
      <c r="B163" s="123"/>
      <c r="C163" s="124"/>
      <c r="D163" s="125"/>
      <c r="E163" s="125"/>
      <c r="F163" s="116"/>
      <c r="G163" s="88" t="str">
        <f t="shared" si="10"/>
        <v/>
      </c>
      <c r="H163" s="84">
        <f t="shared" si="12"/>
        <v>26.2</v>
      </c>
      <c r="I163" s="84">
        <f t="shared" si="11"/>
        <v>0</v>
      </c>
      <c r="J163" s="11"/>
    </row>
    <row r="164" spans="2:10" ht="20.100000000000001" customHeight="1">
      <c r="B164" s="123"/>
      <c r="C164" s="124"/>
      <c r="D164" s="125"/>
      <c r="E164" s="125"/>
      <c r="F164" s="116"/>
      <c r="G164" s="88" t="str">
        <f t="shared" si="10"/>
        <v/>
      </c>
      <c r="H164" s="84">
        <f t="shared" si="12"/>
        <v>26.2</v>
      </c>
      <c r="I164" s="84">
        <f t="shared" si="11"/>
        <v>0</v>
      </c>
      <c r="J164" s="11"/>
    </row>
    <row r="165" spans="2:10" ht="20.100000000000001" customHeight="1">
      <c r="B165" s="123"/>
      <c r="C165" s="124"/>
      <c r="D165" s="125"/>
      <c r="E165" s="125"/>
      <c r="F165" s="116"/>
      <c r="G165" s="88" t="str">
        <f t="shared" si="10"/>
        <v/>
      </c>
      <c r="H165" s="84">
        <f t="shared" si="12"/>
        <v>26.2</v>
      </c>
      <c r="I165" s="84">
        <f t="shared" si="11"/>
        <v>0</v>
      </c>
      <c r="J165" s="11"/>
    </row>
    <row r="166" spans="2:10" ht="20.100000000000001" customHeight="1" thickBot="1">
      <c r="B166" s="126"/>
      <c r="C166" s="127"/>
      <c r="D166" s="128"/>
      <c r="E166" s="128"/>
      <c r="F166" s="119"/>
      <c r="G166" s="88" t="str">
        <f t="shared" si="10"/>
        <v/>
      </c>
      <c r="H166" s="84">
        <f t="shared" si="12"/>
        <v>26.2</v>
      </c>
      <c r="I166" s="84">
        <f t="shared" si="11"/>
        <v>0</v>
      </c>
      <c r="J166" s="11"/>
    </row>
    <row r="167" spans="2:10">
      <c r="J167" s="11"/>
    </row>
    <row r="168" spans="2:10" ht="15.6">
      <c r="B168" s="316" t="s">
        <v>1228</v>
      </c>
      <c r="C168" s="316"/>
      <c r="D168" s="316"/>
      <c r="E168" s="316"/>
      <c r="F168" s="316"/>
      <c r="G168" s="316"/>
      <c r="H168" s="316"/>
      <c r="I168" s="316"/>
      <c r="J168" s="316"/>
    </row>
    <row r="169" spans="2:10" ht="13.8" thickBot="1">
      <c r="J169" s="11"/>
    </row>
    <row r="170" spans="2:10" ht="20.100000000000001" customHeight="1" thickBot="1">
      <c r="B170" s="90" t="s">
        <v>471</v>
      </c>
      <c r="C170" s="84" t="s">
        <v>1229</v>
      </c>
      <c r="E170" s="91" t="s">
        <v>475</v>
      </c>
      <c r="F170" s="555"/>
      <c r="G170" s="556"/>
      <c r="H170" s="556"/>
      <c r="I170" s="557"/>
      <c r="J170" s="11"/>
    </row>
    <row r="171" spans="2:10" ht="20.100000000000001" customHeight="1">
      <c r="B171" s="90" t="s">
        <v>477</v>
      </c>
      <c r="C171" s="84" t="s">
        <v>113</v>
      </c>
      <c r="E171" s="561" t="s">
        <v>479</v>
      </c>
      <c r="F171" s="563"/>
      <c r="G171" s="564"/>
      <c r="H171" s="564"/>
      <c r="I171" s="565"/>
      <c r="J171" s="11"/>
    </row>
    <row r="172" spans="2:10" ht="20.100000000000001" customHeight="1" thickBot="1">
      <c r="B172" s="90" t="s">
        <v>483</v>
      </c>
      <c r="C172" s="86" t="b" cm="1">
        <f t="array" ref="C172">IF($C$13="NZ",INDEX('NGER Emission Factors'!$G$33:$G$81,MATCH(1,(C170='NGER Emission Factors'!$B$33:$B$81)*($H$10='NGER Emission Factors'!$C$33:$C$81),0),1))</f>
        <v>0</v>
      </c>
      <c r="D172" s="317"/>
      <c r="E172" s="562"/>
      <c r="F172" s="566"/>
      <c r="G172" s="567"/>
      <c r="H172" s="567"/>
      <c r="I172" s="568"/>
      <c r="J172" s="11"/>
    </row>
    <row r="173" spans="2:10" ht="20.100000000000001" customHeight="1">
      <c r="B173" s="90" t="s">
        <v>485</v>
      </c>
      <c r="C173" s="84" t="s">
        <v>121</v>
      </c>
      <c r="J173" s="11"/>
    </row>
    <row r="174" spans="2:10" ht="20.100000000000001" customHeight="1">
      <c r="B174" s="90" t="s">
        <v>487</v>
      </c>
      <c r="C174" s="87">
        <v>38.6</v>
      </c>
      <c r="E174" s="11" t="s">
        <v>489</v>
      </c>
      <c r="J174" s="11"/>
    </row>
    <row r="175" spans="2:10" ht="20.100000000000001" customHeight="1">
      <c r="G175" s="14"/>
      <c r="J175" s="11"/>
    </row>
    <row r="176" spans="2:10" ht="20.100000000000001" customHeight="1">
      <c r="J176" s="11"/>
    </row>
    <row r="177" spans="2:10" ht="48" customHeight="1" thickBot="1">
      <c r="B177" s="89" t="s">
        <v>491</v>
      </c>
      <c r="C177" s="89" t="s">
        <v>493</v>
      </c>
      <c r="D177" s="89" t="s">
        <v>495</v>
      </c>
      <c r="E177" s="89" t="s">
        <v>497</v>
      </c>
      <c r="F177" s="89" t="str">
        <f>"Billed Quantity ("&amp;C173&amp;")"</f>
        <v>Billed Quantity (kL)</v>
      </c>
      <c r="G177" s="90" t="s">
        <v>501</v>
      </c>
      <c r="H177" s="90" t="s">
        <v>487</v>
      </c>
      <c r="I177" s="90" t="s">
        <v>504</v>
      </c>
      <c r="J177" s="11"/>
    </row>
    <row r="178" spans="2:10" ht="20.100000000000001" customHeight="1">
      <c r="B178" s="120"/>
      <c r="C178" s="121"/>
      <c r="D178" s="122"/>
      <c r="E178" s="122"/>
      <c r="F178" s="113"/>
      <c r="G178" s="88" t="str">
        <f t="shared" ref="G178:G189" si="13">IF(ISBLANK(D178),"",E178-D178+1)</f>
        <v/>
      </c>
      <c r="H178" s="84">
        <f>$C$174</f>
        <v>38.6</v>
      </c>
      <c r="I178" s="84">
        <f t="shared" ref="I178:I189" si="14">IF(F178&gt;0,F178*H178*IF(OR(D178&gt;$H$9,E178&lt;$H$8), 0, IF(D178&lt;$H$8,E178-$H$8,IF($H$9&lt;E178,E178-$H$9,G178)))/G178,0)</f>
        <v>0</v>
      </c>
      <c r="J178" s="11"/>
    </row>
    <row r="179" spans="2:10" ht="20.100000000000001" customHeight="1">
      <c r="B179" s="123"/>
      <c r="C179" s="124"/>
      <c r="D179" s="125"/>
      <c r="E179" s="125"/>
      <c r="F179" s="116"/>
      <c r="G179" s="88" t="str">
        <f t="shared" si="13"/>
        <v/>
      </c>
      <c r="H179" s="84">
        <f t="shared" ref="H179:H189" si="15">$C$174</f>
        <v>38.6</v>
      </c>
      <c r="I179" s="84">
        <f t="shared" si="14"/>
        <v>0</v>
      </c>
      <c r="J179" s="11"/>
    </row>
    <row r="180" spans="2:10" ht="20.100000000000001" customHeight="1">
      <c r="B180" s="123"/>
      <c r="C180" s="124"/>
      <c r="D180" s="125"/>
      <c r="E180" s="125"/>
      <c r="F180" s="116"/>
      <c r="G180" s="88" t="str">
        <f t="shared" si="13"/>
        <v/>
      </c>
      <c r="H180" s="84">
        <f t="shared" si="15"/>
        <v>38.6</v>
      </c>
      <c r="I180" s="84">
        <f t="shared" si="14"/>
        <v>0</v>
      </c>
      <c r="J180" s="11"/>
    </row>
    <row r="181" spans="2:10" ht="20.100000000000001" customHeight="1">
      <c r="B181" s="123"/>
      <c r="C181" s="124"/>
      <c r="D181" s="125"/>
      <c r="E181" s="125"/>
      <c r="F181" s="116"/>
      <c r="G181" s="88" t="str">
        <f>IF(ISBLANK(D181),"",E181-D181+1)</f>
        <v/>
      </c>
      <c r="H181" s="84">
        <f t="shared" si="15"/>
        <v>38.6</v>
      </c>
      <c r="I181" s="84">
        <f t="shared" si="14"/>
        <v>0</v>
      </c>
      <c r="J181" s="11"/>
    </row>
    <row r="182" spans="2:10" ht="20.100000000000001" customHeight="1">
      <c r="B182" s="123"/>
      <c r="C182" s="124"/>
      <c r="D182" s="125"/>
      <c r="E182" s="125"/>
      <c r="F182" s="116"/>
      <c r="G182" s="88" t="str">
        <f>IF(ISBLANK(D182),"",E182-D182+1)</f>
        <v/>
      </c>
      <c r="H182" s="84">
        <f t="shared" si="15"/>
        <v>38.6</v>
      </c>
      <c r="I182" s="84">
        <f t="shared" si="14"/>
        <v>0</v>
      </c>
      <c r="J182" s="11"/>
    </row>
    <row r="183" spans="2:10" ht="20.100000000000001" customHeight="1">
      <c r="B183" s="123"/>
      <c r="C183" s="124"/>
      <c r="D183" s="125"/>
      <c r="E183" s="125"/>
      <c r="F183" s="116"/>
      <c r="G183" s="88" t="str">
        <f t="shared" si="13"/>
        <v/>
      </c>
      <c r="H183" s="84">
        <f t="shared" si="15"/>
        <v>38.6</v>
      </c>
      <c r="I183" s="84">
        <f t="shared" si="14"/>
        <v>0</v>
      </c>
      <c r="J183" s="11"/>
    </row>
    <row r="184" spans="2:10" ht="20.100000000000001" customHeight="1">
      <c r="B184" s="123"/>
      <c r="C184" s="124"/>
      <c r="D184" s="125"/>
      <c r="E184" s="125"/>
      <c r="F184" s="116"/>
      <c r="G184" s="88" t="str">
        <f t="shared" si="13"/>
        <v/>
      </c>
      <c r="H184" s="84">
        <f t="shared" si="15"/>
        <v>38.6</v>
      </c>
      <c r="I184" s="84">
        <f t="shared" si="14"/>
        <v>0</v>
      </c>
      <c r="J184" s="11"/>
    </row>
    <row r="185" spans="2:10" ht="20.100000000000001" customHeight="1">
      <c r="B185" s="123"/>
      <c r="C185" s="124"/>
      <c r="D185" s="125"/>
      <c r="E185" s="125"/>
      <c r="F185" s="116"/>
      <c r="G185" s="88" t="str">
        <f t="shared" si="13"/>
        <v/>
      </c>
      <c r="H185" s="84">
        <f t="shared" si="15"/>
        <v>38.6</v>
      </c>
      <c r="I185" s="84">
        <f t="shared" si="14"/>
        <v>0</v>
      </c>
      <c r="J185" s="11"/>
    </row>
    <row r="186" spans="2:10" ht="20.100000000000001" customHeight="1">
      <c r="B186" s="123"/>
      <c r="C186" s="124"/>
      <c r="D186" s="125"/>
      <c r="E186" s="125"/>
      <c r="F186" s="116"/>
      <c r="G186" s="88" t="str">
        <f t="shared" si="13"/>
        <v/>
      </c>
      <c r="H186" s="84">
        <f t="shared" si="15"/>
        <v>38.6</v>
      </c>
      <c r="I186" s="84">
        <f t="shared" si="14"/>
        <v>0</v>
      </c>
      <c r="J186" s="11"/>
    </row>
    <row r="187" spans="2:10" ht="20.100000000000001" customHeight="1">
      <c r="B187" s="123"/>
      <c r="C187" s="124"/>
      <c r="D187" s="125"/>
      <c r="E187" s="125"/>
      <c r="F187" s="116"/>
      <c r="G187" s="88" t="str">
        <f t="shared" si="13"/>
        <v/>
      </c>
      <c r="H187" s="84">
        <f t="shared" si="15"/>
        <v>38.6</v>
      </c>
      <c r="I187" s="84">
        <f t="shared" si="14"/>
        <v>0</v>
      </c>
      <c r="J187" s="11"/>
    </row>
    <row r="188" spans="2:10" ht="20.100000000000001" customHeight="1">
      <c r="B188" s="123"/>
      <c r="C188" s="124"/>
      <c r="D188" s="125"/>
      <c r="E188" s="125"/>
      <c r="F188" s="116"/>
      <c r="G188" s="88" t="str">
        <f t="shared" si="13"/>
        <v/>
      </c>
      <c r="H188" s="84">
        <f t="shared" si="15"/>
        <v>38.6</v>
      </c>
      <c r="I188" s="84">
        <f t="shared" si="14"/>
        <v>0</v>
      </c>
      <c r="J188" s="11"/>
    </row>
    <row r="189" spans="2:10" ht="20.100000000000001" customHeight="1" thickBot="1">
      <c r="B189" s="126"/>
      <c r="C189" s="127"/>
      <c r="D189" s="128"/>
      <c r="E189" s="128"/>
      <c r="F189" s="119"/>
      <c r="G189" s="88" t="str">
        <f t="shared" si="13"/>
        <v/>
      </c>
      <c r="H189" s="84">
        <f t="shared" si="15"/>
        <v>38.6</v>
      </c>
      <c r="I189" s="84">
        <f t="shared" si="14"/>
        <v>0</v>
      </c>
      <c r="J189" s="11"/>
    </row>
    <row r="190" spans="2:10">
      <c r="J190" s="11"/>
    </row>
    <row r="191" spans="2:10" ht="15.6">
      <c r="B191" s="316" t="s">
        <v>1230</v>
      </c>
      <c r="C191" s="316"/>
      <c r="D191" s="316"/>
      <c r="E191" s="316"/>
      <c r="F191" s="316"/>
      <c r="G191" s="316"/>
      <c r="H191" s="316"/>
      <c r="I191" s="316"/>
      <c r="J191" s="316"/>
    </row>
    <row r="192" spans="2:10" ht="13.8" thickBot="1">
      <c r="J192" s="11"/>
    </row>
    <row r="193" spans="2:9" s="11" customFormat="1" ht="20.100000000000001" customHeight="1" thickBot="1">
      <c r="B193" s="90" t="s">
        <v>471</v>
      </c>
      <c r="C193" s="84" t="s">
        <v>1231</v>
      </c>
      <c r="E193" s="91" t="s">
        <v>475</v>
      </c>
      <c r="F193" s="555"/>
      <c r="G193" s="556"/>
      <c r="H193" s="556"/>
      <c r="I193" s="557"/>
    </row>
    <row r="194" spans="2:9" s="11" customFormat="1" ht="20.100000000000001" customHeight="1">
      <c r="B194" s="90" t="s">
        <v>477</v>
      </c>
      <c r="C194" s="84" t="s">
        <v>113</v>
      </c>
      <c r="E194" s="561" t="s">
        <v>479</v>
      </c>
      <c r="F194" s="563"/>
      <c r="G194" s="564"/>
      <c r="H194" s="564"/>
      <c r="I194" s="565"/>
    </row>
    <row r="195" spans="2:9" s="11" customFormat="1" ht="20.100000000000001" customHeight="1" thickBot="1">
      <c r="B195" s="90" t="s">
        <v>483</v>
      </c>
      <c r="C195" s="86" t="b" cm="1">
        <f t="array" ref="C195">IF($C$13="NZ",INDEX('NGER Emission Factors'!$G$33:$G$81,MATCH(1,(C193='NGER Emission Factors'!$B$33:$B$81)*($H$10='NGER Emission Factors'!$C$33:$C$81),0),1))</f>
        <v>0</v>
      </c>
      <c r="D195" s="317"/>
      <c r="E195" s="562"/>
      <c r="F195" s="566"/>
      <c r="G195" s="567"/>
      <c r="H195" s="567"/>
      <c r="I195" s="568"/>
    </row>
    <row r="196" spans="2:9" s="11" customFormat="1" ht="20.100000000000001" customHeight="1">
      <c r="B196" s="90" t="s">
        <v>485</v>
      </c>
      <c r="C196" s="84" t="s">
        <v>140</v>
      </c>
    </row>
    <row r="197" spans="2:9" s="11" customFormat="1" ht="20.100000000000001" customHeight="1">
      <c r="B197" s="90" t="s">
        <v>487</v>
      </c>
      <c r="C197" s="87">
        <v>27</v>
      </c>
      <c r="E197" s="11" t="s">
        <v>489</v>
      </c>
    </row>
    <row r="198" spans="2:9" s="11" customFormat="1" ht="20.100000000000001" customHeight="1">
      <c r="G198" s="14"/>
    </row>
    <row r="199" spans="2:9" s="11" customFormat="1" ht="20.100000000000001" customHeight="1"/>
    <row r="200" spans="2:9" s="11" customFormat="1" ht="39" customHeight="1" thickBot="1">
      <c r="B200" s="89" t="s">
        <v>491</v>
      </c>
      <c r="C200" s="89" t="s">
        <v>493</v>
      </c>
      <c r="D200" s="89" t="s">
        <v>495</v>
      </c>
      <c r="E200" s="89" t="s">
        <v>497</v>
      </c>
      <c r="F200" s="89" t="str">
        <f>"Billed Quantity ("&amp;C196&amp;")"</f>
        <v>Billed Quantity (Tonnes)</v>
      </c>
      <c r="G200" s="90" t="s">
        <v>501</v>
      </c>
      <c r="H200" s="90" t="s">
        <v>487</v>
      </c>
      <c r="I200" s="90" t="s">
        <v>504</v>
      </c>
    </row>
    <row r="201" spans="2:9" s="11" customFormat="1" ht="20.100000000000001" customHeight="1">
      <c r="B201" s="120"/>
      <c r="C201" s="121"/>
      <c r="D201" s="122"/>
      <c r="E201" s="122"/>
      <c r="F201" s="113"/>
      <c r="G201" s="88" t="str">
        <f t="shared" ref="G201:G212" si="16">IF(ISBLANK(D201),"",E201-D201+1)</f>
        <v/>
      </c>
      <c r="H201" s="84">
        <f>$C$197</f>
        <v>27</v>
      </c>
      <c r="I201" s="84">
        <f t="shared" ref="I201:I212" si="17">IF(F201&gt;0,F201*H201*IF(OR(D201&gt;$H$9,E201&lt;$H$8), 0, IF(D201&lt;$H$8,E201-$H$8,IF($H$9&lt;E201,E201-$H$9,G201)))/G201,0)</f>
        <v>0</v>
      </c>
    </row>
    <row r="202" spans="2:9" s="11" customFormat="1" ht="20.100000000000001" customHeight="1">
      <c r="B202" s="123"/>
      <c r="C202" s="124"/>
      <c r="D202" s="125"/>
      <c r="E202" s="125"/>
      <c r="F202" s="116"/>
      <c r="G202" s="88" t="str">
        <f t="shared" si="16"/>
        <v/>
      </c>
      <c r="H202" s="84">
        <f t="shared" ref="H202:H212" si="18">$C$197</f>
        <v>27</v>
      </c>
      <c r="I202" s="84">
        <f t="shared" si="17"/>
        <v>0</v>
      </c>
    </row>
    <row r="203" spans="2:9" s="11" customFormat="1" ht="20.100000000000001" customHeight="1">
      <c r="B203" s="123"/>
      <c r="C203" s="124"/>
      <c r="D203" s="125"/>
      <c r="E203" s="125"/>
      <c r="F203" s="116"/>
      <c r="G203" s="88" t="str">
        <f>IF(ISBLANK(D203),"",E203-D203+1)</f>
        <v/>
      </c>
      <c r="H203" s="84">
        <f t="shared" si="18"/>
        <v>27</v>
      </c>
      <c r="I203" s="84">
        <f t="shared" si="17"/>
        <v>0</v>
      </c>
    </row>
    <row r="204" spans="2:9" s="11" customFormat="1" ht="20.100000000000001" customHeight="1">
      <c r="B204" s="123"/>
      <c r="C204" s="124"/>
      <c r="D204" s="125"/>
      <c r="E204" s="125"/>
      <c r="F204" s="116"/>
      <c r="G204" s="88" t="str">
        <f>IF(ISBLANK(D204),"",E204-D204+1)</f>
        <v/>
      </c>
      <c r="H204" s="84">
        <f t="shared" si="18"/>
        <v>27</v>
      </c>
      <c r="I204" s="84">
        <f t="shared" si="17"/>
        <v>0</v>
      </c>
    </row>
    <row r="205" spans="2:9" s="11" customFormat="1" ht="20.100000000000001" customHeight="1">
      <c r="B205" s="123"/>
      <c r="C205" s="124"/>
      <c r="D205" s="125"/>
      <c r="E205" s="125"/>
      <c r="F205" s="116"/>
      <c r="G205" s="88" t="str">
        <f t="shared" si="16"/>
        <v/>
      </c>
      <c r="H205" s="84">
        <f t="shared" si="18"/>
        <v>27</v>
      </c>
      <c r="I205" s="84">
        <f t="shared" si="17"/>
        <v>0</v>
      </c>
    </row>
    <row r="206" spans="2:9" s="11" customFormat="1" ht="20.100000000000001" customHeight="1">
      <c r="B206" s="123"/>
      <c r="C206" s="124"/>
      <c r="D206" s="125"/>
      <c r="E206" s="125"/>
      <c r="F206" s="116"/>
      <c r="G206" s="88" t="str">
        <f t="shared" si="16"/>
        <v/>
      </c>
      <c r="H206" s="84">
        <f t="shared" si="18"/>
        <v>27</v>
      </c>
      <c r="I206" s="84">
        <f t="shared" si="17"/>
        <v>0</v>
      </c>
    </row>
    <row r="207" spans="2:9" s="11" customFormat="1" ht="20.100000000000001" customHeight="1">
      <c r="B207" s="123"/>
      <c r="C207" s="124"/>
      <c r="D207" s="125"/>
      <c r="E207" s="125"/>
      <c r="F207" s="116"/>
      <c r="G207" s="88" t="str">
        <f t="shared" si="16"/>
        <v/>
      </c>
      <c r="H207" s="84">
        <f t="shared" si="18"/>
        <v>27</v>
      </c>
      <c r="I207" s="84">
        <f t="shared" si="17"/>
        <v>0</v>
      </c>
    </row>
    <row r="208" spans="2:9" s="11" customFormat="1" ht="20.100000000000001" customHeight="1">
      <c r="B208" s="123"/>
      <c r="C208" s="124"/>
      <c r="D208" s="125"/>
      <c r="E208" s="125"/>
      <c r="F208" s="116"/>
      <c r="G208" s="88" t="str">
        <f t="shared" si="16"/>
        <v/>
      </c>
      <c r="H208" s="84">
        <f t="shared" si="18"/>
        <v>27</v>
      </c>
      <c r="I208" s="84">
        <f t="shared" si="17"/>
        <v>0</v>
      </c>
    </row>
    <row r="209" spans="2:10" ht="20.100000000000001" customHeight="1">
      <c r="B209" s="123"/>
      <c r="C209" s="124"/>
      <c r="D209" s="125"/>
      <c r="E209" s="125"/>
      <c r="F209" s="116"/>
      <c r="G209" s="88" t="str">
        <f t="shared" si="16"/>
        <v/>
      </c>
      <c r="H209" s="84">
        <f t="shared" si="18"/>
        <v>27</v>
      </c>
      <c r="I209" s="84">
        <f t="shared" si="17"/>
        <v>0</v>
      </c>
      <c r="J209" s="11"/>
    </row>
    <row r="210" spans="2:10" ht="20.100000000000001" customHeight="1">
      <c r="B210" s="123"/>
      <c r="C210" s="124"/>
      <c r="D210" s="125"/>
      <c r="E210" s="125"/>
      <c r="F210" s="116"/>
      <c r="G210" s="88" t="str">
        <f t="shared" si="16"/>
        <v/>
      </c>
      <c r="H210" s="84">
        <f t="shared" si="18"/>
        <v>27</v>
      </c>
      <c r="I210" s="84">
        <f t="shared" si="17"/>
        <v>0</v>
      </c>
      <c r="J210" s="11"/>
    </row>
    <row r="211" spans="2:10" ht="20.100000000000001" customHeight="1">
      <c r="B211" s="123"/>
      <c r="C211" s="124"/>
      <c r="D211" s="125"/>
      <c r="E211" s="125"/>
      <c r="F211" s="116"/>
      <c r="G211" s="88" t="str">
        <f t="shared" si="16"/>
        <v/>
      </c>
      <c r="H211" s="84">
        <f t="shared" si="18"/>
        <v>27</v>
      </c>
      <c r="I211" s="84">
        <f t="shared" si="17"/>
        <v>0</v>
      </c>
      <c r="J211" s="11"/>
    </row>
    <row r="212" spans="2:10" ht="20.100000000000001" customHeight="1" thickBot="1">
      <c r="B212" s="126"/>
      <c r="C212" s="127"/>
      <c r="D212" s="128"/>
      <c r="E212" s="128"/>
      <c r="F212" s="119"/>
      <c r="G212" s="88" t="str">
        <f t="shared" si="16"/>
        <v/>
      </c>
      <c r="H212" s="84">
        <f t="shared" si="18"/>
        <v>27</v>
      </c>
      <c r="I212" s="84">
        <f t="shared" si="17"/>
        <v>0</v>
      </c>
      <c r="J212" s="11"/>
    </row>
    <row r="213" spans="2:10">
      <c r="J213" s="11"/>
    </row>
    <row r="214" spans="2:10" ht="15.6">
      <c r="B214" s="316" t="s">
        <v>1232</v>
      </c>
      <c r="C214" s="316"/>
      <c r="D214" s="316"/>
      <c r="E214" s="316"/>
      <c r="F214" s="316"/>
      <c r="G214" s="316"/>
      <c r="H214" s="316"/>
      <c r="I214" s="316"/>
      <c r="J214" s="316"/>
    </row>
    <row r="215" spans="2:10" ht="13.8" thickBot="1">
      <c r="J215" s="11"/>
    </row>
    <row r="216" spans="2:10" ht="20.100000000000001" customHeight="1" thickBot="1">
      <c r="B216" s="91" t="s">
        <v>471</v>
      </c>
      <c r="C216" s="364" t="s">
        <v>679</v>
      </c>
      <c r="E216" s="91" t="s">
        <v>475</v>
      </c>
      <c r="F216" s="555"/>
      <c r="G216" s="556"/>
      <c r="H216" s="556"/>
      <c r="I216" s="557"/>
      <c r="J216" s="11"/>
    </row>
    <row r="217" spans="2:10" ht="20.100000000000001" customHeight="1">
      <c r="B217" s="91" t="s">
        <v>477</v>
      </c>
      <c r="C217" s="365"/>
      <c r="E217" s="561" t="s">
        <v>479</v>
      </c>
      <c r="F217" s="563"/>
      <c r="G217" s="564"/>
      <c r="H217" s="564"/>
      <c r="I217" s="565"/>
      <c r="J217" s="11"/>
    </row>
    <row r="218" spans="2:10" ht="20.100000000000001" customHeight="1" thickBot="1">
      <c r="B218" s="91" t="s">
        <v>483</v>
      </c>
      <c r="C218" s="366"/>
      <c r="D218" s="317"/>
      <c r="E218" s="562"/>
      <c r="F218" s="566"/>
      <c r="G218" s="567"/>
      <c r="H218" s="567"/>
      <c r="I218" s="568"/>
      <c r="J218" s="11"/>
    </row>
    <row r="219" spans="2:10" ht="20.100000000000001" customHeight="1">
      <c r="B219" s="91" t="s">
        <v>485</v>
      </c>
      <c r="C219" s="2"/>
      <c r="J219" s="11"/>
    </row>
    <row r="220" spans="2:10" ht="20.100000000000001" customHeight="1">
      <c r="B220" s="91" t="s">
        <v>487</v>
      </c>
      <c r="C220" s="367"/>
      <c r="E220" s="11" t="s">
        <v>489</v>
      </c>
      <c r="J220" s="11"/>
    </row>
    <row r="221" spans="2:10" ht="20.100000000000001" customHeight="1">
      <c r="G221" s="14"/>
      <c r="J221" s="11"/>
    </row>
    <row r="222" spans="2:10" ht="20.100000000000001" customHeight="1">
      <c r="J222" s="11"/>
    </row>
    <row r="223" spans="2:10" ht="42" customHeight="1" thickBot="1">
      <c r="B223" s="89" t="s">
        <v>491</v>
      </c>
      <c r="C223" s="89" t="s">
        <v>493</v>
      </c>
      <c r="D223" s="89" t="s">
        <v>495</v>
      </c>
      <c r="E223" s="89" t="s">
        <v>497</v>
      </c>
      <c r="F223" s="89" t="str">
        <f>"Billed Quantity ("&amp;C219&amp;")"</f>
        <v>Billed Quantity ()</v>
      </c>
      <c r="G223" s="90" t="s">
        <v>501</v>
      </c>
      <c r="H223" s="90" t="s">
        <v>487</v>
      </c>
      <c r="I223" s="90" t="s">
        <v>504</v>
      </c>
      <c r="J223" s="11"/>
    </row>
    <row r="224" spans="2:10" ht="20.100000000000001" customHeight="1">
      <c r="B224" s="120"/>
      <c r="C224" s="121"/>
      <c r="D224" s="122"/>
      <c r="E224" s="122"/>
      <c r="F224" s="113"/>
      <c r="G224" s="88" t="str">
        <f t="shared" ref="G224:G235" si="19">IF(ISBLANK(D224),"",E224-D224+1)</f>
        <v/>
      </c>
      <c r="H224" s="84">
        <f>$C$220</f>
        <v>0</v>
      </c>
      <c r="I224" s="84">
        <f t="shared" ref="I224:I235" si="20">IF(F224&gt;0,F224*H224*IF(OR(D224&gt;$H$9,E224&lt;$H$8), 0, IF(D224&lt;$H$8,E224-$H$8,IF($H$9&lt;E224,E224-$H$9,G224)))/G224,0)</f>
        <v>0</v>
      </c>
      <c r="J224" s="11"/>
    </row>
    <row r="225" spans="2:10" ht="20.100000000000001" customHeight="1">
      <c r="B225" s="123"/>
      <c r="C225" s="124"/>
      <c r="D225" s="125"/>
      <c r="E225" s="125"/>
      <c r="F225" s="116"/>
      <c r="G225" s="88" t="str">
        <f t="shared" si="19"/>
        <v/>
      </c>
      <c r="H225" s="84">
        <f t="shared" ref="H225:H235" si="21">$C$220</f>
        <v>0</v>
      </c>
      <c r="I225" s="84">
        <f t="shared" si="20"/>
        <v>0</v>
      </c>
      <c r="J225" s="11"/>
    </row>
    <row r="226" spans="2:10" ht="20.100000000000001" customHeight="1">
      <c r="B226" s="123"/>
      <c r="C226" s="124"/>
      <c r="D226" s="125"/>
      <c r="E226" s="125"/>
      <c r="F226" s="116"/>
      <c r="G226" s="88" t="str">
        <f t="shared" si="19"/>
        <v/>
      </c>
      <c r="H226" s="84">
        <f t="shared" si="21"/>
        <v>0</v>
      </c>
      <c r="I226" s="84">
        <f t="shared" si="20"/>
        <v>0</v>
      </c>
      <c r="J226" s="11"/>
    </row>
    <row r="227" spans="2:10" ht="20.100000000000001" customHeight="1">
      <c r="B227" s="123"/>
      <c r="C227" s="124"/>
      <c r="D227" s="125"/>
      <c r="E227" s="125"/>
      <c r="F227" s="116"/>
      <c r="G227" s="88" t="str">
        <f t="shared" si="19"/>
        <v/>
      </c>
      <c r="H227" s="84">
        <f t="shared" si="21"/>
        <v>0</v>
      </c>
      <c r="I227" s="84">
        <f t="shared" si="20"/>
        <v>0</v>
      </c>
      <c r="J227" s="11"/>
    </row>
    <row r="228" spans="2:10" ht="20.100000000000001" customHeight="1">
      <c r="B228" s="123"/>
      <c r="C228" s="124"/>
      <c r="D228" s="125"/>
      <c r="E228" s="125"/>
      <c r="F228" s="116"/>
      <c r="G228" s="88" t="str">
        <f t="shared" si="19"/>
        <v/>
      </c>
      <c r="H228" s="84">
        <f t="shared" si="21"/>
        <v>0</v>
      </c>
      <c r="I228" s="84">
        <f t="shared" si="20"/>
        <v>0</v>
      </c>
      <c r="J228" s="11"/>
    </row>
    <row r="229" spans="2:10" ht="20.100000000000001" customHeight="1">
      <c r="B229" s="123"/>
      <c r="C229" s="124"/>
      <c r="D229" s="125"/>
      <c r="E229" s="125"/>
      <c r="F229" s="116"/>
      <c r="G229" s="88" t="str">
        <f t="shared" si="19"/>
        <v/>
      </c>
      <c r="H229" s="84">
        <f t="shared" si="21"/>
        <v>0</v>
      </c>
      <c r="I229" s="84">
        <f t="shared" si="20"/>
        <v>0</v>
      </c>
      <c r="J229" s="11"/>
    </row>
    <row r="230" spans="2:10" ht="20.100000000000001" customHeight="1">
      <c r="B230" s="123"/>
      <c r="C230" s="124"/>
      <c r="D230" s="125"/>
      <c r="E230" s="125"/>
      <c r="F230" s="116"/>
      <c r="G230" s="88" t="str">
        <f t="shared" si="19"/>
        <v/>
      </c>
      <c r="H230" s="84">
        <f t="shared" si="21"/>
        <v>0</v>
      </c>
      <c r="I230" s="84">
        <f t="shared" si="20"/>
        <v>0</v>
      </c>
      <c r="J230" s="11"/>
    </row>
    <row r="231" spans="2:10" ht="20.100000000000001" customHeight="1">
      <c r="B231" s="123"/>
      <c r="C231" s="124"/>
      <c r="D231" s="125"/>
      <c r="E231" s="125"/>
      <c r="F231" s="116"/>
      <c r="G231" s="88" t="str">
        <f t="shared" si="19"/>
        <v/>
      </c>
      <c r="H231" s="84">
        <f t="shared" si="21"/>
        <v>0</v>
      </c>
      <c r="I231" s="84">
        <f t="shared" si="20"/>
        <v>0</v>
      </c>
      <c r="J231" s="11"/>
    </row>
    <row r="232" spans="2:10" ht="20.100000000000001" customHeight="1">
      <c r="B232" s="123"/>
      <c r="C232" s="124"/>
      <c r="D232" s="125"/>
      <c r="E232" s="125"/>
      <c r="F232" s="116"/>
      <c r="G232" s="88" t="str">
        <f t="shared" si="19"/>
        <v/>
      </c>
      <c r="H232" s="84">
        <f t="shared" si="21"/>
        <v>0</v>
      </c>
      <c r="I232" s="84">
        <f t="shared" si="20"/>
        <v>0</v>
      </c>
      <c r="J232" s="11"/>
    </row>
    <row r="233" spans="2:10" ht="20.100000000000001" customHeight="1">
      <c r="B233" s="123"/>
      <c r="C233" s="124"/>
      <c r="D233" s="125"/>
      <c r="E233" s="125"/>
      <c r="F233" s="116"/>
      <c r="G233" s="88" t="str">
        <f t="shared" si="19"/>
        <v/>
      </c>
      <c r="H233" s="84">
        <f t="shared" si="21"/>
        <v>0</v>
      </c>
      <c r="I233" s="84">
        <f t="shared" si="20"/>
        <v>0</v>
      </c>
      <c r="J233" s="11"/>
    </row>
    <row r="234" spans="2:10" ht="20.100000000000001" customHeight="1">
      <c r="B234" s="123"/>
      <c r="C234" s="124"/>
      <c r="D234" s="125"/>
      <c r="E234" s="125"/>
      <c r="F234" s="116"/>
      <c r="G234" s="88" t="str">
        <f t="shared" si="19"/>
        <v/>
      </c>
      <c r="H234" s="84">
        <f t="shared" si="21"/>
        <v>0</v>
      </c>
      <c r="I234" s="84">
        <f t="shared" si="20"/>
        <v>0</v>
      </c>
      <c r="J234" s="11"/>
    </row>
    <row r="235" spans="2:10" ht="20.100000000000001" customHeight="1" thickBot="1">
      <c r="B235" s="126"/>
      <c r="C235" s="127"/>
      <c r="D235" s="128"/>
      <c r="E235" s="128"/>
      <c r="F235" s="119"/>
      <c r="G235" s="88" t="str">
        <f t="shared" si="19"/>
        <v/>
      </c>
      <c r="H235" s="84">
        <f t="shared" si="21"/>
        <v>0</v>
      </c>
      <c r="I235" s="84">
        <f t="shared" si="20"/>
        <v>0</v>
      </c>
      <c r="J235" s="11"/>
    </row>
    <row r="237" spans="2:10" ht="15.6">
      <c r="B237" s="316" t="s">
        <v>587</v>
      </c>
      <c r="C237" s="316"/>
      <c r="D237" s="316"/>
      <c r="E237" s="316"/>
      <c r="F237" s="316"/>
      <c r="G237" s="316"/>
      <c r="H237" s="316"/>
      <c r="I237" s="316"/>
    </row>
    <row r="238" spans="2:10" ht="13.8" thickBot="1"/>
    <row r="239" spans="2:10" ht="20.100000000000001" customHeight="1" thickBot="1">
      <c r="B239" s="289" t="s">
        <v>1233</v>
      </c>
      <c r="C239" s="28"/>
      <c r="E239" s="289" t="s">
        <v>475</v>
      </c>
      <c r="F239" s="216"/>
      <c r="G239" s="217"/>
      <c r="H239" s="217"/>
      <c r="I239" s="218"/>
    </row>
    <row r="240" spans="2:10" ht="20.100000000000001" customHeight="1">
      <c r="B240" s="289" t="s">
        <v>485</v>
      </c>
      <c r="C240" s="29" t="s">
        <v>100</v>
      </c>
      <c r="E240" s="286" t="s">
        <v>479</v>
      </c>
      <c r="F240" s="219"/>
      <c r="G240" s="220"/>
      <c r="H240" s="220"/>
      <c r="I240" s="221"/>
    </row>
    <row r="241" spans="2:9" ht="20.100000000000001" customHeight="1" thickBot="1">
      <c r="B241" s="289" t="s">
        <v>487</v>
      </c>
      <c r="C241" s="73">
        <v>3.5999999999999999E-3</v>
      </c>
      <c r="D241" s="317"/>
      <c r="E241" s="287"/>
      <c r="F241" s="222"/>
      <c r="G241" s="223"/>
      <c r="H241" s="223"/>
      <c r="I241" s="224"/>
    </row>
    <row r="244" spans="2:9" ht="43.5" customHeight="1" thickBot="1">
      <c r="B244" s="175" t="s">
        <v>491</v>
      </c>
      <c r="C244" s="175" t="s">
        <v>493</v>
      </c>
      <c r="D244" s="175" t="s">
        <v>1234</v>
      </c>
      <c r="E244" s="175" t="s">
        <v>1235</v>
      </c>
      <c r="F244" s="291" t="s">
        <v>1236</v>
      </c>
      <c r="G244" s="78" t="s">
        <v>501</v>
      </c>
      <c r="H244" s="225" t="s">
        <v>487</v>
      </c>
      <c r="I244" s="225" t="s">
        <v>504</v>
      </c>
    </row>
    <row r="245" spans="2:9" ht="20.100000000000001" customHeight="1">
      <c r="B245" s="120"/>
      <c r="C245" s="121"/>
      <c r="D245" s="122"/>
      <c r="E245" s="122"/>
      <c r="F245" s="113"/>
      <c r="G245" s="84" t="str">
        <f t="shared" ref="G245:G256" si="22">IF(ISBLANK(D245),"",E245-D245+1)</f>
        <v/>
      </c>
      <c r="H245" s="228">
        <f>$C$241</f>
        <v>3.5999999999999999E-3</v>
      </c>
      <c r="I245" s="84">
        <f t="shared" ref="I245:I256" si="23">IF(F245&gt;0,F245*H245*IF(OR(D245&gt;$H$9,E245&lt;$H$8), 0, IF(D245&lt;$H$8,E245-$H$8,IF($H$9&lt;E245,E245-$H$9,G245)))/G245,0)</f>
        <v>0</v>
      </c>
    </row>
    <row r="246" spans="2:9" ht="20.100000000000001" customHeight="1">
      <c r="B246" s="123"/>
      <c r="C246" s="124"/>
      <c r="D246" s="125"/>
      <c r="E246" s="125"/>
      <c r="F246" s="116"/>
      <c r="G246" s="84" t="str">
        <f t="shared" si="22"/>
        <v/>
      </c>
      <c r="H246" s="228">
        <f t="shared" ref="H246:H256" si="24">$C$241</f>
        <v>3.5999999999999999E-3</v>
      </c>
      <c r="I246" s="84">
        <f t="shared" si="23"/>
        <v>0</v>
      </c>
    </row>
    <row r="247" spans="2:9" ht="20.100000000000001" customHeight="1">
      <c r="B247" s="123"/>
      <c r="C247" s="124"/>
      <c r="D247" s="125"/>
      <c r="E247" s="125"/>
      <c r="F247" s="116"/>
      <c r="G247" s="84" t="str">
        <f t="shared" si="22"/>
        <v/>
      </c>
      <c r="H247" s="228">
        <f t="shared" si="24"/>
        <v>3.5999999999999999E-3</v>
      </c>
      <c r="I247" s="84">
        <f t="shared" si="23"/>
        <v>0</v>
      </c>
    </row>
    <row r="248" spans="2:9" ht="20.100000000000001" customHeight="1">
      <c r="B248" s="123"/>
      <c r="C248" s="124"/>
      <c r="D248" s="125"/>
      <c r="E248" s="125"/>
      <c r="F248" s="116"/>
      <c r="G248" s="84" t="str">
        <f t="shared" si="22"/>
        <v/>
      </c>
      <c r="H248" s="228">
        <f t="shared" si="24"/>
        <v>3.5999999999999999E-3</v>
      </c>
      <c r="I248" s="84">
        <f t="shared" si="23"/>
        <v>0</v>
      </c>
    </row>
    <row r="249" spans="2:9" ht="20.100000000000001" customHeight="1">
      <c r="B249" s="123"/>
      <c r="C249" s="124"/>
      <c r="D249" s="125"/>
      <c r="E249" s="125"/>
      <c r="F249" s="116"/>
      <c r="G249" s="84" t="str">
        <f t="shared" si="22"/>
        <v/>
      </c>
      <c r="H249" s="228">
        <f t="shared" si="24"/>
        <v>3.5999999999999999E-3</v>
      </c>
      <c r="I249" s="84">
        <f t="shared" si="23"/>
        <v>0</v>
      </c>
    </row>
    <row r="250" spans="2:9" ht="20.100000000000001" customHeight="1">
      <c r="B250" s="123"/>
      <c r="C250" s="124"/>
      <c r="D250" s="125"/>
      <c r="E250" s="125"/>
      <c r="F250" s="116"/>
      <c r="G250" s="84" t="str">
        <f t="shared" si="22"/>
        <v/>
      </c>
      <c r="H250" s="228">
        <f t="shared" si="24"/>
        <v>3.5999999999999999E-3</v>
      </c>
      <c r="I250" s="84">
        <f t="shared" si="23"/>
        <v>0</v>
      </c>
    </row>
    <row r="251" spans="2:9" ht="20.100000000000001" customHeight="1">
      <c r="B251" s="123"/>
      <c r="C251" s="124"/>
      <c r="D251" s="125"/>
      <c r="E251" s="125"/>
      <c r="F251" s="116"/>
      <c r="G251" s="84" t="str">
        <f t="shared" si="22"/>
        <v/>
      </c>
      <c r="H251" s="228">
        <f t="shared" si="24"/>
        <v>3.5999999999999999E-3</v>
      </c>
      <c r="I251" s="84">
        <f t="shared" si="23"/>
        <v>0</v>
      </c>
    </row>
    <row r="252" spans="2:9" ht="20.100000000000001" customHeight="1">
      <c r="B252" s="123"/>
      <c r="C252" s="124"/>
      <c r="D252" s="125"/>
      <c r="E252" s="125"/>
      <c r="F252" s="116"/>
      <c r="G252" s="84" t="str">
        <f t="shared" si="22"/>
        <v/>
      </c>
      <c r="H252" s="228">
        <f t="shared" si="24"/>
        <v>3.5999999999999999E-3</v>
      </c>
      <c r="I252" s="84">
        <f t="shared" si="23"/>
        <v>0</v>
      </c>
    </row>
    <row r="253" spans="2:9" ht="20.100000000000001" customHeight="1">
      <c r="B253" s="123"/>
      <c r="C253" s="124"/>
      <c r="D253" s="125"/>
      <c r="E253" s="125"/>
      <c r="F253" s="116"/>
      <c r="G253" s="84" t="str">
        <f t="shared" si="22"/>
        <v/>
      </c>
      <c r="H253" s="228">
        <f t="shared" si="24"/>
        <v>3.5999999999999999E-3</v>
      </c>
      <c r="I253" s="84">
        <f t="shared" si="23"/>
        <v>0</v>
      </c>
    </row>
    <row r="254" spans="2:9" ht="20.100000000000001" customHeight="1">
      <c r="B254" s="123"/>
      <c r="C254" s="124"/>
      <c r="D254" s="125"/>
      <c r="E254" s="125"/>
      <c r="F254" s="116"/>
      <c r="G254" s="84" t="str">
        <f t="shared" si="22"/>
        <v/>
      </c>
      <c r="H254" s="228">
        <f t="shared" si="24"/>
        <v>3.5999999999999999E-3</v>
      </c>
      <c r="I254" s="84">
        <f t="shared" si="23"/>
        <v>0</v>
      </c>
    </row>
    <row r="255" spans="2:9" ht="20.100000000000001" customHeight="1">
      <c r="B255" s="123"/>
      <c r="C255" s="124"/>
      <c r="D255" s="125"/>
      <c r="E255" s="125"/>
      <c r="F255" s="116"/>
      <c r="G255" s="84" t="str">
        <f t="shared" si="22"/>
        <v/>
      </c>
      <c r="H255" s="228">
        <f t="shared" si="24"/>
        <v>3.5999999999999999E-3</v>
      </c>
      <c r="I255" s="84">
        <f t="shared" si="23"/>
        <v>0</v>
      </c>
    </row>
    <row r="256" spans="2:9" ht="20.100000000000001" customHeight="1" thickBot="1">
      <c r="B256" s="126"/>
      <c r="C256" s="127"/>
      <c r="D256" s="128"/>
      <c r="E256" s="128"/>
      <c r="F256" s="119"/>
      <c r="G256" s="84" t="str">
        <f t="shared" si="22"/>
        <v/>
      </c>
      <c r="H256" s="228">
        <f t="shared" si="24"/>
        <v>3.5999999999999999E-3</v>
      </c>
      <c r="I256" s="84">
        <f t="shared" si="23"/>
        <v>0</v>
      </c>
    </row>
    <row r="258" spans="2:9" ht="15.6">
      <c r="B258" s="316" t="s">
        <v>1237</v>
      </c>
      <c r="C258" s="316"/>
      <c r="D258" s="316"/>
      <c r="E258" s="316"/>
      <c r="F258" s="316"/>
      <c r="G258" s="316"/>
      <c r="H258" s="316"/>
      <c r="I258" s="316"/>
    </row>
    <row r="259" spans="2:9" ht="13.8" thickBot="1"/>
    <row r="260" spans="2:9" ht="20.100000000000001" customHeight="1" thickBot="1">
      <c r="B260" s="289" t="s">
        <v>1238</v>
      </c>
      <c r="C260" s="28"/>
      <c r="E260" s="289" t="s">
        <v>475</v>
      </c>
      <c r="F260" s="216"/>
      <c r="G260" s="217"/>
      <c r="H260" s="217"/>
      <c r="I260" s="218"/>
    </row>
    <row r="261" spans="2:9" ht="20.100000000000001" customHeight="1">
      <c r="B261" s="289" t="s">
        <v>485</v>
      </c>
      <c r="C261" s="29" t="s">
        <v>100</v>
      </c>
      <c r="E261" s="286" t="s">
        <v>479</v>
      </c>
      <c r="F261" s="219"/>
      <c r="G261" s="220"/>
      <c r="H261" s="220"/>
      <c r="I261" s="221"/>
    </row>
    <row r="262" spans="2:9" ht="20.100000000000001" customHeight="1" thickBot="1">
      <c r="B262" s="289" t="s">
        <v>487</v>
      </c>
      <c r="C262" s="226">
        <v>3.5999999999999999E-3</v>
      </c>
      <c r="D262" s="317"/>
      <c r="E262" s="287"/>
      <c r="F262" s="222"/>
      <c r="G262" s="223"/>
      <c r="H262" s="223"/>
      <c r="I262" s="224"/>
    </row>
    <row r="263" spans="2:9" ht="20.100000000000001" customHeight="1" thickBot="1">
      <c r="B263" s="289" t="s">
        <v>1239</v>
      </c>
      <c r="C263" s="227"/>
      <c r="E263" s="559" t="s">
        <v>1240</v>
      </c>
      <c r="F263" s="559"/>
      <c r="G263" s="559"/>
      <c r="H263" s="559"/>
      <c r="I263" s="559"/>
    </row>
    <row r="264" spans="2:9" ht="57.75" customHeight="1">
      <c r="E264" s="559"/>
      <c r="F264" s="559"/>
      <c r="G264" s="559"/>
      <c r="H264" s="559"/>
      <c r="I264" s="559"/>
    </row>
    <row r="266" spans="2:9" ht="45.75" customHeight="1" thickBot="1">
      <c r="B266" s="175" t="s">
        <v>491</v>
      </c>
      <c r="C266" s="175" t="s">
        <v>493</v>
      </c>
      <c r="D266" s="175" t="s">
        <v>1234</v>
      </c>
      <c r="E266" s="175" t="s">
        <v>1235</v>
      </c>
      <c r="F266" s="175" t="s">
        <v>1236</v>
      </c>
      <c r="G266" s="78" t="s">
        <v>501</v>
      </c>
      <c r="H266" s="78" t="s">
        <v>487</v>
      </c>
      <c r="I266" s="78" t="s">
        <v>504</v>
      </c>
    </row>
    <row r="267" spans="2:9" ht="20.100000000000001" customHeight="1">
      <c r="B267" s="120"/>
      <c r="C267" s="121"/>
      <c r="D267" s="122"/>
      <c r="E267" s="122"/>
      <c r="F267" s="113"/>
      <c r="G267" s="88" t="str">
        <f t="shared" ref="G267:G278" si="25">IF(ISBLANK(D267),"",E267-D267+1)</f>
        <v/>
      </c>
      <c r="H267" s="228">
        <f>$C$262</f>
        <v>3.5999999999999999E-3</v>
      </c>
      <c r="I267" s="84">
        <f t="shared" ref="I267:I278" si="26">IF(F267&gt;0,F267*H267*IF(OR(D267&gt;$H$9,E267&lt;$H$8), 0, IF(D267&lt;$H$8,E267-$H$8,IF($H$9&lt;E267,E267-$H$9,G267)))/G267,0)</f>
        <v>0</v>
      </c>
    </row>
    <row r="268" spans="2:9" ht="20.100000000000001" customHeight="1">
      <c r="B268" s="123"/>
      <c r="C268" s="124"/>
      <c r="D268" s="125"/>
      <c r="E268" s="125"/>
      <c r="F268" s="116"/>
      <c r="G268" s="88" t="str">
        <f t="shared" si="25"/>
        <v/>
      </c>
      <c r="H268" s="228">
        <f t="shared" ref="H268:H278" si="27">$C$262</f>
        <v>3.5999999999999999E-3</v>
      </c>
      <c r="I268" s="84">
        <f t="shared" si="26"/>
        <v>0</v>
      </c>
    </row>
    <row r="269" spans="2:9" ht="20.100000000000001" customHeight="1">
      <c r="B269" s="123"/>
      <c r="C269" s="124"/>
      <c r="D269" s="125"/>
      <c r="E269" s="125"/>
      <c r="F269" s="116"/>
      <c r="G269" s="88" t="str">
        <f t="shared" si="25"/>
        <v/>
      </c>
      <c r="H269" s="228">
        <f t="shared" si="27"/>
        <v>3.5999999999999999E-3</v>
      </c>
      <c r="I269" s="84">
        <f t="shared" si="26"/>
        <v>0</v>
      </c>
    </row>
    <row r="270" spans="2:9" ht="20.100000000000001" customHeight="1">
      <c r="B270" s="123"/>
      <c r="C270" s="124"/>
      <c r="D270" s="125"/>
      <c r="E270" s="125"/>
      <c r="F270" s="116"/>
      <c r="G270" s="88" t="str">
        <f t="shared" si="25"/>
        <v/>
      </c>
      <c r="H270" s="228">
        <f t="shared" si="27"/>
        <v>3.5999999999999999E-3</v>
      </c>
      <c r="I270" s="84">
        <f t="shared" si="26"/>
        <v>0</v>
      </c>
    </row>
    <row r="271" spans="2:9" ht="20.100000000000001" customHeight="1">
      <c r="B271" s="123"/>
      <c r="C271" s="124"/>
      <c r="D271" s="125"/>
      <c r="E271" s="125"/>
      <c r="F271" s="116"/>
      <c r="G271" s="88" t="str">
        <f t="shared" si="25"/>
        <v/>
      </c>
      <c r="H271" s="228">
        <f t="shared" si="27"/>
        <v>3.5999999999999999E-3</v>
      </c>
      <c r="I271" s="84">
        <f t="shared" si="26"/>
        <v>0</v>
      </c>
    </row>
    <row r="272" spans="2:9" ht="20.100000000000001" customHeight="1">
      <c r="B272" s="123"/>
      <c r="C272" s="124"/>
      <c r="D272" s="125"/>
      <c r="E272" s="125"/>
      <c r="F272" s="116"/>
      <c r="G272" s="88" t="str">
        <f t="shared" si="25"/>
        <v/>
      </c>
      <c r="H272" s="228">
        <f t="shared" si="27"/>
        <v>3.5999999999999999E-3</v>
      </c>
      <c r="I272" s="84">
        <f t="shared" si="26"/>
        <v>0</v>
      </c>
    </row>
    <row r="273" spans="2:10" ht="20.100000000000001" customHeight="1">
      <c r="B273" s="123"/>
      <c r="C273" s="124"/>
      <c r="D273" s="125"/>
      <c r="E273" s="125"/>
      <c r="F273" s="116"/>
      <c r="G273" s="88" t="str">
        <f t="shared" si="25"/>
        <v/>
      </c>
      <c r="H273" s="228">
        <f t="shared" si="27"/>
        <v>3.5999999999999999E-3</v>
      </c>
      <c r="I273" s="84">
        <f t="shared" si="26"/>
        <v>0</v>
      </c>
    </row>
    <row r="274" spans="2:10" ht="20.100000000000001" customHeight="1">
      <c r="B274" s="123"/>
      <c r="C274" s="124"/>
      <c r="D274" s="125"/>
      <c r="E274" s="125"/>
      <c r="F274" s="116"/>
      <c r="G274" s="88" t="str">
        <f t="shared" si="25"/>
        <v/>
      </c>
      <c r="H274" s="228">
        <f t="shared" si="27"/>
        <v>3.5999999999999999E-3</v>
      </c>
      <c r="I274" s="84">
        <f t="shared" si="26"/>
        <v>0</v>
      </c>
    </row>
    <row r="275" spans="2:10" ht="20.100000000000001" customHeight="1">
      <c r="B275" s="123"/>
      <c r="C275" s="124"/>
      <c r="D275" s="125"/>
      <c r="E275" s="125"/>
      <c r="F275" s="116"/>
      <c r="G275" s="88" t="str">
        <f t="shared" si="25"/>
        <v/>
      </c>
      <c r="H275" s="228">
        <f t="shared" si="27"/>
        <v>3.5999999999999999E-3</v>
      </c>
      <c r="I275" s="84">
        <f t="shared" si="26"/>
        <v>0</v>
      </c>
    </row>
    <row r="276" spans="2:10" ht="20.100000000000001" customHeight="1">
      <c r="B276" s="123"/>
      <c r="C276" s="124"/>
      <c r="D276" s="125"/>
      <c r="E276" s="125"/>
      <c r="F276" s="116"/>
      <c r="G276" s="88" t="str">
        <f t="shared" si="25"/>
        <v/>
      </c>
      <c r="H276" s="228">
        <f t="shared" si="27"/>
        <v>3.5999999999999999E-3</v>
      </c>
      <c r="I276" s="84">
        <f t="shared" si="26"/>
        <v>0</v>
      </c>
    </row>
    <row r="277" spans="2:10" ht="20.100000000000001" customHeight="1">
      <c r="B277" s="123"/>
      <c r="C277" s="124"/>
      <c r="D277" s="125"/>
      <c r="E277" s="125"/>
      <c r="F277" s="116"/>
      <c r="G277" s="88" t="str">
        <f t="shared" si="25"/>
        <v/>
      </c>
      <c r="H277" s="228">
        <f t="shared" si="27"/>
        <v>3.5999999999999999E-3</v>
      </c>
      <c r="I277" s="84">
        <f t="shared" si="26"/>
        <v>0</v>
      </c>
    </row>
    <row r="278" spans="2:10" ht="20.100000000000001" customHeight="1" thickBot="1">
      <c r="B278" s="126"/>
      <c r="C278" s="127"/>
      <c r="D278" s="128"/>
      <c r="E278" s="128"/>
      <c r="F278" s="119"/>
      <c r="G278" s="88" t="str">
        <f t="shared" si="25"/>
        <v/>
      </c>
      <c r="H278" s="228">
        <f t="shared" si="27"/>
        <v>3.5999999999999999E-3</v>
      </c>
      <c r="I278" s="84">
        <f t="shared" si="26"/>
        <v>0</v>
      </c>
    </row>
    <row r="280" spans="2:10" ht="15.6">
      <c r="B280" s="316" t="s">
        <v>567</v>
      </c>
      <c r="C280" s="316"/>
      <c r="D280" s="316"/>
      <c r="E280" s="316"/>
      <c r="F280" s="316"/>
      <c r="G280" s="316"/>
      <c r="H280" s="316"/>
      <c r="I280" s="316"/>
      <c r="J280" s="316"/>
    </row>
    <row r="281" spans="2:10" ht="13.8" thickBot="1">
      <c r="J281" s="11"/>
    </row>
    <row r="282" spans="2:10" ht="20.100000000000001" customHeight="1" thickBot="1">
      <c r="B282" s="90" t="s">
        <v>471</v>
      </c>
      <c r="C282" s="84" t="s">
        <v>569</v>
      </c>
      <c r="D282" s="288" t="str">
        <f>IF(C194="NZ", "Note: All NZ projects cannot utilise GreenPower in their ratings", "")</f>
        <v/>
      </c>
      <c r="E282" s="289" t="s">
        <v>475</v>
      </c>
      <c r="F282" s="216"/>
      <c r="G282" s="217"/>
      <c r="H282" s="217"/>
      <c r="I282" s="218"/>
      <c r="J282" s="11"/>
    </row>
    <row r="283" spans="2:10" ht="20.100000000000001" customHeight="1">
      <c r="B283" s="90" t="s">
        <v>477</v>
      </c>
      <c r="C283" s="84" t="s">
        <v>96</v>
      </c>
      <c r="E283" s="547" t="s">
        <v>479</v>
      </c>
      <c r="F283" s="549" t="s">
        <v>1241</v>
      </c>
      <c r="G283" s="550"/>
      <c r="H283" s="550"/>
      <c r="I283" s="551"/>
      <c r="J283" s="11"/>
    </row>
    <row r="284" spans="2:10" ht="20.100000000000001" customHeight="1" thickBot="1">
      <c r="B284" s="90" t="s">
        <v>483</v>
      </c>
      <c r="C284" s="86" t="e" cm="1">
        <f t="array" ref="C284">INDEX('NGER Emission Factors'!$D$84:$D$128,MATCH(1,($C$20='NGER Emission Factors'!$B$84:$B$128)*($H$10='NGER Emission Factors'!$C$84:$C$128),0),1)</f>
        <v>#N/A</v>
      </c>
      <c r="E284" s="548"/>
      <c r="F284" s="552"/>
      <c r="G284" s="553"/>
      <c r="H284" s="553"/>
      <c r="I284" s="554"/>
      <c r="J284" s="11"/>
    </row>
    <row r="285" spans="2:10" ht="20.100000000000001" customHeight="1">
      <c r="B285" s="90" t="s">
        <v>485</v>
      </c>
      <c r="C285" s="84" t="s">
        <v>100</v>
      </c>
      <c r="J285" s="11"/>
    </row>
    <row r="286" spans="2:10" ht="20.100000000000001" customHeight="1">
      <c r="B286" s="90" t="s">
        <v>487</v>
      </c>
      <c r="C286" s="87">
        <v>3.5999999999999999E-3</v>
      </c>
      <c r="J286" s="11"/>
    </row>
    <row r="287" spans="2:10" ht="14.25" customHeight="1">
      <c r="G287" s="14"/>
      <c r="J287" s="11"/>
    </row>
    <row r="288" spans="2:10" ht="16.5" customHeight="1">
      <c r="J288" s="11"/>
    </row>
    <row r="289" spans="2:9" s="11" customFormat="1" ht="37.5" customHeight="1" thickBot="1">
      <c r="B289" s="89" t="s">
        <v>491</v>
      </c>
      <c r="C289" s="89" t="s">
        <v>493</v>
      </c>
      <c r="D289" s="89" t="s">
        <v>495</v>
      </c>
      <c r="E289" s="89" t="s">
        <v>497</v>
      </c>
      <c r="F289" s="89" t="str">
        <f>"Billed Quantity ("&amp;C285&amp;")"</f>
        <v>Billed Quantity (kWh)</v>
      </c>
      <c r="G289" s="90" t="s">
        <v>501</v>
      </c>
      <c r="H289" s="90" t="s">
        <v>487</v>
      </c>
      <c r="I289" s="90" t="s">
        <v>504</v>
      </c>
    </row>
    <row r="290" spans="2:9" s="11" customFormat="1" ht="20.100000000000001" customHeight="1">
      <c r="B290" s="120"/>
      <c r="C290" s="121"/>
      <c r="D290" s="122"/>
      <c r="E290" s="122"/>
      <c r="F290" s="113"/>
      <c r="G290" s="88" t="str">
        <f>IF(ISBLANK(D290),"",E290-D290+1)</f>
        <v/>
      </c>
      <c r="H290" s="84">
        <f t="shared" ref="H290:H301" si="28">$C$105</f>
        <v>3.5999999999999999E-3</v>
      </c>
      <c r="I290" s="84">
        <f t="shared" ref="I290:I301" si="29">IF(F290&gt;0,F290*H290*IF(OR(D290&gt;$H$9,E290&lt;$H$8), 0, IF(D290&lt;$H$8,E290-$H$8,IF($H$9&lt;E290,E290-$H$9,G290)))/G290,0)</f>
        <v>0</v>
      </c>
    </row>
    <row r="291" spans="2:9" s="11" customFormat="1" ht="20.100000000000001" customHeight="1">
      <c r="B291" s="123"/>
      <c r="C291" s="124"/>
      <c r="D291" s="125"/>
      <c r="E291" s="125"/>
      <c r="F291" s="116"/>
      <c r="G291" s="88" t="str">
        <f t="shared" ref="G291:G301" si="30">IF(ISBLANK(D291),"",E291-D291+1)</f>
        <v/>
      </c>
      <c r="H291" s="84">
        <f t="shared" si="28"/>
        <v>3.5999999999999999E-3</v>
      </c>
      <c r="I291" s="84">
        <f t="shared" si="29"/>
        <v>0</v>
      </c>
    </row>
    <row r="292" spans="2:9" s="11" customFormat="1" ht="20.100000000000001" customHeight="1">
      <c r="B292" s="123"/>
      <c r="C292" s="124"/>
      <c r="D292" s="125"/>
      <c r="E292" s="125"/>
      <c r="F292" s="116"/>
      <c r="G292" s="88" t="str">
        <f t="shared" si="30"/>
        <v/>
      </c>
      <c r="H292" s="84">
        <f t="shared" si="28"/>
        <v>3.5999999999999999E-3</v>
      </c>
      <c r="I292" s="84">
        <f t="shared" si="29"/>
        <v>0</v>
      </c>
    </row>
    <row r="293" spans="2:9" s="11" customFormat="1" ht="20.100000000000001" customHeight="1">
      <c r="B293" s="123"/>
      <c r="C293" s="124"/>
      <c r="D293" s="125"/>
      <c r="E293" s="125"/>
      <c r="F293" s="116"/>
      <c r="G293" s="88" t="str">
        <f t="shared" si="30"/>
        <v/>
      </c>
      <c r="H293" s="84">
        <f t="shared" si="28"/>
        <v>3.5999999999999999E-3</v>
      </c>
      <c r="I293" s="84">
        <f t="shared" si="29"/>
        <v>0</v>
      </c>
    </row>
    <row r="294" spans="2:9" s="11" customFormat="1" ht="20.100000000000001" customHeight="1">
      <c r="B294" s="123"/>
      <c r="C294" s="124"/>
      <c r="D294" s="125"/>
      <c r="E294" s="125"/>
      <c r="F294" s="116"/>
      <c r="G294" s="88" t="str">
        <f t="shared" si="30"/>
        <v/>
      </c>
      <c r="H294" s="84">
        <f t="shared" si="28"/>
        <v>3.5999999999999999E-3</v>
      </c>
      <c r="I294" s="84">
        <f t="shared" si="29"/>
        <v>0</v>
      </c>
    </row>
    <row r="295" spans="2:9" s="11" customFormat="1" ht="20.100000000000001" customHeight="1">
      <c r="B295" s="123"/>
      <c r="C295" s="124"/>
      <c r="D295" s="125"/>
      <c r="E295" s="125"/>
      <c r="F295" s="116"/>
      <c r="G295" s="88" t="str">
        <f t="shared" si="30"/>
        <v/>
      </c>
      <c r="H295" s="84">
        <f t="shared" si="28"/>
        <v>3.5999999999999999E-3</v>
      </c>
      <c r="I295" s="84">
        <f t="shared" si="29"/>
        <v>0</v>
      </c>
    </row>
    <row r="296" spans="2:9" s="11" customFormat="1" ht="20.100000000000001" customHeight="1">
      <c r="B296" s="123"/>
      <c r="C296" s="124"/>
      <c r="D296" s="125"/>
      <c r="E296" s="125"/>
      <c r="F296" s="116"/>
      <c r="G296" s="88" t="str">
        <f t="shared" si="30"/>
        <v/>
      </c>
      <c r="H296" s="84">
        <f t="shared" si="28"/>
        <v>3.5999999999999999E-3</v>
      </c>
      <c r="I296" s="84">
        <f t="shared" si="29"/>
        <v>0</v>
      </c>
    </row>
    <row r="297" spans="2:9" s="11" customFormat="1" ht="20.100000000000001" customHeight="1">
      <c r="B297" s="123"/>
      <c r="C297" s="124"/>
      <c r="D297" s="125"/>
      <c r="E297" s="125"/>
      <c r="F297" s="116"/>
      <c r="G297" s="88" t="str">
        <f t="shared" si="30"/>
        <v/>
      </c>
      <c r="H297" s="84">
        <f t="shared" si="28"/>
        <v>3.5999999999999999E-3</v>
      </c>
      <c r="I297" s="84">
        <f t="shared" si="29"/>
        <v>0</v>
      </c>
    </row>
    <row r="298" spans="2:9" s="11" customFormat="1" ht="20.100000000000001" customHeight="1">
      <c r="B298" s="123"/>
      <c r="C298" s="124"/>
      <c r="D298" s="125"/>
      <c r="E298" s="125"/>
      <c r="F298" s="116"/>
      <c r="G298" s="88" t="str">
        <f t="shared" si="30"/>
        <v/>
      </c>
      <c r="H298" s="84">
        <f t="shared" si="28"/>
        <v>3.5999999999999999E-3</v>
      </c>
      <c r="I298" s="84">
        <f t="shared" si="29"/>
        <v>0</v>
      </c>
    </row>
    <row r="299" spans="2:9" s="11" customFormat="1" ht="20.100000000000001" customHeight="1">
      <c r="B299" s="123"/>
      <c r="C299" s="124"/>
      <c r="D299" s="125"/>
      <c r="E299" s="125"/>
      <c r="F299" s="116"/>
      <c r="G299" s="88" t="str">
        <f t="shared" si="30"/>
        <v/>
      </c>
      <c r="H299" s="84">
        <f t="shared" si="28"/>
        <v>3.5999999999999999E-3</v>
      </c>
      <c r="I299" s="84">
        <f t="shared" si="29"/>
        <v>0</v>
      </c>
    </row>
    <row r="300" spans="2:9" s="11" customFormat="1" ht="20.100000000000001" customHeight="1">
      <c r="B300" s="123"/>
      <c r="C300" s="124"/>
      <c r="D300" s="125"/>
      <c r="E300" s="125"/>
      <c r="F300" s="116"/>
      <c r="G300" s="88" t="str">
        <f t="shared" si="30"/>
        <v/>
      </c>
      <c r="H300" s="84">
        <f t="shared" si="28"/>
        <v>3.5999999999999999E-3</v>
      </c>
      <c r="I300" s="84">
        <f t="shared" si="29"/>
        <v>0</v>
      </c>
    </row>
    <row r="301" spans="2:9" s="11" customFormat="1" ht="20.100000000000001" customHeight="1" thickBot="1">
      <c r="B301" s="126"/>
      <c r="C301" s="127"/>
      <c r="D301" s="128"/>
      <c r="E301" s="128"/>
      <c r="F301" s="119"/>
      <c r="G301" s="88" t="str">
        <f t="shared" si="30"/>
        <v/>
      </c>
      <c r="H301" s="84">
        <f t="shared" si="28"/>
        <v>3.5999999999999999E-3</v>
      </c>
      <c r="I301" s="84">
        <f t="shared" si="29"/>
        <v>0</v>
      </c>
    </row>
  </sheetData>
  <sheetProtection algorithmName="SHA-512" hashValue="sYGQRrphWL/NGigwZJ3YiT2PpCwMIQ5KXAEjyvbalyc3dX6KV3s4Ry5kAv/Xnh/eQvkl+jasZY2uYtF2MtKQKw==" saltValue="M0zx1WGpMl9sxMa5fIP6GQ==" spinCount="100000" sheet="1" objects="1" scenarios="1"/>
  <customSheetViews>
    <customSheetView guid="{BA12A2B5-8B2E-47CE-85C5-00A71CD7042B}" scale="85" showGridLines="0" fitToPage="1" hiddenColumns="1" topLeftCell="A21">
      <selection activeCell="F243" sqref="F243"/>
      <pageMargins left="0" right="0" top="0" bottom="0" header="0" footer="0"/>
      <pageSetup paperSize="9" scale="20" orientation="portrait" r:id="rId1"/>
    </customSheetView>
    <customSheetView guid="{6E4579C3-98CA-4325-AF39-19A629870080}" scale="85" showGridLines="0" fitToPage="1" hiddenColumns="1" topLeftCell="A91">
      <selection activeCell="C101" sqref="C101"/>
      <pageMargins left="0" right="0" top="0" bottom="0" header="0" footer="0"/>
      <pageSetup paperSize="9" scale="20" orientation="portrait" r:id="rId2"/>
    </customSheetView>
    <customSheetView guid="{BC75B7F8-7A05-4F92-B953-0DB7EDA000F8}" scale="70" fitToPage="1">
      <selection activeCell="A177" sqref="A177:XFD177"/>
      <pageMargins left="0" right="0" top="0" bottom="0" header="0" footer="0"/>
      <pageSetup paperSize="9" scale="20" orientation="portrait" r:id="rId3"/>
    </customSheetView>
    <customSheetView guid="{BF159B5C-C230-4B3A-8DDE-333808894C93}" scale="70" fitToPage="1">
      <selection activeCell="B8" sqref="B8"/>
      <pageMargins left="0" right="0" top="0" bottom="0" header="0" footer="0"/>
      <pageSetup paperSize="9" scale="20" orientation="portrait" r:id="rId4"/>
    </customSheetView>
  </customSheetViews>
  <mergeCells count="45">
    <mergeCell ref="B24:B25"/>
    <mergeCell ref="C24:C25"/>
    <mergeCell ref="D24:D25"/>
    <mergeCell ref="F124:I124"/>
    <mergeCell ref="F101:I101"/>
    <mergeCell ref="F102:I103"/>
    <mergeCell ref="E24:E25"/>
    <mergeCell ref="F24:F25"/>
    <mergeCell ref="F78:I78"/>
    <mergeCell ref="F79:I80"/>
    <mergeCell ref="B36:D36"/>
    <mergeCell ref="B41:B42"/>
    <mergeCell ref="C41:C42"/>
    <mergeCell ref="E79:E80"/>
    <mergeCell ref="F217:I218"/>
    <mergeCell ref="F170:I170"/>
    <mergeCell ref="F171:I172"/>
    <mergeCell ref="D18:E18"/>
    <mergeCell ref="C8:D8"/>
    <mergeCell ref="C10:D10"/>
    <mergeCell ref="C11:D11"/>
    <mergeCell ref="C12:D12"/>
    <mergeCell ref="C13:D13"/>
    <mergeCell ref="C14:D14"/>
    <mergeCell ref="D16:E16"/>
    <mergeCell ref="D17:E17"/>
    <mergeCell ref="F194:I195"/>
    <mergeCell ref="D19:E19"/>
    <mergeCell ref="C9:D9"/>
    <mergeCell ref="E283:E284"/>
    <mergeCell ref="F283:I284"/>
    <mergeCell ref="F193:I193"/>
    <mergeCell ref="D20:E20"/>
    <mergeCell ref="E263:I264"/>
    <mergeCell ref="D101:D105"/>
    <mergeCell ref="E102:E103"/>
    <mergeCell ref="E125:E126"/>
    <mergeCell ref="E217:E218"/>
    <mergeCell ref="E194:E195"/>
    <mergeCell ref="E171:E172"/>
    <mergeCell ref="E148:E149"/>
    <mergeCell ref="F125:I126"/>
    <mergeCell ref="F147:I147"/>
    <mergeCell ref="F148:I149"/>
    <mergeCell ref="F216:I216"/>
  </mergeCells>
  <conditionalFormatting sqref="C9:D9">
    <cfRule type="expression" dxfId="9" priority="14">
      <formula>$C$9=$L$7</formula>
    </cfRule>
  </conditionalFormatting>
  <dataValidations count="6">
    <dataValidation type="list" allowBlank="1" showInputMessage="1" showErrorMessage="1" sqref="C13" xr:uid="{00000000-0002-0000-0300-000000000000}">
      <formula1>STATES</formula1>
    </dataValidation>
    <dataValidation type="list" allowBlank="1" showInputMessage="1" showErrorMessage="1" sqref="C14" xr:uid="{00000000-0002-0000-0300-000001000000}">
      <formula1>Metro</formula1>
    </dataValidation>
    <dataValidation type="list" allowBlank="1" showInputMessage="1" showErrorMessage="1" sqref="C16" xr:uid="{00000000-0002-0000-0300-000002000000}">
      <formula1>BldUse</formula1>
    </dataValidation>
    <dataValidation type="list" allowBlank="1" showInputMessage="1" showErrorMessage="1" sqref="C17" xr:uid="{00000000-0002-0000-0300-000003000000}">
      <formula1>ANZSIC</formula1>
    </dataValidation>
    <dataValidation type="list" allowBlank="1" showInputMessage="1" showErrorMessage="1" sqref="C19" xr:uid="{00000000-0002-0000-0300-000004000000}">
      <formula1>RatingType</formula1>
    </dataValidation>
    <dataValidation type="list" allowBlank="1" showInputMessage="1" showErrorMessage="1" sqref="C9:D9" xr:uid="{00000000-0002-0000-0300-000005000000}">
      <formula1>$L$7:$L$14</formula1>
    </dataValidation>
  </dataValidations>
  <pageMargins left="0.70866141732283472" right="0.70866141732283472" top="0.74803149606299213" bottom="0.74803149606299213" header="0.31496062992125984" footer="0.31496062992125984"/>
  <pageSetup paperSize="9" scale="20" orientation="portrait" r:id="rId5"/>
  <drawing r:id="rId6"/>
  <legacyDrawingHF r:id="rId7"/>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6000000}">
          <x14:formula1>
            <xm:f>'NGER Emission Factors'!$B$105:$B$115</xm:f>
          </x14:formula1>
          <xm:sqref>C20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9">
    <tabColor theme="3"/>
    <pageSetUpPr fitToPage="1"/>
  </sheetPr>
  <dimension ref="B1:O441"/>
  <sheetViews>
    <sheetView showGridLines="0" zoomScale="85" zoomScaleNormal="85" workbookViewId="0">
      <selection activeCell="D117" sqref="D117:F117"/>
    </sheetView>
  </sheetViews>
  <sheetFormatPr defaultColWidth="9.33203125" defaultRowHeight="13.2"/>
  <cols>
    <col min="1" max="1" width="5.6640625" style="11" customWidth="1"/>
    <col min="2" max="2" width="40.6640625" style="11" customWidth="1"/>
    <col min="3" max="3" width="31.33203125" style="11" customWidth="1"/>
    <col min="4" max="4" width="27" style="11" customWidth="1"/>
    <col min="5" max="9" width="23.33203125" style="11" customWidth="1"/>
    <col min="10" max="10" width="23.33203125" style="14" customWidth="1"/>
    <col min="11" max="11" width="23.33203125" style="11" customWidth="1"/>
    <col min="12" max="15" width="9.33203125" style="11" customWidth="1"/>
    <col min="16" max="16384" width="9.33203125" style="11"/>
  </cols>
  <sheetData>
    <row r="1" spans="2:13" ht="75.75" customHeight="1"/>
    <row r="2" spans="2:13" ht="12.75" customHeight="1"/>
    <row r="3" spans="2:13" s="315" customFormat="1" ht="33.75" customHeight="1">
      <c r="B3" s="180" t="s">
        <v>1242</v>
      </c>
      <c r="C3" s="180"/>
      <c r="D3" s="180"/>
      <c r="E3" s="180"/>
      <c r="F3" s="180"/>
      <c r="G3" s="180"/>
      <c r="H3" s="180"/>
      <c r="I3" s="180"/>
      <c r="J3" s="180"/>
      <c r="K3" s="180"/>
      <c r="L3" s="185"/>
      <c r="M3" s="185"/>
    </row>
    <row r="5" spans="2:13" ht="15.6">
      <c r="B5" s="316" t="s">
        <v>1161</v>
      </c>
      <c r="C5" s="316"/>
      <c r="D5" s="316"/>
      <c r="E5" s="316"/>
      <c r="F5" s="316"/>
      <c r="G5" s="316"/>
      <c r="H5" s="316"/>
      <c r="I5" s="316"/>
      <c r="J5" s="316"/>
      <c r="K5" s="316"/>
    </row>
    <row r="6" spans="2:13">
      <c r="I6" s="14"/>
      <c r="J6" s="11"/>
    </row>
    <row r="7" spans="2:13" ht="30" customHeight="1">
      <c r="B7" s="81" t="s">
        <v>71</v>
      </c>
      <c r="C7" s="75"/>
      <c r="D7" s="75"/>
      <c r="E7" s="75"/>
      <c r="G7" s="78" t="s">
        <v>1162</v>
      </c>
      <c r="H7" s="175" t="s">
        <v>1243</v>
      </c>
      <c r="I7" s="175" t="s">
        <v>1244</v>
      </c>
      <c r="J7" s="175" t="s">
        <v>1245</v>
      </c>
    </row>
    <row r="8" spans="2:13" ht="30" customHeight="1">
      <c r="B8" s="81" t="s">
        <v>1127</v>
      </c>
      <c r="C8" s="597"/>
      <c r="D8" s="598"/>
      <c r="E8" s="76"/>
      <c r="G8" s="108" t="s">
        <v>1246</v>
      </c>
      <c r="H8" s="360"/>
      <c r="I8" s="368"/>
      <c r="J8" s="368"/>
    </row>
    <row r="9" spans="2:13" ht="30" customHeight="1">
      <c r="B9" s="81" t="s">
        <v>1166</v>
      </c>
      <c r="C9" s="569"/>
      <c r="D9" s="599"/>
      <c r="E9" s="76"/>
      <c r="G9" s="108" t="s">
        <v>1247</v>
      </c>
      <c r="H9" s="244">
        <f>DATE(YEAR(H8)+1,MONTH(H8),DAY(H8)-1)</f>
        <v>365</v>
      </c>
      <c r="I9" s="244">
        <f>DATE(YEAR(I8)+1,MONTH(I8),DAY(I8)-1)</f>
        <v>365</v>
      </c>
      <c r="J9" s="244">
        <f>DATE(YEAR(J8)+1,MONTH(J8),DAY(J8)-1)</f>
        <v>365</v>
      </c>
    </row>
    <row r="10" spans="2:13" ht="30" customHeight="1">
      <c r="B10" s="81" t="s">
        <v>1168</v>
      </c>
      <c r="C10" s="575"/>
      <c r="D10" s="600"/>
      <c r="E10" s="76"/>
      <c r="F10" s="317"/>
      <c r="G10" s="16"/>
      <c r="H10" s="16"/>
      <c r="I10" s="18"/>
      <c r="J10" s="18"/>
    </row>
    <row r="11" spans="2:13" ht="30" customHeight="1">
      <c r="B11" s="81" t="s">
        <v>1169</v>
      </c>
      <c r="C11" s="571"/>
      <c r="D11" s="601"/>
      <c r="E11" s="211">
        <f>IF(C12="NZ", CONCATENATE(0,C11), C11)</f>
        <v>0</v>
      </c>
      <c r="G11" s="95" t="s">
        <v>1248</v>
      </c>
      <c r="H11" s="369"/>
      <c r="I11" s="370"/>
      <c r="J11" s="370"/>
    </row>
    <row r="12" spans="2:13" ht="30" customHeight="1">
      <c r="B12" s="81" t="s">
        <v>1170</v>
      </c>
      <c r="C12" s="602"/>
      <c r="D12" s="603"/>
      <c r="E12" s="76"/>
      <c r="G12" s="96" t="s">
        <v>1172</v>
      </c>
      <c r="H12" s="97" t="str">
        <f>IFERROR(VLOOKUP($E$11,'CDD &amp; HDD table'!$A:$D,3,FALSE),"")</f>
        <v/>
      </c>
      <c r="I12" s="97" t="str">
        <f>H12</f>
        <v/>
      </c>
      <c r="J12" s="97" t="str">
        <f>I12</f>
        <v/>
      </c>
    </row>
    <row r="13" spans="2:13" ht="30" customHeight="1">
      <c r="B13" s="81" t="s">
        <v>1171</v>
      </c>
      <c r="C13" s="604"/>
      <c r="D13" s="605"/>
      <c r="E13" s="76"/>
      <c r="G13" s="96" t="s">
        <v>1173</v>
      </c>
      <c r="H13" s="98" t="str">
        <f>IFERROR(VLOOKUP($E$11,'CDD &amp; HDD table'!$A:$D,4,FALSE),"")</f>
        <v/>
      </c>
      <c r="I13" s="98" t="str">
        <f>H13</f>
        <v/>
      </c>
      <c r="J13" s="98" t="str">
        <f>I13</f>
        <v/>
      </c>
    </row>
    <row r="14" spans="2:13" ht="30" customHeight="1">
      <c r="B14" s="16"/>
      <c r="C14" s="16"/>
      <c r="D14" s="18"/>
      <c r="E14" s="18"/>
      <c r="J14" s="11"/>
    </row>
    <row r="15" spans="2:13" ht="40.200000000000003" customHeight="1">
      <c r="B15" s="80" t="s">
        <v>1174</v>
      </c>
      <c r="C15" s="82"/>
      <c r="D15" s="606" t="s">
        <v>1175</v>
      </c>
      <c r="E15" s="607"/>
      <c r="F15" s="607"/>
      <c r="J15" s="11"/>
    </row>
    <row r="16" spans="2:13" ht="40.200000000000003" customHeight="1">
      <c r="B16" s="80" t="s">
        <v>1176</v>
      </c>
      <c r="C16" s="82"/>
      <c r="D16" s="606" t="s">
        <v>1177</v>
      </c>
      <c r="E16" s="607"/>
      <c r="F16" s="607"/>
      <c r="J16" s="11"/>
    </row>
    <row r="17" spans="2:15" ht="40.200000000000003" customHeight="1">
      <c r="B17" s="80" t="s">
        <v>1178</v>
      </c>
      <c r="C17" s="82"/>
      <c r="D17" s="608" t="s">
        <v>1249</v>
      </c>
      <c r="E17" s="609"/>
      <c r="F17" s="609"/>
    </row>
    <row r="19" spans="2:15" ht="15.6">
      <c r="B19" s="316" t="s">
        <v>1184</v>
      </c>
      <c r="C19" s="316"/>
      <c r="D19" s="316"/>
      <c r="E19" s="316"/>
      <c r="F19" s="316"/>
      <c r="G19" s="316"/>
      <c r="H19" s="316"/>
      <c r="I19" s="316"/>
      <c r="J19" s="316"/>
      <c r="K19" s="316"/>
    </row>
    <row r="20" spans="2:15">
      <c r="I20" s="14"/>
      <c r="J20" s="11"/>
    </row>
    <row r="21" spans="2:15" ht="20.100000000000001" customHeight="1">
      <c r="B21" s="613" t="s">
        <v>358</v>
      </c>
      <c r="C21" s="613" t="s">
        <v>360</v>
      </c>
      <c r="D21" s="613" t="s">
        <v>363</v>
      </c>
      <c r="E21" s="610" t="s">
        <v>1185</v>
      </c>
      <c r="F21" s="611"/>
      <c r="G21" s="612"/>
      <c r="H21" s="610" t="s">
        <v>1250</v>
      </c>
      <c r="I21" s="611"/>
      <c r="J21" s="612"/>
      <c r="K21" s="19"/>
      <c r="L21" s="20"/>
      <c r="M21" s="20"/>
      <c r="N21" s="20"/>
      <c r="O21" s="20"/>
    </row>
    <row r="22" spans="2:15" ht="20.100000000000001" customHeight="1">
      <c r="B22" s="614"/>
      <c r="C22" s="614"/>
      <c r="D22" s="614"/>
      <c r="E22" s="78" t="s">
        <v>1243</v>
      </c>
      <c r="F22" s="78" t="s">
        <v>1244</v>
      </c>
      <c r="G22" s="78" t="s">
        <v>1245</v>
      </c>
      <c r="H22" s="78" t="s">
        <v>1243</v>
      </c>
      <c r="I22" s="78" t="s">
        <v>1244</v>
      </c>
      <c r="J22" s="78" t="s">
        <v>1245</v>
      </c>
      <c r="K22" s="21"/>
      <c r="L22" s="14"/>
    </row>
    <row r="23" spans="2:15" ht="20.100000000000001" customHeight="1">
      <c r="B23" s="99">
        <v>1</v>
      </c>
      <c r="C23" s="100" t="str">
        <f>C109</f>
        <v>Electricity</v>
      </c>
      <c r="D23" s="101" t="e">
        <f>'15C Building Details'!D26</f>
        <v>#N/A</v>
      </c>
      <c r="E23" s="98">
        <f>SUM(I117:I152)</f>
        <v>0</v>
      </c>
      <c r="F23" s="98">
        <f>SUM(J117:J152)</f>
        <v>0</v>
      </c>
      <c r="G23" s="98">
        <f>SUM(K117:K152)</f>
        <v>0</v>
      </c>
      <c r="H23" s="98" t="e">
        <f t="shared" ref="H23:J24" si="0">E23*$D23</f>
        <v>#N/A</v>
      </c>
      <c r="I23" s="98" t="e">
        <f t="shared" si="0"/>
        <v>#N/A</v>
      </c>
      <c r="J23" s="98" t="e">
        <f t="shared" si="0"/>
        <v>#N/A</v>
      </c>
      <c r="K23" s="22"/>
      <c r="L23" s="14"/>
    </row>
    <row r="24" spans="2:15" ht="20.100000000000001" customHeight="1">
      <c r="B24" s="99">
        <v>2</v>
      </c>
      <c r="C24" s="99" t="str">
        <f>C156</f>
        <v>GreenPower</v>
      </c>
      <c r="D24" s="101">
        <f>'15C Building Details'!D27</f>
        <v>0</v>
      </c>
      <c r="E24" s="102">
        <f>SUM(I164:I199)</f>
        <v>0</v>
      </c>
      <c r="F24" s="102">
        <f>SUM(J164:J199)</f>
        <v>0</v>
      </c>
      <c r="G24" s="102">
        <f>SUM(K164:K199)</f>
        <v>0</v>
      </c>
      <c r="H24" s="98">
        <f t="shared" si="0"/>
        <v>0</v>
      </c>
      <c r="I24" s="98">
        <f t="shared" si="0"/>
        <v>0</v>
      </c>
      <c r="J24" s="98">
        <f t="shared" si="0"/>
        <v>0</v>
      </c>
      <c r="K24" s="22"/>
      <c r="L24" s="14"/>
    </row>
    <row r="25" spans="2:15" ht="26.25" customHeight="1">
      <c r="B25" s="99">
        <v>3</v>
      </c>
      <c r="C25" s="99" t="str">
        <f>C203</f>
        <v>Natural gas distributed in a pipeline</v>
      </c>
      <c r="D25" s="101" t="b">
        <f>'15C Building Details'!D28</f>
        <v>0</v>
      </c>
      <c r="E25" s="102">
        <f>SUM(I211:I253)</f>
        <v>0</v>
      </c>
      <c r="F25" s="102">
        <f>SUM(J211:J253)</f>
        <v>0</v>
      </c>
      <c r="G25" s="102">
        <f>SUM(K211:K253)</f>
        <v>0</v>
      </c>
      <c r="H25" s="98">
        <f>E25*$D25</f>
        <v>0</v>
      </c>
      <c r="I25" s="98">
        <f t="shared" ref="I25:J29" si="1">F25*$D25</f>
        <v>0</v>
      </c>
      <c r="J25" s="98">
        <f t="shared" si="1"/>
        <v>0</v>
      </c>
      <c r="K25" s="22"/>
      <c r="L25" s="14"/>
    </row>
    <row r="26" spans="2:15" ht="20.100000000000001" customHeight="1">
      <c r="B26" s="99">
        <v>4</v>
      </c>
      <c r="C26" s="99" t="str">
        <f>C257</f>
        <v>LPG</v>
      </c>
      <c r="D26" s="101" t="b">
        <f>'15C Building Details'!D29</f>
        <v>0</v>
      </c>
      <c r="E26" s="102">
        <f>SUM(I265:I300)</f>
        <v>0</v>
      </c>
      <c r="F26" s="102">
        <f>SUM(J265:J300)</f>
        <v>0</v>
      </c>
      <c r="G26" s="102">
        <f>SUM(K265:K300)</f>
        <v>0</v>
      </c>
      <c r="H26" s="98">
        <f>E26*$D26</f>
        <v>0</v>
      </c>
      <c r="I26" s="98">
        <f t="shared" si="1"/>
        <v>0</v>
      </c>
      <c r="J26" s="98">
        <f t="shared" si="1"/>
        <v>0</v>
      </c>
      <c r="K26" s="22"/>
      <c r="L26" s="14"/>
    </row>
    <row r="27" spans="2:15" ht="20.100000000000001" customHeight="1">
      <c r="B27" s="99">
        <v>5</v>
      </c>
      <c r="C27" s="99" t="str">
        <f>C304</f>
        <v>Diesel Oil</v>
      </c>
      <c r="D27" s="101" t="b">
        <f>'15C Building Details'!D30</f>
        <v>0</v>
      </c>
      <c r="E27" s="102">
        <f>SUM(I312:I347)</f>
        <v>0</v>
      </c>
      <c r="F27" s="102">
        <f>SUM(J312:J347)</f>
        <v>0</v>
      </c>
      <c r="G27" s="102">
        <f>SUM(K312:K347)</f>
        <v>0</v>
      </c>
      <c r="H27" s="98">
        <f>E27*$D27</f>
        <v>0</v>
      </c>
      <c r="I27" s="98">
        <f t="shared" si="1"/>
        <v>0</v>
      </c>
      <c r="J27" s="98">
        <f t="shared" si="1"/>
        <v>0</v>
      </c>
      <c r="K27" s="22"/>
      <c r="L27" s="14"/>
    </row>
    <row r="28" spans="2:15" ht="20.100000000000001" customHeight="1">
      <c r="B28" s="99">
        <v>6</v>
      </c>
      <c r="C28" s="99" t="str">
        <f>C351</f>
        <v>Black Coal</v>
      </c>
      <c r="D28" s="191" t="b">
        <f>'15C Building Details'!D31</f>
        <v>0</v>
      </c>
      <c r="E28" s="102">
        <f>SUM(I359:I394)</f>
        <v>0</v>
      </c>
      <c r="F28" s="102">
        <f>SUM(J359:J394)</f>
        <v>0</v>
      </c>
      <c r="G28" s="102">
        <f>SUM(K359:K394)</f>
        <v>0</v>
      </c>
      <c r="H28" s="98">
        <f>E28*$D28</f>
        <v>0</v>
      </c>
      <c r="I28" s="98">
        <f t="shared" si="1"/>
        <v>0</v>
      </c>
      <c r="J28" s="98">
        <f t="shared" si="1"/>
        <v>0</v>
      </c>
      <c r="K28" s="22"/>
      <c r="L28" s="14"/>
    </row>
    <row r="29" spans="2:15" ht="20.100000000000001" customHeight="1">
      <c r="B29" s="99">
        <v>7</v>
      </c>
      <c r="C29" s="99" t="str">
        <f>C398</f>
        <v>Other</v>
      </c>
      <c r="D29" s="101">
        <f>IFERROR(IF(C29="Electricity",VLOOKUP($C$12,'NGER Emission Factors old'!$A$23:$K$34,10,FALSE)/VLOOKUP($C$12,'NGER Emission Factors old'!$A$23:$K$35,6,FALSE),IF(C29="GreenPower",VLOOKUP(C29,'NGER Emission Factors old'!$A$23:$J$35,10,FALSE)/VLOOKUP(C29,'NGER Emission Factors old'!$A$23:$J$35,6,FALSE),VLOOKUP(C29,'NGER Emission Factors old'!$A$5:$K$10,10,FALSE))),0)</f>
        <v>0</v>
      </c>
      <c r="E29" s="102">
        <f>SUM(I406:I441)</f>
        <v>0</v>
      </c>
      <c r="F29" s="102">
        <f>SUM(J406:J441)</f>
        <v>0</v>
      </c>
      <c r="G29" s="102">
        <f>SUM(K406:K441)</f>
        <v>0</v>
      </c>
      <c r="H29" s="98">
        <f>E29*$D29</f>
        <v>0</v>
      </c>
      <c r="I29" s="98">
        <f t="shared" si="1"/>
        <v>0</v>
      </c>
      <c r="J29" s="98">
        <f t="shared" si="1"/>
        <v>0</v>
      </c>
      <c r="K29" s="22"/>
      <c r="L29" s="14"/>
    </row>
    <row r="30" spans="2:15" s="25" customFormat="1" ht="20.100000000000001" customHeight="1">
      <c r="B30" s="610" t="s">
        <v>1187</v>
      </c>
      <c r="C30" s="611"/>
      <c r="D30" s="612"/>
      <c r="E30" s="103">
        <f t="shared" ref="E30:J30" si="2">SUM(E23:E29)</f>
        <v>0</v>
      </c>
      <c r="F30" s="103">
        <f t="shared" si="2"/>
        <v>0</v>
      </c>
      <c r="G30" s="103">
        <f t="shared" si="2"/>
        <v>0</v>
      </c>
      <c r="H30" s="103" t="e">
        <f t="shared" si="2"/>
        <v>#N/A</v>
      </c>
      <c r="I30" s="103" t="e">
        <f t="shared" si="2"/>
        <v>#N/A</v>
      </c>
      <c r="J30" s="103" t="e">
        <f t="shared" si="2"/>
        <v>#N/A</v>
      </c>
      <c r="K30" s="23"/>
      <c r="L30" s="24"/>
    </row>
    <row r="31" spans="2:15">
      <c r="I31" s="14"/>
      <c r="J31" s="11"/>
    </row>
    <row r="32" spans="2:15" ht="15.6">
      <c r="B32" s="316" t="s">
        <v>1188</v>
      </c>
      <c r="C32" s="316"/>
      <c r="D32" s="316"/>
      <c r="E32" s="316"/>
      <c r="F32" s="316"/>
      <c r="G32" s="316"/>
      <c r="H32" s="316"/>
      <c r="I32" s="316"/>
      <c r="J32" s="316"/>
      <c r="K32" s="316"/>
    </row>
    <row r="33" spans="2:11">
      <c r="J33" s="11"/>
    </row>
    <row r="34" spans="2:11" ht="26.25" customHeight="1">
      <c r="B34" s="613" t="s">
        <v>1189</v>
      </c>
      <c r="C34" s="610" t="s">
        <v>1251</v>
      </c>
      <c r="D34" s="611"/>
      <c r="E34" s="612"/>
      <c r="J34" s="11"/>
    </row>
    <row r="35" spans="2:11" ht="20.100000000000001" customHeight="1">
      <c r="B35" s="614"/>
      <c r="C35" s="78" t="s">
        <v>1243</v>
      </c>
      <c r="D35" s="78" t="s">
        <v>1244</v>
      </c>
      <c r="E35" s="78" t="s">
        <v>1245</v>
      </c>
      <c r="J35" s="11"/>
    </row>
    <row r="36" spans="2:11" ht="20.100000000000001" customHeight="1">
      <c r="B36" s="96" t="str">
        <f>'15C Building Details'!B43</f>
        <v>Cooling degree days</v>
      </c>
      <c r="C36" s="98" t="str">
        <f t="shared" ref="C36:E37" si="3">+H12</f>
        <v/>
      </c>
      <c r="D36" s="98" t="str">
        <f t="shared" si="3"/>
        <v/>
      </c>
      <c r="E36" s="98" t="str">
        <f t="shared" si="3"/>
        <v/>
      </c>
      <c r="J36" s="11"/>
    </row>
    <row r="37" spans="2:11" ht="20.100000000000001" customHeight="1">
      <c r="B37" s="96" t="str">
        <f>'15C Building Details'!B44</f>
        <v>Heating degree days</v>
      </c>
      <c r="C37" s="98" t="str">
        <f t="shared" si="3"/>
        <v/>
      </c>
      <c r="D37" s="98" t="str">
        <f t="shared" si="3"/>
        <v/>
      </c>
      <c r="E37" s="98" t="str">
        <f t="shared" si="3"/>
        <v/>
      </c>
      <c r="J37" s="11"/>
    </row>
    <row r="38" spans="2:11" ht="20.100000000000001" customHeight="1">
      <c r="B38" s="96" t="str">
        <f>'15C Building Details'!B45</f>
        <v>Adjusted Area</v>
      </c>
      <c r="C38" s="98">
        <f>D65</f>
        <v>0</v>
      </c>
      <c r="D38" s="98">
        <f>D84</f>
        <v>0</v>
      </c>
      <c r="E38" s="98">
        <f>D103</f>
        <v>0</v>
      </c>
      <c r="J38" s="11"/>
    </row>
    <row r="39" spans="2:11" ht="20.100000000000001" customHeight="1">
      <c r="B39" s="96" t="str">
        <f>'15C Building Details'!B46</f>
        <v>Adjusted Hours</v>
      </c>
      <c r="C39" s="98" t="e">
        <f>E65</f>
        <v>#DIV/0!</v>
      </c>
      <c r="D39" s="98" t="e">
        <f>E84</f>
        <v>#DIV/0!</v>
      </c>
      <c r="E39" s="98" t="e">
        <f>E103</f>
        <v>#DIV/0!</v>
      </c>
      <c r="J39" s="11"/>
    </row>
    <row r="40" spans="2:11" ht="20.100000000000001" customHeight="1">
      <c r="B40" s="96" t="str">
        <f>'15C Building Details'!B47</f>
        <v>Adjusted Operational Variable 1</v>
      </c>
      <c r="C40" s="98" t="e">
        <f>F65</f>
        <v>#DIV/0!</v>
      </c>
      <c r="D40" s="98" t="e">
        <f>F84</f>
        <v>#DIV/0!</v>
      </c>
      <c r="E40" s="98" t="e">
        <f>F103</f>
        <v>#DIV/0!</v>
      </c>
      <c r="J40" s="11"/>
    </row>
    <row r="41" spans="2:11" ht="20.100000000000001" customHeight="1">
      <c r="B41" s="96" t="str">
        <f>'15C Building Details'!B48</f>
        <v>Adjusted Operational Variable 2</v>
      </c>
      <c r="C41" s="98" t="e">
        <f>G65</f>
        <v>#DIV/0!</v>
      </c>
      <c r="D41" s="98" t="e">
        <f>G84</f>
        <v>#DIV/0!</v>
      </c>
      <c r="E41" s="98" t="e">
        <f>G103</f>
        <v>#DIV/0!</v>
      </c>
      <c r="J41" s="11"/>
    </row>
    <row r="42" spans="2:11" ht="20.100000000000001" customHeight="1">
      <c r="B42" s="96" t="str">
        <f>'15C Building Details'!B49</f>
        <v>Adjusted Operational Variable 3</v>
      </c>
      <c r="C42" s="98" t="e">
        <f>H65</f>
        <v>#DIV/0!</v>
      </c>
      <c r="D42" s="98" t="e">
        <f>H84</f>
        <v>#DIV/0!</v>
      </c>
      <c r="E42" s="98" t="e">
        <f>H103</f>
        <v>#DIV/0!</v>
      </c>
      <c r="J42" s="11"/>
    </row>
    <row r="43" spans="2:11">
      <c r="J43" s="11"/>
    </row>
    <row r="44" spans="2:11">
      <c r="J44" s="11"/>
    </row>
    <row r="46" spans="2:11" ht="15.6">
      <c r="B46" s="316" t="s">
        <v>1193</v>
      </c>
      <c r="C46" s="316"/>
      <c r="D46" s="316"/>
      <c r="E46" s="316"/>
      <c r="F46" s="316"/>
      <c r="G46" s="316"/>
      <c r="H46" s="316"/>
      <c r="I46" s="316"/>
      <c r="J46" s="316"/>
      <c r="K46" s="316"/>
    </row>
    <row r="48" spans="2:11" ht="40.200000000000003" thickBot="1">
      <c r="B48" s="175" t="s">
        <v>71</v>
      </c>
      <c r="C48" s="175" t="s">
        <v>1252</v>
      </c>
      <c r="D48" s="175" t="s">
        <v>1253</v>
      </c>
      <c r="E48" s="175" t="s">
        <v>1254</v>
      </c>
      <c r="F48" s="175" t="str">
        <f>'15C Building Details'!$F$54</f>
        <v>Operational Variable 1</v>
      </c>
      <c r="G48" s="175" t="str">
        <f>'15C Building Details'!$G$54</f>
        <v>Operational Variable 2</v>
      </c>
      <c r="H48" s="175" t="str">
        <f>'15C Building Details'!$H$54</f>
        <v>Operational Variable 3</v>
      </c>
      <c r="I48" s="109" t="s">
        <v>1201</v>
      </c>
      <c r="J48" s="175" t="s">
        <v>55</v>
      </c>
      <c r="K48" s="175" t="s">
        <v>1255</v>
      </c>
    </row>
    <row r="49" spans="2:11" ht="20.100000000000001" customHeight="1">
      <c r="B49" s="419" t="s">
        <v>1202</v>
      </c>
      <c r="C49" s="420"/>
      <c r="D49" s="421"/>
      <c r="E49" s="421"/>
      <c r="F49" s="421"/>
      <c r="G49" s="421"/>
      <c r="H49" s="421"/>
      <c r="I49" s="421"/>
      <c r="J49" s="421"/>
      <c r="K49" s="422"/>
    </row>
    <row r="50" spans="2:11" ht="20.100000000000001" customHeight="1">
      <c r="B50" s="423" t="s">
        <v>1203</v>
      </c>
      <c r="C50" s="371"/>
      <c r="D50" s="417"/>
      <c r="E50" s="417"/>
      <c r="F50" s="417"/>
      <c r="G50" s="417"/>
      <c r="H50" s="417"/>
      <c r="I50" s="417"/>
      <c r="J50" s="417"/>
      <c r="K50" s="424"/>
    </row>
    <row r="51" spans="2:11" ht="20.100000000000001" customHeight="1">
      <c r="B51" s="423" t="s">
        <v>1204</v>
      </c>
      <c r="C51" s="371"/>
      <c r="D51" s="417"/>
      <c r="E51" s="417"/>
      <c r="F51" s="417"/>
      <c r="G51" s="417"/>
      <c r="H51" s="417"/>
      <c r="I51" s="417"/>
      <c r="J51" s="417"/>
      <c r="K51" s="424"/>
    </row>
    <row r="52" spans="2:11" ht="20.100000000000001" customHeight="1">
      <c r="B52" s="423" t="s">
        <v>1205</v>
      </c>
      <c r="C52" s="371"/>
      <c r="D52" s="417"/>
      <c r="E52" s="417"/>
      <c r="F52" s="417"/>
      <c r="G52" s="417"/>
      <c r="H52" s="417"/>
      <c r="I52" s="417"/>
      <c r="J52" s="417"/>
      <c r="K52" s="424"/>
    </row>
    <row r="53" spans="2:11" ht="20.100000000000001" customHeight="1">
      <c r="B53" s="423" t="s">
        <v>1206</v>
      </c>
      <c r="C53" s="371"/>
      <c r="D53" s="417"/>
      <c r="E53" s="417"/>
      <c r="F53" s="417"/>
      <c r="G53" s="417"/>
      <c r="H53" s="417"/>
      <c r="I53" s="417"/>
      <c r="J53" s="417"/>
      <c r="K53" s="424"/>
    </row>
    <row r="54" spans="2:11" ht="20.100000000000001" customHeight="1">
      <c r="B54" s="423" t="s">
        <v>1207</v>
      </c>
      <c r="C54" s="371"/>
      <c r="D54" s="417"/>
      <c r="E54" s="417"/>
      <c r="F54" s="417"/>
      <c r="G54" s="417"/>
      <c r="H54" s="417"/>
      <c r="I54" s="417"/>
      <c r="J54" s="417"/>
      <c r="K54" s="424"/>
    </row>
    <row r="55" spans="2:11" ht="20.100000000000001" customHeight="1">
      <c r="B55" s="423" t="s">
        <v>1208</v>
      </c>
      <c r="C55" s="371"/>
      <c r="D55" s="417"/>
      <c r="E55" s="417"/>
      <c r="F55" s="417"/>
      <c r="G55" s="417"/>
      <c r="H55" s="417"/>
      <c r="I55" s="417"/>
      <c r="J55" s="417"/>
      <c r="K55" s="424"/>
    </row>
    <row r="56" spans="2:11" ht="20.100000000000001" customHeight="1">
      <c r="B56" s="423" t="s">
        <v>1209</v>
      </c>
      <c r="C56" s="371"/>
      <c r="D56" s="417"/>
      <c r="E56" s="417"/>
      <c r="F56" s="417"/>
      <c r="G56" s="417"/>
      <c r="H56" s="417"/>
      <c r="I56" s="417"/>
      <c r="J56" s="417"/>
      <c r="K56" s="424"/>
    </row>
    <row r="57" spans="2:11" ht="20.100000000000001" customHeight="1">
      <c r="B57" s="423" t="s">
        <v>1210</v>
      </c>
      <c r="C57" s="371"/>
      <c r="D57" s="417"/>
      <c r="E57" s="417"/>
      <c r="F57" s="417"/>
      <c r="G57" s="417"/>
      <c r="H57" s="417"/>
      <c r="I57" s="417"/>
      <c r="J57" s="417"/>
      <c r="K57" s="424"/>
    </row>
    <row r="58" spans="2:11" ht="20.100000000000001" customHeight="1">
      <c r="B58" s="423" t="s">
        <v>1211</v>
      </c>
      <c r="C58" s="371"/>
      <c r="D58" s="417"/>
      <c r="E58" s="417"/>
      <c r="F58" s="417"/>
      <c r="G58" s="417"/>
      <c r="H58" s="417"/>
      <c r="I58" s="417"/>
      <c r="J58" s="417"/>
      <c r="K58" s="424"/>
    </row>
    <row r="59" spans="2:11" ht="20.100000000000001" customHeight="1">
      <c r="B59" s="423" t="s">
        <v>1212</v>
      </c>
      <c r="C59" s="371"/>
      <c r="D59" s="417"/>
      <c r="E59" s="417"/>
      <c r="F59" s="417"/>
      <c r="G59" s="417"/>
      <c r="H59" s="417"/>
      <c r="I59" s="417"/>
      <c r="J59" s="417"/>
      <c r="K59" s="424"/>
    </row>
    <row r="60" spans="2:11" ht="20.100000000000001" customHeight="1">
      <c r="B60" s="423" t="s">
        <v>1213</v>
      </c>
      <c r="C60" s="371"/>
      <c r="D60" s="417"/>
      <c r="E60" s="417"/>
      <c r="F60" s="417"/>
      <c r="G60" s="417"/>
      <c r="H60" s="417"/>
      <c r="I60" s="417"/>
      <c r="J60" s="417"/>
      <c r="K60" s="424"/>
    </row>
    <row r="61" spans="2:11" ht="20.100000000000001" customHeight="1">
      <c r="B61" s="423" t="s">
        <v>1214</v>
      </c>
      <c r="C61" s="371"/>
      <c r="D61" s="417"/>
      <c r="E61" s="417"/>
      <c r="F61" s="417"/>
      <c r="G61" s="417"/>
      <c r="H61" s="417"/>
      <c r="I61" s="417"/>
      <c r="J61" s="417"/>
      <c r="K61" s="424"/>
    </row>
    <row r="62" spans="2:11" ht="20.100000000000001" customHeight="1">
      <c r="B62" s="423" t="s">
        <v>1215</v>
      </c>
      <c r="C62" s="371"/>
      <c r="D62" s="417"/>
      <c r="E62" s="417"/>
      <c r="F62" s="417"/>
      <c r="G62" s="417"/>
      <c r="H62" s="417"/>
      <c r="I62" s="417"/>
      <c r="J62" s="417"/>
      <c r="K62" s="424"/>
    </row>
    <row r="63" spans="2:11" ht="20.100000000000001" customHeight="1" thickBot="1">
      <c r="B63" s="425" t="s">
        <v>1216</v>
      </c>
      <c r="C63" s="426"/>
      <c r="D63" s="427"/>
      <c r="E63" s="427"/>
      <c r="F63" s="427"/>
      <c r="G63" s="427"/>
      <c r="H63" s="427"/>
      <c r="I63" s="427"/>
      <c r="J63" s="427"/>
      <c r="K63" s="428"/>
    </row>
    <row r="64" spans="2:11" ht="26.4">
      <c r="B64" s="15"/>
      <c r="D64" s="290" t="s">
        <v>1217</v>
      </c>
      <c r="E64" s="290" t="s">
        <v>1218</v>
      </c>
      <c r="F64" s="418" t="str">
        <f>"Adjusted "&amp;$F48</f>
        <v>Adjusted Operational Variable 1</v>
      </c>
      <c r="G64" s="418" t="str">
        <f>"Adjusted "&amp;$G48</f>
        <v>Adjusted Operational Variable 2</v>
      </c>
      <c r="H64" s="418" t="str">
        <f>"Adjusted "&amp;$H48</f>
        <v>Adjusted Operational Variable 3</v>
      </c>
    </row>
    <row r="65" spans="2:11">
      <c r="D65" s="84">
        <f>SUMPRODUCT(D49:D63,I49:I63)/($H$9-$H$8+1)</f>
        <v>0</v>
      </c>
      <c r="E65" s="84" t="e">
        <f>SUMPRODUCT(E49:E63,$I49:$I63,$D49:$D63)/($H$9-$H$8+1)/SUM($D49:$D63)</f>
        <v>#DIV/0!</v>
      </c>
      <c r="F65" s="84" t="e">
        <f>SUMPRODUCT(F49:F63,$I49:$I63,$D49:$D63)/($H$9-$H$8+1)/SUM($D49:$D63)</f>
        <v>#DIV/0!</v>
      </c>
      <c r="G65" s="84" t="e">
        <f>SUMPRODUCT(G49:G63,$I49:$I63,$D49:$D63)/($H$9-$H$8+1)/SUM($D49:$D63)</f>
        <v>#DIV/0!</v>
      </c>
      <c r="H65" s="84" t="e">
        <f>SUMPRODUCT(H49:H63,$I49:$I63,$D49:$D63)/($H$9-$H$8+1)/SUM($D49:$D63)</f>
        <v>#DIV/0!</v>
      </c>
    </row>
    <row r="67" spans="2:11" ht="40.200000000000003" thickBot="1">
      <c r="B67" s="78" t="s">
        <v>71</v>
      </c>
      <c r="C67" s="78" t="s">
        <v>1252</v>
      </c>
      <c r="D67" s="78" t="s">
        <v>1253</v>
      </c>
      <c r="E67" s="78" t="s">
        <v>1254</v>
      </c>
      <c r="F67" s="175" t="str">
        <f>'15C Building Details'!$F$54</f>
        <v>Operational Variable 1</v>
      </c>
      <c r="G67" s="175" t="str">
        <f>'15C Building Details'!$G$54</f>
        <v>Operational Variable 2</v>
      </c>
      <c r="H67" s="175" t="str">
        <f>'15C Building Details'!$H$54</f>
        <v>Operational Variable 3</v>
      </c>
      <c r="I67" s="78" t="s">
        <v>1256</v>
      </c>
      <c r="J67" s="78" t="s">
        <v>55</v>
      </c>
      <c r="K67" s="78" t="s">
        <v>1255</v>
      </c>
    </row>
    <row r="68" spans="2:11" ht="20.100000000000001" customHeight="1">
      <c r="B68" s="96" t="s">
        <v>1202</v>
      </c>
      <c r="C68" s="111"/>
      <c r="D68" s="112"/>
      <c r="E68" s="112"/>
      <c r="F68" s="112"/>
      <c r="G68" s="112"/>
      <c r="H68" s="112"/>
      <c r="I68" s="112"/>
      <c r="J68" s="112"/>
      <c r="K68" s="113"/>
    </row>
    <row r="69" spans="2:11" ht="20.100000000000001" customHeight="1">
      <c r="B69" s="96" t="s">
        <v>1203</v>
      </c>
      <c r="C69" s="114"/>
      <c r="D69" s="115"/>
      <c r="E69" s="115"/>
      <c r="F69" s="115"/>
      <c r="G69" s="115"/>
      <c r="H69" s="115"/>
      <c r="I69" s="115"/>
      <c r="J69" s="115"/>
      <c r="K69" s="116"/>
    </row>
    <row r="70" spans="2:11" ht="20.100000000000001" customHeight="1">
      <c r="B70" s="96" t="s">
        <v>1204</v>
      </c>
      <c r="C70" s="114"/>
      <c r="D70" s="115"/>
      <c r="E70" s="115"/>
      <c r="F70" s="115"/>
      <c r="G70" s="115"/>
      <c r="H70" s="115"/>
      <c r="I70" s="115"/>
      <c r="J70" s="115"/>
      <c r="K70" s="116"/>
    </row>
    <row r="71" spans="2:11" ht="20.100000000000001" customHeight="1">
      <c r="B71" s="96" t="s">
        <v>1205</v>
      </c>
      <c r="C71" s="114"/>
      <c r="D71" s="115"/>
      <c r="E71" s="115"/>
      <c r="F71" s="115"/>
      <c r="G71" s="115"/>
      <c r="H71" s="115"/>
      <c r="I71" s="115"/>
      <c r="J71" s="115"/>
      <c r="K71" s="116"/>
    </row>
    <row r="72" spans="2:11" ht="20.100000000000001" customHeight="1">
      <c r="B72" s="96" t="s">
        <v>1206</v>
      </c>
      <c r="C72" s="114"/>
      <c r="D72" s="115"/>
      <c r="E72" s="115"/>
      <c r="F72" s="115"/>
      <c r="G72" s="115"/>
      <c r="H72" s="115"/>
      <c r="I72" s="115"/>
      <c r="J72" s="115"/>
      <c r="K72" s="116"/>
    </row>
    <row r="73" spans="2:11" ht="20.100000000000001" customHeight="1">
      <c r="B73" s="96" t="s">
        <v>1207</v>
      </c>
      <c r="C73" s="114"/>
      <c r="D73" s="115"/>
      <c r="E73" s="115"/>
      <c r="F73" s="115"/>
      <c r="G73" s="115"/>
      <c r="H73" s="115"/>
      <c r="I73" s="115"/>
      <c r="J73" s="115"/>
      <c r="K73" s="116"/>
    </row>
    <row r="74" spans="2:11" ht="20.100000000000001" customHeight="1">
      <c r="B74" s="96" t="s">
        <v>1208</v>
      </c>
      <c r="C74" s="114"/>
      <c r="D74" s="115"/>
      <c r="E74" s="115"/>
      <c r="F74" s="115"/>
      <c r="G74" s="115"/>
      <c r="H74" s="115"/>
      <c r="I74" s="115"/>
      <c r="J74" s="115"/>
      <c r="K74" s="116"/>
    </row>
    <row r="75" spans="2:11" ht="20.100000000000001" customHeight="1">
      <c r="B75" s="96" t="s">
        <v>1209</v>
      </c>
      <c r="C75" s="114"/>
      <c r="D75" s="115"/>
      <c r="E75" s="115"/>
      <c r="F75" s="115"/>
      <c r="G75" s="115"/>
      <c r="H75" s="115"/>
      <c r="I75" s="115"/>
      <c r="J75" s="115"/>
      <c r="K75" s="116"/>
    </row>
    <row r="76" spans="2:11" ht="20.100000000000001" customHeight="1">
      <c r="B76" s="96" t="s">
        <v>1210</v>
      </c>
      <c r="C76" s="114"/>
      <c r="D76" s="115"/>
      <c r="E76" s="115"/>
      <c r="F76" s="115"/>
      <c r="G76" s="115"/>
      <c r="H76" s="115"/>
      <c r="I76" s="115"/>
      <c r="J76" s="115"/>
      <c r="K76" s="116"/>
    </row>
    <row r="77" spans="2:11" ht="20.100000000000001" customHeight="1">
      <c r="B77" s="96" t="s">
        <v>1211</v>
      </c>
      <c r="C77" s="114"/>
      <c r="D77" s="115"/>
      <c r="E77" s="115"/>
      <c r="F77" s="115"/>
      <c r="G77" s="115"/>
      <c r="H77" s="115"/>
      <c r="I77" s="115"/>
      <c r="J77" s="115"/>
      <c r="K77" s="116"/>
    </row>
    <row r="78" spans="2:11" ht="20.100000000000001" customHeight="1">
      <c r="B78" s="96" t="s">
        <v>1212</v>
      </c>
      <c r="C78" s="114"/>
      <c r="D78" s="115"/>
      <c r="E78" s="115"/>
      <c r="F78" s="115"/>
      <c r="G78" s="115"/>
      <c r="H78" s="115"/>
      <c r="I78" s="115"/>
      <c r="J78" s="115"/>
      <c r="K78" s="116"/>
    </row>
    <row r="79" spans="2:11" ht="20.100000000000001" customHeight="1">
      <c r="B79" s="96" t="s">
        <v>1213</v>
      </c>
      <c r="C79" s="114"/>
      <c r="D79" s="115"/>
      <c r="E79" s="115"/>
      <c r="F79" s="115"/>
      <c r="G79" s="115"/>
      <c r="H79" s="115"/>
      <c r="I79" s="115"/>
      <c r="J79" s="115"/>
      <c r="K79" s="116"/>
    </row>
    <row r="80" spans="2:11" ht="20.100000000000001" customHeight="1">
      <c r="B80" s="96" t="s">
        <v>1214</v>
      </c>
      <c r="C80" s="114"/>
      <c r="D80" s="115"/>
      <c r="E80" s="115"/>
      <c r="F80" s="115"/>
      <c r="G80" s="115"/>
      <c r="H80" s="115"/>
      <c r="I80" s="115"/>
      <c r="J80" s="115"/>
      <c r="K80" s="116"/>
    </row>
    <row r="81" spans="2:11" ht="20.100000000000001" customHeight="1">
      <c r="B81" s="96" t="s">
        <v>1215</v>
      </c>
      <c r="C81" s="114"/>
      <c r="D81" s="115"/>
      <c r="E81" s="115"/>
      <c r="F81" s="115"/>
      <c r="G81" s="115"/>
      <c r="H81" s="115"/>
      <c r="I81" s="115"/>
      <c r="J81" s="115"/>
      <c r="K81" s="116"/>
    </row>
    <row r="82" spans="2:11" ht="20.100000000000001" customHeight="1" thickBot="1">
      <c r="B82" s="96" t="s">
        <v>1216</v>
      </c>
      <c r="C82" s="117"/>
      <c r="D82" s="118"/>
      <c r="E82" s="118"/>
      <c r="F82" s="118"/>
      <c r="G82" s="118"/>
      <c r="H82" s="118"/>
      <c r="I82" s="118"/>
      <c r="J82" s="118"/>
      <c r="K82" s="119"/>
    </row>
    <row r="83" spans="2:11" ht="26.4">
      <c r="B83" s="15"/>
      <c r="D83" s="78" t="s">
        <v>1217</v>
      </c>
      <c r="E83" s="78" t="s">
        <v>1218</v>
      </c>
      <c r="F83" s="175" t="str">
        <f>"Adjusted "&amp;$F67</f>
        <v>Adjusted Operational Variable 1</v>
      </c>
      <c r="G83" s="175" t="str">
        <f>"Adjusted "&amp;$G67</f>
        <v>Adjusted Operational Variable 2</v>
      </c>
      <c r="H83" s="175" t="str">
        <f>"Adjusted "&amp;$H67</f>
        <v>Adjusted Operational Variable 3</v>
      </c>
    </row>
    <row r="84" spans="2:11" ht="20.100000000000001" customHeight="1">
      <c r="D84" s="84">
        <f>SUMPRODUCT(D68:D82,I68:I82)/($H$9-$H$8+1)</f>
        <v>0</v>
      </c>
      <c r="E84" s="84" t="e">
        <f>SUMPRODUCT(E68:E82,$I68:$I82,$D68:$D82)/($I$9-$I$8+1)/SUM($D68:$D82)</f>
        <v>#DIV/0!</v>
      </c>
      <c r="F84" s="84" t="e">
        <f>SUMPRODUCT(F68:F82,$I68:$I82,$D68:$D82)/($H$9-$H$8+1)/SUM($D68:$D82)</f>
        <v>#DIV/0!</v>
      </c>
      <c r="G84" s="84" t="e">
        <f>SUMPRODUCT(G68:G82,$I68:$I82,$D68:$D82)/($H$9-$H$8+1)/SUM($D68:$D82)</f>
        <v>#DIV/0!</v>
      </c>
      <c r="H84" s="84" t="e">
        <f>SUMPRODUCT(H68:H82,$I68:$I82,$D68:$D82)/($H$9-$H$8+1)/SUM($D68:$D82)</f>
        <v>#DIV/0!</v>
      </c>
    </row>
    <row r="86" spans="2:11" ht="40.200000000000003" thickBot="1">
      <c r="B86" s="78" t="s">
        <v>71</v>
      </c>
      <c r="C86" s="175" t="s">
        <v>1252</v>
      </c>
      <c r="D86" s="175" t="s">
        <v>1253</v>
      </c>
      <c r="E86" s="175" t="s">
        <v>1254</v>
      </c>
      <c r="F86" s="175" t="str">
        <f>'15C Building Details'!$F$54</f>
        <v>Operational Variable 1</v>
      </c>
      <c r="G86" s="175" t="str">
        <f>'15C Building Details'!$G$54</f>
        <v>Operational Variable 2</v>
      </c>
      <c r="H86" s="175" t="str">
        <f>'15C Building Details'!$H$54</f>
        <v>Operational Variable 3</v>
      </c>
      <c r="I86" s="175" t="s">
        <v>1256</v>
      </c>
      <c r="J86" s="175" t="s">
        <v>55</v>
      </c>
      <c r="K86" s="175" t="s">
        <v>1255</v>
      </c>
    </row>
    <row r="87" spans="2:11" ht="20.100000000000001" customHeight="1">
      <c r="B87" s="95" t="s">
        <v>1202</v>
      </c>
      <c r="C87" s="111"/>
      <c r="D87" s="112"/>
      <c r="E87" s="112"/>
      <c r="F87" s="112"/>
      <c r="G87" s="112"/>
      <c r="H87" s="112"/>
      <c r="I87" s="112"/>
      <c r="J87" s="112"/>
      <c r="K87" s="113"/>
    </row>
    <row r="88" spans="2:11" ht="20.100000000000001" customHeight="1">
      <c r="B88" s="95" t="s">
        <v>1203</v>
      </c>
      <c r="C88" s="114"/>
      <c r="D88" s="115"/>
      <c r="E88" s="115"/>
      <c r="F88" s="115"/>
      <c r="G88" s="115"/>
      <c r="H88" s="115"/>
      <c r="I88" s="115"/>
      <c r="J88" s="115"/>
      <c r="K88" s="116"/>
    </row>
    <row r="89" spans="2:11" ht="20.100000000000001" customHeight="1">
      <c r="B89" s="95" t="s">
        <v>1204</v>
      </c>
      <c r="C89" s="114"/>
      <c r="D89" s="115"/>
      <c r="E89" s="115"/>
      <c r="F89" s="115"/>
      <c r="G89" s="115"/>
      <c r="H89" s="115"/>
      <c r="I89" s="115"/>
      <c r="J89" s="115"/>
      <c r="K89" s="116"/>
    </row>
    <row r="90" spans="2:11" ht="20.100000000000001" customHeight="1">
      <c r="B90" s="95" t="s">
        <v>1205</v>
      </c>
      <c r="C90" s="114"/>
      <c r="D90" s="115"/>
      <c r="E90" s="115"/>
      <c r="F90" s="115"/>
      <c r="G90" s="115"/>
      <c r="H90" s="115"/>
      <c r="I90" s="115"/>
      <c r="J90" s="115"/>
      <c r="K90" s="116"/>
    </row>
    <row r="91" spans="2:11" ht="20.100000000000001" customHeight="1">
      <c r="B91" s="95" t="s">
        <v>1206</v>
      </c>
      <c r="C91" s="114"/>
      <c r="D91" s="115"/>
      <c r="E91" s="115"/>
      <c r="F91" s="115"/>
      <c r="G91" s="115"/>
      <c r="H91" s="115"/>
      <c r="I91" s="115"/>
      <c r="J91" s="115"/>
      <c r="K91" s="116"/>
    </row>
    <row r="92" spans="2:11" ht="20.100000000000001" customHeight="1">
      <c r="B92" s="95" t="s">
        <v>1207</v>
      </c>
      <c r="C92" s="114"/>
      <c r="D92" s="115"/>
      <c r="E92" s="115"/>
      <c r="F92" s="115"/>
      <c r="G92" s="115"/>
      <c r="H92" s="115"/>
      <c r="I92" s="115"/>
      <c r="J92" s="115"/>
      <c r="K92" s="116"/>
    </row>
    <row r="93" spans="2:11" ht="20.100000000000001" customHeight="1">
      <c r="B93" s="95" t="s">
        <v>1208</v>
      </c>
      <c r="C93" s="114"/>
      <c r="D93" s="115"/>
      <c r="E93" s="115"/>
      <c r="F93" s="115"/>
      <c r="G93" s="115"/>
      <c r="H93" s="115"/>
      <c r="I93" s="115"/>
      <c r="J93" s="115"/>
      <c r="K93" s="116"/>
    </row>
    <row r="94" spans="2:11" ht="20.100000000000001" customHeight="1">
      <c r="B94" s="95" t="s">
        <v>1209</v>
      </c>
      <c r="C94" s="114"/>
      <c r="D94" s="115"/>
      <c r="E94" s="115"/>
      <c r="F94" s="115"/>
      <c r="G94" s="115"/>
      <c r="H94" s="115"/>
      <c r="I94" s="115"/>
      <c r="J94" s="115"/>
      <c r="K94" s="116"/>
    </row>
    <row r="95" spans="2:11" ht="20.100000000000001" customHeight="1">
      <c r="B95" s="95" t="s">
        <v>1210</v>
      </c>
      <c r="C95" s="114"/>
      <c r="D95" s="115"/>
      <c r="E95" s="115"/>
      <c r="F95" s="115"/>
      <c r="G95" s="115"/>
      <c r="H95" s="115"/>
      <c r="I95" s="115"/>
      <c r="J95" s="115"/>
      <c r="K95" s="116"/>
    </row>
    <row r="96" spans="2:11" ht="20.100000000000001" customHeight="1">
      <c r="B96" s="95" t="s">
        <v>1211</v>
      </c>
      <c r="C96" s="114"/>
      <c r="D96" s="115"/>
      <c r="E96" s="115"/>
      <c r="F96" s="115"/>
      <c r="G96" s="115"/>
      <c r="H96" s="115"/>
      <c r="I96" s="115"/>
      <c r="J96" s="115"/>
      <c r="K96" s="116"/>
    </row>
    <row r="97" spans="2:11" ht="20.100000000000001" customHeight="1">
      <c r="B97" s="95" t="s">
        <v>1212</v>
      </c>
      <c r="C97" s="114"/>
      <c r="D97" s="115"/>
      <c r="E97" s="115"/>
      <c r="F97" s="115"/>
      <c r="G97" s="115"/>
      <c r="H97" s="115"/>
      <c r="I97" s="115"/>
      <c r="J97" s="115"/>
      <c r="K97" s="116"/>
    </row>
    <row r="98" spans="2:11" ht="20.100000000000001" customHeight="1">
      <c r="B98" s="95" t="s">
        <v>1213</v>
      </c>
      <c r="C98" s="114"/>
      <c r="D98" s="115"/>
      <c r="E98" s="115"/>
      <c r="F98" s="115"/>
      <c r="G98" s="115"/>
      <c r="H98" s="115"/>
      <c r="I98" s="115"/>
      <c r="J98" s="115"/>
      <c r="K98" s="116"/>
    </row>
    <row r="99" spans="2:11" ht="20.100000000000001" customHeight="1">
      <c r="B99" s="95" t="s">
        <v>1214</v>
      </c>
      <c r="C99" s="114"/>
      <c r="D99" s="115"/>
      <c r="E99" s="115"/>
      <c r="F99" s="115"/>
      <c r="G99" s="115"/>
      <c r="H99" s="115"/>
      <c r="I99" s="115"/>
      <c r="J99" s="115"/>
      <c r="K99" s="116"/>
    </row>
    <row r="100" spans="2:11" ht="20.100000000000001" customHeight="1">
      <c r="B100" s="95" t="s">
        <v>1215</v>
      </c>
      <c r="C100" s="114"/>
      <c r="D100" s="115"/>
      <c r="E100" s="115"/>
      <c r="F100" s="115"/>
      <c r="G100" s="115"/>
      <c r="H100" s="115"/>
      <c r="I100" s="115"/>
      <c r="J100" s="115"/>
      <c r="K100" s="116"/>
    </row>
    <row r="101" spans="2:11" ht="20.100000000000001" customHeight="1" thickBot="1">
      <c r="B101" s="95" t="s">
        <v>1216</v>
      </c>
      <c r="C101" s="117"/>
      <c r="D101" s="118"/>
      <c r="E101" s="118"/>
      <c r="F101" s="118"/>
      <c r="G101" s="118"/>
      <c r="H101" s="118"/>
      <c r="I101" s="118"/>
      <c r="J101" s="118"/>
      <c r="K101" s="119"/>
    </row>
    <row r="102" spans="2:11" ht="30" customHeight="1">
      <c r="B102" s="15"/>
      <c r="D102" s="290" t="s">
        <v>1217</v>
      </c>
      <c r="E102" s="290" t="s">
        <v>1218</v>
      </c>
      <c r="F102" s="175" t="str">
        <f>"Adjusted "&amp;$F86</f>
        <v>Adjusted Operational Variable 1</v>
      </c>
      <c r="G102" s="175" t="str">
        <f>"Adjusted "&amp;$G86</f>
        <v>Adjusted Operational Variable 2</v>
      </c>
      <c r="H102" s="175" t="str">
        <f>"Adjusted "&amp;$H86</f>
        <v>Adjusted Operational Variable 3</v>
      </c>
    </row>
    <row r="103" spans="2:11" ht="20.100000000000001" customHeight="1">
      <c r="D103" s="110">
        <f>SUMPRODUCT(D87:D101,I87:I101)/($H$9-$H$8+1)</f>
        <v>0</v>
      </c>
      <c r="E103" s="110" t="e">
        <f>SUMPRODUCT(E87:E101,$I87:$I101,$D87:$D101)/($J$9-$J$8+1)/SUM($D87:$D101)</f>
        <v>#DIV/0!</v>
      </c>
      <c r="F103" s="110" t="e">
        <f>SUMPRODUCT(F87:F101,$I87:$I101,$D87:$D101)/($J$9-$J$8+1)/SUM($D87:$D101)</f>
        <v>#DIV/0!</v>
      </c>
      <c r="G103" s="110" t="e">
        <f>SUMPRODUCT(G87:G101,$I87:$I101,$D87:$D101)/($J$9-$J$8+1)/SUM($D87:$D101)</f>
        <v>#DIV/0!</v>
      </c>
      <c r="H103" s="110" t="e">
        <f>SUMPRODUCT(H87:H101,$I87:$I101,$D87:$D101)/($J$9-$J$8+1)/SUM($D87:$D101)</f>
        <v>#DIV/0!</v>
      </c>
    </row>
    <row r="105" spans="2:11" ht="15.6">
      <c r="B105" s="316" t="s">
        <v>1220</v>
      </c>
      <c r="C105" s="316"/>
      <c r="D105" s="316"/>
      <c r="E105" s="316"/>
      <c r="F105" s="316"/>
      <c r="G105" s="316"/>
      <c r="H105" s="316"/>
      <c r="I105" s="316"/>
      <c r="J105" s="316"/>
      <c r="K105" s="316"/>
    </row>
    <row r="107" spans="2:11" ht="15.6">
      <c r="B107" s="316" t="s">
        <v>1221</v>
      </c>
      <c r="C107" s="316"/>
      <c r="D107" s="316"/>
      <c r="E107" s="316"/>
      <c r="F107" s="316"/>
      <c r="G107" s="316"/>
      <c r="H107" s="316"/>
      <c r="I107" s="316"/>
      <c r="J107" s="316"/>
      <c r="K107" s="316"/>
    </row>
    <row r="108" spans="2:11" ht="13.8" thickBot="1"/>
    <row r="109" spans="2:11" ht="20.100000000000001" customHeight="1" thickBot="1">
      <c r="B109" s="78" t="s">
        <v>471</v>
      </c>
      <c r="C109" s="99" t="s">
        <v>569</v>
      </c>
      <c r="E109" s="78" t="s">
        <v>475</v>
      </c>
      <c r="F109" s="555"/>
      <c r="G109" s="556"/>
      <c r="H109" s="556"/>
      <c r="I109" s="557"/>
    </row>
    <row r="110" spans="2:11" ht="20.100000000000001" customHeight="1">
      <c r="B110" s="78" t="s">
        <v>477</v>
      </c>
      <c r="C110" s="100" t="str">
        <f>'15C Building Details'!C79</f>
        <v>Scope 2</v>
      </c>
      <c r="E110" s="613" t="s">
        <v>479</v>
      </c>
      <c r="F110" s="563"/>
      <c r="G110" s="564"/>
      <c r="H110" s="564"/>
      <c r="I110" s="565"/>
    </row>
    <row r="111" spans="2:11" ht="20.100000000000001" customHeight="1" thickBot="1">
      <c r="B111" s="78" t="s">
        <v>483</v>
      </c>
      <c r="C111" s="194" t="e">
        <f>'15C Building Details'!C80</f>
        <v>#N/A</v>
      </c>
      <c r="D111" s="317"/>
      <c r="E111" s="614"/>
      <c r="F111" s="566"/>
      <c r="G111" s="567"/>
      <c r="H111" s="567"/>
      <c r="I111" s="568"/>
    </row>
    <row r="112" spans="2:11" ht="20.100000000000001" customHeight="1">
      <c r="B112" s="78" t="s">
        <v>485</v>
      </c>
      <c r="C112" s="100" t="str">
        <f>'15C Building Details'!C81</f>
        <v>kWh</v>
      </c>
    </row>
    <row r="113" spans="2:11" ht="20.100000000000001" customHeight="1">
      <c r="B113" s="78" t="s">
        <v>487</v>
      </c>
      <c r="C113" s="196">
        <f>'15C Building Details'!C82</f>
        <v>3.5999999999999999E-3</v>
      </c>
      <c r="E113" s="11" t="s">
        <v>489</v>
      </c>
    </row>
    <row r="114" spans="2:11" ht="20.100000000000001" customHeight="1">
      <c r="G114" s="14"/>
      <c r="J114" s="11"/>
    </row>
    <row r="115" spans="2:11" ht="20.100000000000001" customHeight="1"/>
    <row r="116" spans="2:11" ht="40.200000000000003" customHeight="1" thickBot="1">
      <c r="B116" s="175" t="s">
        <v>491</v>
      </c>
      <c r="C116" s="175" t="s">
        <v>493</v>
      </c>
      <c r="D116" s="175" t="s">
        <v>495</v>
      </c>
      <c r="E116" s="175" t="s">
        <v>497</v>
      </c>
      <c r="F116" s="175" t="str">
        <f>"Billed Quantity ("&amp;C112&amp;")"</f>
        <v>Billed Quantity (kWh)</v>
      </c>
      <c r="G116" s="78" t="s">
        <v>501</v>
      </c>
      <c r="H116" s="78" t="s">
        <v>487</v>
      </c>
      <c r="I116" s="78" t="s">
        <v>1257</v>
      </c>
      <c r="J116" s="78" t="s">
        <v>1258</v>
      </c>
      <c r="K116" s="78" t="s">
        <v>1259</v>
      </c>
    </row>
    <row r="117" spans="2:11" ht="20.100000000000001" customHeight="1">
      <c r="B117" s="120"/>
      <c r="C117" s="121"/>
      <c r="D117" s="122"/>
      <c r="E117" s="122"/>
      <c r="F117" s="113"/>
      <c r="G117" s="105" t="str">
        <f>IF(ISBLANK(D117),"",E117-D117+1)</f>
        <v/>
      </c>
      <c r="H117" s="106">
        <f t="shared" ref="H117:H152" si="4">$C$113</f>
        <v>3.5999999999999999E-3</v>
      </c>
      <c r="I117" s="107">
        <f>IF(F117&gt;0,F117*H117*IF(OR(D117&gt;$H$9,E117&lt;$H$8), 0, IF(D117&lt;$H$8,E117-$H$8,IF($H$9&lt;E117,E117-$H$9,G117)))/G117,0)</f>
        <v>0</v>
      </c>
      <c r="J117" s="107">
        <f>IF(F117&gt;0,F117*H117*IF(OR(D117&gt;$I$9,E117&lt;$I$8), 0, IF(D117&lt;$I$8,E117-$I$8,IF($I$9&lt;E117,E117-$I$9,G117)))/G117,0)</f>
        <v>0</v>
      </c>
      <c r="K117" s="107">
        <f>IF(F117&gt;0,F117*H117*IF(OR(D117&gt;$J$9,E117&lt;$J$8), 0, IF(D117&lt;$J$8,E117-$J$8,IF($J$9&lt;E117,E117-$J$9,G117)))/G117,0)</f>
        <v>0</v>
      </c>
    </row>
    <row r="118" spans="2:11" ht="20.100000000000001" customHeight="1">
      <c r="B118" s="123"/>
      <c r="C118" s="124"/>
      <c r="D118" s="125"/>
      <c r="E118" s="125"/>
      <c r="F118" s="116"/>
      <c r="G118" s="105" t="str">
        <f>IF(ISBLANK(D118),"",E118-D118+1)</f>
        <v/>
      </c>
      <c r="H118" s="106">
        <f t="shared" si="4"/>
        <v>3.5999999999999999E-3</v>
      </c>
      <c r="I118" s="107">
        <f>IF(F118&gt;0,F118*H118*IF(OR(D118&gt;$H$9,E118&lt;$H$8), 0, IF(D118&lt;$H$8,E118-$H$8,IF($H$9&lt;E118,E118-$H$9,G118)))/G118,0)</f>
        <v>0</v>
      </c>
      <c r="J118" s="107">
        <f>IF(F118&gt;0,F118*H118*IF(OR(D118&gt;$I$9,E118&lt;$I$8), 0, IF(D118&lt;$I$8,E118-$I$8,IF($I$9&lt;E118,E118-$I$9,G118)))/G118,0)</f>
        <v>0</v>
      </c>
      <c r="K118" s="107">
        <f>IF(F118&gt;0,F118*H118*IF(OR(D118&gt;$J$9,E118&lt;$J$8), 0, IF(D118&lt;$J$8,E118-$J$8,IF($J$9&lt;E118,E118-$J$9,G118)))/G118,0)</f>
        <v>0</v>
      </c>
    </row>
    <row r="119" spans="2:11" ht="20.100000000000001" customHeight="1">
      <c r="B119" s="123"/>
      <c r="C119" s="124"/>
      <c r="D119" s="125"/>
      <c r="E119" s="125"/>
      <c r="F119" s="116"/>
      <c r="G119" s="105" t="str">
        <f>IF(ISBLANK(D119),"",E119-D119+1)</f>
        <v/>
      </c>
      <c r="H119" s="106">
        <f t="shared" si="4"/>
        <v>3.5999999999999999E-3</v>
      </c>
      <c r="I119" s="107">
        <f>IF(F119&gt;0,F119*H119*IF(OR(D119&gt;$H$9,E119&lt;$H$8), 0, IF(D119&lt;$H$8,E119-$H$8,IF($H$9&lt;E119,E119-$H$9,G119)))/G119,0)</f>
        <v>0</v>
      </c>
      <c r="J119" s="107">
        <f>IF(F119&gt;0,F119*H119*IF(OR(D119&gt;$I$9,E119&lt;$I$8), 0, IF(D119&lt;$I$8,E119-$I$8,IF($I$9&lt;E119,E119-$I$9,G119)))/G119,0)</f>
        <v>0</v>
      </c>
      <c r="K119" s="107">
        <f>IF(F119&gt;0,F119*H119*IF(OR(D119&gt;$J$9,E119&lt;$J$8), 0, IF(D119&lt;$J$8,E119-$J$8,IF($J$9&lt;E119,E119-$J$9,G119)))/G119,0)</f>
        <v>0</v>
      </c>
    </row>
    <row r="120" spans="2:11" ht="20.100000000000001" customHeight="1">
      <c r="B120" s="123"/>
      <c r="C120" s="124"/>
      <c r="D120" s="125"/>
      <c r="E120" s="125"/>
      <c r="F120" s="116"/>
      <c r="G120" s="105" t="str">
        <f>IF(ISBLANK(D120),"",E120-D120+1)</f>
        <v/>
      </c>
      <c r="H120" s="106">
        <f t="shared" si="4"/>
        <v>3.5999999999999999E-3</v>
      </c>
      <c r="I120" s="107">
        <f>IF(F120&gt;0,F120*H120*IF(OR(D120&gt;$H$9,E120&lt;$H$8), 0, IF(D120&lt;$H$8,E120-$H$8,IF($H$9&lt;E120,E120-$H$9,G120)))/G120,0)</f>
        <v>0</v>
      </c>
      <c r="J120" s="107">
        <f>IF(F120&gt;0,F120*H120*IF(OR(D120&gt;$I$9,E120&lt;$I$8), 0, IF(D120&lt;$I$8,E120-$I$8,IF($I$9&lt;E120,E120-$I$9,G120)))/G120,0)</f>
        <v>0</v>
      </c>
      <c r="K120" s="107">
        <f>IF(F120&gt;0,F120*H120*IF(OR(D120&gt;$J$9,E120&lt;$J$8), 0, IF(D120&lt;$J$8,E120-$J$8,IF($J$9&lt;E120,E120-$J$9,G120)))/G120,0)</f>
        <v>0</v>
      </c>
    </row>
    <row r="121" spans="2:11" ht="20.100000000000001" customHeight="1">
      <c r="B121" s="123"/>
      <c r="C121" s="124"/>
      <c r="D121" s="125"/>
      <c r="E121" s="125"/>
      <c r="F121" s="116"/>
      <c r="G121" s="105" t="str">
        <f t="shared" ref="G121:G147" si="5">IF(ISBLANK(D121),"",E121-D121+1)</f>
        <v/>
      </c>
      <c r="H121" s="106">
        <f t="shared" si="4"/>
        <v>3.5999999999999999E-3</v>
      </c>
      <c r="I121" s="107">
        <f t="shared" ref="I121:I146" si="6">IF(F121&gt;0,F121*H121*IF(OR(D121&gt;$H$9,E121&lt;$H$8), 0, IF(D121&lt;$H$8,E121-$H$8,IF($H$9&lt;E121,E121-$H$9,G121)))/G121,0)</f>
        <v>0</v>
      </c>
      <c r="J121" s="107">
        <f t="shared" ref="J121:J146" si="7">IF(F121&gt;0,F121*H121*IF(OR(D121&gt;$I$9,E121&lt;$I$8), 0, IF(D121&lt;$I$8,E121-$I$8,IF($I$9&lt;E121,E121-$I$9,G121)))/G121,0)</f>
        <v>0</v>
      </c>
      <c r="K121" s="107">
        <f t="shared" ref="K121:K146" si="8">IF(F121&gt;0,F121*H121*IF(OR(D121&gt;$J$9,E121&lt;$J$8), 0, IF(D121&lt;$J$8,E121-$J$8,IF($J$9&lt;E121,E121-$J$9,G121)))/G121,0)</f>
        <v>0</v>
      </c>
    </row>
    <row r="122" spans="2:11" ht="20.100000000000001" customHeight="1">
      <c r="B122" s="123"/>
      <c r="C122" s="124"/>
      <c r="D122" s="125"/>
      <c r="E122" s="125"/>
      <c r="F122" s="116"/>
      <c r="G122" s="105" t="str">
        <f t="shared" si="5"/>
        <v/>
      </c>
      <c r="H122" s="106">
        <f t="shared" si="4"/>
        <v>3.5999999999999999E-3</v>
      </c>
      <c r="I122" s="107">
        <f t="shared" si="6"/>
        <v>0</v>
      </c>
      <c r="J122" s="107">
        <f t="shared" si="7"/>
        <v>0</v>
      </c>
      <c r="K122" s="107">
        <f t="shared" si="8"/>
        <v>0</v>
      </c>
    </row>
    <row r="123" spans="2:11" ht="20.100000000000001" customHeight="1">
      <c r="B123" s="123"/>
      <c r="C123" s="124"/>
      <c r="D123" s="125"/>
      <c r="E123" s="125"/>
      <c r="F123" s="116"/>
      <c r="G123" s="105" t="str">
        <f t="shared" si="5"/>
        <v/>
      </c>
      <c r="H123" s="106">
        <f t="shared" si="4"/>
        <v>3.5999999999999999E-3</v>
      </c>
      <c r="I123" s="107">
        <f t="shared" si="6"/>
        <v>0</v>
      </c>
      <c r="J123" s="107">
        <f t="shared" si="7"/>
        <v>0</v>
      </c>
      <c r="K123" s="107">
        <f t="shared" si="8"/>
        <v>0</v>
      </c>
    </row>
    <row r="124" spans="2:11" ht="20.100000000000001" customHeight="1">
      <c r="B124" s="123"/>
      <c r="C124" s="124"/>
      <c r="D124" s="125"/>
      <c r="E124" s="125"/>
      <c r="F124" s="116"/>
      <c r="G124" s="105" t="str">
        <f t="shared" si="5"/>
        <v/>
      </c>
      <c r="H124" s="106">
        <f t="shared" si="4"/>
        <v>3.5999999999999999E-3</v>
      </c>
      <c r="I124" s="107">
        <f t="shared" si="6"/>
        <v>0</v>
      </c>
      <c r="J124" s="107">
        <f t="shared" si="7"/>
        <v>0</v>
      </c>
      <c r="K124" s="107">
        <f t="shared" si="8"/>
        <v>0</v>
      </c>
    </row>
    <row r="125" spans="2:11" ht="20.100000000000001" customHeight="1">
      <c r="B125" s="123"/>
      <c r="C125" s="124"/>
      <c r="D125" s="125"/>
      <c r="E125" s="125"/>
      <c r="F125" s="116"/>
      <c r="G125" s="105" t="str">
        <f t="shared" si="5"/>
        <v/>
      </c>
      <c r="H125" s="106">
        <f t="shared" si="4"/>
        <v>3.5999999999999999E-3</v>
      </c>
      <c r="I125" s="107">
        <f t="shared" si="6"/>
        <v>0</v>
      </c>
      <c r="J125" s="107">
        <f t="shared" si="7"/>
        <v>0</v>
      </c>
      <c r="K125" s="107">
        <f t="shared" si="8"/>
        <v>0</v>
      </c>
    </row>
    <row r="126" spans="2:11" ht="20.100000000000001" customHeight="1">
      <c r="B126" s="123"/>
      <c r="C126" s="124"/>
      <c r="D126" s="125"/>
      <c r="E126" s="125"/>
      <c r="F126" s="116"/>
      <c r="G126" s="105" t="str">
        <f t="shared" si="5"/>
        <v/>
      </c>
      <c r="H126" s="106">
        <f t="shared" si="4"/>
        <v>3.5999999999999999E-3</v>
      </c>
      <c r="I126" s="107">
        <f t="shared" si="6"/>
        <v>0</v>
      </c>
      <c r="J126" s="107">
        <f t="shared" si="7"/>
        <v>0</v>
      </c>
      <c r="K126" s="107">
        <f t="shared" si="8"/>
        <v>0</v>
      </c>
    </row>
    <row r="127" spans="2:11" ht="20.100000000000001" customHeight="1">
      <c r="B127" s="123"/>
      <c r="C127" s="124"/>
      <c r="D127" s="125"/>
      <c r="E127" s="125"/>
      <c r="F127" s="116"/>
      <c r="G127" s="105" t="str">
        <f t="shared" si="5"/>
        <v/>
      </c>
      <c r="H127" s="106">
        <f t="shared" si="4"/>
        <v>3.5999999999999999E-3</v>
      </c>
      <c r="I127" s="107">
        <f t="shared" si="6"/>
        <v>0</v>
      </c>
      <c r="J127" s="107">
        <f t="shared" si="7"/>
        <v>0</v>
      </c>
      <c r="K127" s="107">
        <f t="shared" si="8"/>
        <v>0</v>
      </c>
    </row>
    <row r="128" spans="2:11" ht="20.100000000000001" customHeight="1">
      <c r="B128" s="123"/>
      <c r="C128" s="124"/>
      <c r="D128" s="125"/>
      <c r="E128" s="125"/>
      <c r="F128" s="116"/>
      <c r="G128" s="105" t="str">
        <f t="shared" si="5"/>
        <v/>
      </c>
      <c r="H128" s="106">
        <f t="shared" si="4"/>
        <v>3.5999999999999999E-3</v>
      </c>
      <c r="I128" s="107">
        <f t="shared" si="6"/>
        <v>0</v>
      </c>
      <c r="J128" s="107">
        <f t="shared" si="7"/>
        <v>0</v>
      </c>
      <c r="K128" s="107">
        <f t="shared" si="8"/>
        <v>0</v>
      </c>
    </row>
    <row r="129" spans="2:11" ht="20.100000000000001" customHeight="1">
      <c r="B129" s="123"/>
      <c r="C129" s="124"/>
      <c r="D129" s="125"/>
      <c r="E129" s="125"/>
      <c r="F129" s="116"/>
      <c r="G129" s="105" t="str">
        <f t="shared" si="5"/>
        <v/>
      </c>
      <c r="H129" s="106">
        <f t="shared" si="4"/>
        <v>3.5999999999999999E-3</v>
      </c>
      <c r="I129" s="107">
        <f t="shared" si="6"/>
        <v>0</v>
      </c>
      <c r="J129" s="107">
        <f t="shared" si="7"/>
        <v>0</v>
      </c>
      <c r="K129" s="107">
        <f t="shared" si="8"/>
        <v>0</v>
      </c>
    </row>
    <row r="130" spans="2:11" ht="20.100000000000001" customHeight="1">
      <c r="B130" s="123"/>
      <c r="C130" s="124"/>
      <c r="D130" s="125"/>
      <c r="E130" s="125"/>
      <c r="F130" s="116"/>
      <c r="G130" s="105" t="str">
        <f t="shared" si="5"/>
        <v/>
      </c>
      <c r="H130" s="106">
        <f t="shared" si="4"/>
        <v>3.5999999999999999E-3</v>
      </c>
      <c r="I130" s="107">
        <f t="shared" si="6"/>
        <v>0</v>
      </c>
      <c r="J130" s="107">
        <f t="shared" si="7"/>
        <v>0</v>
      </c>
      <c r="K130" s="107">
        <f t="shared" si="8"/>
        <v>0</v>
      </c>
    </row>
    <row r="131" spans="2:11" ht="20.100000000000001" customHeight="1">
      <c r="B131" s="123"/>
      <c r="C131" s="124"/>
      <c r="D131" s="125"/>
      <c r="E131" s="125"/>
      <c r="F131" s="116"/>
      <c r="G131" s="105" t="str">
        <f t="shared" si="5"/>
        <v/>
      </c>
      <c r="H131" s="106">
        <f t="shared" si="4"/>
        <v>3.5999999999999999E-3</v>
      </c>
      <c r="I131" s="107">
        <f t="shared" si="6"/>
        <v>0</v>
      </c>
      <c r="J131" s="107">
        <f t="shared" si="7"/>
        <v>0</v>
      </c>
      <c r="K131" s="107">
        <f t="shared" si="8"/>
        <v>0</v>
      </c>
    </row>
    <row r="132" spans="2:11" ht="20.100000000000001" customHeight="1">
      <c r="B132" s="123"/>
      <c r="C132" s="124"/>
      <c r="D132" s="125"/>
      <c r="E132" s="125"/>
      <c r="F132" s="116"/>
      <c r="G132" s="105" t="str">
        <f t="shared" si="5"/>
        <v/>
      </c>
      <c r="H132" s="106">
        <f t="shared" si="4"/>
        <v>3.5999999999999999E-3</v>
      </c>
      <c r="I132" s="107">
        <f t="shared" si="6"/>
        <v>0</v>
      </c>
      <c r="J132" s="107">
        <f t="shared" si="7"/>
        <v>0</v>
      </c>
      <c r="K132" s="107">
        <f t="shared" si="8"/>
        <v>0</v>
      </c>
    </row>
    <row r="133" spans="2:11" ht="20.100000000000001" customHeight="1">
      <c r="B133" s="123"/>
      <c r="C133" s="124"/>
      <c r="D133" s="125"/>
      <c r="E133" s="125"/>
      <c r="F133" s="116"/>
      <c r="G133" s="105" t="str">
        <f t="shared" si="5"/>
        <v/>
      </c>
      <c r="H133" s="106">
        <f t="shared" si="4"/>
        <v>3.5999999999999999E-3</v>
      </c>
      <c r="I133" s="107">
        <f t="shared" si="6"/>
        <v>0</v>
      </c>
      <c r="J133" s="107">
        <f t="shared" si="7"/>
        <v>0</v>
      </c>
      <c r="K133" s="107">
        <f t="shared" si="8"/>
        <v>0</v>
      </c>
    </row>
    <row r="134" spans="2:11" ht="20.100000000000001" customHeight="1">
      <c r="B134" s="123"/>
      <c r="C134" s="124"/>
      <c r="D134" s="125"/>
      <c r="E134" s="125"/>
      <c r="F134" s="116"/>
      <c r="G134" s="105" t="str">
        <f t="shared" si="5"/>
        <v/>
      </c>
      <c r="H134" s="106">
        <f t="shared" si="4"/>
        <v>3.5999999999999999E-3</v>
      </c>
      <c r="I134" s="107">
        <f t="shared" si="6"/>
        <v>0</v>
      </c>
      <c r="J134" s="107">
        <f t="shared" si="7"/>
        <v>0</v>
      </c>
      <c r="K134" s="107">
        <f t="shared" si="8"/>
        <v>0</v>
      </c>
    </row>
    <row r="135" spans="2:11" ht="20.100000000000001" customHeight="1">
      <c r="B135" s="123"/>
      <c r="C135" s="124"/>
      <c r="D135" s="125"/>
      <c r="E135" s="125"/>
      <c r="F135" s="116"/>
      <c r="G135" s="105" t="str">
        <f t="shared" si="5"/>
        <v/>
      </c>
      <c r="H135" s="106">
        <f t="shared" si="4"/>
        <v>3.5999999999999999E-3</v>
      </c>
      <c r="I135" s="107">
        <f t="shared" si="6"/>
        <v>0</v>
      </c>
      <c r="J135" s="107">
        <f t="shared" si="7"/>
        <v>0</v>
      </c>
      <c r="K135" s="107">
        <f t="shared" si="8"/>
        <v>0</v>
      </c>
    </row>
    <row r="136" spans="2:11" ht="20.100000000000001" customHeight="1">
      <c r="B136" s="123"/>
      <c r="C136" s="124"/>
      <c r="D136" s="125"/>
      <c r="E136" s="125"/>
      <c r="F136" s="116"/>
      <c r="G136" s="105" t="str">
        <f t="shared" si="5"/>
        <v/>
      </c>
      <c r="H136" s="106">
        <f t="shared" si="4"/>
        <v>3.5999999999999999E-3</v>
      </c>
      <c r="I136" s="107">
        <f t="shared" si="6"/>
        <v>0</v>
      </c>
      <c r="J136" s="107">
        <f t="shared" si="7"/>
        <v>0</v>
      </c>
      <c r="K136" s="107">
        <f t="shared" si="8"/>
        <v>0</v>
      </c>
    </row>
    <row r="137" spans="2:11" ht="20.100000000000001" customHeight="1">
      <c r="B137" s="123"/>
      <c r="C137" s="124"/>
      <c r="D137" s="125"/>
      <c r="E137" s="125"/>
      <c r="F137" s="116"/>
      <c r="G137" s="105" t="str">
        <f t="shared" si="5"/>
        <v/>
      </c>
      <c r="H137" s="106">
        <f t="shared" si="4"/>
        <v>3.5999999999999999E-3</v>
      </c>
      <c r="I137" s="107">
        <f t="shared" si="6"/>
        <v>0</v>
      </c>
      <c r="J137" s="107">
        <f t="shared" si="7"/>
        <v>0</v>
      </c>
      <c r="K137" s="107">
        <f t="shared" si="8"/>
        <v>0</v>
      </c>
    </row>
    <row r="138" spans="2:11" ht="20.100000000000001" customHeight="1">
      <c r="B138" s="123"/>
      <c r="C138" s="124"/>
      <c r="D138" s="125"/>
      <c r="E138" s="125"/>
      <c r="F138" s="116"/>
      <c r="G138" s="105" t="str">
        <f t="shared" si="5"/>
        <v/>
      </c>
      <c r="H138" s="106">
        <f t="shared" si="4"/>
        <v>3.5999999999999999E-3</v>
      </c>
      <c r="I138" s="107">
        <f t="shared" si="6"/>
        <v>0</v>
      </c>
      <c r="J138" s="107">
        <f t="shared" si="7"/>
        <v>0</v>
      </c>
      <c r="K138" s="107">
        <f t="shared" si="8"/>
        <v>0</v>
      </c>
    </row>
    <row r="139" spans="2:11" ht="20.100000000000001" customHeight="1">
      <c r="B139" s="123"/>
      <c r="C139" s="124"/>
      <c r="D139" s="125"/>
      <c r="E139" s="125"/>
      <c r="F139" s="116"/>
      <c r="G139" s="105" t="str">
        <f t="shared" si="5"/>
        <v/>
      </c>
      <c r="H139" s="106">
        <f t="shared" si="4"/>
        <v>3.5999999999999999E-3</v>
      </c>
      <c r="I139" s="107">
        <f t="shared" si="6"/>
        <v>0</v>
      </c>
      <c r="J139" s="107">
        <f t="shared" si="7"/>
        <v>0</v>
      </c>
      <c r="K139" s="107">
        <f t="shared" si="8"/>
        <v>0</v>
      </c>
    </row>
    <row r="140" spans="2:11" ht="20.100000000000001" customHeight="1">
      <c r="B140" s="123"/>
      <c r="C140" s="124"/>
      <c r="D140" s="125"/>
      <c r="E140" s="125"/>
      <c r="F140" s="116"/>
      <c r="G140" s="105" t="str">
        <f t="shared" si="5"/>
        <v/>
      </c>
      <c r="H140" s="106">
        <f t="shared" si="4"/>
        <v>3.5999999999999999E-3</v>
      </c>
      <c r="I140" s="107">
        <f t="shared" si="6"/>
        <v>0</v>
      </c>
      <c r="J140" s="107">
        <f t="shared" si="7"/>
        <v>0</v>
      </c>
      <c r="K140" s="107">
        <f t="shared" si="8"/>
        <v>0</v>
      </c>
    </row>
    <row r="141" spans="2:11" ht="20.100000000000001" customHeight="1">
      <c r="B141" s="123"/>
      <c r="C141" s="124"/>
      <c r="D141" s="125"/>
      <c r="E141" s="125"/>
      <c r="F141" s="116"/>
      <c r="G141" s="105" t="str">
        <f t="shared" si="5"/>
        <v/>
      </c>
      <c r="H141" s="106">
        <f t="shared" si="4"/>
        <v>3.5999999999999999E-3</v>
      </c>
      <c r="I141" s="107">
        <f t="shared" si="6"/>
        <v>0</v>
      </c>
      <c r="J141" s="107">
        <f t="shared" si="7"/>
        <v>0</v>
      </c>
      <c r="K141" s="107">
        <f t="shared" si="8"/>
        <v>0</v>
      </c>
    </row>
    <row r="142" spans="2:11" ht="20.100000000000001" customHeight="1">
      <c r="B142" s="123"/>
      <c r="C142" s="124"/>
      <c r="D142" s="125"/>
      <c r="E142" s="125"/>
      <c r="F142" s="116"/>
      <c r="G142" s="105" t="str">
        <f t="shared" si="5"/>
        <v/>
      </c>
      <c r="H142" s="106">
        <f t="shared" si="4"/>
        <v>3.5999999999999999E-3</v>
      </c>
      <c r="I142" s="107">
        <f t="shared" si="6"/>
        <v>0</v>
      </c>
      <c r="J142" s="107">
        <f t="shared" si="7"/>
        <v>0</v>
      </c>
      <c r="K142" s="107">
        <f t="shared" si="8"/>
        <v>0</v>
      </c>
    </row>
    <row r="143" spans="2:11" ht="20.100000000000001" customHeight="1">
      <c r="B143" s="123"/>
      <c r="C143" s="124"/>
      <c r="D143" s="125"/>
      <c r="E143" s="125"/>
      <c r="F143" s="116"/>
      <c r="G143" s="105" t="str">
        <f t="shared" si="5"/>
        <v/>
      </c>
      <c r="H143" s="106">
        <f t="shared" si="4"/>
        <v>3.5999999999999999E-3</v>
      </c>
      <c r="I143" s="107">
        <f t="shared" si="6"/>
        <v>0</v>
      </c>
      <c r="J143" s="107">
        <f t="shared" si="7"/>
        <v>0</v>
      </c>
      <c r="K143" s="107">
        <f t="shared" si="8"/>
        <v>0</v>
      </c>
    </row>
    <row r="144" spans="2:11" ht="20.100000000000001" customHeight="1">
      <c r="B144" s="123"/>
      <c r="C144" s="124"/>
      <c r="D144" s="125"/>
      <c r="E144" s="125"/>
      <c r="F144" s="116"/>
      <c r="G144" s="105" t="str">
        <f t="shared" si="5"/>
        <v/>
      </c>
      <c r="H144" s="106">
        <f t="shared" si="4"/>
        <v>3.5999999999999999E-3</v>
      </c>
      <c r="I144" s="107">
        <f t="shared" si="6"/>
        <v>0</v>
      </c>
      <c r="J144" s="107">
        <f t="shared" si="7"/>
        <v>0</v>
      </c>
      <c r="K144" s="107">
        <f t="shared" si="8"/>
        <v>0</v>
      </c>
    </row>
    <row r="145" spans="2:11" ht="20.100000000000001" customHeight="1">
      <c r="B145" s="123"/>
      <c r="C145" s="124"/>
      <c r="D145" s="125"/>
      <c r="E145" s="125"/>
      <c r="F145" s="116"/>
      <c r="G145" s="105" t="str">
        <f t="shared" si="5"/>
        <v/>
      </c>
      <c r="H145" s="106">
        <f t="shared" si="4"/>
        <v>3.5999999999999999E-3</v>
      </c>
      <c r="I145" s="107">
        <f t="shared" si="6"/>
        <v>0</v>
      </c>
      <c r="J145" s="107">
        <f t="shared" si="7"/>
        <v>0</v>
      </c>
      <c r="K145" s="107">
        <f t="shared" si="8"/>
        <v>0</v>
      </c>
    </row>
    <row r="146" spans="2:11" ht="20.100000000000001" customHeight="1">
      <c r="B146" s="123"/>
      <c r="C146" s="124"/>
      <c r="D146" s="125"/>
      <c r="E146" s="125"/>
      <c r="F146" s="116"/>
      <c r="G146" s="105" t="str">
        <f t="shared" si="5"/>
        <v/>
      </c>
      <c r="H146" s="106">
        <f t="shared" si="4"/>
        <v>3.5999999999999999E-3</v>
      </c>
      <c r="I146" s="107">
        <f t="shared" si="6"/>
        <v>0</v>
      </c>
      <c r="J146" s="107">
        <f t="shared" si="7"/>
        <v>0</v>
      </c>
      <c r="K146" s="107">
        <f t="shared" si="8"/>
        <v>0</v>
      </c>
    </row>
    <row r="147" spans="2:11" ht="20.100000000000001" customHeight="1">
      <c r="B147" s="123"/>
      <c r="C147" s="124"/>
      <c r="D147" s="125"/>
      <c r="E147" s="125"/>
      <c r="F147" s="116"/>
      <c r="G147" s="105" t="str">
        <f t="shared" si="5"/>
        <v/>
      </c>
      <c r="H147" s="106">
        <f t="shared" si="4"/>
        <v>3.5999999999999999E-3</v>
      </c>
      <c r="I147" s="107">
        <f t="shared" ref="I147:I152" si="9">IF(F147&gt;0,F147*H147*IF(OR(D147&gt;$H$9,E147&lt;$H$8), 0, IF(D147&lt;$H$8,E147-$H$8,IF($H$9&lt;E147,E147-$H$9,G147)))/G147,0)</f>
        <v>0</v>
      </c>
      <c r="J147" s="107">
        <f t="shared" ref="J147:J152" si="10">IF(F147&gt;0,F147*H147*IF(OR(D147&gt;$I$9,E147&lt;$I$8), 0, IF(D147&lt;$I$8,E147-$I$8,IF($I$9&lt;E147,E147-$I$9,G147)))/G147,0)</f>
        <v>0</v>
      </c>
      <c r="K147" s="107">
        <f t="shared" ref="K147:K152" si="11">IF(F147&gt;0,F147*H147*IF(OR(D147&gt;$J$9,E147&lt;$J$8), 0, IF(D147&lt;$J$8,E147-$J$8,IF($J$9&lt;E147,E147-$J$9,G147)))/G147,0)</f>
        <v>0</v>
      </c>
    </row>
    <row r="148" spans="2:11" ht="20.100000000000001" customHeight="1">
      <c r="B148" s="123"/>
      <c r="C148" s="124"/>
      <c r="D148" s="125"/>
      <c r="E148" s="125"/>
      <c r="F148" s="116"/>
      <c r="G148" s="105" t="str">
        <f t="shared" ref="G148:G152" si="12">IF(ISBLANK(D148),"",E148-D148+1)</f>
        <v/>
      </c>
      <c r="H148" s="106">
        <f t="shared" si="4"/>
        <v>3.5999999999999999E-3</v>
      </c>
      <c r="I148" s="107">
        <f t="shared" si="9"/>
        <v>0</v>
      </c>
      <c r="J148" s="107">
        <f t="shared" si="10"/>
        <v>0</v>
      </c>
      <c r="K148" s="107">
        <f t="shared" si="11"/>
        <v>0</v>
      </c>
    </row>
    <row r="149" spans="2:11" ht="20.100000000000001" customHeight="1">
      <c r="B149" s="123"/>
      <c r="C149" s="124"/>
      <c r="D149" s="125"/>
      <c r="E149" s="125"/>
      <c r="F149" s="116"/>
      <c r="G149" s="105" t="str">
        <f t="shared" si="12"/>
        <v/>
      </c>
      <c r="H149" s="106">
        <f t="shared" si="4"/>
        <v>3.5999999999999999E-3</v>
      </c>
      <c r="I149" s="107">
        <f t="shared" si="9"/>
        <v>0</v>
      </c>
      <c r="J149" s="107">
        <f t="shared" si="10"/>
        <v>0</v>
      </c>
      <c r="K149" s="107">
        <f t="shared" si="11"/>
        <v>0</v>
      </c>
    </row>
    <row r="150" spans="2:11" ht="20.100000000000001" customHeight="1">
      <c r="B150" s="123"/>
      <c r="C150" s="124"/>
      <c r="D150" s="125"/>
      <c r="E150" s="125"/>
      <c r="F150" s="116"/>
      <c r="G150" s="105" t="str">
        <f t="shared" si="12"/>
        <v/>
      </c>
      <c r="H150" s="106">
        <f t="shared" si="4"/>
        <v>3.5999999999999999E-3</v>
      </c>
      <c r="I150" s="107">
        <f t="shared" si="9"/>
        <v>0</v>
      </c>
      <c r="J150" s="107">
        <f t="shared" si="10"/>
        <v>0</v>
      </c>
      <c r="K150" s="107">
        <f t="shared" si="11"/>
        <v>0</v>
      </c>
    </row>
    <row r="151" spans="2:11" ht="20.100000000000001" customHeight="1">
      <c r="B151" s="123"/>
      <c r="C151" s="124"/>
      <c r="D151" s="125"/>
      <c r="E151" s="125"/>
      <c r="F151" s="116"/>
      <c r="G151" s="105" t="str">
        <f t="shared" si="12"/>
        <v/>
      </c>
      <c r="H151" s="106">
        <f t="shared" si="4"/>
        <v>3.5999999999999999E-3</v>
      </c>
      <c r="I151" s="107">
        <f t="shared" si="9"/>
        <v>0</v>
      </c>
      <c r="J151" s="107">
        <f t="shared" si="10"/>
        <v>0</v>
      </c>
      <c r="K151" s="107">
        <f t="shared" si="11"/>
        <v>0</v>
      </c>
    </row>
    <row r="152" spans="2:11" ht="20.100000000000001" customHeight="1" thickBot="1">
      <c r="B152" s="126"/>
      <c r="C152" s="127"/>
      <c r="D152" s="128"/>
      <c r="E152" s="128"/>
      <c r="F152" s="119"/>
      <c r="G152" s="105" t="str">
        <f t="shared" si="12"/>
        <v/>
      </c>
      <c r="H152" s="106">
        <f t="shared" si="4"/>
        <v>3.5999999999999999E-3</v>
      </c>
      <c r="I152" s="107">
        <f t="shared" si="9"/>
        <v>0</v>
      </c>
      <c r="J152" s="107">
        <f t="shared" si="10"/>
        <v>0</v>
      </c>
      <c r="K152" s="107">
        <f t="shared" si="11"/>
        <v>0</v>
      </c>
    </row>
    <row r="153" spans="2:11">
      <c r="D153" s="26"/>
      <c r="E153" s="26"/>
      <c r="F153" s="27"/>
      <c r="J153" s="11"/>
    </row>
    <row r="154" spans="2:11" ht="15.6">
      <c r="B154" s="316" t="s">
        <v>1222</v>
      </c>
      <c r="C154" s="316"/>
      <c r="D154" s="316"/>
      <c r="E154" s="316"/>
      <c r="F154" s="316"/>
      <c r="G154" s="316"/>
      <c r="H154" s="316"/>
      <c r="I154" s="316"/>
      <c r="J154" s="316"/>
      <c r="K154" s="316"/>
    </row>
    <row r="155" spans="2:11" ht="13.8" thickBot="1"/>
    <row r="156" spans="2:11" ht="20.100000000000001" customHeight="1" thickBot="1">
      <c r="B156" s="78" t="s">
        <v>471</v>
      </c>
      <c r="C156" s="99" t="s">
        <v>1223</v>
      </c>
      <c r="E156" s="78" t="s">
        <v>475</v>
      </c>
      <c r="F156" s="555"/>
      <c r="G156" s="556"/>
      <c r="H156" s="556"/>
      <c r="I156" s="557"/>
    </row>
    <row r="157" spans="2:11" ht="20.100000000000001" customHeight="1">
      <c r="B157" s="78" t="s">
        <v>477</v>
      </c>
      <c r="C157" s="100" t="str">
        <f>'15C Building Details'!C102</f>
        <v>Scope 2</v>
      </c>
      <c r="E157" s="613" t="s">
        <v>479</v>
      </c>
      <c r="F157" s="617" t="s">
        <v>481</v>
      </c>
      <c r="G157" s="564"/>
      <c r="H157" s="564"/>
      <c r="I157" s="565"/>
    </row>
    <row r="158" spans="2:11" ht="20.100000000000001" customHeight="1" thickBot="1">
      <c r="B158" s="78" t="s">
        <v>483</v>
      </c>
      <c r="C158" s="194">
        <f>'15C Building Details'!C103</f>
        <v>0</v>
      </c>
      <c r="D158" s="317"/>
      <c r="E158" s="614"/>
      <c r="F158" s="566"/>
      <c r="G158" s="567"/>
      <c r="H158" s="567"/>
      <c r="I158" s="568"/>
    </row>
    <row r="159" spans="2:11" ht="20.100000000000001" customHeight="1">
      <c r="B159" s="78" t="s">
        <v>485</v>
      </c>
      <c r="C159" s="100" t="str">
        <f>'15C Building Details'!C104</f>
        <v>kWh</v>
      </c>
    </row>
    <row r="160" spans="2:11" ht="20.100000000000001" customHeight="1">
      <c r="B160" s="78" t="s">
        <v>487</v>
      </c>
      <c r="C160" s="99">
        <f>'15C Building Details'!C105</f>
        <v>3.5999999999999999E-3</v>
      </c>
      <c r="E160" s="11" t="s">
        <v>489</v>
      </c>
    </row>
    <row r="161" spans="2:11" ht="20.100000000000001" customHeight="1">
      <c r="G161" s="14"/>
      <c r="J161" s="11"/>
    </row>
    <row r="162" spans="2:11" ht="20.100000000000001" customHeight="1"/>
    <row r="163" spans="2:11" ht="40.200000000000003" customHeight="1" thickBot="1">
      <c r="B163" s="78" t="s">
        <v>491</v>
      </c>
      <c r="C163" s="78" t="s">
        <v>493</v>
      </c>
      <c r="D163" s="78" t="s">
        <v>495</v>
      </c>
      <c r="E163" s="78" t="s">
        <v>497</v>
      </c>
      <c r="F163" s="78" t="str">
        <f>"Billed Quantity ("&amp;C159&amp;")"</f>
        <v>Billed Quantity (kWh)</v>
      </c>
      <c r="G163" s="78" t="s">
        <v>501</v>
      </c>
      <c r="H163" s="78" t="s">
        <v>487</v>
      </c>
      <c r="I163" s="78" t="s">
        <v>1257</v>
      </c>
      <c r="J163" s="78" t="s">
        <v>1258</v>
      </c>
      <c r="K163" s="78" t="s">
        <v>1259</v>
      </c>
    </row>
    <row r="164" spans="2:11" ht="20.100000000000001" customHeight="1">
      <c r="B164" s="120"/>
      <c r="C164" s="121"/>
      <c r="D164" s="122"/>
      <c r="E164" s="122"/>
      <c r="F164" s="113"/>
      <c r="G164" s="107" t="str">
        <f>IF(ISBLANK(D164),"",E164-D164+1)</f>
        <v/>
      </c>
      <c r="H164" s="106">
        <f>$C$113</f>
        <v>3.5999999999999999E-3</v>
      </c>
      <c r="I164" s="107">
        <f t="shared" ref="I164:I199" si="13">IF(F164&gt;0,F164*H164*IF(OR(D164&gt;$H$9,E164&lt;$H$8), 0, IF(D164&lt;$H$8,E164-$H$8,IF($H$9&lt;E164,E164-$H$9,G164)))/G164,0)</f>
        <v>0</v>
      </c>
      <c r="J164" s="107">
        <f t="shared" ref="J164:J199" si="14">IF(F164&gt;0,F164*H164*IF(OR(D164&gt;$I$9,E164&lt;$I$8), 0, IF(D164&lt;$I$8,E164-$I$8,IF($I$9&lt;E164,E164-$I$9,G164)))/G164,0)</f>
        <v>0</v>
      </c>
      <c r="K164" s="107">
        <f t="shared" ref="K164:K199" si="15">IF(F164&gt;0,F164*H164*IF(OR(D164&gt;$J$9,E164&lt;$J$8), 0, IF(D164&lt;$J$8,E164-$J$8,IF($J$9&lt;E164,E164-$J$9,G164)))/G164,0)</f>
        <v>0</v>
      </c>
    </row>
    <row r="165" spans="2:11" ht="20.100000000000001" customHeight="1">
      <c r="B165" s="123"/>
      <c r="C165" s="124"/>
      <c r="D165" s="125"/>
      <c r="E165" s="125"/>
      <c r="F165" s="116"/>
      <c r="G165" s="107" t="str">
        <f>IF(ISBLANK(D165),"",E165-D165+1)</f>
        <v/>
      </c>
      <c r="H165" s="106">
        <f t="shared" ref="H165:H199" si="16">$C$113</f>
        <v>3.5999999999999999E-3</v>
      </c>
      <c r="I165" s="107">
        <f t="shared" si="13"/>
        <v>0</v>
      </c>
      <c r="J165" s="107">
        <f t="shared" si="14"/>
        <v>0</v>
      </c>
      <c r="K165" s="107">
        <f t="shared" si="15"/>
        <v>0</v>
      </c>
    </row>
    <row r="166" spans="2:11" ht="20.100000000000001" customHeight="1">
      <c r="B166" s="123"/>
      <c r="C166" s="124"/>
      <c r="D166" s="125"/>
      <c r="E166" s="125"/>
      <c r="F166" s="116"/>
      <c r="G166" s="107" t="str">
        <f>IF(ISBLANK(D166),"",E166-D166+1)</f>
        <v/>
      </c>
      <c r="H166" s="106">
        <f t="shared" si="16"/>
        <v>3.5999999999999999E-3</v>
      </c>
      <c r="I166" s="107">
        <f t="shared" si="13"/>
        <v>0</v>
      </c>
      <c r="J166" s="107">
        <f t="shared" si="14"/>
        <v>0</v>
      </c>
      <c r="K166" s="107">
        <f t="shared" si="15"/>
        <v>0</v>
      </c>
    </row>
    <row r="167" spans="2:11" ht="20.100000000000001" customHeight="1">
      <c r="B167" s="123"/>
      <c r="C167" s="124"/>
      <c r="D167" s="125"/>
      <c r="E167" s="125"/>
      <c r="F167" s="116"/>
      <c r="G167" s="107" t="str">
        <f>IF(ISBLANK(D167),"",E167-D167+1)</f>
        <v/>
      </c>
      <c r="H167" s="106">
        <f t="shared" si="16"/>
        <v>3.5999999999999999E-3</v>
      </c>
      <c r="I167" s="107">
        <f t="shared" si="13"/>
        <v>0</v>
      </c>
      <c r="J167" s="107">
        <f t="shared" si="14"/>
        <v>0</v>
      </c>
      <c r="K167" s="107">
        <f t="shared" si="15"/>
        <v>0</v>
      </c>
    </row>
    <row r="168" spans="2:11" ht="20.100000000000001" customHeight="1">
      <c r="B168" s="123"/>
      <c r="C168" s="124"/>
      <c r="D168" s="125"/>
      <c r="E168" s="125"/>
      <c r="F168" s="116"/>
      <c r="G168" s="107" t="str">
        <f t="shared" ref="G168:G194" si="17">IF(ISBLANK(D168),"",E168-D168+1)</f>
        <v/>
      </c>
      <c r="H168" s="106">
        <f t="shared" si="16"/>
        <v>3.5999999999999999E-3</v>
      </c>
      <c r="I168" s="107">
        <f t="shared" si="13"/>
        <v>0</v>
      </c>
      <c r="J168" s="107">
        <f t="shared" si="14"/>
        <v>0</v>
      </c>
      <c r="K168" s="107">
        <f t="shared" si="15"/>
        <v>0</v>
      </c>
    </row>
    <row r="169" spans="2:11" ht="20.100000000000001" customHeight="1">
      <c r="B169" s="123"/>
      <c r="C169" s="124"/>
      <c r="D169" s="125"/>
      <c r="E169" s="125"/>
      <c r="F169" s="116"/>
      <c r="G169" s="107" t="str">
        <f t="shared" si="17"/>
        <v/>
      </c>
      <c r="H169" s="106">
        <f t="shared" si="16"/>
        <v>3.5999999999999999E-3</v>
      </c>
      <c r="I169" s="107">
        <f t="shared" si="13"/>
        <v>0</v>
      </c>
      <c r="J169" s="107">
        <f t="shared" si="14"/>
        <v>0</v>
      </c>
      <c r="K169" s="107">
        <f t="shared" si="15"/>
        <v>0</v>
      </c>
    </row>
    <row r="170" spans="2:11" ht="20.100000000000001" customHeight="1">
      <c r="B170" s="123"/>
      <c r="C170" s="124"/>
      <c r="D170" s="125"/>
      <c r="E170" s="125"/>
      <c r="F170" s="116"/>
      <c r="G170" s="107" t="str">
        <f t="shared" si="17"/>
        <v/>
      </c>
      <c r="H170" s="106">
        <f t="shared" si="16"/>
        <v>3.5999999999999999E-3</v>
      </c>
      <c r="I170" s="107">
        <f t="shared" si="13"/>
        <v>0</v>
      </c>
      <c r="J170" s="107">
        <f t="shared" si="14"/>
        <v>0</v>
      </c>
      <c r="K170" s="107">
        <f t="shared" si="15"/>
        <v>0</v>
      </c>
    </row>
    <row r="171" spans="2:11" ht="20.100000000000001" customHeight="1">
      <c r="B171" s="123"/>
      <c r="C171" s="124"/>
      <c r="D171" s="125"/>
      <c r="E171" s="125"/>
      <c r="F171" s="116"/>
      <c r="G171" s="107" t="str">
        <f t="shared" si="17"/>
        <v/>
      </c>
      <c r="H171" s="106">
        <f t="shared" si="16"/>
        <v>3.5999999999999999E-3</v>
      </c>
      <c r="I171" s="107">
        <f t="shared" si="13"/>
        <v>0</v>
      </c>
      <c r="J171" s="107">
        <f t="shared" si="14"/>
        <v>0</v>
      </c>
      <c r="K171" s="107">
        <f t="shared" si="15"/>
        <v>0</v>
      </c>
    </row>
    <row r="172" spans="2:11" ht="20.100000000000001" customHeight="1">
      <c r="B172" s="123"/>
      <c r="C172" s="124"/>
      <c r="D172" s="125"/>
      <c r="E172" s="125"/>
      <c r="F172" s="116"/>
      <c r="G172" s="107" t="str">
        <f t="shared" si="17"/>
        <v/>
      </c>
      <c r="H172" s="106">
        <f t="shared" si="16"/>
        <v>3.5999999999999999E-3</v>
      </c>
      <c r="I172" s="107">
        <f t="shared" si="13"/>
        <v>0</v>
      </c>
      <c r="J172" s="107">
        <f t="shared" si="14"/>
        <v>0</v>
      </c>
      <c r="K172" s="107">
        <f t="shared" si="15"/>
        <v>0</v>
      </c>
    </row>
    <row r="173" spans="2:11" ht="20.100000000000001" customHeight="1">
      <c r="B173" s="123"/>
      <c r="C173" s="124"/>
      <c r="D173" s="125"/>
      <c r="E173" s="125"/>
      <c r="F173" s="116"/>
      <c r="G173" s="107" t="str">
        <f t="shared" si="17"/>
        <v/>
      </c>
      <c r="H173" s="106">
        <f t="shared" si="16"/>
        <v>3.5999999999999999E-3</v>
      </c>
      <c r="I173" s="107">
        <f t="shared" si="13"/>
        <v>0</v>
      </c>
      <c r="J173" s="107">
        <f t="shared" si="14"/>
        <v>0</v>
      </c>
      <c r="K173" s="107">
        <f t="shared" si="15"/>
        <v>0</v>
      </c>
    </row>
    <row r="174" spans="2:11" ht="20.100000000000001" customHeight="1">
      <c r="B174" s="123"/>
      <c r="C174" s="124"/>
      <c r="D174" s="125"/>
      <c r="E174" s="125"/>
      <c r="F174" s="116"/>
      <c r="G174" s="107" t="str">
        <f t="shared" si="17"/>
        <v/>
      </c>
      <c r="H174" s="106">
        <f t="shared" si="16"/>
        <v>3.5999999999999999E-3</v>
      </c>
      <c r="I174" s="107">
        <f t="shared" si="13"/>
        <v>0</v>
      </c>
      <c r="J174" s="107">
        <f t="shared" si="14"/>
        <v>0</v>
      </c>
      <c r="K174" s="107">
        <f t="shared" si="15"/>
        <v>0</v>
      </c>
    </row>
    <row r="175" spans="2:11" ht="20.100000000000001" customHeight="1">
      <c r="B175" s="123"/>
      <c r="C175" s="124"/>
      <c r="D175" s="125"/>
      <c r="E175" s="125"/>
      <c r="F175" s="116"/>
      <c r="G175" s="107" t="str">
        <f t="shared" si="17"/>
        <v/>
      </c>
      <c r="H175" s="106">
        <f t="shared" si="16"/>
        <v>3.5999999999999999E-3</v>
      </c>
      <c r="I175" s="107">
        <f t="shared" si="13"/>
        <v>0</v>
      </c>
      <c r="J175" s="107">
        <f t="shared" si="14"/>
        <v>0</v>
      </c>
      <c r="K175" s="107">
        <f t="shared" si="15"/>
        <v>0</v>
      </c>
    </row>
    <row r="176" spans="2:11" ht="20.100000000000001" customHeight="1">
      <c r="B176" s="123"/>
      <c r="C176" s="124"/>
      <c r="D176" s="125"/>
      <c r="E176" s="125"/>
      <c r="F176" s="116"/>
      <c r="G176" s="107" t="str">
        <f t="shared" si="17"/>
        <v/>
      </c>
      <c r="H176" s="106">
        <f t="shared" si="16"/>
        <v>3.5999999999999999E-3</v>
      </c>
      <c r="I176" s="107">
        <f t="shared" si="13"/>
        <v>0</v>
      </c>
      <c r="J176" s="107">
        <f t="shared" si="14"/>
        <v>0</v>
      </c>
      <c r="K176" s="107">
        <f t="shared" si="15"/>
        <v>0</v>
      </c>
    </row>
    <row r="177" spans="2:11" ht="20.100000000000001" customHeight="1">
      <c r="B177" s="123"/>
      <c r="C177" s="124"/>
      <c r="D177" s="125"/>
      <c r="E177" s="125"/>
      <c r="F177" s="116"/>
      <c r="G177" s="107" t="str">
        <f t="shared" si="17"/>
        <v/>
      </c>
      <c r="H177" s="106">
        <f t="shared" si="16"/>
        <v>3.5999999999999999E-3</v>
      </c>
      <c r="I177" s="107">
        <f t="shared" si="13"/>
        <v>0</v>
      </c>
      <c r="J177" s="107">
        <f t="shared" si="14"/>
        <v>0</v>
      </c>
      <c r="K177" s="107">
        <f t="shared" si="15"/>
        <v>0</v>
      </c>
    </row>
    <row r="178" spans="2:11" ht="20.100000000000001" customHeight="1">
      <c r="B178" s="123"/>
      <c r="C178" s="124"/>
      <c r="D178" s="125"/>
      <c r="E178" s="125"/>
      <c r="F178" s="116"/>
      <c r="G178" s="107" t="str">
        <f t="shared" si="17"/>
        <v/>
      </c>
      <c r="H178" s="106">
        <f t="shared" si="16"/>
        <v>3.5999999999999999E-3</v>
      </c>
      <c r="I178" s="107">
        <f t="shared" si="13"/>
        <v>0</v>
      </c>
      <c r="J178" s="107">
        <f t="shared" si="14"/>
        <v>0</v>
      </c>
      <c r="K178" s="107">
        <f t="shared" si="15"/>
        <v>0</v>
      </c>
    </row>
    <row r="179" spans="2:11" ht="20.100000000000001" customHeight="1">
      <c r="B179" s="123"/>
      <c r="C179" s="124"/>
      <c r="D179" s="125"/>
      <c r="E179" s="125"/>
      <c r="F179" s="116"/>
      <c r="G179" s="107" t="str">
        <f t="shared" si="17"/>
        <v/>
      </c>
      <c r="H179" s="106">
        <f t="shared" si="16"/>
        <v>3.5999999999999999E-3</v>
      </c>
      <c r="I179" s="107">
        <f t="shared" si="13"/>
        <v>0</v>
      </c>
      <c r="J179" s="107">
        <f t="shared" si="14"/>
        <v>0</v>
      </c>
      <c r="K179" s="107">
        <f t="shared" si="15"/>
        <v>0</v>
      </c>
    </row>
    <row r="180" spans="2:11" ht="20.100000000000001" customHeight="1">
      <c r="B180" s="123"/>
      <c r="C180" s="124"/>
      <c r="D180" s="125"/>
      <c r="E180" s="125"/>
      <c r="F180" s="116"/>
      <c r="G180" s="107" t="str">
        <f t="shared" si="17"/>
        <v/>
      </c>
      <c r="H180" s="106">
        <f t="shared" si="16"/>
        <v>3.5999999999999999E-3</v>
      </c>
      <c r="I180" s="107">
        <f t="shared" si="13"/>
        <v>0</v>
      </c>
      <c r="J180" s="107">
        <f t="shared" si="14"/>
        <v>0</v>
      </c>
      <c r="K180" s="107">
        <f t="shared" si="15"/>
        <v>0</v>
      </c>
    </row>
    <row r="181" spans="2:11" ht="20.100000000000001" customHeight="1">
      <c r="B181" s="123"/>
      <c r="C181" s="124"/>
      <c r="D181" s="125"/>
      <c r="E181" s="125"/>
      <c r="F181" s="116"/>
      <c r="G181" s="107" t="str">
        <f t="shared" si="17"/>
        <v/>
      </c>
      <c r="H181" s="106">
        <f t="shared" si="16"/>
        <v>3.5999999999999999E-3</v>
      </c>
      <c r="I181" s="107">
        <f t="shared" si="13"/>
        <v>0</v>
      </c>
      <c r="J181" s="107">
        <f t="shared" si="14"/>
        <v>0</v>
      </c>
      <c r="K181" s="107">
        <f t="shared" si="15"/>
        <v>0</v>
      </c>
    </row>
    <row r="182" spans="2:11" ht="20.100000000000001" customHeight="1">
      <c r="B182" s="123"/>
      <c r="C182" s="124"/>
      <c r="D182" s="125"/>
      <c r="E182" s="125"/>
      <c r="F182" s="116"/>
      <c r="G182" s="107" t="str">
        <f t="shared" si="17"/>
        <v/>
      </c>
      <c r="H182" s="106">
        <f t="shared" si="16"/>
        <v>3.5999999999999999E-3</v>
      </c>
      <c r="I182" s="107">
        <f t="shared" si="13"/>
        <v>0</v>
      </c>
      <c r="J182" s="107">
        <f t="shared" si="14"/>
        <v>0</v>
      </c>
      <c r="K182" s="107">
        <f t="shared" si="15"/>
        <v>0</v>
      </c>
    </row>
    <row r="183" spans="2:11" ht="20.100000000000001" customHeight="1">
      <c r="B183" s="123"/>
      <c r="C183" s="124"/>
      <c r="D183" s="125"/>
      <c r="E183" s="125"/>
      <c r="F183" s="116"/>
      <c r="G183" s="107" t="str">
        <f t="shared" si="17"/>
        <v/>
      </c>
      <c r="H183" s="106">
        <f t="shared" si="16"/>
        <v>3.5999999999999999E-3</v>
      </c>
      <c r="I183" s="107">
        <f t="shared" si="13"/>
        <v>0</v>
      </c>
      <c r="J183" s="107">
        <f t="shared" si="14"/>
        <v>0</v>
      </c>
      <c r="K183" s="107">
        <f t="shared" si="15"/>
        <v>0</v>
      </c>
    </row>
    <row r="184" spans="2:11" ht="20.100000000000001" customHeight="1">
      <c r="B184" s="123"/>
      <c r="C184" s="124"/>
      <c r="D184" s="125"/>
      <c r="E184" s="125"/>
      <c r="F184" s="116"/>
      <c r="G184" s="107" t="str">
        <f t="shared" si="17"/>
        <v/>
      </c>
      <c r="H184" s="106">
        <f t="shared" si="16"/>
        <v>3.5999999999999999E-3</v>
      </c>
      <c r="I184" s="107">
        <f t="shared" si="13"/>
        <v>0</v>
      </c>
      <c r="J184" s="107">
        <f t="shared" si="14"/>
        <v>0</v>
      </c>
      <c r="K184" s="107">
        <f t="shared" si="15"/>
        <v>0</v>
      </c>
    </row>
    <row r="185" spans="2:11" ht="20.100000000000001" customHeight="1">
      <c r="B185" s="123"/>
      <c r="C185" s="124"/>
      <c r="D185" s="125"/>
      <c r="E185" s="125"/>
      <c r="F185" s="116"/>
      <c r="G185" s="107" t="str">
        <f t="shared" si="17"/>
        <v/>
      </c>
      <c r="H185" s="106">
        <f t="shared" si="16"/>
        <v>3.5999999999999999E-3</v>
      </c>
      <c r="I185" s="107">
        <f t="shared" si="13"/>
        <v>0</v>
      </c>
      <c r="J185" s="107">
        <f t="shared" si="14"/>
        <v>0</v>
      </c>
      <c r="K185" s="107">
        <f t="shared" si="15"/>
        <v>0</v>
      </c>
    </row>
    <row r="186" spans="2:11" ht="20.100000000000001" customHeight="1">
      <c r="B186" s="123"/>
      <c r="C186" s="124"/>
      <c r="D186" s="125"/>
      <c r="E186" s="125"/>
      <c r="F186" s="116"/>
      <c r="G186" s="107" t="str">
        <f t="shared" si="17"/>
        <v/>
      </c>
      <c r="H186" s="106">
        <f t="shared" si="16"/>
        <v>3.5999999999999999E-3</v>
      </c>
      <c r="I186" s="107">
        <f t="shared" si="13"/>
        <v>0</v>
      </c>
      <c r="J186" s="107">
        <f t="shared" si="14"/>
        <v>0</v>
      </c>
      <c r="K186" s="107">
        <f t="shared" si="15"/>
        <v>0</v>
      </c>
    </row>
    <row r="187" spans="2:11" ht="20.100000000000001" customHeight="1">
      <c r="B187" s="123"/>
      <c r="C187" s="124"/>
      <c r="D187" s="125"/>
      <c r="E187" s="125"/>
      <c r="F187" s="116"/>
      <c r="G187" s="107" t="str">
        <f t="shared" si="17"/>
        <v/>
      </c>
      <c r="H187" s="106">
        <f t="shared" si="16"/>
        <v>3.5999999999999999E-3</v>
      </c>
      <c r="I187" s="107">
        <f t="shared" si="13"/>
        <v>0</v>
      </c>
      <c r="J187" s="107">
        <f t="shared" si="14"/>
        <v>0</v>
      </c>
      <c r="K187" s="107">
        <f t="shared" si="15"/>
        <v>0</v>
      </c>
    </row>
    <row r="188" spans="2:11" ht="20.100000000000001" customHeight="1">
      <c r="B188" s="123"/>
      <c r="C188" s="124"/>
      <c r="D188" s="125"/>
      <c r="E188" s="125"/>
      <c r="F188" s="116"/>
      <c r="G188" s="107" t="str">
        <f t="shared" si="17"/>
        <v/>
      </c>
      <c r="H188" s="106">
        <f t="shared" si="16"/>
        <v>3.5999999999999999E-3</v>
      </c>
      <c r="I188" s="107">
        <f t="shared" si="13"/>
        <v>0</v>
      </c>
      <c r="J188" s="107">
        <f t="shared" si="14"/>
        <v>0</v>
      </c>
      <c r="K188" s="107">
        <f t="shared" si="15"/>
        <v>0</v>
      </c>
    </row>
    <row r="189" spans="2:11" ht="20.100000000000001" customHeight="1">
      <c r="B189" s="123"/>
      <c r="C189" s="124"/>
      <c r="D189" s="125"/>
      <c r="E189" s="125"/>
      <c r="F189" s="116"/>
      <c r="G189" s="107" t="str">
        <f t="shared" si="17"/>
        <v/>
      </c>
      <c r="H189" s="106">
        <f t="shared" si="16"/>
        <v>3.5999999999999999E-3</v>
      </c>
      <c r="I189" s="107">
        <f t="shared" si="13"/>
        <v>0</v>
      </c>
      <c r="J189" s="107">
        <f t="shared" si="14"/>
        <v>0</v>
      </c>
      <c r="K189" s="107">
        <f t="shared" si="15"/>
        <v>0</v>
      </c>
    </row>
    <row r="190" spans="2:11" ht="20.100000000000001" customHeight="1">
      <c r="B190" s="123"/>
      <c r="C190" s="124"/>
      <c r="D190" s="125"/>
      <c r="E190" s="125"/>
      <c r="F190" s="116"/>
      <c r="G190" s="107" t="str">
        <f t="shared" si="17"/>
        <v/>
      </c>
      <c r="H190" s="106">
        <f t="shared" si="16"/>
        <v>3.5999999999999999E-3</v>
      </c>
      <c r="I190" s="107">
        <f t="shared" si="13"/>
        <v>0</v>
      </c>
      <c r="J190" s="107">
        <f t="shared" si="14"/>
        <v>0</v>
      </c>
      <c r="K190" s="107">
        <f t="shared" si="15"/>
        <v>0</v>
      </c>
    </row>
    <row r="191" spans="2:11" ht="20.100000000000001" customHeight="1">
      <c r="B191" s="123"/>
      <c r="C191" s="124"/>
      <c r="D191" s="125"/>
      <c r="E191" s="125"/>
      <c r="F191" s="116"/>
      <c r="G191" s="107" t="str">
        <f t="shared" si="17"/>
        <v/>
      </c>
      <c r="H191" s="106">
        <f t="shared" si="16"/>
        <v>3.5999999999999999E-3</v>
      </c>
      <c r="I191" s="107">
        <f t="shared" si="13"/>
        <v>0</v>
      </c>
      <c r="J191" s="107">
        <f t="shared" si="14"/>
        <v>0</v>
      </c>
      <c r="K191" s="107">
        <f t="shared" si="15"/>
        <v>0</v>
      </c>
    </row>
    <row r="192" spans="2:11" ht="20.100000000000001" customHeight="1">
      <c r="B192" s="123"/>
      <c r="C192" s="124"/>
      <c r="D192" s="125"/>
      <c r="E192" s="125"/>
      <c r="F192" s="116"/>
      <c r="G192" s="107" t="str">
        <f t="shared" si="17"/>
        <v/>
      </c>
      <c r="H192" s="106">
        <f t="shared" si="16"/>
        <v>3.5999999999999999E-3</v>
      </c>
      <c r="I192" s="107">
        <f t="shared" si="13"/>
        <v>0</v>
      </c>
      <c r="J192" s="107">
        <f t="shared" si="14"/>
        <v>0</v>
      </c>
      <c r="K192" s="107">
        <f t="shared" si="15"/>
        <v>0</v>
      </c>
    </row>
    <row r="193" spans="2:11" ht="20.100000000000001" customHeight="1">
      <c r="B193" s="123"/>
      <c r="C193" s="124"/>
      <c r="D193" s="125"/>
      <c r="E193" s="125"/>
      <c r="F193" s="116"/>
      <c r="G193" s="107" t="str">
        <f t="shared" si="17"/>
        <v/>
      </c>
      <c r="H193" s="106">
        <f t="shared" si="16"/>
        <v>3.5999999999999999E-3</v>
      </c>
      <c r="I193" s="107">
        <f t="shared" si="13"/>
        <v>0</v>
      </c>
      <c r="J193" s="107">
        <f t="shared" si="14"/>
        <v>0</v>
      </c>
      <c r="K193" s="107">
        <f t="shared" si="15"/>
        <v>0</v>
      </c>
    </row>
    <row r="194" spans="2:11" ht="20.100000000000001" customHeight="1">
      <c r="B194" s="123"/>
      <c r="C194" s="124"/>
      <c r="D194" s="125"/>
      <c r="E194" s="125"/>
      <c r="F194" s="116"/>
      <c r="G194" s="107" t="str">
        <f t="shared" si="17"/>
        <v/>
      </c>
      <c r="H194" s="106">
        <f t="shared" si="16"/>
        <v>3.5999999999999999E-3</v>
      </c>
      <c r="I194" s="107">
        <f t="shared" si="13"/>
        <v>0</v>
      </c>
      <c r="J194" s="107">
        <f t="shared" si="14"/>
        <v>0</v>
      </c>
      <c r="K194" s="107">
        <f t="shared" si="15"/>
        <v>0</v>
      </c>
    </row>
    <row r="195" spans="2:11" ht="20.100000000000001" customHeight="1">
      <c r="B195" s="123"/>
      <c r="C195" s="124"/>
      <c r="D195" s="125"/>
      <c r="E195" s="125"/>
      <c r="F195" s="116"/>
      <c r="G195" s="107" t="str">
        <f t="shared" ref="G195:G199" si="18">IF(ISBLANK(D195),"",E195-D195+1)</f>
        <v/>
      </c>
      <c r="H195" s="106">
        <f t="shared" si="16"/>
        <v>3.5999999999999999E-3</v>
      </c>
      <c r="I195" s="107">
        <f t="shared" si="13"/>
        <v>0</v>
      </c>
      <c r="J195" s="107">
        <f t="shared" si="14"/>
        <v>0</v>
      </c>
      <c r="K195" s="107">
        <f t="shared" si="15"/>
        <v>0</v>
      </c>
    </row>
    <row r="196" spans="2:11" ht="20.100000000000001" customHeight="1">
      <c r="B196" s="123"/>
      <c r="C196" s="124"/>
      <c r="D196" s="125"/>
      <c r="E196" s="125"/>
      <c r="F196" s="116"/>
      <c r="G196" s="107" t="str">
        <f t="shared" si="18"/>
        <v/>
      </c>
      <c r="H196" s="106">
        <f t="shared" si="16"/>
        <v>3.5999999999999999E-3</v>
      </c>
      <c r="I196" s="107">
        <f t="shared" si="13"/>
        <v>0</v>
      </c>
      <c r="J196" s="107">
        <f t="shared" si="14"/>
        <v>0</v>
      </c>
      <c r="K196" s="107">
        <f t="shared" si="15"/>
        <v>0</v>
      </c>
    </row>
    <row r="197" spans="2:11" ht="20.100000000000001" customHeight="1">
      <c r="B197" s="123"/>
      <c r="C197" s="124"/>
      <c r="D197" s="125"/>
      <c r="E197" s="125"/>
      <c r="F197" s="116"/>
      <c r="G197" s="107" t="str">
        <f t="shared" si="18"/>
        <v/>
      </c>
      <c r="H197" s="106">
        <f t="shared" si="16"/>
        <v>3.5999999999999999E-3</v>
      </c>
      <c r="I197" s="107">
        <f t="shared" si="13"/>
        <v>0</v>
      </c>
      <c r="J197" s="107">
        <f t="shared" si="14"/>
        <v>0</v>
      </c>
      <c r="K197" s="107">
        <f t="shared" si="15"/>
        <v>0</v>
      </c>
    </row>
    <row r="198" spans="2:11" ht="20.100000000000001" customHeight="1">
      <c r="B198" s="123"/>
      <c r="C198" s="124"/>
      <c r="D198" s="125"/>
      <c r="E198" s="125"/>
      <c r="F198" s="116"/>
      <c r="G198" s="107" t="str">
        <f t="shared" si="18"/>
        <v/>
      </c>
      <c r="H198" s="106">
        <f t="shared" si="16"/>
        <v>3.5999999999999999E-3</v>
      </c>
      <c r="I198" s="107">
        <f t="shared" si="13"/>
        <v>0</v>
      </c>
      <c r="J198" s="107">
        <f t="shared" si="14"/>
        <v>0</v>
      </c>
      <c r="K198" s="107">
        <f t="shared" si="15"/>
        <v>0</v>
      </c>
    </row>
    <row r="199" spans="2:11" ht="20.100000000000001" customHeight="1">
      <c r="B199" s="129"/>
      <c r="C199" s="130"/>
      <c r="D199" s="131"/>
      <c r="E199" s="131"/>
      <c r="F199" s="132"/>
      <c r="G199" s="107" t="str">
        <f t="shared" si="18"/>
        <v/>
      </c>
      <c r="H199" s="106">
        <f t="shared" si="16"/>
        <v>3.5999999999999999E-3</v>
      </c>
      <c r="I199" s="107">
        <f t="shared" si="13"/>
        <v>0</v>
      </c>
      <c r="J199" s="107">
        <f t="shared" si="14"/>
        <v>0</v>
      </c>
      <c r="K199" s="107">
        <f t="shared" si="15"/>
        <v>0</v>
      </c>
    </row>
    <row r="200" spans="2:11" ht="20.100000000000001" customHeight="1">
      <c r="B200" s="31"/>
      <c r="C200" s="32"/>
      <c r="D200" s="33"/>
      <c r="E200" s="33"/>
      <c r="F200" s="31"/>
      <c r="G200" s="33"/>
      <c r="H200" s="31"/>
      <c r="I200" s="31"/>
      <c r="J200" s="31"/>
      <c r="K200" s="31"/>
    </row>
    <row r="201" spans="2:11" ht="15.6">
      <c r="B201" s="316" t="s">
        <v>1224</v>
      </c>
      <c r="C201" s="316"/>
      <c r="D201" s="316"/>
      <c r="E201" s="316"/>
      <c r="F201" s="316"/>
      <c r="G201" s="316"/>
      <c r="H201" s="316"/>
      <c r="I201" s="316"/>
      <c r="J201" s="316"/>
      <c r="K201" s="316"/>
    </row>
    <row r="202" spans="2:11" ht="13.8" thickBot="1"/>
    <row r="203" spans="2:11" ht="20.100000000000001" customHeight="1" thickBot="1">
      <c r="B203" s="78" t="s">
        <v>471</v>
      </c>
      <c r="C203" s="99" t="s">
        <v>1225</v>
      </c>
      <c r="E203" s="78" t="s">
        <v>475</v>
      </c>
      <c r="F203" s="555"/>
      <c r="G203" s="556"/>
      <c r="H203" s="556"/>
      <c r="I203" s="557"/>
    </row>
    <row r="204" spans="2:11" ht="20.100000000000001" customHeight="1">
      <c r="B204" s="78" t="s">
        <v>477</v>
      </c>
      <c r="C204" s="100" t="str">
        <f>'15C Building Details'!C125</f>
        <v>Scope 1</v>
      </c>
      <c r="E204" s="613" t="s">
        <v>479</v>
      </c>
      <c r="F204" s="563"/>
      <c r="G204" s="564"/>
      <c r="H204" s="564"/>
      <c r="I204" s="565"/>
    </row>
    <row r="205" spans="2:11" ht="20.100000000000001" customHeight="1" thickBot="1">
      <c r="B205" s="78" t="s">
        <v>483</v>
      </c>
      <c r="C205" s="194" t="b">
        <f>'15C Building Details'!C126</f>
        <v>0</v>
      </c>
      <c r="D205" s="317"/>
      <c r="E205" s="614"/>
      <c r="F205" s="566"/>
      <c r="G205" s="567"/>
      <c r="H205" s="567"/>
      <c r="I205" s="568"/>
    </row>
    <row r="206" spans="2:11" ht="20.100000000000001" customHeight="1">
      <c r="B206" s="78" t="s">
        <v>485</v>
      </c>
      <c r="C206" s="100" t="str">
        <f>'15C Building Details'!C127</f>
        <v>MJ</v>
      </c>
    </row>
    <row r="207" spans="2:11" ht="20.100000000000001" customHeight="1">
      <c r="B207" s="78" t="s">
        <v>487</v>
      </c>
      <c r="C207" s="196">
        <f>'15C Building Details'!C128</f>
        <v>1E-3</v>
      </c>
      <c r="E207" s="11" t="s">
        <v>489</v>
      </c>
    </row>
    <row r="208" spans="2:11" ht="20.100000000000001" customHeight="1">
      <c r="G208" s="14"/>
      <c r="J208" s="11"/>
    </row>
    <row r="209" spans="2:11" ht="20.100000000000001" customHeight="1"/>
    <row r="210" spans="2:11" ht="40.200000000000003" customHeight="1" thickBot="1">
      <c r="B210" s="175" t="s">
        <v>491</v>
      </c>
      <c r="C210" s="175" t="s">
        <v>493</v>
      </c>
      <c r="D210" s="175" t="s">
        <v>495</v>
      </c>
      <c r="E210" s="175" t="s">
        <v>497</v>
      </c>
      <c r="F210" s="175" t="str">
        <f>"Billed Quantity ("&amp;C206&amp;")"</f>
        <v>Billed Quantity (MJ)</v>
      </c>
      <c r="G210" s="78" t="s">
        <v>501</v>
      </c>
      <c r="H210" s="78" t="s">
        <v>487</v>
      </c>
      <c r="I210" s="78" t="s">
        <v>1257</v>
      </c>
      <c r="J210" s="78" t="s">
        <v>1258</v>
      </c>
      <c r="K210" s="78" t="s">
        <v>1259</v>
      </c>
    </row>
    <row r="211" spans="2:11" ht="20.100000000000001" customHeight="1">
      <c r="B211" s="120"/>
      <c r="C211" s="121"/>
      <c r="D211" s="122"/>
      <c r="E211" s="122"/>
      <c r="F211" s="113"/>
      <c r="G211" s="105" t="str">
        <f t="shared" ref="G211:G253" si="19">IF(ISBLANK(D211),"",E211-D211+1)</f>
        <v/>
      </c>
      <c r="H211" s="106">
        <f t="shared" ref="H211:H253" si="20">$C$207</f>
        <v>1E-3</v>
      </c>
      <c r="I211" s="107">
        <f t="shared" ref="I211:I253" si="21">IF(F211&gt;0,F211*H211*IF(OR(D211&gt;$H$9,E211&lt;$H$8), 0, IF(D211&lt;$H$8,E211-$H$8,IF($H$9&lt;E211,E211-$H$9,G211)))/G211,0)</f>
        <v>0</v>
      </c>
      <c r="J211" s="107">
        <f t="shared" ref="J211:J253" si="22">IF(F211&gt;0,F211*H211*IF(OR(D211&gt;$I$9,E211&lt;$I$8), 0, IF(D211&lt;$I$8,E211-$I$8,IF($I$9&lt;E211,E211-$I$9,G211)))/G211,0)</f>
        <v>0</v>
      </c>
      <c r="K211" s="107">
        <f t="shared" ref="K211:K253" si="23">IF(F211&gt;0,F211*H211*IF(OR(D211&gt;$J$9,E211&lt;$J$8), 0, IF(D211&lt;$J$8,E211-$J$8,IF($J$9&lt;E211,E211-$J$9,G211)))/G211,0)</f>
        <v>0</v>
      </c>
    </row>
    <row r="212" spans="2:11" ht="20.100000000000001" customHeight="1">
      <c r="B212" s="123"/>
      <c r="C212" s="124"/>
      <c r="D212" s="125"/>
      <c r="E212" s="125"/>
      <c r="F212" s="116"/>
      <c r="G212" s="105" t="str">
        <f t="shared" si="19"/>
        <v/>
      </c>
      <c r="H212" s="106">
        <f t="shared" si="20"/>
        <v>1E-3</v>
      </c>
      <c r="I212" s="107">
        <f t="shared" si="21"/>
        <v>0</v>
      </c>
      <c r="J212" s="107">
        <f t="shared" si="22"/>
        <v>0</v>
      </c>
      <c r="K212" s="107">
        <f t="shared" si="23"/>
        <v>0</v>
      </c>
    </row>
    <row r="213" spans="2:11" ht="20.100000000000001" customHeight="1">
      <c r="B213" s="123"/>
      <c r="C213" s="124"/>
      <c r="D213" s="125"/>
      <c r="E213" s="125"/>
      <c r="F213" s="116"/>
      <c r="G213" s="105" t="str">
        <f t="shared" si="19"/>
        <v/>
      </c>
      <c r="H213" s="106">
        <f t="shared" si="20"/>
        <v>1E-3</v>
      </c>
      <c r="I213" s="107">
        <f t="shared" si="21"/>
        <v>0</v>
      </c>
      <c r="J213" s="107">
        <f t="shared" si="22"/>
        <v>0</v>
      </c>
      <c r="K213" s="107">
        <f t="shared" si="23"/>
        <v>0</v>
      </c>
    </row>
    <row r="214" spans="2:11" ht="20.100000000000001" customHeight="1">
      <c r="B214" s="123"/>
      <c r="C214" s="124"/>
      <c r="D214" s="125"/>
      <c r="E214" s="125"/>
      <c r="F214" s="116"/>
      <c r="G214" s="105" t="str">
        <f t="shared" si="19"/>
        <v/>
      </c>
      <c r="H214" s="106">
        <f t="shared" si="20"/>
        <v>1E-3</v>
      </c>
      <c r="I214" s="107">
        <f t="shared" si="21"/>
        <v>0</v>
      </c>
      <c r="J214" s="107">
        <f t="shared" si="22"/>
        <v>0</v>
      </c>
      <c r="K214" s="107">
        <f t="shared" si="23"/>
        <v>0</v>
      </c>
    </row>
    <row r="215" spans="2:11" ht="20.100000000000001" customHeight="1">
      <c r="B215" s="123"/>
      <c r="C215" s="124"/>
      <c r="D215" s="125"/>
      <c r="E215" s="125"/>
      <c r="F215" s="116"/>
      <c r="G215" s="105" t="str">
        <f t="shared" si="19"/>
        <v/>
      </c>
      <c r="H215" s="106">
        <f t="shared" si="20"/>
        <v>1E-3</v>
      </c>
      <c r="I215" s="107">
        <f t="shared" si="21"/>
        <v>0</v>
      </c>
      <c r="J215" s="107">
        <f t="shared" si="22"/>
        <v>0</v>
      </c>
      <c r="K215" s="107">
        <f t="shared" si="23"/>
        <v>0</v>
      </c>
    </row>
    <row r="216" spans="2:11" ht="20.100000000000001" customHeight="1">
      <c r="B216" s="123"/>
      <c r="C216" s="124"/>
      <c r="D216" s="125"/>
      <c r="E216" s="125"/>
      <c r="F216" s="116"/>
      <c r="G216" s="105" t="str">
        <f t="shared" si="19"/>
        <v/>
      </c>
      <c r="H216" s="106">
        <f t="shared" si="20"/>
        <v>1E-3</v>
      </c>
      <c r="I216" s="107">
        <f t="shared" si="21"/>
        <v>0</v>
      </c>
      <c r="J216" s="107">
        <f t="shared" si="22"/>
        <v>0</v>
      </c>
      <c r="K216" s="107">
        <f t="shared" si="23"/>
        <v>0</v>
      </c>
    </row>
    <row r="217" spans="2:11" ht="20.100000000000001" customHeight="1">
      <c r="B217" s="123"/>
      <c r="C217" s="124"/>
      <c r="D217" s="125"/>
      <c r="E217" s="125"/>
      <c r="F217" s="116"/>
      <c r="G217" s="105" t="str">
        <f t="shared" si="19"/>
        <v/>
      </c>
      <c r="H217" s="106">
        <f t="shared" si="20"/>
        <v>1E-3</v>
      </c>
      <c r="I217" s="107">
        <f t="shared" si="21"/>
        <v>0</v>
      </c>
      <c r="J217" s="107">
        <f t="shared" si="22"/>
        <v>0</v>
      </c>
      <c r="K217" s="107">
        <f t="shared" si="23"/>
        <v>0</v>
      </c>
    </row>
    <row r="218" spans="2:11" ht="20.100000000000001" customHeight="1">
      <c r="B218" s="123"/>
      <c r="C218" s="124"/>
      <c r="D218" s="125"/>
      <c r="E218" s="125"/>
      <c r="F218" s="116"/>
      <c r="G218" s="105" t="str">
        <f t="shared" si="19"/>
        <v/>
      </c>
      <c r="H218" s="106">
        <f t="shared" si="20"/>
        <v>1E-3</v>
      </c>
      <c r="I218" s="107">
        <f t="shared" si="21"/>
        <v>0</v>
      </c>
      <c r="J218" s="107">
        <f t="shared" si="22"/>
        <v>0</v>
      </c>
      <c r="K218" s="107">
        <f t="shared" si="23"/>
        <v>0</v>
      </c>
    </row>
    <row r="219" spans="2:11" ht="20.100000000000001" customHeight="1">
      <c r="B219" s="123"/>
      <c r="C219" s="124"/>
      <c r="D219" s="125"/>
      <c r="E219" s="125"/>
      <c r="F219" s="116"/>
      <c r="G219" s="105" t="str">
        <f t="shared" si="19"/>
        <v/>
      </c>
      <c r="H219" s="106">
        <f t="shared" si="20"/>
        <v>1E-3</v>
      </c>
      <c r="I219" s="107">
        <f t="shared" si="21"/>
        <v>0</v>
      </c>
      <c r="J219" s="107">
        <f t="shared" si="22"/>
        <v>0</v>
      </c>
      <c r="K219" s="107">
        <f t="shared" si="23"/>
        <v>0</v>
      </c>
    </row>
    <row r="220" spans="2:11" ht="20.100000000000001" customHeight="1">
      <c r="B220" s="123"/>
      <c r="C220" s="124"/>
      <c r="D220" s="125"/>
      <c r="E220" s="125"/>
      <c r="F220" s="116"/>
      <c r="G220" s="105" t="str">
        <f t="shared" si="19"/>
        <v/>
      </c>
      <c r="H220" s="106">
        <f t="shared" si="20"/>
        <v>1E-3</v>
      </c>
      <c r="I220" s="107">
        <f t="shared" si="21"/>
        <v>0</v>
      </c>
      <c r="J220" s="107">
        <f t="shared" si="22"/>
        <v>0</v>
      </c>
      <c r="K220" s="107">
        <f t="shared" si="23"/>
        <v>0</v>
      </c>
    </row>
    <row r="221" spans="2:11" ht="20.100000000000001" customHeight="1">
      <c r="B221" s="123"/>
      <c r="C221" s="124"/>
      <c r="D221" s="125"/>
      <c r="E221" s="125"/>
      <c r="F221" s="116"/>
      <c r="G221" s="105" t="str">
        <f t="shared" si="19"/>
        <v/>
      </c>
      <c r="H221" s="106">
        <f t="shared" si="20"/>
        <v>1E-3</v>
      </c>
      <c r="I221" s="107">
        <f t="shared" si="21"/>
        <v>0</v>
      </c>
      <c r="J221" s="107">
        <f t="shared" si="22"/>
        <v>0</v>
      </c>
      <c r="K221" s="107">
        <f t="shared" si="23"/>
        <v>0</v>
      </c>
    </row>
    <row r="222" spans="2:11" ht="20.100000000000001" customHeight="1">
      <c r="B222" s="123"/>
      <c r="C222" s="124"/>
      <c r="D222" s="125"/>
      <c r="E222" s="125"/>
      <c r="F222" s="116"/>
      <c r="G222" s="105" t="str">
        <f t="shared" si="19"/>
        <v/>
      </c>
      <c r="H222" s="106">
        <f t="shared" si="20"/>
        <v>1E-3</v>
      </c>
      <c r="I222" s="107">
        <f t="shared" si="21"/>
        <v>0</v>
      </c>
      <c r="J222" s="107">
        <f t="shared" si="22"/>
        <v>0</v>
      </c>
      <c r="K222" s="107">
        <f t="shared" si="23"/>
        <v>0</v>
      </c>
    </row>
    <row r="223" spans="2:11" ht="20.100000000000001" customHeight="1">
      <c r="B223" s="123"/>
      <c r="C223" s="124"/>
      <c r="D223" s="125"/>
      <c r="E223" s="125"/>
      <c r="F223" s="116"/>
      <c r="G223" s="105" t="str">
        <f t="shared" si="19"/>
        <v/>
      </c>
      <c r="H223" s="106">
        <f t="shared" si="20"/>
        <v>1E-3</v>
      </c>
      <c r="I223" s="107">
        <f t="shared" si="21"/>
        <v>0</v>
      </c>
      <c r="J223" s="107">
        <f t="shared" si="22"/>
        <v>0</v>
      </c>
      <c r="K223" s="107">
        <f t="shared" si="23"/>
        <v>0</v>
      </c>
    </row>
    <row r="224" spans="2:11" ht="20.100000000000001" customHeight="1">
      <c r="B224" s="123"/>
      <c r="C224" s="124"/>
      <c r="D224" s="125"/>
      <c r="E224" s="125"/>
      <c r="F224" s="116"/>
      <c r="G224" s="105" t="str">
        <f t="shared" si="19"/>
        <v/>
      </c>
      <c r="H224" s="106">
        <f t="shared" si="20"/>
        <v>1E-3</v>
      </c>
      <c r="I224" s="107">
        <f t="shared" si="21"/>
        <v>0</v>
      </c>
      <c r="J224" s="107">
        <f t="shared" si="22"/>
        <v>0</v>
      </c>
      <c r="K224" s="107">
        <f t="shared" si="23"/>
        <v>0</v>
      </c>
    </row>
    <row r="225" spans="2:11" ht="20.100000000000001" customHeight="1">
      <c r="B225" s="123"/>
      <c r="C225" s="124"/>
      <c r="D225" s="125"/>
      <c r="E225" s="125"/>
      <c r="F225" s="116"/>
      <c r="G225" s="105" t="str">
        <f t="shared" si="19"/>
        <v/>
      </c>
      <c r="H225" s="106">
        <f t="shared" si="20"/>
        <v>1E-3</v>
      </c>
      <c r="I225" s="107">
        <f t="shared" si="21"/>
        <v>0</v>
      </c>
      <c r="J225" s="107">
        <f t="shared" si="22"/>
        <v>0</v>
      </c>
      <c r="K225" s="107">
        <f t="shared" si="23"/>
        <v>0</v>
      </c>
    </row>
    <row r="226" spans="2:11" ht="20.100000000000001" customHeight="1">
      <c r="B226" s="123"/>
      <c r="C226" s="124"/>
      <c r="D226" s="125"/>
      <c r="E226" s="125"/>
      <c r="F226" s="116"/>
      <c r="G226" s="105" t="str">
        <f t="shared" si="19"/>
        <v/>
      </c>
      <c r="H226" s="106">
        <f t="shared" si="20"/>
        <v>1E-3</v>
      </c>
      <c r="I226" s="107">
        <f t="shared" si="21"/>
        <v>0</v>
      </c>
      <c r="J226" s="107">
        <f t="shared" si="22"/>
        <v>0</v>
      </c>
      <c r="K226" s="107">
        <f t="shared" si="23"/>
        <v>0</v>
      </c>
    </row>
    <row r="227" spans="2:11" ht="20.100000000000001" customHeight="1">
      <c r="B227" s="123"/>
      <c r="C227" s="124"/>
      <c r="D227" s="125"/>
      <c r="E227" s="125"/>
      <c r="F227" s="116"/>
      <c r="G227" s="105" t="str">
        <f t="shared" si="19"/>
        <v/>
      </c>
      <c r="H227" s="106">
        <f t="shared" si="20"/>
        <v>1E-3</v>
      </c>
      <c r="I227" s="107">
        <f t="shared" si="21"/>
        <v>0</v>
      </c>
      <c r="J227" s="107">
        <f t="shared" si="22"/>
        <v>0</v>
      </c>
      <c r="K227" s="107">
        <f t="shared" si="23"/>
        <v>0</v>
      </c>
    </row>
    <row r="228" spans="2:11" ht="20.100000000000001" customHeight="1">
      <c r="B228" s="123"/>
      <c r="C228" s="124"/>
      <c r="D228" s="125"/>
      <c r="E228" s="125"/>
      <c r="F228" s="116"/>
      <c r="G228" s="105" t="str">
        <f t="shared" si="19"/>
        <v/>
      </c>
      <c r="H228" s="106">
        <f t="shared" si="20"/>
        <v>1E-3</v>
      </c>
      <c r="I228" s="107">
        <f t="shared" si="21"/>
        <v>0</v>
      </c>
      <c r="J228" s="107">
        <f t="shared" si="22"/>
        <v>0</v>
      </c>
      <c r="K228" s="107">
        <f t="shared" si="23"/>
        <v>0</v>
      </c>
    </row>
    <row r="229" spans="2:11" ht="20.100000000000001" customHeight="1">
      <c r="B229" s="123"/>
      <c r="C229" s="124"/>
      <c r="D229" s="125"/>
      <c r="E229" s="125"/>
      <c r="F229" s="116"/>
      <c r="G229" s="105" t="str">
        <f t="shared" si="19"/>
        <v/>
      </c>
      <c r="H229" s="106">
        <f t="shared" si="20"/>
        <v>1E-3</v>
      </c>
      <c r="I229" s="107">
        <f t="shared" si="21"/>
        <v>0</v>
      </c>
      <c r="J229" s="107">
        <f t="shared" si="22"/>
        <v>0</v>
      </c>
      <c r="K229" s="107">
        <f t="shared" si="23"/>
        <v>0</v>
      </c>
    </row>
    <row r="230" spans="2:11" ht="20.100000000000001" customHeight="1">
      <c r="B230" s="123"/>
      <c r="C230" s="124"/>
      <c r="D230" s="125"/>
      <c r="E230" s="125"/>
      <c r="F230" s="116"/>
      <c r="G230" s="105" t="str">
        <f t="shared" si="19"/>
        <v/>
      </c>
      <c r="H230" s="106">
        <f t="shared" si="20"/>
        <v>1E-3</v>
      </c>
      <c r="I230" s="107">
        <f t="shared" si="21"/>
        <v>0</v>
      </c>
      <c r="J230" s="107">
        <f t="shared" si="22"/>
        <v>0</v>
      </c>
      <c r="K230" s="107">
        <f t="shared" si="23"/>
        <v>0</v>
      </c>
    </row>
    <row r="231" spans="2:11" ht="20.100000000000001" customHeight="1">
      <c r="B231" s="123"/>
      <c r="C231" s="124"/>
      <c r="D231" s="125"/>
      <c r="E231" s="125"/>
      <c r="F231" s="116"/>
      <c r="G231" s="105" t="str">
        <f t="shared" si="19"/>
        <v/>
      </c>
      <c r="H231" s="106">
        <f t="shared" si="20"/>
        <v>1E-3</v>
      </c>
      <c r="I231" s="107">
        <f t="shared" si="21"/>
        <v>0</v>
      </c>
      <c r="J231" s="107">
        <f t="shared" si="22"/>
        <v>0</v>
      </c>
      <c r="K231" s="107">
        <f t="shared" si="23"/>
        <v>0</v>
      </c>
    </row>
    <row r="232" spans="2:11" ht="20.100000000000001" customHeight="1">
      <c r="B232" s="123"/>
      <c r="C232" s="124"/>
      <c r="D232" s="125"/>
      <c r="E232" s="125"/>
      <c r="F232" s="116"/>
      <c r="G232" s="105" t="str">
        <f t="shared" si="19"/>
        <v/>
      </c>
      <c r="H232" s="106">
        <f t="shared" si="20"/>
        <v>1E-3</v>
      </c>
      <c r="I232" s="107">
        <f t="shared" si="21"/>
        <v>0</v>
      </c>
      <c r="J232" s="107">
        <f t="shared" si="22"/>
        <v>0</v>
      </c>
      <c r="K232" s="107">
        <f t="shared" si="23"/>
        <v>0</v>
      </c>
    </row>
    <row r="233" spans="2:11" ht="20.100000000000001" customHeight="1">
      <c r="B233" s="123"/>
      <c r="C233" s="124"/>
      <c r="D233" s="125"/>
      <c r="E233" s="125"/>
      <c r="F233" s="116"/>
      <c r="G233" s="105" t="str">
        <f t="shared" si="19"/>
        <v/>
      </c>
      <c r="H233" s="106">
        <f t="shared" si="20"/>
        <v>1E-3</v>
      </c>
      <c r="I233" s="107">
        <f t="shared" si="21"/>
        <v>0</v>
      </c>
      <c r="J233" s="107">
        <f t="shared" si="22"/>
        <v>0</v>
      </c>
      <c r="K233" s="107">
        <f t="shared" si="23"/>
        <v>0</v>
      </c>
    </row>
    <row r="234" spans="2:11" ht="20.100000000000001" customHeight="1">
      <c r="B234" s="123"/>
      <c r="C234" s="124"/>
      <c r="D234" s="125"/>
      <c r="E234" s="125"/>
      <c r="F234" s="116"/>
      <c r="G234" s="105" t="str">
        <f t="shared" si="19"/>
        <v/>
      </c>
      <c r="H234" s="106">
        <f t="shared" si="20"/>
        <v>1E-3</v>
      </c>
      <c r="I234" s="107">
        <f t="shared" si="21"/>
        <v>0</v>
      </c>
      <c r="J234" s="107">
        <f t="shared" si="22"/>
        <v>0</v>
      </c>
      <c r="K234" s="107">
        <f t="shared" si="23"/>
        <v>0</v>
      </c>
    </row>
    <row r="235" spans="2:11" ht="20.100000000000001" customHeight="1">
      <c r="B235" s="123"/>
      <c r="C235" s="124"/>
      <c r="D235" s="125"/>
      <c r="E235" s="125"/>
      <c r="F235" s="116"/>
      <c r="G235" s="105" t="str">
        <f t="shared" si="19"/>
        <v/>
      </c>
      <c r="H235" s="106">
        <f t="shared" si="20"/>
        <v>1E-3</v>
      </c>
      <c r="I235" s="107">
        <f t="shared" si="21"/>
        <v>0</v>
      </c>
      <c r="J235" s="107">
        <f t="shared" si="22"/>
        <v>0</v>
      </c>
      <c r="K235" s="107">
        <f t="shared" si="23"/>
        <v>0</v>
      </c>
    </row>
    <row r="236" spans="2:11" ht="20.100000000000001" customHeight="1">
      <c r="B236" s="123"/>
      <c r="C236" s="124"/>
      <c r="D236" s="125"/>
      <c r="E236" s="125"/>
      <c r="F236" s="116"/>
      <c r="G236" s="105" t="str">
        <f t="shared" si="19"/>
        <v/>
      </c>
      <c r="H236" s="106">
        <f t="shared" si="20"/>
        <v>1E-3</v>
      </c>
      <c r="I236" s="107">
        <f t="shared" si="21"/>
        <v>0</v>
      </c>
      <c r="J236" s="107">
        <f t="shared" si="22"/>
        <v>0</v>
      </c>
      <c r="K236" s="107">
        <f t="shared" si="23"/>
        <v>0</v>
      </c>
    </row>
    <row r="237" spans="2:11" ht="20.100000000000001" customHeight="1">
      <c r="B237" s="123"/>
      <c r="C237" s="124"/>
      <c r="D237" s="125"/>
      <c r="E237" s="125"/>
      <c r="F237" s="116"/>
      <c r="G237" s="105" t="str">
        <f t="shared" si="19"/>
        <v/>
      </c>
      <c r="H237" s="106">
        <f t="shared" si="20"/>
        <v>1E-3</v>
      </c>
      <c r="I237" s="107">
        <f t="shared" si="21"/>
        <v>0</v>
      </c>
      <c r="J237" s="107">
        <f t="shared" si="22"/>
        <v>0</v>
      </c>
      <c r="K237" s="107">
        <f t="shared" si="23"/>
        <v>0</v>
      </c>
    </row>
    <row r="238" spans="2:11" ht="20.100000000000001" customHeight="1">
      <c r="B238" s="123"/>
      <c r="C238" s="124"/>
      <c r="D238" s="125"/>
      <c r="E238" s="125"/>
      <c r="F238" s="116"/>
      <c r="G238" s="105" t="str">
        <f t="shared" si="19"/>
        <v/>
      </c>
      <c r="H238" s="106">
        <f t="shared" si="20"/>
        <v>1E-3</v>
      </c>
      <c r="I238" s="107">
        <f t="shared" si="21"/>
        <v>0</v>
      </c>
      <c r="J238" s="107">
        <f t="shared" si="22"/>
        <v>0</v>
      </c>
      <c r="K238" s="107">
        <f t="shared" si="23"/>
        <v>0</v>
      </c>
    </row>
    <row r="239" spans="2:11" ht="20.100000000000001" customHeight="1">
      <c r="B239" s="123"/>
      <c r="C239" s="124"/>
      <c r="D239" s="125"/>
      <c r="E239" s="125"/>
      <c r="F239" s="116"/>
      <c r="G239" s="105" t="str">
        <f t="shared" si="19"/>
        <v/>
      </c>
      <c r="H239" s="106">
        <f t="shared" si="20"/>
        <v>1E-3</v>
      </c>
      <c r="I239" s="107">
        <f t="shared" si="21"/>
        <v>0</v>
      </c>
      <c r="J239" s="107">
        <f t="shared" si="22"/>
        <v>0</v>
      </c>
      <c r="K239" s="107">
        <f t="shared" si="23"/>
        <v>0</v>
      </c>
    </row>
    <row r="240" spans="2:11" ht="20.100000000000001" customHeight="1">
      <c r="B240" s="123"/>
      <c r="C240" s="124"/>
      <c r="D240" s="125"/>
      <c r="E240" s="125"/>
      <c r="F240" s="116"/>
      <c r="G240" s="105" t="str">
        <f t="shared" si="19"/>
        <v/>
      </c>
      <c r="H240" s="106">
        <f t="shared" si="20"/>
        <v>1E-3</v>
      </c>
      <c r="I240" s="107">
        <f t="shared" si="21"/>
        <v>0</v>
      </c>
      <c r="J240" s="107">
        <f t="shared" si="22"/>
        <v>0</v>
      </c>
      <c r="K240" s="107">
        <f t="shared" si="23"/>
        <v>0</v>
      </c>
    </row>
    <row r="241" spans="2:11" ht="20.100000000000001" customHeight="1">
      <c r="B241" s="123"/>
      <c r="C241" s="124"/>
      <c r="D241" s="125"/>
      <c r="E241" s="125"/>
      <c r="F241" s="116"/>
      <c r="G241" s="105" t="str">
        <f t="shared" si="19"/>
        <v/>
      </c>
      <c r="H241" s="106">
        <f t="shared" si="20"/>
        <v>1E-3</v>
      </c>
      <c r="I241" s="107">
        <f t="shared" si="21"/>
        <v>0</v>
      </c>
      <c r="J241" s="107">
        <f t="shared" si="22"/>
        <v>0</v>
      </c>
      <c r="K241" s="107">
        <f t="shared" si="23"/>
        <v>0</v>
      </c>
    </row>
    <row r="242" spans="2:11" ht="20.100000000000001" customHeight="1">
      <c r="B242" s="123"/>
      <c r="C242" s="124"/>
      <c r="D242" s="125"/>
      <c r="E242" s="125"/>
      <c r="F242" s="116"/>
      <c r="G242" s="105" t="str">
        <f t="shared" si="19"/>
        <v/>
      </c>
      <c r="H242" s="106">
        <f t="shared" si="20"/>
        <v>1E-3</v>
      </c>
      <c r="I242" s="107">
        <f t="shared" si="21"/>
        <v>0</v>
      </c>
      <c r="J242" s="107">
        <f t="shared" si="22"/>
        <v>0</v>
      </c>
      <c r="K242" s="107">
        <f t="shared" si="23"/>
        <v>0</v>
      </c>
    </row>
    <row r="243" spans="2:11" ht="20.100000000000001" customHeight="1">
      <c r="B243" s="123"/>
      <c r="C243" s="124"/>
      <c r="D243" s="125"/>
      <c r="E243" s="125"/>
      <c r="F243" s="116"/>
      <c r="G243" s="105" t="str">
        <f t="shared" si="19"/>
        <v/>
      </c>
      <c r="H243" s="106">
        <f t="shared" si="20"/>
        <v>1E-3</v>
      </c>
      <c r="I243" s="107">
        <f t="shared" si="21"/>
        <v>0</v>
      </c>
      <c r="J243" s="107">
        <f t="shared" si="22"/>
        <v>0</v>
      </c>
      <c r="K243" s="107">
        <f t="shared" si="23"/>
        <v>0</v>
      </c>
    </row>
    <row r="244" spans="2:11" ht="20.100000000000001" customHeight="1">
      <c r="B244" s="123"/>
      <c r="C244" s="124"/>
      <c r="D244" s="125"/>
      <c r="E244" s="125"/>
      <c r="F244" s="116"/>
      <c r="G244" s="105" t="str">
        <f t="shared" si="19"/>
        <v/>
      </c>
      <c r="H244" s="106">
        <f t="shared" si="20"/>
        <v>1E-3</v>
      </c>
      <c r="I244" s="107">
        <f t="shared" si="21"/>
        <v>0</v>
      </c>
      <c r="J244" s="107">
        <f t="shared" si="22"/>
        <v>0</v>
      </c>
      <c r="K244" s="107">
        <f t="shared" si="23"/>
        <v>0</v>
      </c>
    </row>
    <row r="245" spans="2:11" ht="20.100000000000001" customHeight="1">
      <c r="B245" s="123"/>
      <c r="C245" s="124"/>
      <c r="D245" s="125"/>
      <c r="E245" s="125"/>
      <c r="F245" s="116"/>
      <c r="G245" s="105" t="str">
        <f t="shared" si="19"/>
        <v/>
      </c>
      <c r="H245" s="106">
        <f t="shared" si="20"/>
        <v>1E-3</v>
      </c>
      <c r="I245" s="107">
        <f t="shared" si="21"/>
        <v>0</v>
      </c>
      <c r="J245" s="107">
        <f t="shared" si="22"/>
        <v>0</v>
      </c>
      <c r="K245" s="107">
        <f t="shared" si="23"/>
        <v>0</v>
      </c>
    </row>
    <row r="246" spans="2:11" ht="20.100000000000001" customHeight="1">
      <c r="B246" s="123"/>
      <c r="C246" s="124"/>
      <c r="D246" s="125"/>
      <c r="E246" s="125"/>
      <c r="F246" s="116"/>
      <c r="G246" s="105" t="str">
        <f t="shared" si="19"/>
        <v/>
      </c>
      <c r="H246" s="106">
        <f t="shared" si="20"/>
        <v>1E-3</v>
      </c>
      <c r="I246" s="107">
        <f t="shared" si="21"/>
        <v>0</v>
      </c>
      <c r="J246" s="107">
        <f t="shared" si="22"/>
        <v>0</v>
      </c>
      <c r="K246" s="107">
        <f t="shared" si="23"/>
        <v>0</v>
      </c>
    </row>
    <row r="247" spans="2:11" ht="20.100000000000001" customHeight="1">
      <c r="B247" s="123"/>
      <c r="C247" s="124"/>
      <c r="D247" s="125"/>
      <c r="E247" s="125"/>
      <c r="F247" s="116"/>
      <c r="G247" s="105" t="str">
        <f t="shared" si="19"/>
        <v/>
      </c>
      <c r="H247" s="106">
        <f t="shared" si="20"/>
        <v>1E-3</v>
      </c>
      <c r="I247" s="107">
        <f t="shared" si="21"/>
        <v>0</v>
      </c>
      <c r="J247" s="107">
        <f t="shared" si="22"/>
        <v>0</v>
      </c>
      <c r="K247" s="107">
        <f t="shared" si="23"/>
        <v>0</v>
      </c>
    </row>
    <row r="248" spans="2:11" ht="20.100000000000001" customHeight="1">
      <c r="B248" s="123"/>
      <c r="C248" s="124"/>
      <c r="D248" s="125"/>
      <c r="E248" s="125"/>
      <c r="F248" s="116"/>
      <c r="G248" s="105" t="str">
        <f t="shared" si="19"/>
        <v/>
      </c>
      <c r="H248" s="106">
        <f t="shared" si="20"/>
        <v>1E-3</v>
      </c>
      <c r="I248" s="107">
        <f t="shared" si="21"/>
        <v>0</v>
      </c>
      <c r="J248" s="107">
        <f t="shared" si="22"/>
        <v>0</v>
      </c>
      <c r="K248" s="107">
        <f t="shared" si="23"/>
        <v>0</v>
      </c>
    </row>
    <row r="249" spans="2:11" ht="20.100000000000001" customHeight="1">
      <c r="B249" s="123"/>
      <c r="C249" s="124"/>
      <c r="D249" s="125"/>
      <c r="E249" s="125"/>
      <c r="F249" s="116"/>
      <c r="G249" s="105" t="str">
        <f t="shared" si="19"/>
        <v/>
      </c>
      <c r="H249" s="106">
        <f t="shared" si="20"/>
        <v>1E-3</v>
      </c>
      <c r="I249" s="107">
        <f t="shared" si="21"/>
        <v>0</v>
      </c>
      <c r="J249" s="107">
        <f t="shared" si="22"/>
        <v>0</v>
      </c>
      <c r="K249" s="107">
        <f t="shared" si="23"/>
        <v>0</v>
      </c>
    </row>
    <row r="250" spans="2:11" ht="20.100000000000001" customHeight="1">
      <c r="B250" s="123"/>
      <c r="C250" s="124"/>
      <c r="D250" s="125"/>
      <c r="E250" s="125"/>
      <c r="F250" s="116"/>
      <c r="G250" s="105" t="str">
        <f t="shared" si="19"/>
        <v/>
      </c>
      <c r="H250" s="106">
        <f t="shared" si="20"/>
        <v>1E-3</v>
      </c>
      <c r="I250" s="107">
        <f t="shared" si="21"/>
        <v>0</v>
      </c>
      <c r="J250" s="107">
        <f t="shared" si="22"/>
        <v>0</v>
      </c>
      <c r="K250" s="107">
        <f t="shared" si="23"/>
        <v>0</v>
      </c>
    </row>
    <row r="251" spans="2:11" ht="20.100000000000001" customHeight="1">
      <c r="B251" s="123"/>
      <c r="C251" s="124"/>
      <c r="D251" s="125"/>
      <c r="E251" s="125"/>
      <c r="F251" s="116"/>
      <c r="G251" s="105" t="str">
        <f t="shared" si="19"/>
        <v/>
      </c>
      <c r="H251" s="106">
        <f t="shared" si="20"/>
        <v>1E-3</v>
      </c>
      <c r="I251" s="107">
        <f t="shared" si="21"/>
        <v>0</v>
      </c>
      <c r="J251" s="107">
        <f t="shared" si="22"/>
        <v>0</v>
      </c>
      <c r="K251" s="107">
        <f t="shared" si="23"/>
        <v>0</v>
      </c>
    </row>
    <row r="252" spans="2:11" ht="20.100000000000001" customHeight="1">
      <c r="B252" s="123"/>
      <c r="C252" s="124"/>
      <c r="D252" s="125"/>
      <c r="E252" s="125"/>
      <c r="F252" s="116"/>
      <c r="G252" s="105" t="str">
        <f t="shared" si="19"/>
        <v/>
      </c>
      <c r="H252" s="106">
        <f t="shared" si="20"/>
        <v>1E-3</v>
      </c>
      <c r="I252" s="107">
        <f t="shared" si="21"/>
        <v>0</v>
      </c>
      <c r="J252" s="107">
        <f t="shared" si="22"/>
        <v>0</v>
      </c>
      <c r="K252" s="107">
        <f t="shared" si="23"/>
        <v>0</v>
      </c>
    </row>
    <row r="253" spans="2:11" ht="20.100000000000001" customHeight="1" thickBot="1">
      <c r="B253" s="126"/>
      <c r="C253" s="127"/>
      <c r="D253" s="128"/>
      <c r="E253" s="128"/>
      <c r="F253" s="119"/>
      <c r="G253" s="105" t="str">
        <f t="shared" si="19"/>
        <v/>
      </c>
      <c r="H253" s="106">
        <f t="shared" si="20"/>
        <v>1E-3</v>
      </c>
      <c r="I253" s="107">
        <f t="shared" si="21"/>
        <v>0</v>
      </c>
      <c r="J253" s="107">
        <f t="shared" si="22"/>
        <v>0</v>
      </c>
      <c r="K253" s="107">
        <f t="shared" si="23"/>
        <v>0</v>
      </c>
    </row>
    <row r="254" spans="2:11">
      <c r="D254" s="26"/>
      <c r="E254" s="26"/>
      <c r="F254" s="27"/>
    </row>
    <row r="255" spans="2:11" ht="15.6">
      <c r="B255" s="316" t="s">
        <v>1226</v>
      </c>
      <c r="C255" s="316"/>
      <c r="D255" s="316"/>
      <c r="E255" s="316"/>
      <c r="F255" s="316"/>
      <c r="G255" s="316"/>
      <c r="H255" s="316"/>
      <c r="I255" s="316"/>
      <c r="J255" s="316"/>
      <c r="K255" s="316"/>
    </row>
    <row r="256" spans="2:11" ht="13.8" thickBot="1"/>
    <row r="257" spans="2:11" ht="20.100000000000001" customHeight="1" thickBot="1">
      <c r="B257" s="78" t="s">
        <v>471</v>
      </c>
      <c r="C257" s="99" t="s">
        <v>1260</v>
      </c>
      <c r="E257" s="78" t="s">
        <v>475</v>
      </c>
      <c r="F257" s="555"/>
      <c r="G257" s="556"/>
      <c r="H257" s="556"/>
      <c r="I257" s="557"/>
    </row>
    <row r="258" spans="2:11" ht="20.100000000000001" customHeight="1">
      <c r="B258" s="78" t="s">
        <v>477</v>
      </c>
      <c r="C258" s="99" t="str">
        <f>IF(C257="Electricity",VLOOKUP($C$12,'NGER Emission Factors old'!$A$23:$J$34,2,FALSE),IF(C257="GreenPower",VLOOKUP(C257,'NGER Emission Factors old'!$A$23:$J$35,2,FALSE),VLOOKUP(C257,'NGER Emission Factors old'!$A$5:$J$18,2,FALSE)))</f>
        <v>Scope 1</v>
      </c>
      <c r="E258" s="613" t="s">
        <v>479</v>
      </c>
      <c r="F258" s="563"/>
      <c r="G258" s="564"/>
      <c r="H258" s="564"/>
      <c r="I258" s="565"/>
    </row>
    <row r="259" spans="2:11" ht="20.100000000000001" customHeight="1" thickBot="1">
      <c r="B259" s="78" t="s">
        <v>483</v>
      </c>
      <c r="C259" s="194" t="b">
        <f>'15C Building Details'!C149</f>
        <v>0</v>
      </c>
      <c r="D259" s="317"/>
      <c r="E259" s="614"/>
      <c r="F259" s="566"/>
      <c r="G259" s="567"/>
      <c r="H259" s="567"/>
      <c r="I259" s="568"/>
    </row>
    <row r="260" spans="2:11" ht="20.100000000000001" customHeight="1">
      <c r="B260" s="78" t="s">
        <v>485</v>
      </c>
      <c r="C260" s="194" t="str">
        <f>'15C Building Details'!C150</f>
        <v>kL</v>
      </c>
    </row>
    <row r="261" spans="2:11" ht="20.100000000000001" customHeight="1">
      <c r="B261" s="78" t="s">
        <v>487</v>
      </c>
      <c r="C261" s="194">
        <f>'15C Building Details'!C151</f>
        <v>26.2</v>
      </c>
      <c r="E261" s="11" t="s">
        <v>489</v>
      </c>
    </row>
    <row r="262" spans="2:11" ht="20.100000000000001" customHeight="1">
      <c r="G262" s="14"/>
      <c r="J262" s="11"/>
    </row>
    <row r="264" spans="2:11" ht="40.200000000000003" customHeight="1" thickBot="1">
      <c r="B264" s="78" t="s">
        <v>491</v>
      </c>
      <c r="C264" s="78" t="s">
        <v>493</v>
      </c>
      <c r="D264" s="78" t="s">
        <v>495</v>
      </c>
      <c r="E264" s="78" t="s">
        <v>497</v>
      </c>
      <c r="F264" s="78" t="str">
        <f>"Billed Quantity ("&amp;C260&amp;")"</f>
        <v>Billed Quantity (kL)</v>
      </c>
      <c r="G264" s="78" t="s">
        <v>501</v>
      </c>
      <c r="H264" s="78" t="s">
        <v>487</v>
      </c>
      <c r="I264" s="78" t="s">
        <v>1257</v>
      </c>
      <c r="J264" s="78" t="s">
        <v>1258</v>
      </c>
      <c r="K264" s="78" t="s">
        <v>1259</v>
      </c>
    </row>
    <row r="265" spans="2:11" ht="20.100000000000001" customHeight="1">
      <c r="B265" s="120"/>
      <c r="C265" s="121"/>
      <c r="D265" s="122"/>
      <c r="E265" s="122"/>
      <c r="F265" s="113"/>
      <c r="G265" s="107" t="str">
        <f t="shared" ref="G265:G300" si="24">IF(ISBLANK(D265),"",E265-D265+1)</f>
        <v/>
      </c>
      <c r="H265" s="106">
        <f t="shared" ref="H265:H300" si="25">$C$261</f>
        <v>26.2</v>
      </c>
      <c r="I265" s="107">
        <f t="shared" ref="I265:I300" si="26">IF(F265&gt;0,F265*H265*IF(OR(D265&gt;$H$9,E265&lt;$H$8), 0, IF(D265&lt;$H$8,E265-$H$8,IF($H$9&lt;E265,E265-$H$9,G265)))/G265,0)</f>
        <v>0</v>
      </c>
      <c r="J265" s="107">
        <f t="shared" ref="J265:J300" si="27">IF(F265&gt;0,F265*H265*IF(OR(D265&gt;$I$9,E265&lt;$I$8), 0, IF(D265&lt;$I$8,E265-$I$8,IF($I$9&lt;E265,E265-$I$9,G265)))/G265,0)</f>
        <v>0</v>
      </c>
      <c r="K265" s="107">
        <f t="shared" ref="K265:K300" si="28">IF(F265&gt;0,F265*H265*IF(OR(D265&gt;$J$9,E265&lt;$J$8), 0, IF(D265&lt;$J$8,E265-$J$8,IF($J$9&lt;E265,E265-$J$9,G265)))/G265,0)</f>
        <v>0</v>
      </c>
    </row>
    <row r="266" spans="2:11" ht="20.100000000000001" customHeight="1">
      <c r="B266" s="123"/>
      <c r="C266" s="124"/>
      <c r="D266" s="125"/>
      <c r="E266" s="125"/>
      <c r="F266" s="116"/>
      <c r="G266" s="107" t="str">
        <f t="shared" si="24"/>
        <v/>
      </c>
      <c r="H266" s="106">
        <f t="shared" si="25"/>
        <v>26.2</v>
      </c>
      <c r="I266" s="107">
        <f t="shared" si="26"/>
        <v>0</v>
      </c>
      <c r="J266" s="107">
        <f t="shared" si="27"/>
        <v>0</v>
      </c>
      <c r="K266" s="107">
        <f t="shared" si="28"/>
        <v>0</v>
      </c>
    </row>
    <row r="267" spans="2:11" ht="20.100000000000001" customHeight="1">
      <c r="B267" s="123"/>
      <c r="C267" s="124"/>
      <c r="D267" s="125"/>
      <c r="E267" s="125"/>
      <c r="F267" s="116"/>
      <c r="G267" s="107" t="str">
        <f t="shared" si="24"/>
        <v/>
      </c>
      <c r="H267" s="106">
        <f t="shared" si="25"/>
        <v>26.2</v>
      </c>
      <c r="I267" s="107">
        <f t="shared" si="26"/>
        <v>0</v>
      </c>
      <c r="J267" s="107">
        <f t="shared" si="27"/>
        <v>0</v>
      </c>
      <c r="K267" s="107">
        <f t="shared" si="28"/>
        <v>0</v>
      </c>
    </row>
    <row r="268" spans="2:11" ht="20.100000000000001" customHeight="1">
      <c r="B268" s="123"/>
      <c r="C268" s="124"/>
      <c r="D268" s="125"/>
      <c r="E268" s="125"/>
      <c r="F268" s="116"/>
      <c r="G268" s="107" t="str">
        <f t="shared" si="24"/>
        <v/>
      </c>
      <c r="H268" s="106">
        <f t="shared" si="25"/>
        <v>26.2</v>
      </c>
      <c r="I268" s="107">
        <f t="shared" si="26"/>
        <v>0</v>
      </c>
      <c r="J268" s="107">
        <f t="shared" si="27"/>
        <v>0</v>
      </c>
      <c r="K268" s="107">
        <f t="shared" si="28"/>
        <v>0</v>
      </c>
    </row>
    <row r="269" spans="2:11" ht="20.100000000000001" customHeight="1">
      <c r="B269" s="123"/>
      <c r="C269" s="124"/>
      <c r="D269" s="125"/>
      <c r="E269" s="125"/>
      <c r="F269" s="116"/>
      <c r="G269" s="107" t="str">
        <f t="shared" si="24"/>
        <v/>
      </c>
      <c r="H269" s="106">
        <f t="shared" si="25"/>
        <v>26.2</v>
      </c>
      <c r="I269" s="107">
        <f t="shared" si="26"/>
        <v>0</v>
      </c>
      <c r="J269" s="107">
        <f t="shared" si="27"/>
        <v>0</v>
      </c>
      <c r="K269" s="107">
        <f t="shared" si="28"/>
        <v>0</v>
      </c>
    </row>
    <row r="270" spans="2:11" ht="20.100000000000001" customHeight="1">
      <c r="B270" s="123"/>
      <c r="C270" s="124"/>
      <c r="D270" s="125"/>
      <c r="E270" s="125"/>
      <c r="F270" s="116"/>
      <c r="G270" s="107" t="str">
        <f t="shared" si="24"/>
        <v/>
      </c>
      <c r="H270" s="106">
        <f t="shared" si="25"/>
        <v>26.2</v>
      </c>
      <c r="I270" s="107">
        <f t="shared" si="26"/>
        <v>0</v>
      </c>
      <c r="J270" s="107">
        <f t="shared" si="27"/>
        <v>0</v>
      </c>
      <c r="K270" s="107">
        <f t="shared" si="28"/>
        <v>0</v>
      </c>
    </row>
    <row r="271" spans="2:11" ht="20.100000000000001" customHeight="1">
      <c r="B271" s="123"/>
      <c r="C271" s="124"/>
      <c r="D271" s="125"/>
      <c r="E271" s="125"/>
      <c r="F271" s="116"/>
      <c r="G271" s="107" t="str">
        <f t="shared" si="24"/>
        <v/>
      </c>
      <c r="H271" s="106">
        <f t="shared" si="25"/>
        <v>26.2</v>
      </c>
      <c r="I271" s="107">
        <f t="shared" si="26"/>
        <v>0</v>
      </c>
      <c r="J271" s="107">
        <f t="shared" si="27"/>
        <v>0</v>
      </c>
      <c r="K271" s="107">
        <f t="shared" si="28"/>
        <v>0</v>
      </c>
    </row>
    <row r="272" spans="2:11" ht="20.100000000000001" customHeight="1">
      <c r="B272" s="123"/>
      <c r="C272" s="124"/>
      <c r="D272" s="125"/>
      <c r="E272" s="125"/>
      <c r="F272" s="116"/>
      <c r="G272" s="107" t="str">
        <f t="shared" si="24"/>
        <v/>
      </c>
      <c r="H272" s="106">
        <f t="shared" si="25"/>
        <v>26.2</v>
      </c>
      <c r="I272" s="107">
        <f t="shared" si="26"/>
        <v>0</v>
      </c>
      <c r="J272" s="107">
        <f t="shared" si="27"/>
        <v>0</v>
      </c>
      <c r="K272" s="107">
        <f t="shared" si="28"/>
        <v>0</v>
      </c>
    </row>
    <row r="273" spans="2:11" ht="20.100000000000001" customHeight="1">
      <c r="B273" s="123"/>
      <c r="C273" s="124"/>
      <c r="D273" s="125"/>
      <c r="E273" s="125"/>
      <c r="F273" s="116"/>
      <c r="G273" s="107" t="str">
        <f t="shared" si="24"/>
        <v/>
      </c>
      <c r="H273" s="106">
        <f t="shared" si="25"/>
        <v>26.2</v>
      </c>
      <c r="I273" s="107">
        <f t="shared" si="26"/>
        <v>0</v>
      </c>
      <c r="J273" s="107">
        <f t="shared" si="27"/>
        <v>0</v>
      </c>
      <c r="K273" s="107">
        <f t="shared" si="28"/>
        <v>0</v>
      </c>
    </row>
    <row r="274" spans="2:11" ht="20.100000000000001" customHeight="1">
      <c r="B274" s="123"/>
      <c r="C274" s="124"/>
      <c r="D274" s="125"/>
      <c r="E274" s="125"/>
      <c r="F274" s="116"/>
      <c r="G274" s="107" t="str">
        <f t="shared" si="24"/>
        <v/>
      </c>
      <c r="H274" s="106">
        <f t="shared" si="25"/>
        <v>26.2</v>
      </c>
      <c r="I274" s="107">
        <f t="shared" si="26"/>
        <v>0</v>
      </c>
      <c r="J274" s="107">
        <f t="shared" si="27"/>
        <v>0</v>
      </c>
      <c r="K274" s="107">
        <f t="shared" si="28"/>
        <v>0</v>
      </c>
    </row>
    <row r="275" spans="2:11" ht="20.100000000000001" customHeight="1">
      <c r="B275" s="123"/>
      <c r="C275" s="124"/>
      <c r="D275" s="125"/>
      <c r="E275" s="125"/>
      <c r="F275" s="116"/>
      <c r="G275" s="107" t="str">
        <f t="shared" si="24"/>
        <v/>
      </c>
      <c r="H275" s="106">
        <f t="shared" si="25"/>
        <v>26.2</v>
      </c>
      <c r="I275" s="107">
        <f t="shared" si="26"/>
        <v>0</v>
      </c>
      <c r="J275" s="107">
        <f t="shared" si="27"/>
        <v>0</v>
      </c>
      <c r="K275" s="107">
        <f t="shared" si="28"/>
        <v>0</v>
      </c>
    </row>
    <row r="276" spans="2:11" ht="20.100000000000001" customHeight="1">
      <c r="B276" s="123"/>
      <c r="C276" s="124"/>
      <c r="D276" s="125"/>
      <c r="E276" s="125"/>
      <c r="F276" s="116"/>
      <c r="G276" s="107" t="str">
        <f t="shared" si="24"/>
        <v/>
      </c>
      <c r="H276" s="106">
        <f t="shared" si="25"/>
        <v>26.2</v>
      </c>
      <c r="I276" s="107">
        <f t="shared" si="26"/>
        <v>0</v>
      </c>
      <c r="J276" s="107">
        <f t="shared" si="27"/>
        <v>0</v>
      </c>
      <c r="K276" s="107">
        <f t="shared" si="28"/>
        <v>0</v>
      </c>
    </row>
    <row r="277" spans="2:11" ht="20.100000000000001" customHeight="1">
      <c r="B277" s="123"/>
      <c r="C277" s="124"/>
      <c r="D277" s="125"/>
      <c r="E277" s="125"/>
      <c r="F277" s="116"/>
      <c r="G277" s="107" t="str">
        <f t="shared" si="24"/>
        <v/>
      </c>
      <c r="H277" s="106">
        <f t="shared" si="25"/>
        <v>26.2</v>
      </c>
      <c r="I277" s="107">
        <f t="shared" si="26"/>
        <v>0</v>
      </c>
      <c r="J277" s="107">
        <f t="shared" si="27"/>
        <v>0</v>
      </c>
      <c r="K277" s="107">
        <f t="shared" si="28"/>
        <v>0</v>
      </c>
    </row>
    <row r="278" spans="2:11" ht="20.100000000000001" customHeight="1">
      <c r="B278" s="123"/>
      <c r="C278" s="124"/>
      <c r="D278" s="125"/>
      <c r="E278" s="125"/>
      <c r="F278" s="116"/>
      <c r="G278" s="107" t="str">
        <f t="shared" si="24"/>
        <v/>
      </c>
      <c r="H278" s="106">
        <f t="shared" si="25"/>
        <v>26.2</v>
      </c>
      <c r="I278" s="107">
        <f t="shared" si="26"/>
        <v>0</v>
      </c>
      <c r="J278" s="107">
        <f t="shared" si="27"/>
        <v>0</v>
      </c>
      <c r="K278" s="107">
        <f t="shared" si="28"/>
        <v>0</v>
      </c>
    </row>
    <row r="279" spans="2:11" ht="20.100000000000001" customHeight="1">
      <c r="B279" s="123"/>
      <c r="C279" s="124"/>
      <c r="D279" s="125"/>
      <c r="E279" s="125"/>
      <c r="F279" s="116"/>
      <c r="G279" s="107" t="str">
        <f t="shared" si="24"/>
        <v/>
      </c>
      <c r="H279" s="106">
        <f t="shared" si="25"/>
        <v>26.2</v>
      </c>
      <c r="I279" s="107">
        <f t="shared" si="26"/>
        <v>0</v>
      </c>
      <c r="J279" s="107">
        <f t="shared" si="27"/>
        <v>0</v>
      </c>
      <c r="K279" s="107">
        <f t="shared" si="28"/>
        <v>0</v>
      </c>
    </row>
    <row r="280" spans="2:11" ht="20.100000000000001" customHeight="1">
      <c r="B280" s="123"/>
      <c r="C280" s="124"/>
      <c r="D280" s="125"/>
      <c r="E280" s="125"/>
      <c r="F280" s="116"/>
      <c r="G280" s="107" t="str">
        <f t="shared" si="24"/>
        <v/>
      </c>
      <c r="H280" s="106">
        <f t="shared" si="25"/>
        <v>26.2</v>
      </c>
      <c r="I280" s="107">
        <f t="shared" si="26"/>
        <v>0</v>
      </c>
      <c r="J280" s="107">
        <f t="shared" si="27"/>
        <v>0</v>
      </c>
      <c r="K280" s="107">
        <f t="shared" si="28"/>
        <v>0</v>
      </c>
    </row>
    <row r="281" spans="2:11" ht="20.100000000000001" customHeight="1">
      <c r="B281" s="123"/>
      <c r="C281" s="124"/>
      <c r="D281" s="125"/>
      <c r="E281" s="125"/>
      <c r="F281" s="116"/>
      <c r="G281" s="107" t="str">
        <f t="shared" si="24"/>
        <v/>
      </c>
      <c r="H281" s="106">
        <f t="shared" si="25"/>
        <v>26.2</v>
      </c>
      <c r="I281" s="107">
        <f t="shared" si="26"/>
        <v>0</v>
      </c>
      <c r="J281" s="107">
        <f t="shared" si="27"/>
        <v>0</v>
      </c>
      <c r="K281" s="107">
        <f t="shared" si="28"/>
        <v>0</v>
      </c>
    </row>
    <row r="282" spans="2:11" ht="20.100000000000001" customHeight="1">
      <c r="B282" s="123"/>
      <c r="C282" s="124"/>
      <c r="D282" s="125"/>
      <c r="E282" s="125"/>
      <c r="F282" s="116"/>
      <c r="G282" s="107" t="str">
        <f t="shared" si="24"/>
        <v/>
      </c>
      <c r="H282" s="106">
        <f t="shared" si="25"/>
        <v>26.2</v>
      </c>
      <c r="I282" s="107">
        <f t="shared" si="26"/>
        <v>0</v>
      </c>
      <c r="J282" s="107">
        <f t="shared" si="27"/>
        <v>0</v>
      </c>
      <c r="K282" s="107">
        <f t="shared" si="28"/>
        <v>0</v>
      </c>
    </row>
    <row r="283" spans="2:11" ht="20.100000000000001" customHeight="1">
      <c r="B283" s="123"/>
      <c r="C283" s="124"/>
      <c r="D283" s="125"/>
      <c r="E283" s="125"/>
      <c r="F283" s="116"/>
      <c r="G283" s="107" t="str">
        <f t="shared" si="24"/>
        <v/>
      </c>
      <c r="H283" s="106">
        <f t="shared" si="25"/>
        <v>26.2</v>
      </c>
      <c r="I283" s="107">
        <f t="shared" si="26"/>
        <v>0</v>
      </c>
      <c r="J283" s="107">
        <f t="shared" si="27"/>
        <v>0</v>
      </c>
      <c r="K283" s="107">
        <f t="shared" si="28"/>
        <v>0</v>
      </c>
    </row>
    <row r="284" spans="2:11" ht="20.100000000000001" customHeight="1">
      <c r="B284" s="123"/>
      <c r="C284" s="124"/>
      <c r="D284" s="125"/>
      <c r="E284" s="125"/>
      <c r="F284" s="116"/>
      <c r="G284" s="107" t="str">
        <f t="shared" si="24"/>
        <v/>
      </c>
      <c r="H284" s="106">
        <f t="shared" si="25"/>
        <v>26.2</v>
      </c>
      <c r="I284" s="107">
        <f t="shared" si="26"/>
        <v>0</v>
      </c>
      <c r="J284" s="107">
        <f t="shared" si="27"/>
        <v>0</v>
      </c>
      <c r="K284" s="107">
        <f t="shared" si="28"/>
        <v>0</v>
      </c>
    </row>
    <row r="285" spans="2:11" ht="20.100000000000001" customHeight="1">
      <c r="B285" s="123"/>
      <c r="C285" s="124"/>
      <c r="D285" s="125"/>
      <c r="E285" s="125"/>
      <c r="F285" s="116"/>
      <c r="G285" s="107" t="str">
        <f t="shared" si="24"/>
        <v/>
      </c>
      <c r="H285" s="106">
        <f t="shared" si="25"/>
        <v>26.2</v>
      </c>
      <c r="I285" s="107">
        <f t="shared" si="26"/>
        <v>0</v>
      </c>
      <c r="J285" s="107">
        <f t="shared" si="27"/>
        <v>0</v>
      </c>
      <c r="K285" s="107">
        <f t="shared" si="28"/>
        <v>0</v>
      </c>
    </row>
    <row r="286" spans="2:11" ht="20.100000000000001" customHeight="1">
      <c r="B286" s="123"/>
      <c r="C286" s="124"/>
      <c r="D286" s="125"/>
      <c r="E286" s="125"/>
      <c r="F286" s="116"/>
      <c r="G286" s="107" t="str">
        <f t="shared" si="24"/>
        <v/>
      </c>
      <c r="H286" s="106">
        <f t="shared" si="25"/>
        <v>26.2</v>
      </c>
      <c r="I286" s="107">
        <f t="shared" si="26"/>
        <v>0</v>
      </c>
      <c r="J286" s="107">
        <f t="shared" si="27"/>
        <v>0</v>
      </c>
      <c r="K286" s="107">
        <f t="shared" si="28"/>
        <v>0</v>
      </c>
    </row>
    <row r="287" spans="2:11" ht="20.100000000000001" customHeight="1">
      <c r="B287" s="123"/>
      <c r="C287" s="124"/>
      <c r="D287" s="125"/>
      <c r="E287" s="125"/>
      <c r="F287" s="116"/>
      <c r="G287" s="107" t="str">
        <f t="shared" si="24"/>
        <v/>
      </c>
      <c r="H287" s="106">
        <f t="shared" si="25"/>
        <v>26.2</v>
      </c>
      <c r="I287" s="107">
        <f t="shared" si="26"/>
        <v>0</v>
      </c>
      <c r="J287" s="107">
        <f t="shared" si="27"/>
        <v>0</v>
      </c>
      <c r="K287" s="107">
        <f t="shared" si="28"/>
        <v>0</v>
      </c>
    </row>
    <row r="288" spans="2:11" ht="20.100000000000001" customHeight="1">
      <c r="B288" s="123"/>
      <c r="C288" s="124"/>
      <c r="D288" s="125"/>
      <c r="E288" s="125"/>
      <c r="F288" s="116"/>
      <c r="G288" s="107" t="str">
        <f t="shared" si="24"/>
        <v/>
      </c>
      <c r="H288" s="106">
        <f t="shared" si="25"/>
        <v>26.2</v>
      </c>
      <c r="I288" s="107">
        <f t="shared" si="26"/>
        <v>0</v>
      </c>
      <c r="J288" s="107">
        <f t="shared" si="27"/>
        <v>0</v>
      </c>
      <c r="K288" s="107">
        <f t="shared" si="28"/>
        <v>0</v>
      </c>
    </row>
    <row r="289" spans="2:11" ht="20.100000000000001" customHeight="1">
      <c r="B289" s="123"/>
      <c r="C289" s="124"/>
      <c r="D289" s="125"/>
      <c r="E289" s="125"/>
      <c r="F289" s="116"/>
      <c r="G289" s="107" t="str">
        <f t="shared" si="24"/>
        <v/>
      </c>
      <c r="H289" s="106">
        <f t="shared" si="25"/>
        <v>26.2</v>
      </c>
      <c r="I289" s="107">
        <f t="shared" si="26"/>
        <v>0</v>
      </c>
      <c r="J289" s="107">
        <f t="shared" si="27"/>
        <v>0</v>
      </c>
      <c r="K289" s="107">
        <f t="shared" si="28"/>
        <v>0</v>
      </c>
    </row>
    <row r="290" spans="2:11" ht="20.100000000000001" customHeight="1">
      <c r="B290" s="123"/>
      <c r="C290" s="124"/>
      <c r="D290" s="125"/>
      <c r="E290" s="125"/>
      <c r="F290" s="116"/>
      <c r="G290" s="107" t="str">
        <f t="shared" si="24"/>
        <v/>
      </c>
      <c r="H290" s="106">
        <f t="shared" si="25"/>
        <v>26.2</v>
      </c>
      <c r="I290" s="107">
        <f t="shared" si="26"/>
        <v>0</v>
      </c>
      <c r="J290" s="107">
        <f t="shared" si="27"/>
        <v>0</v>
      </c>
      <c r="K290" s="107">
        <f t="shared" si="28"/>
        <v>0</v>
      </c>
    </row>
    <row r="291" spans="2:11" ht="20.100000000000001" customHeight="1">
      <c r="B291" s="123"/>
      <c r="C291" s="124"/>
      <c r="D291" s="125"/>
      <c r="E291" s="125"/>
      <c r="F291" s="116"/>
      <c r="G291" s="107" t="str">
        <f t="shared" si="24"/>
        <v/>
      </c>
      <c r="H291" s="106">
        <f t="shared" si="25"/>
        <v>26.2</v>
      </c>
      <c r="I291" s="107">
        <f t="shared" si="26"/>
        <v>0</v>
      </c>
      <c r="J291" s="107">
        <f t="shared" si="27"/>
        <v>0</v>
      </c>
      <c r="K291" s="107">
        <f t="shared" si="28"/>
        <v>0</v>
      </c>
    </row>
    <row r="292" spans="2:11" ht="20.100000000000001" customHeight="1">
      <c r="B292" s="123"/>
      <c r="C292" s="124"/>
      <c r="D292" s="125"/>
      <c r="E292" s="125"/>
      <c r="F292" s="116"/>
      <c r="G292" s="107" t="str">
        <f t="shared" si="24"/>
        <v/>
      </c>
      <c r="H292" s="106">
        <f t="shared" si="25"/>
        <v>26.2</v>
      </c>
      <c r="I292" s="107">
        <f t="shared" si="26"/>
        <v>0</v>
      </c>
      <c r="J292" s="107">
        <f t="shared" si="27"/>
        <v>0</v>
      </c>
      <c r="K292" s="107">
        <f t="shared" si="28"/>
        <v>0</v>
      </c>
    </row>
    <row r="293" spans="2:11" ht="20.100000000000001" customHeight="1">
      <c r="B293" s="123"/>
      <c r="C293" s="124"/>
      <c r="D293" s="125"/>
      <c r="E293" s="125"/>
      <c r="F293" s="116"/>
      <c r="G293" s="107" t="str">
        <f t="shared" si="24"/>
        <v/>
      </c>
      <c r="H293" s="106">
        <f t="shared" si="25"/>
        <v>26.2</v>
      </c>
      <c r="I293" s="107">
        <f t="shared" si="26"/>
        <v>0</v>
      </c>
      <c r="J293" s="107">
        <f t="shared" si="27"/>
        <v>0</v>
      </c>
      <c r="K293" s="107">
        <f t="shared" si="28"/>
        <v>0</v>
      </c>
    </row>
    <row r="294" spans="2:11" ht="20.100000000000001" customHeight="1">
      <c r="B294" s="123"/>
      <c r="C294" s="124"/>
      <c r="D294" s="125"/>
      <c r="E294" s="125"/>
      <c r="F294" s="116"/>
      <c r="G294" s="107" t="str">
        <f t="shared" si="24"/>
        <v/>
      </c>
      <c r="H294" s="106">
        <f t="shared" si="25"/>
        <v>26.2</v>
      </c>
      <c r="I294" s="107">
        <f t="shared" si="26"/>
        <v>0</v>
      </c>
      <c r="J294" s="107">
        <f t="shared" si="27"/>
        <v>0</v>
      </c>
      <c r="K294" s="107">
        <f t="shared" si="28"/>
        <v>0</v>
      </c>
    </row>
    <row r="295" spans="2:11" ht="20.100000000000001" customHeight="1">
      <c r="B295" s="123"/>
      <c r="C295" s="124"/>
      <c r="D295" s="125"/>
      <c r="E295" s="125"/>
      <c r="F295" s="116"/>
      <c r="G295" s="107" t="str">
        <f t="shared" si="24"/>
        <v/>
      </c>
      <c r="H295" s="106">
        <f t="shared" si="25"/>
        <v>26.2</v>
      </c>
      <c r="I295" s="107">
        <f t="shared" si="26"/>
        <v>0</v>
      </c>
      <c r="J295" s="107">
        <f t="shared" si="27"/>
        <v>0</v>
      </c>
      <c r="K295" s="107">
        <f t="shared" si="28"/>
        <v>0</v>
      </c>
    </row>
    <row r="296" spans="2:11" ht="20.100000000000001" customHeight="1">
      <c r="B296" s="123"/>
      <c r="C296" s="124"/>
      <c r="D296" s="125"/>
      <c r="E296" s="125"/>
      <c r="F296" s="116"/>
      <c r="G296" s="107" t="str">
        <f t="shared" si="24"/>
        <v/>
      </c>
      <c r="H296" s="106">
        <f t="shared" si="25"/>
        <v>26.2</v>
      </c>
      <c r="I296" s="107">
        <f t="shared" si="26"/>
        <v>0</v>
      </c>
      <c r="J296" s="107">
        <f t="shared" si="27"/>
        <v>0</v>
      </c>
      <c r="K296" s="107">
        <f t="shared" si="28"/>
        <v>0</v>
      </c>
    </row>
    <row r="297" spans="2:11" ht="20.100000000000001" customHeight="1">
      <c r="B297" s="123"/>
      <c r="C297" s="124"/>
      <c r="D297" s="125"/>
      <c r="E297" s="125"/>
      <c r="F297" s="116"/>
      <c r="G297" s="107" t="str">
        <f t="shared" si="24"/>
        <v/>
      </c>
      <c r="H297" s="106">
        <f t="shared" si="25"/>
        <v>26.2</v>
      </c>
      <c r="I297" s="107">
        <f t="shared" si="26"/>
        <v>0</v>
      </c>
      <c r="J297" s="107">
        <f t="shared" si="27"/>
        <v>0</v>
      </c>
      <c r="K297" s="107">
        <f t="shared" si="28"/>
        <v>0</v>
      </c>
    </row>
    <row r="298" spans="2:11" ht="20.100000000000001" customHeight="1">
      <c r="B298" s="123"/>
      <c r="C298" s="124"/>
      <c r="D298" s="125"/>
      <c r="E298" s="125"/>
      <c r="F298" s="116"/>
      <c r="G298" s="107" t="str">
        <f t="shared" si="24"/>
        <v/>
      </c>
      <c r="H298" s="106">
        <f t="shared" si="25"/>
        <v>26.2</v>
      </c>
      <c r="I298" s="107">
        <f t="shared" si="26"/>
        <v>0</v>
      </c>
      <c r="J298" s="107">
        <f t="shared" si="27"/>
        <v>0</v>
      </c>
      <c r="K298" s="107">
        <f t="shared" si="28"/>
        <v>0</v>
      </c>
    </row>
    <row r="299" spans="2:11" ht="20.100000000000001" customHeight="1">
      <c r="B299" s="123"/>
      <c r="C299" s="124"/>
      <c r="D299" s="125"/>
      <c r="E299" s="125"/>
      <c r="F299" s="116"/>
      <c r="G299" s="107" t="str">
        <f t="shared" si="24"/>
        <v/>
      </c>
      <c r="H299" s="106">
        <f t="shared" si="25"/>
        <v>26.2</v>
      </c>
      <c r="I299" s="107">
        <f t="shared" si="26"/>
        <v>0</v>
      </c>
      <c r="J299" s="107">
        <f t="shared" si="27"/>
        <v>0</v>
      </c>
      <c r="K299" s="107">
        <f t="shared" si="28"/>
        <v>0</v>
      </c>
    </row>
    <row r="300" spans="2:11" ht="20.100000000000001" customHeight="1" thickBot="1">
      <c r="B300" s="126"/>
      <c r="C300" s="127"/>
      <c r="D300" s="128"/>
      <c r="E300" s="128"/>
      <c r="F300" s="119"/>
      <c r="G300" s="107" t="str">
        <f t="shared" si="24"/>
        <v/>
      </c>
      <c r="H300" s="106">
        <f t="shared" si="25"/>
        <v>26.2</v>
      </c>
      <c r="I300" s="107">
        <f t="shared" si="26"/>
        <v>0</v>
      </c>
      <c r="J300" s="107">
        <f t="shared" si="27"/>
        <v>0</v>
      </c>
      <c r="K300" s="107">
        <f t="shared" si="28"/>
        <v>0</v>
      </c>
    </row>
    <row r="302" spans="2:11" ht="15.6">
      <c r="B302" s="316" t="s">
        <v>1228</v>
      </c>
      <c r="C302" s="316"/>
      <c r="D302" s="316"/>
      <c r="E302" s="316"/>
      <c r="F302" s="316"/>
      <c r="G302" s="316"/>
      <c r="H302" s="316"/>
      <c r="I302" s="316"/>
      <c r="J302" s="316"/>
      <c r="K302" s="316"/>
    </row>
    <row r="303" spans="2:11" ht="13.8" thickBot="1"/>
    <row r="304" spans="2:11" ht="20.100000000000001" customHeight="1" thickBot="1">
      <c r="B304" s="78" t="s">
        <v>471</v>
      </c>
      <c r="C304" s="99" t="s">
        <v>1229</v>
      </c>
      <c r="E304" s="78" t="s">
        <v>475</v>
      </c>
      <c r="F304" s="555"/>
      <c r="G304" s="556"/>
      <c r="H304" s="556"/>
      <c r="I304" s="557"/>
    </row>
    <row r="305" spans="2:11" ht="20.100000000000001" customHeight="1">
      <c r="B305" s="78" t="s">
        <v>477</v>
      </c>
      <c r="C305" s="99" t="str">
        <f>IF(C304="Electricity",VLOOKUP($C$12,'NGER Emission Factors old'!$A$23:$J$34,2,FALSE),IF(C304="GreenPower",VLOOKUP(C304,'NGER Emission Factors old'!$A$23:$J$35,2,FALSE),VLOOKUP(C304,'NGER Emission Factors old'!$A$5:$J$18,2,FALSE)))</f>
        <v>Scope 1</v>
      </c>
      <c r="E305" s="613" t="s">
        <v>479</v>
      </c>
      <c r="F305" s="563"/>
      <c r="G305" s="564"/>
      <c r="H305" s="564"/>
      <c r="I305" s="565"/>
    </row>
    <row r="306" spans="2:11" ht="20.100000000000001" customHeight="1" thickBot="1">
      <c r="B306" s="78" t="s">
        <v>483</v>
      </c>
      <c r="C306" s="194" t="b">
        <f>'15C Building Details'!C172</f>
        <v>0</v>
      </c>
      <c r="D306" s="317"/>
      <c r="E306" s="614"/>
      <c r="F306" s="566"/>
      <c r="G306" s="567"/>
      <c r="H306" s="567"/>
      <c r="I306" s="568"/>
    </row>
    <row r="307" spans="2:11" ht="20.100000000000001" customHeight="1">
      <c r="B307" s="78" t="s">
        <v>485</v>
      </c>
      <c r="C307" s="194" t="str">
        <f>'15C Building Details'!C173</f>
        <v>kL</v>
      </c>
    </row>
    <row r="308" spans="2:11" ht="20.100000000000001" customHeight="1">
      <c r="B308" s="78" t="s">
        <v>487</v>
      </c>
      <c r="C308" s="194">
        <f>'15C Building Details'!C174</f>
        <v>38.6</v>
      </c>
      <c r="E308" s="11" t="s">
        <v>489</v>
      </c>
    </row>
    <row r="309" spans="2:11" ht="16.5" customHeight="1">
      <c r="G309" s="14"/>
      <c r="J309" s="11"/>
    </row>
    <row r="311" spans="2:11" ht="40.200000000000003" customHeight="1" thickBot="1">
      <c r="B311" s="78" t="s">
        <v>491</v>
      </c>
      <c r="C311" s="78" t="s">
        <v>493</v>
      </c>
      <c r="D311" s="78" t="s">
        <v>495</v>
      </c>
      <c r="E311" s="78" t="s">
        <v>497</v>
      </c>
      <c r="F311" s="78" t="str">
        <f>"Billed Quantity ("&amp;C307&amp;")"</f>
        <v>Billed Quantity (kL)</v>
      </c>
      <c r="G311" s="78" t="s">
        <v>501</v>
      </c>
      <c r="H311" s="78" t="s">
        <v>487</v>
      </c>
      <c r="I311" s="78" t="s">
        <v>1257</v>
      </c>
      <c r="J311" s="78" t="s">
        <v>1258</v>
      </c>
      <c r="K311" s="78" t="s">
        <v>1259</v>
      </c>
    </row>
    <row r="312" spans="2:11" ht="20.100000000000001" customHeight="1">
      <c r="B312" s="120"/>
      <c r="C312" s="121"/>
      <c r="D312" s="122"/>
      <c r="E312" s="122"/>
      <c r="F312" s="113"/>
      <c r="G312" s="107" t="str">
        <f t="shared" ref="G312:G347" si="29">IF(ISBLANK(D312),"",E312-D312+1)</f>
        <v/>
      </c>
      <c r="H312" s="106">
        <f>$C$308</f>
        <v>38.6</v>
      </c>
      <c r="I312" s="107">
        <f t="shared" ref="I312:I347" si="30">IF(F312&gt;0,F312*H312*IF(OR(D312&gt;$H$9,E312&lt;$H$8), 0, IF(D312&lt;$H$8,E312-$H$8,IF($H$9&lt;E312,E312-$H$9,G312)))/G312,0)</f>
        <v>0</v>
      </c>
      <c r="J312" s="107">
        <f t="shared" ref="J312:J347" si="31">IF(F312&gt;0,F312*H312*IF(OR(D312&gt;$I$9,E312&lt;$I$8), 0, IF(D312&lt;$I$8,E312-$I$8,IF($I$9&lt;E312,E312-$I$9,G312)))/G312,0)</f>
        <v>0</v>
      </c>
      <c r="K312" s="107">
        <f t="shared" ref="K312:K347" si="32">IF(F312&gt;0,F312*H312*IF(OR(D312&gt;$J$9,E312&lt;$J$8), 0, IF(D312&lt;$J$8,E312-$J$8,IF($J$9&lt;E312,E312-$J$9,G312)))/G312,0)</f>
        <v>0</v>
      </c>
    </row>
    <row r="313" spans="2:11" ht="20.100000000000001" customHeight="1">
      <c r="B313" s="123"/>
      <c r="C313" s="124"/>
      <c r="D313" s="125"/>
      <c r="E313" s="125"/>
      <c r="F313" s="116"/>
      <c r="G313" s="107" t="str">
        <f t="shared" si="29"/>
        <v/>
      </c>
      <c r="H313" s="106">
        <f t="shared" ref="H313:H347" si="33">$C$308</f>
        <v>38.6</v>
      </c>
      <c r="I313" s="107">
        <f t="shared" si="30"/>
        <v>0</v>
      </c>
      <c r="J313" s="107">
        <f t="shared" si="31"/>
        <v>0</v>
      </c>
      <c r="K313" s="107">
        <f t="shared" si="32"/>
        <v>0</v>
      </c>
    </row>
    <row r="314" spans="2:11" ht="20.100000000000001" customHeight="1">
      <c r="B314" s="123"/>
      <c r="C314" s="124"/>
      <c r="D314" s="125"/>
      <c r="E314" s="125"/>
      <c r="F314" s="116"/>
      <c r="G314" s="107" t="str">
        <f t="shared" si="29"/>
        <v/>
      </c>
      <c r="H314" s="106">
        <f t="shared" si="33"/>
        <v>38.6</v>
      </c>
      <c r="I314" s="107">
        <f t="shared" si="30"/>
        <v>0</v>
      </c>
      <c r="J314" s="107">
        <f t="shared" si="31"/>
        <v>0</v>
      </c>
      <c r="K314" s="107">
        <f t="shared" si="32"/>
        <v>0</v>
      </c>
    </row>
    <row r="315" spans="2:11" ht="20.100000000000001" customHeight="1">
      <c r="B315" s="123"/>
      <c r="C315" s="124"/>
      <c r="D315" s="125"/>
      <c r="E315" s="125"/>
      <c r="F315" s="116"/>
      <c r="G315" s="107" t="str">
        <f t="shared" si="29"/>
        <v/>
      </c>
      <c r="H315" s="106">
        <f t="shared" si="33"/>
        <v>38.6</v>
      </c>
      <c r="I315" s="107">
        <f t="shared" si="30"/>
        <v>0</v>
      </c>
      <c r="J315" s="107">
        <f t="shared" si="31"/>
        <v>0</v>
      </c>
      <c r="K315" s="107">
        <f t="shared" si="32"/>
        <v>0</v>
      </c>
    </row>
    <row r="316" spans="2:11" ht="20.100000000000001" customHeight="1">
      <c r="B316" s="123"/>
      <c r="C316" s="124"/>
      <c r="D316" s="125"/>
      <c r="E316" s="125"/>
      <c r="F316" s="116"/>
      <c r="G316" s="107" t="str">
        <f t="shared" si="29"/>
        <v/>
      </c>
      <c r="H316" s="106">
        <f t="shared" si="33"/>
        <v>38.6</v>
      </c>
      <c r="I316" s="107">
        <f t="shared" si="30"/>
        <v>0</v>
      </c>
      <c r="J316" s="107">
        <f t="shared" si="31"/>
        <v>0</v>
      </c>
      <c r="K316" s="107">
        <f t="shared" si="32"/>
        <v>0</v>
      </c>
    </row>
    <row r="317" spans="2:11" ht="20.100000000000001" customHeight="1">
      <c r="B317" s="123"/>
      <c r="C317" s="124"/>
      <c r="D317" s="125"/>
      <c r="E317" s="125"/>
      <c r="F317" s="116"/>
      <c r="G317" s="107" t="str">
        <f t="shared" si="29"/>
        <v/>
      </c>
      <c r="H317" s="106">
        <f t="shared" si="33"/>
        <v>38.6</v>
      </c>
      <c r="I317" s="107">
        <f t="shared" si="30"/>
        <v>0</v>
      </c>
      <c r="J317" s="107">
        <f t="shared" si="31"/>
        <v>0</v>
      </c>
      <c r="K317" s="107">
        <f t="shared" si="32"/>
        <v>0</v>
      </c>
    </row>
    <row r="318" spans="2:11" ht="20.100000000000001" customHeight="1">
      <c r="B318" s="123"/>
      <c r="C318" s="124"/>
      <c r="D318" s="125"/>
      <c r="E318" s="125"/>
      <c r="F318" s="116"/>
      <c r="G318" s="107" t="str">
        <f t="shared" si="29"/>
        <v/>
      </c>
      <c r="H318" s="106">
        <f t="shared" si="33"/>
        <v>38.6</v>
      </c>
      <c r="I318" s="107">
        <f t="shared" si="30"/>
        <v>0</v>
      </c>
      <c r="J318" s="107">
        <f t="shared" si="31"/>
        <v>0</v>
      </c>
      <c r="K318" s="107">
        <f t="shared" si="32"/>
        <v>0</v>
      </c>
    </row>
    <row r="319" spans="2:11" ht="20.100000000000001" customHeight="1">
      <c r="B319" s="123"/>
      <c r="C319" s="124"/>
      <c r="D319" s="125"/>
      <c r="E319" s="125"/>
      <c r="F319" s="116"/>
      <c r="G319" s="107" t="str">
        <f t="shared" si="29"/>
        <v/>
      </c>
      <c r="H319" s="106">
        <f t="shared" si="33"/>
        <v>38.6</v>
      </c>
      <c r="I319" s="107">
        <f t="shared" si="30"/>
        <v>0</v>
      </c>
      <c r="J319" s="107">
        <f t="shared" si="31"/>
        <v>0</v>
      </c>
      <c r="K319" s="107">
        <f t="shared" si="32"/>
        <v>0</v>
      </c>
    </row>
    <row r="320" spans="2:11" ht="20.100000000000001" customHeight="1">
      <c r="B320" s="123"/>
      <c r="C320" s="124"/>
      <c r="D320" s="125"/>
      <c r="E320" s="125"/>
      <c r="F320" s="116"/>
      <c r="G320" s="107" t="str">
        <f t="shared" si="29"/>
        <v/>
      </c>
      <c r="H320" s="106">
        <f t="shared" si="33"/>
        <v>38.6</v>
      </c>
      <c r="I320" s="107">
        <f t="shared" si="30"/>
        <v>0</v>
      </c>
      <c r="J320" s="107">
        <f t="shared" si="31"/>
        <v>0</v>
      </c>
      <c r="K320" s="107">
        <f t="shared" si="32"/>
        <v>0</v>
      </c>
    </row>
    <row r="321" spans="2:11" ht="20.100000000000001" customHeight="1">
      <c r="B321" s="123"/>
      <c r="C321" s="124"/>
      <c r="D321" s="125"/>
      <c r="E321" s="125"/>
      <c r="F321" s="116"/>
      <c r="G321" s="107" t="str">
        <f t="shared" si="29"/>
        <v/>
      </c>
      <c r="H321" s="106">
        <f t="shared" si="33"/>
        <v>38.6</v>
      </c>
      <c r="I321" s="107">
        <f t="shared" si="30"/>
        <v>0</v>
      </c>
      <c r="J321" s="107">
        <f t="shared" si="31"/>
        <v>0</v>
      </c>
      <c r="K321" s="107">
        <f t="shared" si="32"/>
        <v>0</v>
      </c>
    </row>
    <row r="322" spans="2:11" ht="20.100000000000001" customHeight="1">
      <c r="B322" s="123"/>
      <c r="C322" s="124"/>
      <c r="D322" s="125"/>
      <c r="E322" s="125"/>
      <c r="F322" s="116"/>
      <c r="G322" s="107" t="str">
        <f t="shared" si="29"/>
        <v/>
      </c>
      <c r="H322" s="106">
        <f t="shared" si="33"/>
        <v>38.6</v>
      </c>
      <c r="I322" s="107">
        <f t="shared" si="30"/>
        <v>0</v>
      </c>
      <c r="J322" s="107">
        <f t="shared" si="31"/>
        <v>0</v>
      </c>
      <c r="K322" s="107">
        <f t="shared" si="32"/>
        <v>0</v>
      </c>
    </row>
    <row r="323" spans="2:11" ht="20.100000000000001" customHeight="1">
      <c r="B323" s="123"/>
      <c r="C323" s="124"/>
      <c r="D323" s="125"/>
      <c r="E323" s="125"/>
      <c r="F323" s="116"/>
      <c r="G323" s="107" t="str">
        <f t="shared" si="29"/>
        <v/>
      </c>
      <c r="H323" s="106">
        <f t="shared" si="33"/>
        <v>38.6</v>
      </c>
      <c r="I323" s="107">
        <f t="shared" si="30"/>
        <v>0</v>
      </c>
      <c r="J323" s="107">
        <f t="shared" si="31"/>
        <v>0</v>
      </c>
      <c r="K323" s="107">
        <f t="shared" si="32"/>
        <v>0</v>
      </c>
    </row>
    <row r="324" spans="2:11" ht="20.100000000000001" customHeight="1">
      <c r="B324" s="123"/>
      <c r="C324" s="124"/>
      <c r="D324" s="125"/>
      <c r="E324" s="125"/>
      <c r="F324" s="116"/>
      <c r="G324" s="107" t="str">
        <f t="shared" si="29"/>
        <v/>
      </c>
      <c r="H324" s="106">
        <f t="shared" si="33"/>
        <v>38.6</v>
      </c>
      <c r="I324" s="107">
        <f t="shared" si="30"/>
        <v>0</v>
      </c>
      <c r="J324" s="107">
        <f t="shared" si="31"/>
        <v>0</v>
      </c>
      <c r="K324" s="107">
        <f t="shared" si="32"/>
        <v>0</v>
      </c>
    </row>
    <row r="325" spans="2:11" ht="20.100000000000001" customHeight="1">
      <c r="B325" s="123"/>
      <c r="C325" s="124"/>
      <c r="D325" s="125"/>
      <c r="E325" s="125"/>
      <c r="F325" s="116"/>
      <c r="G325" s="107" t="str">
        <f t="shared" si="29"/>
        <v/>
      </c>
      <c r="H325" s="106">
        <f t="shared" si="33"/>
        <v>38.6</v>
      </c>
      <c r="I325" s="107">
        <f t="shared" si="30"/>
        <v>0</v>
      </c>
      <c r="J325" s="107">
        <f t="shared" si="31"/>
        <v>0</v>
      </c>
      <c r="K325" s="107">
        <f t="shared" si="32"/>
        <v>0</v>
      </c>
    </row>
    <row r="326" spans="2:11" ht="20.100000000000001" customHeight="1">
      <c r="B326" s="123"/>
      <c r="C326" s="124"/>
      <c r="D326" s="125"/>
      <c r="E326" s="125"/>
      <c r="F326" s="116"/>
      <c r="G326" s="107" t="str">
        <f t="shared" si="29"/>
        <v/>
      </c>
      <c r="H326" s="106">
        <f t="shared" si="33"/>
        <v>38.6</v>
      </c>
      <c r="I326" s="107">
        <f t="shared" si="30"/>
        <v>0</v>
      </c>
      <c r="J326" s="107">
        <f t="shared" si="31"/>
        <v>0</v>
      </c>
      <c r="K326" s="107">
        <f t="shared" si="32"/>
        <v>0</v>
      </c>
    </row>
    <row r="327" spans="2:11" ht="20.100000000000001" customHeight="1">
      <c r="B327" s="123"/>
      <c r="C327" s="124"/>
      <c r="D327" s="125"/>
      <c r="E327" s="125"/>
      <c r="F327" s="116"/>
      <c r="G327" s="107" t="str">
        <f t="shared" si="29"/>
        <v/>
      </c>
      <c r="H327" s="106">
        <f t="shared" si="33"/>
        <v>38.6</v>
      </c>
      <c r="I327" s="107">
        <f t="shared" si="30"/>
        <v>0</v>
      </c>
      <c r="J327" s="107">
        <f t="shared" si="31"/>
        <v>0</v>
      </c>
      <c r="K327" s="107">
        <f t="shared" si="32"/>
        <v>0</v>
      </c>
    </row>
    <row r="328" spans="2:11" ht="20.100000000000001" customHeight="1">
      <c r="B328" s="123"/>
      <c r="C328" s="124"/>
      <c r="D328" s="125"/>
      <c r="E328" s="125"/>
      <c r="F328" s="116"/>
      <c r="G328" s="107" t="str">
        <f t="shared" si="29"/>
        <v/>
      </c>
      <c r="H328" s="106">
        <f t="shared" si="33"/>
        <v>38.6</v>
      </c>
      <c r="I328" s="107">
        <f t="shared" si="30"/>
        <v>0</v>
      </c>
      <c r="J328" s="107">
        <f t="shared" si="31"/>
        <v>0</v>
      </c>
      <c r="K328" s="107">
        <f t="shared" si="32"/>
        <v>0</v>
      </c>
    </row>
    <row r="329" spans="2:11" ht="20.100000000000001" customHeight="1">
      <c r="B329" s="123"/>
      <c r="C329" s="124"/>
      <c r="D329" s="125"/>
      <c r="E329" s="125"/>
      <c r="F329" s="116"/>
      <c r="G329" s="107" t="str">
        <f t="shared" si="29"/>
        <v/>
      </c>
      <c r="H329" s="106">
        <f t="shared" si="33"/>
        <v>38.6</v>
      </c>
      <c r="I329" s="107">
        <f t="shared" si="30"/>
        <v>0</v>
      </c>
      <c r="J329" s="107">
        <f t="shared" si="31"/>
        <v>0</v>
      </c>
      <c r="K329" s="107">
        <f t="shared" si="32"/>
        <v>0</v>
      </c>
    </row>
    <row r="330" spans="2:11" ht="20.100000000000001" customHeight="1">
      <c r="B330" s="123"/>
      <c r="C330" s="124"/>
      <c r="D330" s="125"/>
      <c r="E330" s="125"/>
      <c r="F330" s="116"/>
      <c r="G330" s="107" t="str">
        <f t="shared" si="29"/>
        <v/>
      </c>
      <c r="H330" s="106">
        <f t="shared" si="33"/>
        <v>38.6</v>
      </c>
      <c r="I330" s="107">
        <f t="shared" si="30"/>
        <v>0</v>
      </c>
      <c r="J330" s="107">
        <f t="shared" si="31"/>
        <v>0</v>
      </c>
      <c r="K330" s="107">
        <f t="shared" si="32"/>
        <v>0</v>
      </c>
    </row>
    <row r="331" spans="2:11" ht="20.100000000000001" customHeight="1">
      <c r="B331" s="123"/>
      <c r="C331" s="124"/>
      <c r="D331" s="125"/>
      <c r="E331" s="125"/>
      <c r="F331" s="116"/>
      <c r="G331" s="107" t="str">
        <f t="shared" si="29"/>
        <v/>
      </c>
      <c r="H331" s="106">
        <f t="shared" si="33"/>
        <v>38.6</v>
      </c>
      <c r="I331" s="107">
        <f t="shared" si="30"/>
        <v>0</v>
      </c>
      <c r="J331" s="107">
        <f t="shared" si="31"/>
        <v>0</v>
      </c>
      <c r="K331" s="107">
        <f t="shared" si="32"/>
        <v>0</v>
      </c>
    </row>
    <row r="332" spans="2:11" ht="20.100000000000001" customHeight="1">
      <c r="B332" s="123"/>
      <c r="C332" s="124"/>
      <c r="D332" s="125"/>
      <c r="E332" s="125"/>
      <c r="F332" s="116"/>
      <c r="G332" s="107" t="str">
        <f t="shared" si="29"/>
        <v/>
      </c>
      <c r="H332" s="106">
        <f t="shared" si="33"/>
        <v>38.6</v>
      </c>
      <c r="I332" s="107">
        <f t="shared" si="30"/>
        <v>0</v>
      </c>
      <c r="J332" s="107">
        <f t="shared" si="31"/>
        <v>0</v>
      </c>
      <c r="K332" s="107">
        <f t="shared" si="32"/>
        <v>0</v>
      </c>
    </row>
    <row r="333" spans="2:11" ht="20.100000000000001" customHeight="1">
      <c r="B333" s="123"/>
      <c r="C333" s="124"/>
      <c r="D333" s="125"/>
      <c r="E333" s="125"/>
      <c r="F333" s="116"/>
      <c r="G333" s="107" t="str">
        <f t="shared" si="29"/>
        <v/>
      </c>
      <c r="H333" s="106">
        <f t="shared" si="33"/>
        <v>38.6</v>
      </c>
      <c r="I333" s="107">
        <f t="shared" si="30"/>
        <v>0</v>
      </c>
      <c r="J333" s="107">
        <f t="shared" si="31"/>
        <v>0</v>
      </c>
      <c r="K333" s="107">
        <f t="shared" si="32"/>
        <v>0</v>
      </c>
    </row>
    <row r="334" spans="2:11" ht="20.100000000000001" customHeight="1">
      <c r="B334" s="123"/>
      <c r="C334" s="124"/>
      <c r="D334" s="125"/>
      <c r="E334" s="125"/>
      <c r="F334" s="116"/>
      <c r="G334" s="107" t="str">
        <f t="shared" si="29"/>
        <v/>
      </c>
      <c r="H334" s="106">
        <f t="shared" si="33"/>
        <v>38.6</v>
      </c>
      <c r="I334" s="107">
        <f t="shared" si="30"/>
        <v>0</v>
      </c>
      <c r="J334" s="107">
        <f t="shared" si="31"/>
        <v>0</v>
      </c>
      <c r="K334" s="107">
        <f t="shared" si="32"/>
        <v>0</v>
      </c>
    </row>
    <row r="335" spans="2:11" ht="20.100000000000001" customHeight="1">
      <c r="B335" s="123"/>
      <c r="C335" s="124"/>
      <c r="D335" s="125"/>
      <c r="E335" s="125"/>
      <c r="F335" s="116"/>
      <c r="G335" s="107" t="str">
        <f t="shared" si="29"/>
        <v/>
      </c>
      <c r="H335" s="106">
        <f t="shared" si="33"/>
        <v>38.6</v>
      </c>
      <c r="I335" s="107">
        <f t="shared" si="30"/>
        <v>0</v>
      </c>
      <c r="J335" s="107">
        <f t="shared" si="31"/>
        <v>0</v>
      </c>
      <c r="K335" s="107">
        <f t="shared" si="32"/>
        <v>0</v>
      </c>
    </row>
    <row r="336" spans="2:11" ht="20.100000000000001" customHeight="1">
      <c r="B336" s="123"/>
      <c r="C336" s="124"/>
      <c r="D336" s="125"/>
      <c r="E336" s="125"/>
      <c r="F336" s="116"/>
      <c r="G336" s="107" t="str">
        <f t="shared" si="29"/>
        <v/>
      </c>
      <c r="H336" s="106">
        <f t="shared" si="33"/>
        <v>38.6</v>
      </c>
      <c r="I336" s="107">
        <f t="shared" si="30"/>
        <v>0</v>
      </c>
      <c r="J336" s="107">
        <f t="shared" si="31"/>
        <v>0</v>
      </c>
      <c r="K336" s="107">
        <f t="shared" si="32"/>
        <v>0</v>
      </c>
    </row>
    <row r="337" spans="2:11" ht="20.100000000000001" customHeight="1">
      <c r="B337" s="123"/>
      <c r="C337" s="124"/>
      <c r="D337" s="125"/>
      <c r="E337" s="125"/>
      <c r="F337" s="116"/>
      <c r="G337" s="107" t="str">
        <f t="shared" si="29"/>
        <v/>
      </c>
      <c r="H337" s="106">
        <f t="shared" si="33"/>
        <v>38.6</v>
      </c>
      <c r="I337" s="107">
        <f t="shared" si="30"/>
        <v>0</v>
      </c>
      <c r="J337" s="107">
        <f t="shared" si="31"/>
        <v>0</v>
      </c>
      <c r="K337" s="107">
        <f t="shared" si="32"/>
        <v>0</v>
      </c>
    </row>
    <row r="338" spans="2:11" ht="20.100000000000001" customHeight="1">
      <c r="B338" s="123"/>
      <c r="C338" s="124"/>
      <c r="D338" s="125"/>
      <c r="E338" s="125"/>
      <c r="F338" s="116"/>
      <c r="G338" s="107" t="str">
        <f t="shared" si="29"/>
        <v/>
      </c>
      <c r="H338" s="106">
        <f t="shared" si="33"/>
        <v>38.6</v>
      </c>
      <c r="I338" s="107">
        <f t="shared" si="30"/>
        <v>0</v>
      </c>
      <c r="J338" s="107">
        <f t="shared" si="31"/>
        <v>0</v>
      </c>
      <c r="K338" s="107">
        <f t="shared" si="32"/>
        <v>0</v>
      </c>
    </row>
    <row r="339" spans="2:11" ht="20.100000000000001" customHeight="1">
      <c r="B339" s="123"/>
      <c r="C339" s="124"/>
      <c r="D339" s="125"/>
      <c r="E339" s="125"/>
      <c r="F339" s="116"/>
      <c r="G339" s="107" t="str">
        <f t="shared" si="29"/>
        <v/>
      </c>
      <c r="H339" s="106">
        <f t="shared" si="33"/>
        <v>38.6</v>
      </c>
      <c r="I339" s="107">
        <f t="shared" si="30"/>
        <v>0</v>
      </c>
      <c r="J339" s="107">
        <f t="shared" si="31"/>
        <v>0</v>
      </c>
      <c r="K339" s="107">
        <f t="shared" si="32"/>
        <v>0</v>
      </c>
    </row>
    <row r="340" spans="2:11" ht="20.100000000000001" customHeight="1">
      <c r="B340" s="123"/>
      <c r="C340" s="124"/>
      <c r="D340" s="125"/>
      <c r="E340" s="125"/>
      <c r="F340" s="116"/>
      <c r="G340" s="107" t="str">
        <f t="shared" si="29"/>
        <v/>
      </c>
      <c r="H340" s="106">
        <f t="shared" si="33"/>
        <v>38.6</v>
      </c>
      <c r="I340" s="107">
        <f t="shared" si="30"/>
        <v>0</v>
      </c>
      <c r="J340" s="107">
        <f t="shared" si="31"/>
        <v>0</v>
      </c>
      <c r="K340" s="107">
        <f t="shared" si="32"/>
        <v>0</v>
      </c>
    </row>
    <row r="341" spans="2:11" ht="20.100000000000001" customHeight="1">
      <c r="B341" s="123"/>
      <c r="C341" s="124"/>
      <c r="D341" s="125"/>
      <c r="E341" s="125"/>
      <c r="F341" s="116"/>
      <c r="G341" s="107" t="str">
        <f t="shared" si="29"/>
        <v/>
      </c>
      <c r="H341" s="106">
        <f t="shared" si="33"/>
        <v>38.6</v>
      </c>
      <c r="I341" s="107">
        <f t="shared" si="30"/>
        <v>0</v>
      </c>
      <c r="J341" s="107">
        <f t="shared" si="31"/>
        <v>0</v>
      </c>
      <c r="K341" s="107">
        <f t="shared" si="32"/>
        <v>0</v>
      </c>
    </row>
    <row r="342" spans="2:11" ht="20.100000000000001" customHeight="1">
      <c r="B342" s="123"/>
      <c r="C342" s="124"/>
      <c r="D342" s="125"/>
      <c r="E342" s="125"/>
      <c r="F342" s="116"/>
      <c r="G342" s="107" t="str">
        <f t="shared" si="29"/>
        <v/>
      </c>
      <c r="H342" s="106">
        <f t="shared" si="33"/>
        <v>38.6</v>
      </c>
      <c r="I342" s="107">
        <f t="shared" si="30"/>
        <v>0</v>
      </c>
      <c r="J342" s="107">
        <f t="shared" si="31"/>
        <v>0</v>
      </c>
      <c r="K342" s="107">
        <f t="shared" si="32"/>
        <v>0</v>
      </c>
    </row>
    <row r="343" spans="2:11" ht="20.100000000000001" customHeight="1">
      <c r="B343" s="123"/>
      <c r="C343" s="124"/>
      <c r="D343" s="125"/>
      <c r="E343" s="125"/>
      <c r="F343" s="116"/>
      <c r="G343" s="107" t="str">
        <f t="shared" si="29"/>
        <v/>
      </c>
      <c r="H343" s="106">
        <f t="shared" si="33"/>
        <v>38.6</v>
      </c>
      <c r="I343" s="107">
        <f t="shared" si="30"/>
        <v>0</v>
      </c>
      <c r="J343" s="107">
        <f t="shared" si="31"/>
        <v>0</v>
      </c>
      <c r="K343" s="107">
        <f t="shared" si="32"/>
        <v>0</v>
      </c>
    </row>
    <row r="344" spans="2:11" ht="20.100000000000001" customHeight="1">
      <c r="B344" s="123"/>
      <c r="C344" s="124"/>
      <c r="D344" s="125"/>
      <c r="E344" s="125"/>
      <c r="F344" s="116"/>
      <c r="G344" s="107" t="str">
        <f t="shared" si="29"/>
        <v/>
      </c>
      <c r="H344" s="106">
        <f t="shared" si="33"/>
        <v>38.6</v>
      </c>
      <c r="I344" s="107">
        <f t="shared" si="30"/>
        <v>0</v>
      </c>
      <c r="J344" s="107">
        <f t="shared" si="31"/>
        <v>0</v>
      </c>
      <c r="K344" s="107">
        <f t="shared" si="32"/>
        <v>0</v>
      </c>
    </row>
    <row r="345" spans="2:11" ht="20.100000000000001" customHeight="1">
      <c r="B345" s="123"/>
      <c r="C345" s="124"/>
      <c r="D345" s="125"/>
      <c r="E345" s="125"/>
      <c r="F345" s="116"/>
      <c r="G345" s="107" t="str">
        <f t="shared" si="29"/>
        <v/>
      </c>
      <c r="H345" s="106">
        <f t="shared" si="33"/>
        <v>38.6</v>
      </c>
      <c r="I345" s="107">
        <f t="shared" si="30"/>
        <v>0</v>
      </c>
      <c r="J345" s="107">
        <f t="shared" si="31"/>
        <v>0</v>
      </c>
      <c r="K345" s="107">
        <f t="shared" si="32"/>
        <v>0</v>
      </c>
    </row>
    <row r="346" spans="2:11" ht="20.100000000000001" customHeight="1">
      <c r="B346" s="123"/>
      <c r="C346" s="124"/>
      <c r="D346" s="125"/>
      <c r="E346" s="125"/>
      <c r="F346" s="116"/>
      <c r="G346" s="107" t="str">
        <f t="shared" si="29"/>
        <v/>
      </c>
      <c r="H346" s="106">
        <f t="shared" si="33"/>
        <v>38.6</v>
      </c>
      <c r="I346" s="107">
        <f t="shared" si="30"/>
        <v>0</v>
      </c>
      <c r="J346" s="107">
        <f t="shared" si="31"/>
        <v>0</v>
      </c>
      <c r="K346" s="107">
        <f t="shared" si="32"/>
        <v>0</v>
      </c>
    </row>
    <row r="347" spans="2:11" ht="20.100000000000001" customHeight="1" thickBot="1">
      <c r="B347" s="126"/>
      <c r="C347" s="127"/>
      <c r="D347" s="128"/>
      <c r="E347" s="128"/>
      <c r="F347" s="119"/>
      <c r="G347" s="107" t="str">
        <f t="shared" si="29"/>
        <v/>
      </c>
      <c r="H347" s="106">
        <f t="shared" si="33"/>
        <v>38.6</v>
      </c>
      <c r="I347" s="107">
        <f t="shared" si="30"/>
        <v>0</v>
      </c>
      <c r="J347" s="107">
        <f t="shared" si="31"/>
        <v>0</v>
      </c>
      <c r="K347" s="107">
        <f t="shared" si="32"/>
        <v>0</v>
      </c>
    </row>
    <row r="349" spans="2:11" ht="15.6">
      <c r="B349" s="316" t="s">
        <v>1230</v>
      </c>
      <c r="C349" s="316"/>
      <c r="D349" s="316"/>
      <c r="E349" s="316"/>
      <c r="F349" s="316"/>
      <c r="G349" s="316"/>
      <c r="H349" s="316"/>
      <c r="I349" s="316"/>
      <c r="J349" s="316"/>
      <c r="K349" s="316"/>
    </row>
    <row r="350" spans="2:11" ht="13.8" thickBot="1"/>
    <row r="351" spans="2:11" ht="20.100000000000001" customHeight="1" thickBot="1">
      <c r="B351" s="78" t="s">
        <v>471</v>
      </c>
      <c r="C351" s="99" t="s">
        <v>1261</v>
      </c>
      <c r="E351" s="78" t="s">
        <v>475</v>
      </c>
      <c r="F351" s="555"/>
      <c r="G351" s="556"/>
      <c r="H351" s="556"/>
      <c r="I351" s="557"/>
    </row>
    <row r="352" spans="2:11" ht="20.100000000000001" customHeight="1">
      <c r="B352" s="78" t="s">
        <v>477</v>
      </c>
      <c r="C352" s="99" t="str">
        <f>IF(C351="Electricity",VLOOKUP($C$12,'NGER Emission Factors old'!$A$23:$J$34,2,FALSE),IF(C351="GreenPower",VLOOKUP(C351,'NGER Emission Factors old'!$A$23:$J$35,2,FALSE),VLOOKUP(C351,'NGER Emission Factors old'!$A$5:$J$18,2,FALSE)))</f>
        <v>Scope 1</v>
      </c>
      <c r="E352" s="613" t="s">
        <v>479</v>
      </c>
      <c r="F352" s="563"/>
      <c r="G352" s="564"/>
      <c r="H352" s="564"/>
      <c r="I352" s="565"/>
    </row>
    <row r="353" spans="2:11" ht="20.100000000000001" customHeight="1" thickBot="1">
      <c r="B353" s="78" t="s">
        <v>483</v>
      </c>
      <c r="C353" s="194" t="b">
        <f>'15C Building Details'!C195</f>
        <v>0</v>
      </c>
      <c r="D353" s="317"/>
      <c r="E353" s="614"/>
      <c r="F353" s="566"/>
      <c r="G353" s="567"/>
      <c r="H353" s="567"/>
      <c r="I353" s="568"/>
    </row>
    <row r="354" spans="2:11" ht="20.100000000000001" customHeight="1">
      <c r="B354" s="78" t="s">
        <v>485</v>
      </c>
      <c r="C354" s="194" t="str">
        <f>'15C Building Details'!C196</f>
        <v>Tonnes</v>
      </c>
    </row>
    <row r="355" spans="2:11" ht="20.100000000000001" customHeight="1">
      <c r="B355" s="78" t="s">
        <v>487</v>
      </c>
      <c r="C355" s="194">
        <f>'15C Building Details'!C197</f>
        <v>27</v>
      </c>
      <c r="E355" s="11" t="s">
        <v>489</v>
      </c>
    </row>
    <row r="356" spans="2:11" ht="16.5" customHeight="1">
      <c r="G356" s="14"/>
      <c r="J356" s="11"/>
    </row>
    <row r="358" spans="2:11" ht="40.200000000000003" customHeight="1" thickBot="1">
      <c r="B358" s="78" t="s">
        <v>491</v>
      </c>
      <c r="C358" s="78" t="s">
        <v>493</v>
      </c>
      <c r="D358" s="78" t="s">
        <v>495</v>
      </c>
      <c r="E358" s="78" t="s">
        <v>497</v>
      </c>
      <c r="F358" s="78" t="str">
        <f>"Billed Quantity ("&amp;C354&amp;")"</f>
        <v>Billed Quantity (Tonnes)</v>
      </c>
      <c r="G358" s="78" t="s">
        <v>501</v>
      </c>
      <c r="H358" s="78" t="s">
        <v>487</v>
      </c>
      <c r="I358" s="78" t="s">
        <v>1257</v>
      </c>
      <c r="J358" s="78" t="s">
        <v>1258</v>
      </c>
      <c r="K358" s="78" t="s">
        <v>1259</v>
      </c>
    </row>
    <row r="359" spans="2:11" ht="20.100000000000001" customHeight="1">
      <c r="B359" s="120"/>
      <c r="C359" s="121"/>
      <c r="D359" s="122"/>
      <c r="E359" s="122"/>
      <c r="F359" s="113"/>
      <c r="G359" s="107" t="str">
        <f t="shared" ref="G359:G394" si="34">IF(ISBLANK(D359),"",E359-D359+1)</f>
        <v/>
      </c>
      <c r="H359" s="106">
        <f>$C$355</f>
        <v>27</v>
      </c>
      <c r="I359" s="107">
        <f t="shared" ref="I359:I394" si="35">IF(F359&gt;0,F359*H359*IF(OR(D359&gt;$H$9,E359&lt;$H$8), 0, IF(D359&lt;$H$8,E359-$H$8,IF($H$9&lt;E359,E359-$H$9,G359)))/G359,0)</f>
        <v>0</v>
      </c>
      <c r="J359" s="107">
        <f t="shared" ref="J359:J394" si="36">IF(F359&gt;0,F359*H359*IF(OR(D359&gt;$I$9,E359&lt;$I$8), 0, IF(D359&lt;$I$8,E359-$I$8,IF($I$9&lt;E359,E359-$I$9,G359)))/G359,0)</f>
        <v>0</v>
      </c>
      <c r="K359" s="107">
        <f t="shared" ref="K359:K394" si="37">IF(F359&gt;0,F359*H359*IF(OR(D359&gt;$J$9,E359&lt;$J$8), 0, IF(D359&lt;$J$8,E359-$J$8,IF($J$9&lt;E359,E359-$J$9,G359)))/G359,0)</f>
        <v>0</v>
      </c>
    </row>
    <row r="360" spans="2:11" ht="20.100000000000001" customHeight="1">
      <c r="B360" s="123"/>
      <c r="C360" s="124"/>
      <c r="D360" s="125"/>
      <c r="E360" s="125"/>
      <c r="F360" s="116"/>
      <c r="G360" s="107" t="str">
        <f t="shared" si="34"/>
        <v/>
      </c>
      <c r="H360" s="106">
        <f t="shared" ref="H360:H394" si="38">$C$355</f>
        <v>27</v>
      </c>
      <c r="I360" s="107">
        <f t="shared" si="35"/>
        <v>0</v>
      </c>
      <c r="J360" s="107">
        <f t="shared" si="36"/>
        <v>0</v>
      </c>
      <c r="K360" s="107">
        <f t="shared" si="37"/>
        <v>0</v>
      </c>
    </row>
    <row r="361" spans="2:11" ht="20.100000000000001" customHeight="1">
      <c r="B361" s="123"/>
      <c r="C361" s="124"/>
      <c r="D361" s="125"/>
      <c r="E361" s="125"/>
      <c r="F361" s="116"/>
      <c r="G361" s="107" t="str">
        <f t="shared" si="34"/>
        <v/>
      </c>
      <c r="H361" s="106">
        <f t="shared" si="38"/>
        <v>27</v>
      </c>
      <c r="I361" s="107">
        <f t="shared" si="35"/>
        <v>0</v>
      </c>
      <c r="J361" s="107">
        <f t="shared" si="36"/>
        <v>0</v>
      </c>
      <c r="K361" s="107">
        <f t="shared" si="37"/>
        <v>0</v>
      </c>
    </row>
    <row r="362" spans="2:11" ht="20.100000000000001" customHeight="1">
      <c r="B362" s="123"/>
      <c r="C362" s="124"/>
      <c r="D362" s="125"/>
      <c r="E362" s="125"/>
      <c r="F362" s="116"/>
      <c r="G362" s="107" t="str">
        <f t="shared" si="34"/>
        <v/>
      </c>
      <c r="H362" s="106">
        <f t="shared" si="38"/>
        <v>27</v>
      </c>
      <c r="I362" s="107">
        <f t="shared" si="35"/>
        <v>0</v>
      </c>
      <c r="J362" s="107">
        <f t="shared" si="36"/>
        <v>0</v>
      </c>
      <c r="K362" s="107">
        <f t="shared" si="37"/>
        <v>0</v>
      </c>
    </row>
    <row r="363" spans="2:11" ht="20.100000000000001" customHeight="1">
      <c r="B363" s="123"/>
      <c r="C363" s="124"/>
      <c r="D363" s="125"/>
      <c r="E363" s="125"/>
      <c r="F363" s="116"/>
      <c r="G363" s="107" t="str">
        <f t="shared" si="34"/>
        <v/>
      </c>
      <c r="H363" s="106">
        <f t="shared" si="38"/>
        <v>27</v>
      </c>
      <c r="I363" s="107">
        <f t="shared" si="35"/>
        <v>0</v>
      </c>
      <c r="J363" s="107">
        <f t="shared" si="36"/>
        <v>0</v>
      </c>
      <c r="K363" s="107">
        <f t="shared" si="37"/>
        <v>0</v>
      </c>
    </row>
    <row r="364" spans="2:11" ht="20.100000000000001" customHeight="1">
      <c r="B364" s="123"/>
      <c r="C364" s="124"/>
      <c r="D364" s="125"/>
      <c r="E364" s="125"/>
      <c r="F364" s="116"/>
      <c r="G364" s="107" t="str">
        <f t="shared" si="34"/>
        <v/>
      </c>
      <c r="H364" s="106">
        <f t="shared" si="38"/>
        <v>27</v>
      </c>
      <c r="I364" s="107">
        <f t="shared" si="35"/>
        <v>0</v>
      </c>
      <c r="J364" s="107">
        <f t="shared" si="36"/>
        <v>0</v>
      </c>
      <c r="K364" s="107">
        <f t="shared" si="37"/>
        <v>0</v>
      </c>
    </row>
    <row r="365" spans="2:11" ht="20.100000000000001" customHeight="1">
      <c r="B365" s="123"/>
      <c r="C365" s="124"/>
      <c r="D365" s="125"/>
      <c r="E365" s="125"/>
      <c r="F365" s="116"/>
      <c r="G365" s="107" t="str">
        <f t="shared" si="34"/>
        <v/>
      </c>
      <c r="H365" s="106">
        <f t="shared" si="38"/>
        <v>27</v>
      </c>
      <c r="I365" s="107">
        <f t="shared" si="35"/>
        <v>0</v>
      </c>
      <c r="J365" s="107">
        <f t="shared" si="36"/>
        <v>0</v>
      </c>
      <c r="K365" s="107">
        <f t="shared" si="37"/>
        <v>0</v>
      </c>
    </row>
    <row r="366" spans="2:11" ht="20.100000000000001" customHeight="1">
      <c r="B366" s="123"/>
      <c r="C366" s="124"/>
      <c r="D366" s="125"/>
      <c r="E366" s="125"/>
      <c r="F366" s="116"/>
      <c r="G366" s="107" t="str">
        <f t="shared" si="34"/>
        <v/>
      </c>
      <c r="H366" s="106">
        <f t="shared" si="38"/>
        <v>27</v>
      </c>
      <c r="I366" s="107">
        <f t="shared" si="35"/>
        <v>0</v>
      </c>
      <c r="J366" s="107">
        <f t="shared" si="36"/>
        <v>0</v>
      </c>
      <c r="K366" s="107">
        <f t="shared" si="37"/>
        <v>0</v>
      </c>
    </row>
    <row r="367" spans="2:11" ht="20.100000000000001" customHeight="1">
      <c r="B367" s="123"/>
      <c r="C367" s="124"/>
      <c r="D367" s="125"/>
      <c r="E367" s="125"/>
      <c r="F367" s="116"/>
      <c r="G367" s="107" t="str">
        <f t="shared" si="34"/>
        <v/>
      </c>
      <c r="H367" s="106">
        <f t="shared" si="38"/>
        <v>27</v>
      </c>
      <c r="I367" s="107">
        <f t="shared" si="35"/>
        <v>0</v>
      </c>
      <c r="J367" s="107">
        <f t="shared" si="36"/>
        <v>0</v>
      </c>
      <c r="K367" s="107">
        <f t="shared" si="37"/>
        <v>0</v>
      </c>
    </row>
    <row r="368" spans="2:11" ht="20.100000000000001" customHeight="1">
      <c r="B368" s="123"/>
      <c r="C368" s="124"/>
      <c r="D368" s="125"/>
      <c r="E368" s="125"/>
      <c r="F368" s="116"/>
      <c r="G368" s="107" t="str">
        <f t="shared" si="34"/>
        <v/>
      </c>
      <c r="H368" s="106">
        <f t="shared" si="38"/>
        <v>27</v>
      </c>
      <c r="I368" s="107">
        <f t="shared" si="35"/>
        <v>0</v>
      </c>
      <c r="J368" s="107">
        <f t="shared" si="36"/>
        <v>0</v>
      </c>
      <c r="K368" s="107">
        <f t="shared" si="37"/>
        <v>0</v>
      </c>
    </row>
    <row r="369" spans="2:11" ht="20.100000000000001" customHeight="1">
      <c r="B369" s="123"/>
      <c r="C369" s="124"/>
      <c r="D369" s="125"/>
      <c r="E369" s="125"/>
      <c r="F369" s="116"/>
      <c r="G369" s="107" t="str">
        <f t="shared" si="34"/>
        <v/>
      </c>
      <c r="H369" s="106">
        <f t="shared" si="38"/>
        <v>27</v>
      </c>
      <c r="I369" s="107">
        <f t="shared" si="35"/>
        <v>0</v>
      </c>
      <c r="J369" s="107">
        <f t="shared" si="36"/>
        <v>0</v>
      </c>
      <c r="K369" s="107">
        <f t="shared" si="37"/>
        <v>0</v>
      </c>
    </row>
    <row r="370" spans="2:11" ht="20.100000000000001" customHeight="1">
      <c r="B370" s="123"/>
      <c r="C370" s="124"/>
      <c r="D370" s="125"/>
      <c r="E370" s="125"/>
      <c r="F370" s="116"/>
      <c r="G370" s="107" t="str">
        <f t="shared" si="34"/>
        <v/>
      </c>
      <c r="H370" s="106">
        <f t="shared" si="38"/>
        <v>27</v>
      </c>
      <c r="I370" s="107">
        <f t="shared" si="35"/>
        <v>0</v>
      </c>
      <c r="J370" s="107">
        <f t="shared" si="36"/>
        <v>0</v>
      </c>
      <c r="K370" s="107">
        <f t="shared" si="37"/>
        <v>0</v>
      </c>
    </row>
    <row r="371" spans="2:11" ht="20.100000000000001" customHeight="1">
      <c r="B371" s="123"/>
      <c r="C371" s="124"/>
      <c r="D371" s="125"/>
      <c r="E371" s="125"/>
      <c r="F371" s="116"/>
      <c r="G371" s="107" t="str">
        <f t="shared" si="34"/>
        <v/>
      </c>
      <c r="H371" s="106">
        <f t="shared" si="38"/>
        <v>27</v>
      </c>
      <c r="I371" s="107">
        <f t="shared" si="35"/>
        <v>0</v>
      </c>
      <c r="J371" s="107">
        <f t="shared" si="36"/>
        <v>0</v>
      </c>
      <c r="K371" s="107">
        <f t="shared" si="37"/>
        <v>0</v>
      </c>
    </row>
    <row r="372" spans="2:11" ht="20.100000000000001" customHeight="1">
      <c r="B372" s="123"/>
      <c r="C372" s="124"/>
      <c r="D372" s="125"/>
      <c r="E372" s="125"/>
      <c r="F372" s="116"/>
      <c r="G372" s="107" t="str">
        <f t="shared" si="34"/>
        <v/>
      </c>
      <c r="H372" s="106">
        <f t="shared" si="38"/>
        <v>27</v>
      </c>
      <c r="I372" s="107">
        <f t="shared" si="35"/>
        <v>0</v>
      </c>
      <c r="J372" s="107">
        <f t="shared" si="36"/>
        <v>0</v>
      </c>
      <c r="K372" s="107">
        <f t="shared" si="37"/>
        <v>0</v>
      </c>
    </row>
    <row r="373" spans="2:11" ht="20.100000000000001" customHeight="1">
      <c r="B373" s="123"/>
      <c r="C373" s="124"/>
      <c r="D373" s="125"/>
      <c r="E373" s="125"/>
      <c r="F373" s="116"/>
      <c r="G373" s="107" t="str">
        <f t="shared" si="34"/>
        <v/>
      </c>
      <c r="H373" s="106">
        <f t="shared" si="38"/>
        <v>27</v>
      </c>
      <c r="I373" s="107">
        <f t="shared" si="35"/>
        <v>0</v>
      </c>
      <c r="J373" s="107">
        <f t="shared" si="36"/>
        <v>0</v>
      </c>
      <c r="K373" s="107">
        <f t="shared" si="37"/>
        <v>0</v>
      </c>
    </row>
    <row r="374" spans="2:11" ht="20.100000000000001" customHeight="1">
      <c r="B374" s="123"/>
      <c r="C374" s="124"/>
      <c r="D374" s="125"/>
      <c r="E374" s="125"/>
      <c r="F374" s="116"/>
      <c r="G374" s="107" t="str">
        <f t="shared" si="34"/>
        <v/>
      </c>
      <c r="H374" s="106">
        <f t="shared" si="38"/>
        <v>27</v>
      </c>
      <c r="I374" s="107">
        <f t="shared" si="35"/>
        <v>0</v>
      </c>
      <c r="J374" s="107">
        <f t="shared" si="36"/>
        <v>0</v>
      </c>
      <c r="K374" s="107">
        <f t="shared" si="37"/>
        <v>0</v>
      </c>
    </row>
    <row r="375" spans="2:11" ht="20.100000000000001" customHeight="1">
      <c r="B375" s="123"/>
      <c r="C375" s="124"/>
      <c r="D375" s="125"/>
      <c r="E375" s="125"/>
      <c r="F375" s="116"/>
      <c r="G375" s="107" t="str">
        <f t="shared" si="34"/>
        <v/>
      </c>
      <c r="H375" s="106">
        <f t="shared" si="38"/>
        <v>27</v>
      </c>
      <c r="I375" s="107">
        <f t="shared" si="35"/>
        <v>0</v>
      </c>
      <c r="J375" s="107">
        <f t="shared" si="36"/>
        <v>0</v>
      </c>
      <c r="K375" s="107">
        <f t="shared" si="37"/>
        <v>0</v>
      </c>
    </row>
    <row r="376" spans="2:11" ht="20.100000000000001" customHeight="1">
      <c r="B376" s="123"/>
      <c r="C376" s="124"/>
      <c r="D376" s="125"/>
      <c r="E376" s="125"/>
      <c r="F376" s="116"/>
      <c r="G376" s="107" t="str">
        <f t="shared" si="34"/>
        <v/>
      </c>
      <c r="H376" s="106">
        <f t="shared" si="38"/>
        <v>27</v>
      </c>
      <c r="I376" s="107">
        <f t="shared" si="35"/>
        <v>0</v>
      </c>
      <c r="J376" s="107">
        <f t="shared" si="36"/>
        <v>0</v>
      </c>
      <c r="K376" s="107">
        <f t="shared" si="37"/>
        <v>0</v>
      </c>
    </row>
    <row r="377" spans="2:11" ht="20.100000000000001" customHeight="1">
      <c r="B377" s="123"/>
      <c r="C377" s="124"/>
      <c r="D377" s="125"/>
      <c r="E377" s="125"/>
      <c r="F377" s="116"/>
      <c r="G377" s="107" t="str">
        <f t="shared" si="34"/>
        <v/>
      </c>
      <c r="H377" s="106">
        <f t="shared" si="38"/>
        <v>27</v>
      </c>
      <c r="I377" s="107">
        <f t="shared" si="35"/>
        <v>0</v>
      </c>
      <c r="J377" s="107">
        <f t="shared" si="36"/>
        <v>0</v>
      </c>
      <c r="K377" s="107">
        <f t="shared" si="37"/>
        <v>0</v>
      </c>
    </row>
    <row r="378" spans="2:11" ht="20.100000000000001" customHeight="1">
      <c r="B378" s="123"/>
      <c r="C378" s="124"/>
      <c r="D378" s="125"/>
      <c r="E378" s="125"/>
      <c r="F378" s="116"/>
      <c r="G378" s="107" t="str">
        <f t="shared" si="34"/>
        <v/>
      </c>
      <c r="H378" s="106">
        <f t="shared" si="38"/>
        <v>27</v>
      </c>
      <c r="I378" s="107">
        <f t="shared" si="35"/>
        <v>0</v>
      </c>
      <c r="J378" s="107">
        <f t="shared" si="36"/>
        <v>0</v>
      </c>
      <c r="K378" s="107">
        <f t="shared" si="37"/>
        <v>0</v>
      </c>
    </row>
    <row r="379" spans="2:11" ht="20.100000000000001" customHeight="1">
      <c r="B379" s="123"/>
      <c r="C379" s="124"/>
      <c r="D379" s="125"/>
      <c r="E379" s="125"/>
      <c r="F379" s="116"/>
      <c r="G379" s="107" t="str">
        <f t="shared" si="34"/>
        <v/>
      </c>
      <c r="H379" s="106">
        <f t="shared" si="38"/>
        <v>27</v>
      </c>
      <c r="I379" s="107">
        <f t="shared" si="35"/>
        <v>0</v>
      </c>
      <c r="J379" s="107">
        <f t="shared" si="36"/>
        <v>0</v>
      </c>
      <c r="K379" s="107">
        <f t="shared" si="37"/>
        <v>0</v>
      </c>
    </row>
    <row r="380" spans="2:11" ht="20.100000000000001" customHeight="1">
      <c r="B380" s="123"/>
      <c r="C380" s="124"/>
      <c r="D380" s="125"/>
      <c r="E380" s="125"/>
      <c r="F380" s="116"/>
      <c r="G380" s="107" t="str">
        <f t="shared" si="34"/>
        <v/>
      </c>
      <c r="H380" s="106">
        <f t="shared" si="38"/>
        <v>27</v>
      </c>
      <c r="I380" s="107">
        <f t="shared" si="35"/>
        <v>0</v>
      </c>
      <c r="J380" s="107">
        <f t="shared" si="36"/>
        <v>0</v>
      </c>
      <c r="K380" s="107">
        <f t="shared" si="37"/>
        <v>0</v>
      </c>
    </row>
    <row r="381" spans="2:11" ht="20.100000000000001" customHeight="1">
      <c r="B381" s="123"/>
      <c r="C381" s="124"/>
      <c r="D381" s="125"/>
      <c r="E381" s="125"/>
      <c r="F381" s="116"/>
      <c r="G381" s="107" t="str">
        <f t="shared" si="34"/>
        <v/>
      </c>
      <c r="H381" s="106">
        <f t="shared" si="38"/>
        <v>27</v>
      </c>
      <c r="I381" s="107">
        <f t="shared" si="35"/>
        <v>0</v>
      </c>
      <c r="J381" s="107">
        <f t="shared" si="36"/>
        <v>0</v>
      </c>
      <c r="K381" s="107">
        <f t="shared" si="37"/>
        <v>0</v>
      </c>
    </row>
    <row r="382" spans="2:11" ht="20.100000000000001" customHeight="1">
      <c r="B382" s="123"/>
      <c r="C382" s="124"/>
      <c r="D382" s="125"/>
      <c r="E382" s="125"/>
      <c r="F382" s="116"/>
      <c r="G382" s="107" t="str">
        <f t="shared" si="34"/>
        <v/>
      </c>
      <c r="H382" s="106">
        <f t="shared" si="38"/>
        <v>27</v>
      </c>
      <c r="I382" s="107">
        <f t="shared" si="35"/>
        <v>0</v>
      </c>
      <c r="J382" s="107">
        <f t="shared" si="36"/>
        <v>0</v>
      </c>
      <c r="K382" s="107">
        <f t="shared" si="37"/>
        <v>0</v>
      </c>
    </row>
    <row r="383" spans="2:11" ht="20.100000000000001" customHeight="1">
      <c r="B383" s="123"/>
      <c r="C383" s="124"/>
      <c r="D383" s="125"/>
      <c r="E383" s="125"/>
      <c r="F383" s="116"/>
      <c r="G383" s="107" t="str">
        <f t="shared" si="34"/>
        <v/>
      </c>
      <c r="H383" s="106">
        <f t="shared" si="38"/>
        <v>27</v>
      </c>
      <c r="I383" s="107">
        <f t="shared" si="35"/>
        <v>0</v>
      </c>
      <c r="J383" s="107">
        <f t="shared" si="36"/>
        <v>0</v>
      </c>
      <c r="K383" s="107">
        <f t="shared" si="37"/>
        <v>0</v>
      </c>
    </row>
    <row r="384" spans="2:11" ht="20.100000000000001" customHeight="1">
      <c r="B384" s="123"/>
      <c r="C384" s="124"/>
      <c r="D384" s="125"/>
      <c r="E384" s="125"/>
      <c r="F384" s="116"/>
      <c r="G384" s="107" t="str">
        <f t="shared" si="34"/>
        <v/>
      </c>
      <c r="H384" s="106">
        <f t="shared" si="38"/>
        <v>27</v>
      </c>
      <c r="I384" s="107">
        <f t="shared" si="35"/>
        <v>0</v>
      </c>
      <c r="J384" s="107">
        <f t="shared" si="36"/>
        <v>0</v>
      </c>
      <c r="K384" s="107">
        <f t="shared" si="37"/>
        <v>0</v>
      </c>
    </row>
    <row r="385" spans="2:11" ht="20.100000000000001" customHeight="1">
      <c r="B385" s="123"/>
      <c r="C385" s="124"/>
      <c r="D385" s="125"/>
      <c r="E385" s="125"/>
      <c r="F385" s="116"/>
      <c r="G385" s="107" t="str">
        <f t="shared" si="34"/>
        <v/>
      </c>
      <c r="H385" s="106">
        <f t="shared" si="38"/>
        <v>27</v>
      </c>
      <c r="I385" s="107">
        <f t="shared" si="35"/>
        <v>0</v>
      </c>
      <c r="J385" s="107">
        <f t="shared" si="36"/>
        <v>0</v>
      </c>
      <c r="K385" s="107">
        <f t="shared" si="37"/>
        <v>0</v>
      </c>
    </row>
    <row r="386" spans="2:11" ht="20.100000000000001" customHeight="1">
      <c r="B386" s="123"/>
      <c r="C386" s="124"/>
      <c r="D386" s="125"/>
      <c r="E386" s="125"/>
      <c r="F386" s="116"/>
      <c r="G386" s="107" t="str">
        <f t="shared" si="34"/>
        <v/>
      </c>
      <c r="H386" s="106">
        <f t="shared" si="38"/>
        <v>27</v>
      </c>
      <c r="I386" s="107">
        <f t="shared" si="35"/>
        <v>0</v>
      </c>
      <c r="J386" s="107">
        <f t="shared" si="36"/>
        <v>0</v>
      </c>
      <c r="K386" s="107">
        <f t="shared" si="37"/>
        <v>0</v>
      </c>
    </row>
    <row r="387" spans="2:11" ht="20.100000000000001" customHeight="1">
      <c r="B387" s="123"/>
      <c r="C387" s="124"/>
      <c r="D387" s="125"/>
      <c r="E387" s="125"/>
      <c r="F387" s="116"/>
      <c r="G387" s="107" t="str">
        <f t="shared" si="34"/>
        <v/>
      </c>
      <c r="H387" s="106">
        <f t="shared" si="38"/>
        <v>27</v>
      </c>
      <c r="I387" s="107">
        <f t="shared" si="35"/>
        <v>0</v>
      </c>
      <c r="J387" s="107">
        <f t="shared" si="36"/>
        <v>0</v>
      </c>
      <c r="K387" s="107">
        <f t="shared" si="37"/>
        <v>0</v>
      </c>
    </row>
    <row r="388" spans="2:11" ht="20.100000000000001" customHeight="1">
      <c r="B388" s="123"/>
      <c r="C388" s="124"/>
      <c r="D388" s="125"/>
      <c r="E388" s="125"/>
      <c r="F388" s="116"/>
      <c r="G388" s="107" t="str">
        <f t="shared" si="34"/>
        <v/>
      </c>
      <c r="H388" s="106">
        <f t="shared" si="38"/>
        <v>27</v>
      </c>
      <c r="I388" s="107">
        <f t="shared" si="35"/>
        <v>0</v>
      </c>
      <c r="J388" s="107">
        <f t="shared" si="36"/>
        <v>0</v>
      </c>
      <c r="K388" s="107">
        <f t="shared" si="37"/>
        <v>0</v>
      </c>
    </row>
    <row r="389" spans="2:11" ht="20.100000000000001" customHeight="1">
      <c r="B389" s="123"/>
      <c r="C389" s="124"/>
      <c r="D389" s="125"/>
      <c r="E389" s="125"/>
      <c r="F389" s="116"/>
      <c r="G389" s="107" t="str">
        <f t="shared" si="34"/>
        <v/>
      </c>
      <c r="H389" s="106">
        <f t="shared" si="38"/>
        <v>27</v>
      </c>
      <c r="I389" s="107">
        <f t="shared" si="35"/>
        <v>0</v>
      </c>
      <c r="J389" s="107">
        <f t="shared" si="36"/>
        <v>0</v>
      </c>
      <c r="K389" s="107">
        <f t="shared" si="37"/>
        <v>0</v>
      </c>
    </row>
    <row r="390" spans="2:11" ht="20.100000000000001" customHeight="1">
      <c r="B390" s="123"/>
      <c r="C390" s="124"/>
      <c r="D390" s="125"/>
      <c r="E390" s="125"/>
      <c r="F390" s="116"/>
      <c r="G390" s="107" t="str">
        <f t="shared" si="34"/>
        <v/>
      </c>
      <c r="H390" s="106">
        <f t="shared" si="38"/>
        <v>27</v>
      </c>
      <c r="I390" s="107">
        <f t="shared" si="35"/>
        <v>0</v>
      </c>
      <c r="J390" s="107">
        <f t="shared" si="36"/>
        <v>0</v>
      </c>
      <c r="K390" s="107">
        <f t="shared" si="37"/>
        <v>0</v>
      </c>
    </row>
    <row r="391" spans="2:11" ht="20.100000000000001" customHeight="1">
      <c r="B391" s="123"/>
      <c r="C391" s="124"/>
      <c r="D391" s="125"/>
      <c r="E391" s="125"/>
      <c r="F391" s="116"/>
      <c r="G391" s="107" t="str">
        <f t="shared" si="34"/>
        <v/>
      </c>
      <c r="H391" s="106">
        <f t="shared" si="38"/>
        <v>27</v>
      </c>
      <c r="I391" s="107">
        <f t="shared" si="35"/>
        <v>0</v>
      </c>
      <c r="J391" s="107">
        <f t="shared" si="36"/>
        <v>0</v>
      </c>
      <c r="K391" s="107">
        <f t="shared" si="37"/>
        <v>0</v>
      </c>
    </row>
    <row r="392" spans="2:11" ht="20.100000000000001" customHeight="1">
      <c r="B392" s="123"/>
      <c r="C392" s="124"/>
      <c r="D392" s="125"/>
      <c r="E392" s="125"/>
      <c r="F392" s="116"/>
      <c r="G392" s="107" t="str">
        <f t="shared" si="34"/>
        <v/>
      </c>
      <c r="H392" s="106">
        <f t="shared" si="38"/>
        <v>27</v>
      </c>
      <c r="I392" s="107">
        <f t="shared" si="35"/>
        <v>0</v>
      </c>
      <c r="J392" s="107">
        <f t="shared" si="36"/>
        <v>0</v>
      </c>
      <c r="K392" s="107">
        <f t="shared" si="37"/>
        <v>0</v>
      </c>
    </row>
    <row r="393" spans="2:11" ht="20.100000000000001" customHeight="1">
      <c r="B393" s="123"/>
      <c r="C393" s="124"/>
      <c r="D393" s="125"/>
      <c r="E393" s="125"/>
      <c r="F393" s="116"/>
      <c r="G393" s="107" t="str">
        <f t="shared" si="34"/>
        <v/>
      </c>
      <c r="H393" s="106">
        <f t="shared" si="38"/>
        <v>27</v>
      </c>
      <c r="I393" s="107">
        <f t="shared" si="35"/>
        <v>0</v>
      </c>
      <c r="J393" s="107">
        <f t="shared" si="36"/>
        <v>0</v>
      </c>
      <c r="K393" s="107">
        <f t="shared" si="37"/>
        <v>0</v>
      </c>
    </row>
    <row r="394" spans="2:11" ht="20.100000000000001" customHeight="1" thickBot="1">
      <c r="B394" s="126"/>
      <c r="C394" s="127"/>
      <c r="D394" s="128"/>
      <c r="E394" s="128"/>
      <c r="F394" s="119"/>
      <c r="G394" s="107" t="str">
        <f t="shared" si="34"/>
        <v/>
      </c>
      <c r="H394" s="106">
        <f t="shared" si="38"/>
        <v>27</v>
      </c>
      <c r="I394" s="107">
        <f t="shared" si="35"/>
        <v>0</v>
      </c>
      <c r="J394" s="107">
        <f t="shared" si="36"/>
        <v>0</v>
      </c>
      <c r="K394" s="107">
        <f t="shared" si="37"/>
        <v>0</v>
      </c>
    </row>
    <row r="396" spans="2:11" ht="15.6">
      <c r="B396" s="316" t="s">
        <v>1232</v>
      </c>
      <c r="C396" s="316"/>
      <c r="D396" s="316"/>
      <c r="E396" s="316"/>
      <c r="F396" s="316"/>
      <c r="G396" s="316"/>
      <c r="H396" s="316"/>
      <c r="I396" s="316"/>
      <c r="J396" s="316"/>
      <c r="K396" s="316"/>
    </row>
    <row r="397" spans="2:11" ht="13.8" thickBot="1">
      <c r="E397" s="94"/>
    </row>
    <row r="398" spans="2:11" ht="20.100000000000001" customHeight="1" thickBot="1">
      <c r="B398" s="78" t="s">
        <v>471</v>
      </c>
      <c r="C398" s="99" t="str">
        <f>'15C Building Details'!C216</f>
        <v>Other</v>
      </c>
      <c r="E398" s="289" t="s">
        <v>475</v>
      </c>
      <c r="F398" s="555"/>
      <c r="G398" s="556"/>
      <c r="H398" s="556"/>
      <c r="I398" s="557"/>
    </row>
    <row r="399" spans="2:11" ht="20.100000000000001" customHeight="1">
      <c r="B399" s="78" t="s">
        <v>477</v>
      </c>
      <c r="C399" s="99">
        <f>'15C Building Details'!C217</f>
        <v>0</v>
      </c>
      <c r="E399" s="615" t="s">
        <v>479</v>
      </c>
      <c r="F399" s="563"/>
      <c r="G399" s="564"/>
      <c r="H399" s="564"/>
      <c r="I399" s="565"/>
    </row>
    <row r="400" spans="2:11" ht="20.100000000000001" customHeight="1" thickBot="1">
      <c r="B400" s="78" t="s">
        <v>483</v>
      </c>
      <c r="C400" s="99">
        <f>'15C Building Details'!C218</f>
        <v>0</v>
      </c>
      <c r="D400" s="317"/>
      <c r="E400" s="616"/>
      <c r="F400" s="566"/>
      <c r="G400" s="567"/>
      <c r="H400" s="567"/>
      <c r="I400" s="568"/>
    </row>
    <row r="401" spans="2:11" ht="20.100000000000001" customHeight="1">
      <c r="B401" s="78" t="s">
        <v>485</v>
      </c>
      <c r="C401" s="99">
        <f>'15C Building Details'!C219</f>
        <v>0</v>
      </c>
    </row>
    <row r="402" spans="2:11" ht="20.100000000000001" customHeight="1">
      <c r="B402" s="78" t="s">
        <v>487</v>
      </c>
      <c r="C402" s="99">
        <f>'15C Building Details'!C220</f>
        <v>0</v>
      </c>
      <c r="E402" s="11" t="s">
        <v>489</v>
      </c>
    </row>
    <row r="403" spans="2:11" ht="20.100000000000001" customHeight="1">
      <c r="G403" s="14"/>
      <c r="J403" s="11"/>
    </row>
    <row r="404" spans="2:11" ht="20.100000000000001" customHeight="1"/>
    <row r="405" spans="2:11" ht="40.200000000000003" customHeight="1" thickBot="1">
      <c r="B405" s="175" t="s">
        <v>491</v>
      </c>
      <c r="C405" s="175" t="s">
        <v>493</v>
      </c>
      <c r="D405" s="175" t="s">
        <v>495</v>
      </c>
      <c r="E405" s="175" t="s">
        <v>497</v>
      </c>
      <c r="F405" s="175" t="str">
        <f>"Billed Quantity ("&amp;C401&amp;")"</f>
        <v>Billed Quantity (0)</v>
      </c>
      <c r="G405" s="78" t="s">
        <v>501</v>
      </c>
      <c r="H405" s="78" t="s">
        <v>487</v>
      </c>
      <c r="I405" s="78" t="s">
        <v>1257</v>
      </c>
      <c r="J405" s="78" t="s">
        <v>1258</v>
      </c>
      <c r="K405" s="78" t="s">
        <v>1259</v>
      </c>
    </row>
    <row r="406" spans="2:11" ht="20.100000000000001" customHeight="1">
      <c r="B406" s="120"/>
      <c r="C406" s="121"/>
      <c r="D406" s="122"/>
      <c r="E406" s="122"/>
      <c r="F406" s="113"/>
      <c r="G406" s="105" t="str">
        <f t="shared" ref="G406:G441" si="39">IF(ISBLANK(D406),"",E406-D406+1)</f>
        <v/>
      </c>
      <c r="H406" s="106">
        <f>$C$402</f>
        <v>0</v>
      </c>
      <c r="I406" s="107">
        <f t="shared" ref="I406:I441" si="40">IF(F406&gt;0,F406*H406*IF(OR(D406&gt;$H$9,E406&lt;$H$8), 0, IF(D406&lt;$H$8,E406-$H$8,IF($H$9&lt;E406,E406-$H$9,G406)))/G406,0)</f>
        <v>0</v>
      </c>
      <c r="J406" s="107">
        <f t="shared" ref="J406:J441" si="41">IF(F406&gt;0,F406*H406*IF(OR(D406&gt;$I$9,E406&lt;$I$8), 0, IF(D406&lt;$I$8,E406-$I$8,IF($I$9&lt;E406,E406-$I$9,G406)))/G406,0)</f>
        <v>0</v>
      </c>
      <c r="K406" s="107">
        <f t="shared" ref="K406:K441" si="42">IF(F406&gt;0,F406*H406*IF(OR(D406&gt;$J$9,E406&lt;$J$8), 0, IF(D406&lt;$J$8,E406-$J$8,IF($J$9&lt;E406,E406-$J$9,G406)))/G406,0)</f>
        <v>0</v>
      </c>
    </row>
    <row r="407" spans="2:11" ht="20.100000000000001" customHeight="1">
      <c r="B407" s="123"/>
      <c r="C407" s="124"/>
      <c r="D407" s="125"/>
      <c r="E407" s="125"/>
      <c r="F407" s="116"/>
      <c r="G407" s="105" t="str">
        <f t="shared" si="39"/>
        <v/>
      </c>
      <c r="H407" s="106">
        <f t="shared" ref="H407:H441" si="43">$C$402</f>
        <v>0</v>
      </c>
      <c r="I407" s="107">
        <f t="shared" si="40"/>
        <v>0</v>
      </c>
      <c r="J407" s="107">
        <f t="shared" si="41"/>
        <v>0</v>
      </c>
      <c r="K407" s="107">
        <f t="shared" si="42"/>
        <v>0</v>
      </c>
    </row>
    <row r="408" spans="2:11" ht="20.100000000000001" customHeight="1">
      <c r="B408" s="123"/>
      <c r="C408" s="124"/>
      <c r="D408" s="125"/>
      <c r="E408" s="125"/>
      <c r="F408" s="116"/>
      <c r="G408" s="105" t="str">
        <f t="shared" si="39"/>
        <v/>
      </c>
      <c r="H408" s="106">
        <f t="shared" si="43"/>
        <v>0</v>
      </c>
      <c r="I408" s="107">
        <f t="shared" si="40"/>
        <v>0</v>
      </c>
      <c r="J408" s="107">
        <f t="shared" si="41"/>
        <v>0</v>
      </c>
      <c r="K408" s="107">
        <f t="shared" si="42"/>
        <v>0</v>
      </c>
    </row>
    <row r="409" spans="2:11" ht="20.100000000000001" customHeight="1">
      <c r="B409" s="123"/>
      <c r="C409" s="124"/>
      <c r="D409" s="125"/>
      <c r="E409" s="125"/>
      <c r="F409" s="116"/>
      <c r="G409" s="105" t="str">
        <f t="shared" si="39"/>
        <v/>
      </c>
      <c r="H409" s="106">
        <f t="shared" si="43"/>
        <v>0</v>
      </c>
      <c r="I409" s="107">
        <f t="shared" si="40"/>
        <v>0</v>
      </c>
      <c r="J409" s="107">
        <f t="shared" si="41"/>
        <v>0</v>
      </c>
      <c r="K409" s="107">
        <f t="shared" si="42"/>
        <v>0</v>
      </c>
    </row>
    <row r="410" spans="2:11" ht="20.100000000000001" customHeight="1">
      <c r="B410" s="123"/>
      <c r="C410" s="124"/>
      <c r="D410" s="125"/>
      <c r="E410" s="125"/>
      <c r="F410" s="116"/>
      <c r="G410" s="105" t="str">
        <f t="shared" si="39"/>
        <v/>
      </c>
      <c r="H410" s="106">
        <f t="shared" si="43"/>
        <v>0</v>
      </c>
      <c r="I410" s="107">
        <f t="shared" si="40"/>
        <v>0</v>
      </c>
      <c r="J410" s="107">
        <f t="shared" si="41"/>
        <v>0</v>
      </c>
      <c r="K410" s="107">
        <f t="shared" si="42"/>
        <v>0</v>
      </c>
    </row>
    <row r="411" spans="2:11" ht="20.100000000000001" customHeight="1">
      <c r="B411" s="123"/>
      <c r="C411" s="124"/>
      <c r="D411" s="125"/>
      <c r="E411" s="125"/>
      <c r="F411" s="116"/>
      <c r="G411" s="105" t="str">
        <f t="shared" si="39"/>
        <v/>
      </c>
      <c r="H411" s="106">
        <f t="shared" si="43"/>
        <v>0</v>
      </c>
      <c r="I411" s="107">
        <f t="shared" si="40"/>
        <v>0</v>
      </c>
      <c r="J411" s="107">
        <f t="shared" si="41"/>
        <v>0</v>
      </c>
      <c r="K411" s="107">
        <f t="shared" si="42"/>
        <v>0</v>
      </c>
    </row>
    <row r="412" spans="2:11" ht="20.100000000000001" customHeight="1">
      <c r="B412" s="123"/>
      <c r="C412" s="124"/>
      <c r="D412" s="125"/>
      <c r="E412" s="125"/>
      <c r="F412" s="116"/>
      <c r="G412" s="105" t="str">
        <f t="shared" si="39"/>
        <v/>
      </c>
      <c r="H412" s="106">
        <f t="shared" si="43"/>
        <v>0</v>
      </c>
      <c r="I412" s="107">
        <f t="shared" si="40"/>
        <v>0</v>
      </c>
      <c r="J412" s="107">
        <f t="shared" si="41"/>
        <v>0</v>
      </c>
      <c r="K412" s="107">
        <f t="shared" si="42"/>
        <v>0</v>
      </c>
    </row>
    <row r="413" spans="2:11" ht="20.100000000000001" customHeight="1">
      <c r="B413" s="123"/>
      <c r="C413" s="124"/>
      <c r="D413" s="125"/>
      <c r="E413" s="125"/>
      <c r="F413" s="116"/>
      <c r="G413" s="105" t="str">
        <f t="shared" si="39"/>
        <v/>
      </c>
      <c r="H413" s="106">
        <f t="shared" si="43"/>
        <v>0</v>
      </c>
      <c r="I413" s="107">
        <f t="shared" si="40"/>
        <v>0</v>
      </c>
      <c r="J413" s="107">
        <f t="shared" si="41"/>
        <v>0</v>
      </c>
      <c r="K413" s="107">
        <f t="shared" si="42"/>
        <v>0</v>
      </c>
    </row>
    <row r="414" spans="2:11" ht="20.100000000000001" customHeight="1">
      <c r="B414" s="123"/>
      <c r="C414" s="124"/>
      <c r="D414" s="125"/>
      <c r="E414" s="125"/>
      <c r="F414" s="116"/>
      <c r="G414" s="105" t="str">
        <f t="shared" si="39"/>
        <v/>
      </c>
      <c r="H414" s="106">
        <f t="shared" si="43"/>
        <v>0</v>
      </c>
      <c r="I414" s="107">
        <f t="shared" si="40"/>
        <v>0</v>
      </c>
      <c r="J414" s="107">
        <f t="shared" si="41"/>
        <v>0</v>
      </c>
      <c r="K414" s="107">
        <f t="shared" si="42"/>
        <v>0</v>
      </c>
    </row>
    <row r="415" spans="2:11" ht="20.100000000000001" customHeight="1">
      <c r="B415" s="123"/>
      <c r="C415" s="124"/>
      <c r="D415" s="125"/>
      <c r="E415" s="125"/>
      <c r="F415" s="116"/>
      <c r="G415" s="105" t="str">
        <f t="shared" si="39"/>
        <v/>
      </c>
      <c r="H415" s="106">
        <f t="shared" si="43"/>
        <v>0</v>
      </c>
      <c r="I415" s="107">
        <f t="shared" si="40"/>
        <v>0</v>
      </c>
      <c r="J415" s="107">
        <f t="shared" si="41"/>
        <v>0</v>
      </c>
      <c r="K415" s="107">
        <f t="shared" si="42"/>
        <v>0</v>
      </c>
    </row>
    <row r="416" spans="2:11" ht="20.100000000000001" customHeight="1">
      <c r="B416" s="123"/>
      <c r="C416" s="124"/>
      <c r="D416" s="125"/>
      <c r="E416" s="125"/>
      <c r="F416" s="116"/>
      <c r="G416" s="105" t="str">
        <f t="shared" si="39"/>
        <v/>
      </c>
      <c r="H416" s="106">
        <f t="shared" si="43"/>
        <v>0</v>
      </c>
      <c r="I416" s="107">
        <f t="shared" si="40"/>
        <v>0</v>
      </c>
      <c r="J416" s="107">
        <f t="shared" si="41"/>
        <v>0</v>
      </c>
      <c r="K416" s="107">
        <f t="shared" si="42"/>
        <v>0</v>
      </c>
    </row>
    <row r="417" spans="2:11" ht="20.100000000000001" customHeight="1">
      <c r="B417" s="123"/>
      <c r="C417" s="124"/>
      <c r="D417" s="125"/>
      <c r="E417" s="125"/>
      <c r="F417" s="116"/>
      <c r="G417" s="105" t="str">
        <f t="shared" si="39"/>
        <v/>
      </c>
      <c r="H417" s="106">
        <f t="shared" si="43"/>
        <v>0</v>
      </c>
      <c r="I417" s="107">
        <f t="shared" si="40"/>
        <v>0</v>
      </c>
      <c r="J417" s="107">
        <f t="shared" si="41"/>
        <v>0</v>
      </c>
      <c r="K417" s="107">
        <f t="shared" si="42"/>
        <v>0</v>
      </c>
    </row>
    <row r="418" spans="2:11" ht="20.100000000000001" customHeight="1">
      <c r="B418" s="123"/>
      <c r="C418" s="124"/>
      <c r="D418" s="125"/>
      <c r="E418" s="125"/>
      <c r="F418" s="116"/>
      <c r="G418" s="105" t="str">
        <f t="shared" si="39"/>
        <v/>
      </c>
      <c r="H418" s="106">
        <f t="shared" si="43"/>
        <v>0</v>
      </c>
      <c r="I418" s="107">
        <f t="shared" si="40"/>
        <v>0</v>
      </c>
      <c r="J418" s="107">
        <f t="shared" si="41"/>
        <v>0</v>
      </c>
      <c r="K418" s="107">
        <f t="shared" si="42"/>
        <v>0</v>
      </c>
    </row>
    <row r="419" spans="2:11" ht="20.100000000000001" customHeight="1">
      <c r="B419" s="123"/>
      <c r="C419" s="124"/>
      <c r="D419" s="125"/>
      <c r="E419" s="125"/>
      <c r="F419" s="116"/>
      <c r="G419" s="105" t="str">
        <f t="shared" si="39"/>
        <v/>
      </c>
      <c r="H419" s="106">
        <f t="shared" si="43"/>
        <v>0</v>
      </c>
      <c r="I419" s="107">
        <f t="shared" si="40"/>
        <v>0</v>
      </c>
      <c r="J419" s="107">
        <f t="shared" si="41"/>
        <v>0</v>
      </c>
      <c r="K419" s="107">
        <f t="shared" si="42"/>
        <v>0</v>
      </c>
    </row>
    <row r="420" spans="2:11" ht="20.100000000000001" customHeight="1">
      <c r="B420" s="123"/>
      <c r="C420" s="124"/>
      <c r="D420" s="125"/>
      <c r="E420" s="125"/>
      <c r="F420" s="116"/>
      <c r="G420" s="105" t="str">
        <f t="shared" si="39"/>
        <v/>
      </c>
      <c r="H420" s="106">
        <f t="shared" si="43"/>
        <v>0</v>
      </c>
      <c r="I420" s="107">
        <f t="shared" si="40"/>
        <v>0</v>
      </c>
      <c r="J420" s="107">
        <f t="shared" si="41"/>
        <v>0</v>
      </c>
      <c r="K420" s="107">
        <f t="shared" si="42"/>
        <v>0</v>
      </c>
    </row>
    <row r="421" spans="2:11" ht="20.100000000000001" customHeight="1">
      <c r="B421" s="123"/>
      <c r="C421" s="124"/>
      <c r="D421" s="125"/>
      <c r="E421" s="125"/>
      <c r="F421" s="116"/>
      <c r="G421" s="105" t="str">
        <f t="shared" si="39"/>
        <v/>
      </c>
      <c r="H421" s="106">
        <f t="shared" si="43"/>
        <v>0</v>
      </c>
      <c r="I421" s="107">
        <f t="shared" si="40"/>
        <v>0</v>
      </c>
      <c r="J421" s="107">
        <f t="shared" si="41"/>
        <v>0</v>
      </c>
      <c r="K421" s="107">
        <f t="shared" si="42"/>
        <v>0</v>
      </c>
    </row>
    <row r="422" spans="2:11" ht="20.100000000000001" customHeight="1">
      <c r="B422" s="123"/>
      <c r="C422" s="124"/>
      <c r="D422" s="125"/>
      <c r="E422" s="125"/>
      <c r="F422" s="116"/>
      <c r="G422" s="105" t="str">
        <f t="shared" si="39"/>
        <v/>
      </c>
      <c r="H422" s="106">
        <f t="shared" si="43"/>
        <v>0</v>
      </c>
      <c r="I422" s="107">
        <f t="shared" si="40"/>
        <v>0</v>
      </c>
      <c r="J422" s="107">
        <f t="shared" si="41"/>
        <v>0</v>
      </c>
      <c r="K422" s="107">
        <f t="shared" si="42"/>
        <v>0</v>
      </c>
    </row>
    <row r="423" spans="2:11" ht="20.100000000000001" customHeight="1">
      <c r="B423" s="123"/>
      <c r="C423" s="124"/>
      <c r="D423" s="125"/>
      <c r="E423" s="125"/>
      <c r="F423" s="116"/>
      <c r="G423" s="105" t="str">
        <f t="shared" si="39"/>
        <v/>
      </c>
      <c r="H423" s="106">
        <f t="shared" si="43"/>
        <v>0</v>
      </c>
      <c r="I423" s="107">
        <f t="shared" si="40"/>
        <v>0</v>
      </c>
      <c r="J423" s="107">
        <f t="shared" si="41"/>
        <v>0</v>
      </c>
      <c r="K423" s="107">
        <f t="shared" si="42"/>
        <v>0</v>
      </c>
    </row>
    <row r="424" spans="2:11" ht="20.100000000000001" customHeight="1">
      <c r="B424" s="123"/>
      <c r="C424" s="124"/>
      <c r="D424" s="125"/>
      <c r="E424" s="125"/>
      <c r="F424" s="116"/>
      <c r="G424" s="105" t="str">
        <f t="shared" si="39"/>
        <v/>
      </c>
      <c r="H424" s="106">
        <f t="shared" si="43"/>
        <v>0</v>
      </c>
      <c r="I424" s="107">
        <f t="shared" si="40"/>
        <v>0</v>
      </c>
      <c r="J424" s="107">
        <f t="shared" si="41"/>
        <v>0</v>
      </c>
      <c r="K424" s="107">
        <f t="shared" si="42"/>
        <v>0</v>
      </c>
    </row>
    <row r="425" spans="2:11" ht="20.100000000000001" customHeight="1">
      <c r="B425" s="123"/>
      <c r="C425" s="124"/>
      <c r="D425" s="125"/>
      <c r="E425" s="125"/>
      <c r="F425" s="116"/>
      <c r="G425" s="105" t="str">
        <f t="shared" si="39"/>
        <v/>
      </c>
      <c r="H425" s="106">
        <f t="shared" si="43"/>
        <v>0</v>
      </c>
      <c r="I425" s="107">
        <f t="shared" si="40"/>
        <v>0</v>
      </c>
      <c r="J425" s="107">
        <f t="shared" si="41"/>
        <v>0</v>
      </c>
      <c r="K425" s="107">
        <f t="shared" si="42"/>
        <v>0</v>
      </c>
    </row>
    <row r="426" spans="2:11" ht="20.100000000000001" customHeight="1">
      <c r="B426" s="123"/>
      <c r="C426" s="124"/>
      <c r="D426" s="125"/>
      <c r="E426" s="125"/>
      <c r="F426" s="116"/>
      <c r="G426" s="105" t="str">
        <f t="shared" si="39"/>
        <v/>
      </c>
      <c r="H426" s="106">
        <f t="shared" si="43"/>
        <v>0</v>
      </c>
      <c r="I426" s="107">
        <f t="shared" si="40"/>
        <v>0</v>
      </c>
      <c r="J426" s="107">
        <f t="shared" si="41"/>
        <v>0</v>
      </c>
      <c r="K426" s="107">
        <f t="shared" si="42"/>
        <v>0</v>
      </c>
    </row>
    <row r="427" spans="2:11" ht="20.100000000000001" customHeight="1">
      <c r="B427" s="123"/>
      <c r="C427" s="124"/>
      <c r="D427" s="125"/>
      <c r="E427" s="125"/>
      <c r="F427" s="116"/>
      <c r="G427" s="105" t="str">
        <f t="shared" si="39"/>
        <v/>
      </c>
      <c r="H427" s="106">
        <f t="shared" si="43"/>
        <v>0</v>
      </c>
      <c r="I427" s="107">
        <f t="shared" si="40"/>
        <v>0</v>
      </c>
      <c r="J427" s="107">
        <f t="shared" si="41"/>
        <v>0</v>
      </c>
      <c r="K427" s="107">
        <f t="shared" si="42"/>
        <v>0</v>
      </c>
    </row>
    <row r="428" spans="2:11" ht="20.100000000000001" customHeight="1">
      <c r="B428" s="123"/>
      <c r="C428" s="124"/>
      <c r="D428" s="125"/>
      <c r="E428" s="125"/>
      <c r="F428" s="116"/>
      <c r="G428" s="105" t="str">
        <f t="shared" si="39"/>
        <v/>
      </c>
      <c r="H428" s="106">
        <f t="shared" si="43"/>
        <v>0</v>
      </c>
      <c r="I428" s="107">
        <f t="shared" si="40"/>
        <v>0</v>
      </c>
      <c r="J428" s="107">
        <f t="shared" si="41"/>
        <v>0</v>
      </c>
      <c r="K428" s="107">
        <f t="shared" si="42"/>
        <v>0</v>
      </c>
    </row>
    <row r="429" spans="2:11" ht="20.100000000000001" customHeight="1">
      <c r="B429" s="123"/>
      <c r="C429" s="124"/>
      <c r="D429" s="125"/>
      <c r="E429" s="125"/>
      <c r="F429" s="116"/>
      <c r="G429" s="105" t="str">
        <f t="shared" si="39"/>
        <v/>
      </c>
      <c r="H429" s="106">
        <f t="shared" si="43"/>
        <v>0</v>
      </c>
      <c r="I429" s="107">
        <f t="shared" si="40"/>
        <v>0</v>
      </c>
      <c r="J429" s="107">
        <f t="shared" si="41"/>
        <v>0</v>
      </c>
      <c r="K429" s="107">
        <f t="shared" si="42"/>
        <v>0</v>
      </c>
    </row>
    <row r="430" spans="2:11" ht="20.100000000000001" customHeight="1">
      <c r="B430" s="123"/>
      <c r="C430" s="124"/>
      <c r="D430" s="125"/>
      <c r="E430" s="125"/>
      <c r="F430" s="116"/>
      <c r="G430" s="105" t="str">
        <f t="shared" si="39"/>
        <v/>
      </c>
      <c r="H430" s="106">
        <f t="shared" si="43"/>
        <v>0</v>
      </c>
      <c r="I430" s="107">
        <f t="shared" si="40"/>
        <v>0</v>
      </c>
      <c r="J430" s="107">
        <f t="shared" si="41"/>
        <v>0</v>
      </c>
      <c r="K430" s="107">
        <f t="shared" si="42"/>
        <v>0</v>
      </c>
    </row>
    <row r="431" spans="2:11" ht="20.100000000000001" customHeight="1">
      <c r="B431" s="123"/>
      <c r="C431" s="124"/>
      <c r="D431" s="125"/>
      <c r="E431" s="125"/>
      <c r="F431" s="116"/>
      <c r="G431" s="105" t="str">
        <f t="shared" si="39"/>
        <v/>
      </c>
      <c r="H431" s="106">
        <f t="shared" si="43"/>
        <v>0</v>
      </c>
      <c r="I431" s="107">
        <f t="shared" si="40"/>
        <v>0</v>
      </c>
      <c r="J431" s="107">
        <f t="shared" si="41"/>
        <v>0</v>
      </c>
      <c r="K431" s="107">
        <f t="shared" si="42"/>
        <v>0</v>
      </c>
    </row>
    <row r="432" spans="2:11" ht="20.100000000000001" customHeight="1">
      <c r="B432" s="123"/>
      <c r="C432" s="124"/>
      <c r="D432" s="125"/>
      <c r="E432" s="125"/>
      <c r="F432" s="116"/>
      <c r="G432" s="105" t="str">
        <f t="shared" si="39"/>
        <v/>
      </c>
      <c r="H432" s="106">
        <f t="shared" si="43"/>
        <v>0</v>
      </c>
      <c r="I432" s="107">
        <f t="shared" si="40"/>
        <v>0</v>
      </c>
      <c r="J432" s="107">
        <f t="shared" si="41"/>
        <v>0</v>
      </c>
      <c r="K432" s="107">
        <f t="shared" si="42"/>
        <v>0</v>
      </c>
    </row>
    <row r="433" spans="2:11" ht="20.100000000000001" customHeight="1">
      <c r="B433" s="123"/>
      <c r="C433" s="124"/>
      <c r="D433" s="125"/>
      <c r="E433" s="125"/>
      <c r="F433" s="116"/>
      <c r="G433" s="105" t="str">
        <f t="shared" si="39"/>
        <v/>
      </c>
      <c r="H433" s="106">
        <f t="shared" si="43"/>
        <v>0</v>
      </c>
      <c r="I433" s="107">
        <f t="shared" si="40"/>
        <v>0</v>
      </c>
      <c r="J433" s="107">
        <f t="shared" si="41"/>
        <v>0</v>
      </c>
      <c r="K433" s="107">
        <f t="shared" si="42"/>
        <v>0</v>
      </c>
    </row>
    <row r="434" spans="2:11" ht="20.100000000000001" customHeight="1">
      <c r="B434" s="123"/>
      <c r="C434" s="124"/>
      <c r="D434" s="125"/>
      <c r="E434" s="125"/>
      <c r="F434" s="116"/>
      <c r="G434" s="105" t="str">
        <f t="shared" si="39"/>
        <v/>
      </c>
      <c r="H434" s="106">
        <f t="shared" si="43"/>
        <v>0</v>
      </c>
      <c r="I434" s="107">
        <f t="shared" si="40"/>
        <v>0</v>
      </c>
      <c r="J434" s="107">
        <f t="shared" si="41"/>
        <v>0</v>
      </c>
      <c r="K434" s="107">
        <f t="shared" si="42"/>
        <v>0</v>
      </c>
    </row>
    <row r="435" spans="2:11" ht="20.100000000000001" customHeight="1">
      <c r="B435" s="123"/>
      <c r="C435" s="124"/>
      <c r="D435" s="125"/>
      <c r="E435" s="125"/>
      <c r="F435" s="116"/>
      <c r="G435" s="105" t="str">
        <f t="shared" si="39"/>
        <v/>
      </c>
      <c r="H435" s="106">
        <f t="shared" si="43"/>
        <v>0</v>
      </c>
      <c r="I435" s="107">
        <f t="shared" si="40"/>
        <v>0</v>
      </c>
      <c r="J435" s="107">
        <f t="shared" si="41"/>
        <v>0</v>
      </c>
      <c r="K435" s="107">
        <f t="shared" si="42"/>
        <v>0</v>
      </c>
    </row>
    <row r="436" spans="2:11" ht="20.100000000000001" customHeight="1">
      <c r="B436" s="123"/>
      <c r="C436" s="124"/>
      <c r="D436" s="125"/>
      <c r="E436" s="125"/>
      <c r="F436" s="116"/>
      <c r="G436" s="105" t="str">
        <f t="shared" si="39"/>
        <v/>
      </c>
      <c r="H436" s="106">
        <f t="shared" si="43"/>
        <v>0</v>
      </c>
      <c r="I436" s="107">
        <f t="shared" si="40"/>
        <v>0</v>
      </c>
      <c r="J436" s="107">
        <f t="shared" si="41"/>
        <v>0</v>
      </c>
      <c r="K436" s="107">
        <f t="shared" si="42"/>
        <v>0</v>
      </c>
    </row>
    <row r="437" spans="2:11" ht="20.100000000000001" customHeight="1">
      <c r="B437" s="123"/>
      <c r="C437" s="124"/>
      <c r="D437" s="125"/>
      <c r="E437" s="125"/>
      <c r="F437" s="116"/>
      <c r="G437" s="105" t="str">
        <f t="shared" si="39"/>
        <v/>
      </c>
      <c r="H437" s="106">
        <f t="shared" si="43"/>
        <v>0</v>
      </c>
      <c r="I437" s="107">
        <f t="shared" si="40"/>
        <v>0</v>
      </c>
      <c r="J437" s="107">
        <f t="shared" si="41"/>
        <v>0</v>
      </c>
      <c r="K437" s="107">
        <f t="shared" si="42"/>
        <v>0</v>
      </c>
    </row>
    <row r="438" spans="2:11" ht="20.100000000000001" customHeight="1">
      <c r="B438" s="123"/>
      <c r="C438" s="124"/>
      <c r="D438" s="125"/>
      <c r="E438" s="125"/>
      <c r="F438" s="116"/>
      <c r="G438" s="105" t="str">
        <f t="shared" si="39"/>
        <v/>
      </c>
      <c r="H438" s="106">
        <f t="shared" si="43"/>
        <v>0</v>
      </c>
      <c r="I438" s="107">
        <f t="shared" si="40"/>
        <v>0</v>
      </c>
      <c r="J438" s="107">
        <f t="shared" si="41"/>
        <v>0</v>
      </c>
      <c r="K438" s="107">
        <f t="shared" si="42"/>
        <v>0</v>
      </c>
    </row>
    <row r="439" spans="2:11" ht="20.100000000000001" customHeight="1">
      <c r="B439" s="123"/>
      <c r="C439" s="124"/>
      <c r="D439" s="125"/>
      <c r="E439" s="125"/>
      <c r="F439" s="116"/>
      <c r="G439" s="105" t="str">
        <f t="shared" si="39"/>
        <v/>
      </c>
      <c r="H439" s="106">
        <f t="shared" si="43"/>
        <v>0</v>
      </c>
      <c r="I439" s="107">
        <f t="shared" si="40"/>
        <v>0</v>
      </c>
      <c r="J439" s="107">
        <f t="shared" si="41"/>
        <v>0</v>
      </c>
      <c r="K439" s="107">
        <f t="shared" si="42"/>
        <v>0</v>
      </c>
    </row>
    <row r="440" spans="2:11" ht="20.100000000000001" customHeight="1">
      <c r="B440" s="123"/>
      <c r="C440" s="124"/>
      <c r="D440" s="125"/>
      <c r="E440" s="125"/>
      <c r="F440" s="116"/>
      <c r="G440" s="105" t="str">
        <f t="shared" si="39"/>
        <v/>
      </c>
      <c r="H440" s="106">
        <f t="shared" si="43"/>
        <v>0</v>
      </c>
      <c r="I440" s="107">
        <f t="shared" si="40"/>
        <v>0</v>
      </c>
      <c r="J440" s="107">
        <f t="shared" si="41"/>
        <v>0</v>
      </c>
      <c r="K440" s="107">
        <f t="shared" si="42"/>
        <v>0</v>
      </c>
    </row>
    <row r="441" spans="2:11" ht="20.100000000000001" customHeight="1" thickBot="1">
      <c r="B441" s="126"/>
      <c r="C441" s="127"/>
      <c r="D441" s="128"/>
      <c r="E441" s="128"/>
      <c r="F441" s="119"/>
      <c r="G441" s="105" t="str">
        <f t="shared" si="39"/>
        <v/>
      </c>
      <c r="H441" s="106">
        <f t="shared" si="43"/>
        <v>0</v>
      </c>
      <c r="I441" s="107">
        <f t="shared" si="40"/>
        <v>0</v>
      </c>
      <c r="J441" s="107">
        <f t="shared" si="41"/>
        <v>0</v>
      </c>
      <c r="K441" s="107">
        <f t="shared" si="42"/>
        <v>0</v>
      </c>
    </row>
  </sheetData>
  <sheetProtection algorithmName="SHA-512" hashValue="AyYQQoI/xQ8AOE4iuVPbQjtPkYwFmv7r9sYTGEGUHChYr9//ToJbuX/7x3Or9MSl/D0zgd8OzS70UJzS99NDvA==" saltValue="mseSVkaU0aqZnu5aVKiIYQ==" spinCount="100000" sheet="1" objects="1" scenarios="1"/>
  <customSheetViews>
    <customSheetView guid="{BA12A2B5-8B2E-47CE-85C5-00A71CD7042B}" scale="90" showGridLines="0" showRowCol="0" fitToPage="1" hiddenColumns="1">
      <selection activeCell="E11" sqref="E11"/>
      <pageMargins left="0" right="0" top="0" bottom="0" header="0" footer="0"/>
      <pageSetup paperSize="9" scale="12" orientation="portrait" r:id="rId1"/>
    </customSheetView>
    <customSheetView guid="{6E4579C3-98CA-4325-AF39-19A629870080}" scale="90" showGridLines="0" showRowCol="0" fitToPage="1" hiddenColumns="1">
      <selection activeCell="C9" sqref="C9:D9"/>
      <pageMargins left="0" right="0" top="0" bottom="0" header="0" footer="0"/>
      <pageSetup paperSize="9" scale="12" orientation="portrait" r:id="rId2"/>
    </customSheetView>
    <customSheetView guid="{BC75B7F8-7A05-4F92-B953-0DB7EDA000F8}" scale="85" showGridLines="0" showRowCol="0" fitToPage="1" hiddenColumns="1" topLeftCell="A347">
      <selection activeCell="B49" sqref="B49:I49"/>
      <pageMargins left="0" right="0" top="0" bottom="0" header="0" footer="0"/>
      <pageSetup paperSize="9" scale="12" orientation="portrait" r:id="rId3"/>
    </customSheetView>
    <customSheetView guid="{BF159B5C-C230-4B3A-8DDE-333808894C93}" scale="85" showGridLines="0" showRowCol="0" fitToPage="1" hiddenColumns="1">
      <selection activeCell="B8" sqref="B8"/>
      <pageMargins left="0" right="0" top="0" bottom="0" header="0" footer="0"/>
      <pageSetup paperSize="9" scale="12" orientation="portrait" r:id="rId4"/>
    </customSheetView>
  </customSheetViews>
  <mergeCells count="38">
    <mergeCell ref="F110:I111"/>
    <mergeCell ref="E110:E111"/>
    <mergeCell ref="F109:I109"/>
    <mergeCell ref="C34:E34"/>
    <mergeCell ref="F203:I203"/>
    <mergeCell ref="E204:E205"/>
    <mergeCell ref="F204:I205"/>
    <mergeCell ref="F156:I156"/>
    <mergeCell ref="E157:E158"/>
    <mergeCell ref="F157:I158"/>
    <mergeCell ref="E399:E400"/>
    <mergeCell ref="F399:I400"/>
    <mergeCell ref="E305:E306"/>
    <mergeCell ref="F305:I306"/>
    <mergeCell ref="F351:I351"/>
    <mergeCell ref="E352:E353"/>
    <mergeCell ref="F352:I353"/>
    <mergeCell ref="C13:D13"/>
    <mergeCell ref="D15:F15"/>
    <mergeCell ref="D16:F16"/>
    <mergeCell ref="D17:F17"/>
    <mergeCell ref="F398:I398"/>
    <mergeCell ref="B30:D30"/>
    <mergeCell ref="B21:B22"/>
    <mergeCell ref="C21:C22"/>
    <mergeCell ref="D21:D22"/>
    <mergeCell ref="E21:G21"/>
    <mergeCell ref="H21:J21"/>
    <mergeCell ref="B34:B35"/>
    <mergeCell ref="F257:I257"/>
    <mergeCell ref="E258:E259"/>
    <mergeCell ref="F258:I259"/>
    <mergeCell ref="F304:I304"/>
    <mergeCell ref="C8:D8"/>
    <mergeCell ref="C9:D9"/>
    <mergeCell ref="C10:D10"/>
    <mergeCell ref="C11:D11"/>
    <mergeCell ref="C12:D12"/>
  </mergeCells>
  <dataValidations count="4">
    <dataValidation type="list" allowBlank="1" showInputMessage="1" showErrorMessage="1" sqref="C16" xr:uid="{00000000-0002-0000-0400-000000000000}">
      <formula1>ANZSIC</formula1>
    </dataValidation>
    <dataValidation type="list" allowBlank="1" showInputMessage="1" showErrorMessage="1" sqref="C15" xr:uid="{00000000-0002-0000-0400-000001000000}">
      <formula1>BldUse</formula1>
    </dataValidation>
    <dataValidation type="list" allowBlank="1" showInputMessage="1" showErrorMessage="1" sqref="C13" xr:uid="{00000000-0002-0000-0400-000002000000}">
      <formula1>Metro</formula1>
    </dataValidation>
    <dataValidation type="list" allowBlank="1" showInputMessage="1" showErrorMessage="1" sqref="C12" xr:uid="{00000000-0002-0000-0400-000003000000}">
      <formula1>STATES</formula1>
    </dataValidation>
  </dataValidations>
  <pageMargins left="0.70866141732283472" right="0.70866141732283472" top="0.74803149606299213" bottom="0.74803149606299213" header="0.31496062992125984" footer="0.31496062992125984"/>
  <pageSetup paperSize="9" scale="12" orientation="portrait" r:id="rId5"/>
  <drawing r:id="rId6"/>
  <legacyDrawingHF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24">
    <tabColor theme="3"/>
    <pageSetUpPr fitToPage="1"/>
  </sheetPr>
  <dimension ref="B1:O434"/>
  <sheetViews>
    <sheetView showGridLines="0" zoomScale="85" zoomScaleNormal="85" workbookViewId="0">
      <selection activeCell="C111" sqref="C111"/>
    </sheetView>
  </sheetViews>
  <sheetFormatPr defaultColWidth="9.33203125" defaultRowHeight="13.2"/>
  <cols>
    <col min="1" max="1" width="5.6640625" style="11" customWidth="1"/>
    <col min="2" max="2" width="40.6640625" style="11" customWidth="1"/>
    <col min="3" max="3" width="31.33203125" style="11" customWidth="1"/>
    <col min="4" max="4" width="27" style="11" customWidth="1"/>
    <col min="5" max="8" width="23.33203125" style="11" customWidth="1"/>
    <col min="9" max="9" width="23" style="11" customWidth="1"/>
    <col min="10" max="10" width="23" style="14" customWidth="1"/>
    <col min="11" max="11" width="23" style="11" customWidth="1"/>
    <col min="12" max="12" width="9.33203125" style="11" customWidth="1"/>
    <col min="13" max="16384" width="9.33203125" style="11"/>
  </cols>
  <sheetData>
    <row r="1" spans="2:13" ht="79.5" customHeight="1"/>
    <row r="2" spans="2:13" ht="12.75" customHeight="1"/>
    <row r="3" spans="2:13" s="315" customFormat="1" ht="33.75" customHeight="1">
      <c r="B3" s="180" t="s">
        <v>1262</v>
      </c>
      <c r="C3" s="180"/>
      <c r="D3" s="180"/>
      <c r="E3" s="180"/>
      <c r="F3" s="180"/>
      <c r="G3" s="180"/>
      <c r="H3" s="180"/>
      <c r="I3" s="180"/>
      <c r="J3" s="180"/>
      <c r="K3" s="180"/>
      <c r="L3" s="185"/>
      <c r="M3" s="185"/>
    </row>
    <row r="5" spans="2:13" ht="15.6">
      <c r="B5" s="316" t="s">
        <v>1161</v>
      </c>
      <c r="C5" s="316"/>
      <c r="D5" s="316"/>
      <c r="E5" s="316"/>
      <c r="F5" s="316"/>
      <c r="G5" s="316"/>
      <c r="H5" s="316"/>
      <c r="I5" s="316"/>
      <c r="J5" s="316"/>
      <c r="K5" s="316"/>
    </row>
    <row r="6" spans="2:13">
      <c r="I6" s="14"/>
      <c r="J6" s="11"/>
    </row>
    <row r="7" spans="2:13" ht="20.100000000000001" customHeight="1">
      <c r="B7" s="134" t="s">
        <v>71</v>
      </c>
      <c r="C7" s="133"/>
      <c r="D7" s="133"/>
      <c r="E7" s="133"/>
      <c r="G7" s="78" t="s">
        <v>1162</v>
      </c>
      <c r="H7" s="175" t="s">
        <v>1243</v>
      </c>
      <c r="I7" s="175" t="s">
        <v>1244</v>
      </c>
      <c r="J7" s="175" t="s">
        <v>1245</v>
      </c>
    </row>
    <row r="8" spans="2:13" ht="29.25" customHeight="1">
      <c r="B8" s="135" t="s">
        <v>1127</v>
      </c>
      <c r="C8" s="597"/>
      <c r="D8" s="598"/>
      <c r="E8" s="76"/>
      <c r="G8" s="95" t="s">
        <v>1246</v>
      </c>
      <c r="H8" s="360"/>
      <c r="I8" s="368"/>
      <c r="J8" s="368"/>
    </row>
    <row r="9" spans="2:13" ht="20.100000000000001" customHeight="1">
      <c r="B9" s="135" t="s">
        <v>1166</v>
      </c>
      <c r="C9" s="569"/>
      <c r="D9" s="599"/>
      <c r="E9" s="76"/>
      <c r="G9" s="95" t="s">
        <v>1247</v>
      </c>
      <c r="H9" s="244">
        <f>DATE(YEAR(H8)+1,MONTH(H8),DAY(H8)-1)</f>
        <v>365</v>
      </c>
      <c r="I9" s="244">
        <f>DATE(YEAR(I8)+1,MONTH(I8),DAY(I8)-1)</f>
        <v>365</v>
      </c>
      <c r="J9" s="244">
        <f>DATE(YEAR(J8)+1,MONTH(J8),DAY(J8)-1)</f>
        <v>365</v>
      </c>
    </row>
    <row r="10" spans="2:13" ht="20.100000000000001" customHeight="1">
      <c r="B10" s="135" t="s">
        <v>1168</v>
      </c>
      <c r="C10" s="569"/>
      <c r="D10" s="599"/>
      <c r="E10" s="76"/>
      <c r="F10" s="317"/>
      <c r="G10" s="16"/>
      <c r="H10" s="16"/>
      <c r="I10" s="18"/>
      <c r="J10" s="18"/>
    </row>
    <row r="11" spans="2:13" ht="20.100000000000001" customHeight="1">
      <c r="B11" s="135" t="s">
        <v>1169</v>
      </c>
      <c r="C11" s="571"/>
      <c r="D11" s="601"/>
      <c r="E11" s="212">
        <f>IF(C12="NZ", CONCATENATE(0,C11), C11)</f>
        <v>0</v>
      </c>
      <c r="G11" s="95" t="s">
        <v>1248</v>
      </c>
      <c r="H11" s="369"/>
      <c r="I11" s="370"/>
      <c r="J11" s="370"/>
    </row>
    <row r="12" spans="2:13" ht="20.100000000000001" customHeight="1">
      <c r="B12" s="135" t="s">
        <v>1170</v>
      </c>
      <c r="C12" s="573"/>
      <c r="D12" s="574"/>
      <c r="E12" s="76"/>
      <c r="G12" s="96" t="s">
        <v>1172</v>
      </c>
      <c r="H12" s="97" t="str">
        <f>IFERROR(VLOOKUP($E$11,'CDD &amp; HDD table'!$A:$D,3,FALSE),"")</f>
        <v/>
      </c>
      <c r="I12" s="97" t="str">
        <f>H12</f>
        <v/>
      </c>
      <c r="J12" s="97" t="str">
        <f>I12</f>
        <v/>
      </c>
    </row>
    <row r="13" spans="2:13" ht="20.100000000000001" customHeight="1">
      <c r="B13" s="135" t="s">
        <v>1171</v>
      </c>
      <c r="C13" s="573"/>
      <c r="D13" s="574"/>
      <c r="E13" s="76"/>
      <c r="G13" s="96" t="s">
        <v>1173</v>
      </c>
      <c r="H13" s="98" t="str">
        <f>IFERROR(VLOOKUP($E$11,'CDD &amp; HDD table'!$A:$D,4,FALSE),"")</f>
        <v/>
      </c>
      <c r="I13" s="98" t="str">
        <f>H13</f>
        <v/>
      </c>
      <c r="J13" s="98" t="str">
        <f>I13</f>
        <v/>
      </c>
    </row>
    <row r="14" spans="2:13" ht="20.100000000000001" customHeight="1">
      <c r="B14" s="16"/>
      <c r="C14" s="16"/>
      <c r="D14" s="18"/>
      <c r="E14" s="18"/>
      <c r="J14" s="11"/>
    </row>
    <row r="15" spans="2:13" ht="35.1" customHeight="1">
      <c r="B15" s="135" t="s">
        <v>1174</v>
      </c>
      <c r="C15" s="82"/>
      <c r="D15" s="618" t="s">
        <v>1175</v>
      </c>
      <c r="E15" s="619"/>
      <c r="F15" s="619"/>
      <c r="J15" s="11"/>
    </row>
    <row r="16" spans="2:13" ht="35.1" customHeight="1">
      <c r="B16" s="135" t="s">
        <v>1176</v>
      </c>
      <c r="C16" s="82"/>
      <c r="D16" s="618" t="s">
        <v>1177</v>
      </c>
      <c r="E16" s="619"/>
      <c r="F16" s="619"/>
      <c r="J16" s="11"/>
    </row>
    <row r="17" spans="2:15" ht="35.1" customHeight="1">
      <c r="B17" s="135" t="s">
        <v>1178</v>
      </c>
      <c r="C17" s="82"/>
      <c r="D17" s="620" t="s">
        <v>1179</v>
      </c>
      <c r="E17" s="621"/>
      <c r="F17" s="621"/>
    </row>
    <row r="19" spans="2:15" ht="20.100000000000001" customHeight="1">
      <c r="B19" s="316" t="s">
        <v>1184</v>
      </c>
      <c r="C19" s="316"/>
      <c r="D19" s="316"/>
      <c r="E19" s="316"/>
      <c r="F19" s="316"/>
      <c r="G19" s="316"/>
      <c r="H19" s="316"/>
      <c r="I19" s="316"/>
      <c r="J19" s="316"/>
      <c r="K19" s="316"/>
    </row>
    <row r="20" spans="2:15" ht="20.100000000000001" customHeight="1">
      <c r="I20" s="14"/>
      <c r="J20" s="11"/>
    </row>
    <row r="21" spans="2:15" ht="20.100000000000001" customHeight="1">
      <c r="B21" s="613" t="s">
        <v>358</v>
      </c>
      <c r="C21" s="613" t="s">
        <v>360</v>
      </c>
      <c r="D21" s="613" t="s">
        <v>363</v>
      </c>
      <c r="E21" s="610" t="s">
        <v>1185</v>
      </c>
      <c r="F21" s="611"/>
      <c r="G21" s="612"/>
      <c r="H21" s="610" t="s">
        <v>1250</v>
      </c>
      <c r="I21" s="611"/>
      <c r="J21" s="612"/>
      <c r="K21" s="19"/>
      <c r="L21" s="20"/>
      <c r="M21" s="20"/>
      <c r="N21" s="20"/>
      <c r="O21" s="20"/>
    </row>
    <row r="22" spans="2:15" ht="20.100000000000001" customHeight="1">
      <c r="B22" s="614"/>
      <c r="C22" s="614"/>
      <c r="D22" s="614"/>
      <c r="E22" s="78" t="s">
        <v>1243</v>
      </c>
      <c r="F22" s="78" t="s">
        <v>1244</v>
      </c>
      <c r="G22" s="78" t="s">
        <v>1245</v>
      </c>
      <c r="H22" s="78" t="s">
        <v>1243</v>
      </c>
      <c r="I22" s="78" t="s">
        <v>1244</v>
      </c>
      <c r="J22" s="78" t="s">
        <v>1245</v>
      </c>
      <c r="K22" s="21"/>
      <c r="L22" s="14"/>
    </row>
    <row r="23" spans="2:15" ht="20.100000000000001" customHeight="1">
      <c r="B23" s="99">
        <v>1</v>
      </c>
      <c r="C23" s="100" t="str">
        <f>C109</f>
        <v>Electricity</v>
      </c>
      <c r="D23" s="101" t="e">
        <f>'15C Building Details'!D26</f>
        <v>#N/A</v>
      </c>
      <c r="E23" s="98">
        <f>SUM(I117:I152)</f>
        <v>0</v>
      </c>
      <c r="F23" s="98">
        <f>SUM(J117:J152)</f>
        <v>0</v>
      </c>
      <c r="G23" s="98">
        <f>SUM(K117:K152)</f>
        <v>0</v>
      </c>
      <c r="H23" s="98" t="e">
        <f t="shared" ref="H23:J24" si="0">E23*$D23</f>
        <v>#N/A</v>
      </c>
      <c r="I23" s="98" t="e">
        <f t="shared" si="0"/>
        <v>#N/A</v>
      </c>
      <c r="J23" s="98" t="e">
        <f t="shared" si="0"/>
        <v>#N/A</v>
      </c>
      <c r="K23" s="22"/>
      <c r="L23" s="14"/>
    </row>
    <row r="24" spans="2:15" ht="20.100000000000001" customHeight="1">
      <c r="B24" s="99">
        <v>2</v>
      </c>
      <c r="C24" s="99" t="str">
        <f>C156</f>
        <v>GreenPower</v>
      </c>
      <c r="D24" s="101">
        <f>'15C Building Details'!D27</f>
        <v>0</v>
      </c>
      <c r="E24" s="102">
        <f>SUM(I164:I199)</f>
        <v>0</v>
      </c>
      <c r="F24" s="102">
        <f>SUM(J164:J199)</f>
        <v>0</v>
      </c>
      <c r="G24" s="102">
        <f>SUM(K164:K199)</f>
        <v>0</v>
      </c>
      <c r="H24" s="98">
        <f t="shared" si="0"/>
        <v>0</v>
      </c>
      <c r="I24" s="98">
        <f t="shared" si="0"/>
        <v>0</v>
      </c>
      <c r="J24" s="98">
        <f t="shared" si="0"/>
        <v>0</v>
      </c>
      <c r="K24" s="22"/>
      <c r="L24" s="14"/>
    </row>
    <row r="25" spans="2:15" ht="20.100000000000001" customHeight="1">
      <c r="B25" s="99">
        <v>3</v>
      </c>
      <c r="C25" s="99" t="str">
        <f>C203</f>
        <v>Natural gas distributed in a pipeline</v>
      </c>
      <c r="D25" s="101" t="b">
        <f>'15C Building Details'!D28</f>
        <v>0</v>
      </c>
      <c r="E25" s="102">
        <f>SUM(I211:I246)</f>
        <v>0</v>
      </c>
      <c r="F25" s="102">
        <f>SUM(J211:J246)</f>
        <v>0</v>
      </c>
      <c r="G25" s="102">
        <f>SUM(K211:K246)</f>
        <v>0</v>
      </c>
      <c r="H25" s="98">
        <f>E25*$D25</f>
        <v>0</v>
      </c>
      <c r="I25" s="98">
        <f t="shared" ref="I25:J29" si="1">F25*$D25</f>
        <v>0</v>
      </c>
      <c r="J25" s="98">
        <f t="shared" si="1"/>
        <v>0</v>
      </c>
      <c r="K25" s="22"/>
      <c r="L25" s="14"/>
    </row>
    <row r="26" spans="2:15" ht="20.100000000000001" customHeight="1">
      <c r="B26" s="99">
        <v>4</v>
      </c>
      <c r="C26" s="99" t="str">
        <f>C250</f>
        <v>LPG</v>
      </c>
      <c r="D26" s="101" t="b">
        <f>'15C Building Details'!D29</f>
        <v>0</v>
      </c>
      <c r="E26" s="102">
        <f>SUM(I258:I293)</f>
        <v>0</v>
      </c>
      <c r="F26" s="102">
        <f>SUM(J258:J293)</f>
        <v>0</v>
      </c>
      <c r="G26" s="102">
        <f>SUM(K258:K293)</f>
        <v>0</v>
      </c>
      <c r="H26" s="98">
        <f>E26*$D26</f>
        <v>0</v>
      </c>
      <c r="I26" s="98">
        <f t="shared" si="1"/>
        <v>0</v>
      </c>
      <c r="J26" s="98">
        <f t="shared" si="1"/>
        <v>0</v>
      </c>
      <c r="K26" s="22"/>
      <c r="L26" s="14"/>
    </row>
    <row r="27" spans="2:15" ht="20.100000000000001" customHeight="1">
      <c r="B27" s="99">
        <v>5</v>
      </c>
      <c r="C27" s="99" t="str">
        <f>C297</f>
        <v>Diesel Oil</v>
      </c>
      <c r="D27" s="101" t="b">
        <f>'15C Building Details'!D30</f>
        <v>0</v>
      </c>
      <c r="E27" s="102">
        <f>SUM(I305:I340)</f>
        <v>0</v>
      </c>
      <c r="F27" s="102">
        <f>SUM(J305:J340)</f>
        <v>0</v>
      </c>
      <c r="G27" s="102">
        <f>SUM(K305:K340)</f>
        <v>0</v>
      </c>
      <c r="H27" s="98">
        <f>E27*$D27</f>
        <v>0</v>
      </c>
      <c r="I27" s="98">
        <f t="shared" si="1"/>
        <v>0</v>
      </c>
      <c r="J27" s="98">
        <f t="shared" si="1"/>
        <v>0</v>
      </c>
      <c r="K27" s="22"/>
      <c r="L27" s="14"/>
    </row>
    <row r="28" spans="2:15" ht="20.100000000000001" customHeight="1">
      <c r="B28" s="99">
        <v>6</v>
      </c>
      <c r="C28" s="99" t="str">
        <f>C344</f>
        <v>Black Coal</v>
      </c>
      <c r="D28" s="101" t="b">
        <f>'15C Building Details'!D31</f>
        <v>0</v>
      </c>
      <c r="E28" s="102">
        <f>SUM(I352:I387)</f>
        <v>0</v>
      </c>
      <c r="F28" s="102">
        <f>SUM(J352:J387)</f>
        <v>0</v>
      </c>
      <c r="G28" s="102">
        <f>SUM(K352:K387)</f>
        <v>0</v>
      </c>
      <c r="H28" s="98">
        <f>E28*$D28</f>
        <v>0</v>
      </c>
      <c r="I28" s="98">
        <f t="shared" si="1"/>
        <v>0</v>
      </c>
      <c r="J28" s="98">
        <f t="shared" si="1"/>
        <v>0</v>
      </c>
      <c r="K28" s="22"/>
      <c r="L28" s="14"/>
    </row>
    <row r="29" spans="2:15" ht="20.100000000000001" customHeight="1">
      <c r="B29" s="99">
        <v>7</v>
      </c>
      <c r="C29" s="99" t="str">
        <f>C391</f>
        <v>Other</v>
      </c>
      <c r="D29" s="101">
        <f>'15C Building Details'!D32</f>
        <v>0</v>
      </c>
      <c r="E29" s="102">
        <f>SUM(I399:I434)</f>
        <v>0</v>
      </c>
      <c r="F29" s="102">
        <f>SUM(J399:J434)</f>
        <v>0</v>
      </c>
      <c r="G29" s="102">
        <f>SUM(K399:K434)</f>
        <v>0</v>
      </c>
      <c r="H29" s="98">
        <f>E29*$D29</f>
        <v>0</v>
      </c>
      <c r="I29" s="98">
        <f t="shared" si="1"/>
        <v>0</v>
      </c>
      <c r="J29" s="98">
        <f t="shared" si="1"/>
        <v>0</v>
      </c>
      <c r="K29" s="22"/>
      <c r="L29" s="14"/>
    </row>
    <row r="30" spans="2:15" s="25" customFormat="1" ht="20.100000000000001" customHeight="1">
      <c r="B30" s="610" t="s">
        <v>1187</v>
      </c>
      <c r="C30" s="611"/>
      <c r="D30" s="612"/>
      <c r="E30" s="103">
        <f t="shared" ref="E30:J30" si="2">SUM(E23:E29)</f>
        <v>0</v>
      </c>
      <c r="F30" s="103">
        <f t="shared" si="2"/>
        <v>0</v>
      </c>
      <c r="G30" s="103">
        <f t="shared" si="2"/>
        <v>0</v>
      </c>
      <c r="H30" s="103" t="e">
        <f t="shared" si="2"/>
        <v>#N/A</v>
      </c>
      <c r="I30" s="103" t="e">
        <f t="shared" si="2"/>
        <v>#N/A</v>
      </c>
      <c r="J30" s="103" t="e">
        <f t="shared" si="2"/>
        <v>#N/A</v>
      </c>
      <c r="K30" s="23"/>
      <c r="L30" s="24"/>
    </row>
    <row r="31" spans="2:15" ht="20.100000000000001" customHeight="1">
      <c r="I31" s="14"/>
      <c r="J31" s="11"/>
    </row>
    <row r="32" spans="2:15" ht="20.100000000000001" customHeight="1">
      <c r="B32" s="316" t="s">
        <v>1188</v>
      </c>
      <c r="C32" s="316"/>
      <c r="D32" s="316"/>
      <c r="E32" s="316"/>
      <c r="F32" s="316"/>
      <c r="G32" s="316"/>
      <c r="H32" s="316"/>
      <c r="I32" s="316"/>
      <c r="J32" s="316"/>
      <c r="K32" s="316"/>
    </row>
    <row r="33" spans="2:11" ht="20.100000000000001" customHeight="1">
      <c r="F33" s="14"/>
      <c r="J33" s="11"/>
    </row>
    <row r="34" spans="2:11" ht="20.100000000000001" customHeight="1">
      <c r="B34" s="613" t="s">
        <v>1189</v>
      </c>
      <c r="C34" s="610" t="s">
        <v>1251</v>
      </c>
      <c r="D34" s="611"/>
      <c r="E34" s="612"/>
      <c r="J34" s="11"/>
    </row>
    <row r="35" spans="2:11" ht="20.100000000000001" customHeight="1">
      <c r="B35" s="614"/>
      <c r="C35" s="78" t="s">
        <v>1243</v>
      </c>
      <c r="D35" s="78" t="s">
        <v>1244</v>
      </c>
      <c r="E35" s="78" t="s">
        <v>1245</v>
      </c>
      <c r="J35" s="11"/>
    </row>
    <row r="36" spans="2:11" ht="20.100000000000001" customHeight="1">
      <c r="B36" s="96" t="str">
        <f>'15C Building Details'!B43</f>
        <v>Cooling degree days</v>
      </c>
      <c r="C36" s="98" t="str">
        <f t="shared" ref="C36:E37" si="3">+H12</f>
        <v/>
      </c>
      <c r="D36" s="98" t="str">
        <f t="shared" si="3"/>
        <v/>
      </c>
      <c r="E36" s="98" t="str">
        <f t="shared" si="3"/>
        <v/>
      </c>
      <c r="J36" s="11"/>
    </row>
    <row r="37" spans="2:11" ht="20.100000000000001" customHeight="1">
      <c r="B37" s="96" t="str">
        <f>'15C Building Details'!B44</f>
        <v>Heating degree days</v>
      </c>
      <c r="C37" s="98" t="str">
        <f t="shared" si="3"/>
        <v/>
      </c>
      <c r="D37" s="98" t="str">
        <f t="shared" si="3"/>
        <v/>
      </c>
      <c r="E37" s="98" t="str">
        <f t="shared" si="3"/>
        <v/>
      </c>
      <c r="J37" s="11"/>
    </row>
    <row r="38" spans="2:11" ht="20.100000000000001" customHeight="1">
      <c r="B38" s="96" t="str">
        <f>'15C Building Details'!B45</f>
        <v>Adjusted Area</v>
      </c>
      <c r="C38" s="98">
        <f>D65</f>
        <v>0</v>
      </c>
      <c r="D38" s="98">
        <f>D84</f>
        <v>0</v>
      </c>
      <c r="E38" s="98">
        <f>D103</f>
        <v>0</v>
      </c>
      <c r="J38" s="11"/>
    </row>
    <row r="39" spans="2:11" ht="20.100000000000001" customHeight="1">
      <c r="B39" s="96" t="str">
        <f>'15C Building Details'!B46</f>
        <v>Adjusted Hours</v>
      </c>
      <c r="C39" s="98" t="e">
        <f>E65</f>
        <v>#DIV/0!</v>
      </c>
      <c r="D39" s="98" t="e">
        <f>E84</f>
        <v>#DIV/0!</v>
      </c>
      <c r="E39" s="98" t="e">
        <f>E103</f>
        <v>#DIV/0!</v>
      </c>
      <c r="J39" s="11"/>
    </row>
    <row r="40" spans="2:11" ht="20.100000000000001" customHeight="1">
      <c r="B40" s="96" t="str">
        <f>'15C Building Details'!B47</f>
        <v>Adjusted Operational Variable 1</v>
      </c>
      <c r="C40" s="98" t="e">
        <f>F65</f>
        <v>#DIV/0!</v>
      </c>
      <c r="D40" s="98" t="e">
        <f>F84</f>
        <v>#DIV/0!</v>
      </c>
      <c r="E40" s="98" t="e">
        <f>F103</f>
        <v>#DIV/0!</v>
      </c>
      <c r="J40" s="11"/>
    </row>
    <row r="41" spans="2:11" ht="20.100000000000001" customHeight="1">
      <c r="B41" s="96" t="str">
        <f>'15C Building Details'!B48</f>
        <v>Adjusted Operational Variable 2</v>
      </c>
      <c r="C41" s="98" t="e">
        <f>G65</f>
        <v>#DIV/0!</v>
      </c>
      <c r="D41" s="98" t="e">
        <f>G84</f>
        <v>#DIV/0!</v>
      </c>
      <c r="E41" s="98" t="e">
        <f>G103</f>
        <v>#DIV/0!</v>
      </c>
      <c r="J41" s="11"/>
    </row>
    <row r="42" spans="2:11" ht="20.100000000000001" customHeight="1">
      <c r="B42" s="96" t="str">
        <f>'15C Building Details'!B49</f>
        <v>Adjusted Operational Variable 3</v>
      </c>
      <c r="C42" s="98" t="e">
        <f>H65</f>
        <v>#DIV/0!</v>
      </c>
      <c r="D42" s="98" t="e">
        <f>H84</f>
        <v>#DIV/0!</v>
      </c>
      <c r="E42" s="98" t="e">
        <f>H103</f>
        <v>#DIV/0!</v>
      </c>
      <c r="J42" s="11"/>
    </row>
    <row r="43" spans="2:11" ht="20.100000000000001" customHeight="1">
      <c r="J43" s="11"/>
    </row>
    <row r="44" spans="2:11" ht="20.100000000000001" customHeight="1">
      <c r="J44" s="11"/>
    </row>
    <row r="45" spans="2:11" ht="20.100000000000001" customHeight="1"/>
    <row r="46" spans="2:11" ht="20.100000000000001" customHeight="1">
      <c r="B46" s="316" t="s">
        <v>1193</v>
      </c>
      <c r="C46" s="316"/>
      <c r="D46" s="316"/>
      <c r="E46" s="316"/>
      <c r="F46" s="316"/>
      <c r="G46" s="316"/>
      <c r="H46" s="316"/>
      <c r="I46" s="316"/>
      <c r="J46" s="316"/>
      <c r="K46" s="316"/>
    </row>
    <row r="47" spans="2:11" ht="20.100000000000001" customHeight="1"/>
    <row r="48" spans="2:11" ht="40.200000000000003" customHeight="1" thickBot="1">
      <c r="B48" s="175" t="s">
        <v>71</v>
      </c>
      <c r="C48" s="175" t="s">
        <v>1252</v>
      </c>
      <c r="D48" s="175" t="s">
        <v>1253</v>
      </c>
      <c r="E48" s="175" t="s">
        <v>1254</v>
      </c>
      <c r="F48" s="175" t="str">
        <f>'15C Building Details'!$F$54</f>
        <v>Operational Variable 1</v>
      </c>
      <c r="G48" s="175" t="str">
        <f>'15C Building Details'!$G$54</f>
        <v>Operational Variable 2</v>
      </c>
      <c r="H48" s="175" t="str">
        <f>'15C Building Details'!$H$54</f>
        <v>Operational Variable 3</v>
      </c>
      <c r="I48" s="175" t="s">
        <v>1256</v>
      </c>
      <c r="J48" s="175" t="s">
        <v>55</v>
      </c>
      <c r="K48" s="175" t="s">
        <v>1255</v>
      </c>
    </row>
    <row r="49" spans="2:11" ht="20.100000000000001" customHeight="1">
      <c r="B49" s="419" t="s">
        <v>1202</v>
      </c>
      <c r="C49" s="420"/>
      <c r="D49" s="421"/>
      <c r="E49" s="421"/>
      <c r="F49" s="421"/>
      <c r="G49" s="421"/>
      <c r="H49" s="421"/>
      <c r="I49" s="421"/>
      <c r="J49" s="421"/>
      <c r="K49" s="422"/>
    </row>
    <row r="50" spans="2:11" ht="20.100000000000001" customHeight="1">
      <c r="B50" s="423" t="s">
        <v>1203</v>
      </c>
      <c r="C50" s="371"/>
      <c r="D50" s="417"/>
      <c r="E50" s="417"/>
      <c r="F50" s="417"/>
      <c r="G50" s="417"/>
      <c r="H50" s="417"/>
      <c r="I50" s="417"/>
      <c r="J50" s="417"/>
      <c r="K50" s="424"/>
    </row>
    <row r="51" spans="2:11" ht="20.100000000000001" customHeight="1">
      <c r="B51" s="423" t="s">
        <v>1204</v>
      </c>
      <c r="C51" s="371"/>
      <c r="D51" s="417"/>
      <c r="E51" s="417"/>
      <c r="F51" s="417"/>
      <c r="G51" s="417"/>
      <c r="H51" s="417"/>
      <c r="I51" s="417"/>
      <c r="J51" s="417"/>
      <c r="K51" s="424"/>
    </row>
    <row r="52" spans="2:11" ht="20.100000000000001" customHeight="1">
      <c r="B52" s="423" t="s">
        <v>1205</v>
      </c>
      <c r="C52" s="371"/>
      <c r="D52" s="417"/>
      <c r="E52" s="417"/>
      <c r="F52" s="417"/>
      <c r="G52" s="417"/>
      <c r="H52" s="417"/>
      <c r="I52" s="417"/>
      <c r="J52" s="417"/>
      <c r="K52" s="424"/>
    </row>
    <row r="53" spans="2:11" ht="20.100000000000001" customHeight="1">
      <c r="B53" s="423" t="s">
        <v>1206</v>
      </c>
      <c r="C53" s="371"/>
      <c r="D53" s="417"/>
      <c r="E53" s="417"/>
      <c r="F53" s="417"/>
      <c r="G53" s="417"/>
      <c r="H53" s="417"/>
      <c r="I53" s="417"/>
      <c r="J53" s="417"/>
      <c r="K53" s="424"/>
    </row>
    <row r="54" spans="2:11" ht="20.100000000000001" customHeight="1">
      <c r="B54" s="423" t="s">
        <v>1207</v>
      </c>
      <c r="C54" s="371"/>
      <c r="D54" s="417"/>
      <c r="E54" s="417"/>
      <c r="F54" s="417"/>
      <c r="G54" s="417"/>
      <c r="H54" s="417"/>
      <c r="I54" s="417"/>
      <c r="J54" s="417"/>
      <c r="K54" s="424"/>
    </row>
    <row r="55" spans="2:11" ht="20.100000000000001" customHeight="1">
      <c r="B55" s="423" t="s">
        <v>1208</v>
      </c>
      <c r="C55" s="371"/>
      <c r="D55" s="417"/>
      <c r="E55" s="417"/>
      <c r="F55" s="417"/>
      <c r="G55" s="417"/>
      <c r="H55" s="417"/>
      <c r="I55" s="417"/>
      <c r="J55" s="417"/>
      <c r="K55" s="424"/>
    </row>
    <row r="56" spans="2:11" ht="20.100000000000001" customHeight="1">
      <c r="B56" s="423" t="s">
        <v>1209</v>
      </c>
      <c r="C56" s="371"/>
      <c r="D56" s="417"/>
      <c r="E56" s="417"/>
      <c r="F56" s="417"/>
      <c r="G56" s="417"/>
      <c r="H56" s="417"/>
      <c r="I56" s="417"/>
      <c r="J56" s="417"/>
      <c r="K56" s="424"/>
    </row>
    <row r="57" spans="2:11" ht="20.100000000000001" customHeight="1">
      <c r="B57" s="423" t="s">
        <v>1210</v>
      </c>
      <c r="C57" s="371"/>
      <c r="D57" s="417"/>
      <c r="E57" s="417"/>
      <c r="F57" s="417"/>
      <c r="G57" s="417"/>
      <c r="H57" s="417"/>
      <c r="I57" s="417"/>
      <c r="J57" s="417"/>
      <c r="K57" s="424"/>
    </row>
    <row r="58" spans="2:11" ht="20.100000000000001" customHeight="1">
      <c r="B58" s="423" t="s">
        <v>1211</v>
      </c>
      <c r="C58" s="371"/>
      <c r="D58" s="417"/>
      <c r="E58" s="417"/>
      <c r="F58" s="417"/>
      <c r="G58" s="417"/>
      <c r="H58" s="417"/>
      <c r="I58" s="417"/>
      <c r="J58" s="417"/>
      <c r="K58" s="424"/>
    </row>
    <row r="59" spans="2:11" ht="20.100000000000001" customHeight="1">
      <c r="B59" s="423" t="s">
        <v>1212</v>
      </c>
      <c r="C59" s="371"/>
      <c r="D59" s="417"/>
      <c r="E59" s="417"/>
      <c r="F59" s="417"/>
      <c r="G59" s="417"/>
      <c r="H59" s="417"/>
      <c r="I59" s="417"/>
      <c r="J59" s="417"/>
      <c r="K59" s="424"/>
    </row>
    <row r="60" spans="2:11" ht="20.100000000000001" customHeight="1">
      <c r="B60" s="423" t="s">
        <v>1213</v>
      </c>
      <c r="C60" s="371"/>
      <c r="D60" s="417"/>
      <c r="E60" s="417"/>
      <c r="F60" s="417"/>
      <c r="G60" s="417"/>
      <c r="H60" s="417"/>
      <c r="I60" s="417"/>
      <c r="J60" s="417"/>
      <c r="K60" s="424"/>
    </row>
    <row r="61" spans="2:11" ht="20.100000000000001" customHeight="1">
      <c r="B61" s="423" t="s">
        <v>1214</v>
      </c>
      <c r="C61" s="371"/>
      <c r="D61" s="417"/>
      <c r="E61" s="417"/>
      <c r="F61" s="417"/>
      <c r="G61" s="417"/>
      <c r="H61" s="417"/>
      <c r="I61" s="417"/>
      <c r="J61" s="417"/>
      <c r="K61" s="424"/>
    </row>
    <row r="62" spans="2:11" ht="20.100000000000001" customHeight="1">
      <c r="B62" s="423" t="s">
        <v>1215</v>
      </c>
      <c r="C62" s="371"/>
      <c r="D62" s="417"/>
      <c r="E62" s="417"/>
      <c r="F62" s="417"/>
      <c r="G62" s="417"/>
      <c r="H62" s="417"/>
      <c r="I62" s="417"/>
      <c r="J62" s="417"/>
      <c r="K62" s="424"/>
    </row>
    <row r="63" spans="2:11" ht="20.100000000000001" customHeight="1" thickBot="1">
      <c r="B63" s="425" t="s">
        <v>1216</v>
      </c>
      <c r="C63" s="426"/>
      <c r="D63" s="427"/>
      <c r="E63" s="427"/>
      <c r="F63" s="427"/>
      <c r="G63" s="427"/>
      <c r="H63" s="427"/>
      <c r="I63" s="427"/>
      <c r="J63" s="427"/>
      <c r="K63" s="428"/>
    </row>
    <row r="64" spans="2:11" ht="30" customHeight="1">
      <c r="B64" s="15"/>
      <c r="D64" s="290" t="s">
        <v>1217</v>
      </c>
      <c r="E64" s="290" t="s">
        <v>1218</v>
      </c>
      <c r="F64" s="418" t="str">
        <f>"Adjusted "&amp;$F48</f>
        <v>Adjusted Operational Variable 1</v>
      </c>
      <c r="G64" s="418" t="str">
        <f>"Adjusted "&amp;$G48</f>
        <v>Adjusted Operational Variable 2</v>
      </c>
      <c r="H64" s="418" t="str">
        <f>"Adjusted "&amp;$H48</f>
        <v>Adjusted Operational Variable 3</v>
      </c>
    </row>
    <row r="65" spans="2:11" ht="20.100000000000001" customHeight="1">
      <c r="D65" s="84">
        <f>SUMPRODUCT(D49:D63,I49:I63)/($H$9-$H$8+1)</f>
        <v>0</v>
      </c>
      <c r="E65" s="84" t="e">
        <f>SUMPRODUCT(E49:E63,$I49:$I63,$D49:$D63)/($H$9-$H$8+1)/SUM($D49:$D63)</f>
        <v>#DIV/0!</v>
      </c>
      <c r="F65" s="84" t="e">
        <f>SUMPRODUCT(F49:F63,$I49:$I63,$D49:$D63)/($H$9-$H$8+1)/SUM($D49:$D63)</f>
        <v>#DIV/0!</v>
      </c>
      <c r="G65" s="84" t="e">
        <f>SUMPRODUCT(G49:G63,$I49:$I63,$D49:$D63)/($H$9-$H$8+1)/SUM($D49:$D63)</f>
        <v>#DIV/0!</v>
      </c>
      <c r="H65" s="84" t="e">
        <f>SUMPRODUCT(H49:H63,$I49:$I63,$D49:$D63)/($H$9-$H$8+1)/SUM($D49:$D63)</f>
        <v>#DIV/0!</v>
      </c>
    </row>
    <row r="66" spans="2:11" ht="20.100000000000001" customHeight="1"/>
    <row r="67" spans="2:11" ht="40.200000000000003" customHeight="1" thickBot="1">
      <c r="B67" s="78" t="s">
        <v>71</v>
      </c>
      <c r="C67" s="78" t="s">
        <v>1252</v>
      </c>
      <c r="D67" s="78" t="s">
        <v>1253</v>
      </c>
      <c r="E67" s="78" t="s">
        <v>1254</v>
      </c>
      <c r="F67" s="175" t="str">
        <f>'15C Building Details'!$F$54</f>
        <v>Operational Variable 1</v>
      </c>
      <c r="G67" s="175" t="str">
        <f>'15C Building Details'!$G$54</f>
        <v>Operational Variable 2</v>
      </c>
      <c r="H67" s="175" t="str">
        <f>'15C Building Details'!$H$54</f>
        <v>Operational Variable 3</v>
      </c>
      <c r="I67" s="78" t="s">
        <v>1256</v>
      </c>
      <c r="J67" s="78" t="s">
        <v>55</v>
      </c>
      <c r="K67" s="78" t="s">
        <v>1255</v>
      </c>
    </row>
    <row r="68" spans="2:11" ht="20.100000000000001" customHeight="1">
      <c r="B68" s="96" t="s">
        <v>1202</v>
      </c>
      <c r="C68" s="111"/>
      <c r="D68" s="112"/>
      <c r="E68" s="112"/>
      <c r="F68" s="112"/>
      <c r="G68" s="112"/>
      <c r="H68" s="112"/>
      <c r="I68" s="112"/>
      <c r="J68" s="112"/>
      <c r="K68" s="113"/>
    </row>
    <row r="69" spans="2:11" ht="20.100000000000001" customHeight="1">
      <c r="B69" s="96" t="s">
        <v>1203</v>
      </c>
      <c r="C69" s="114"/>
      <c r="D69" s="115"/>
      <c r="E69" s="115"/>
      <c r="F69" s="115"/>
      <c r="G69" s="115"/>
      <c r="H69" s="115"/>
      <c r="I69" s="115"/>
      <c r="J69" s="115"/>
      <c r="K69" s="116"/>
    </row>
    <row r="70" spans="2:11" ht="20.100000000000001" customHeight="1">
      <c r="B70" s="96" t="s">
        <v>1204</v>
      </c>
      <c r="C70" s="114"/>
      <c r="D70" s="115"/>
      <c r="E70" s="115"/>
      <c r="F70" s="115"/>
      <c r="G70" s="115"/>
      <c r="H70" s="115"/>
      <c r="I70" s="115"/>
      <c r="J70" s="115"/>
      <c r="K70" s="116"/>
    </row>
    <row r="71" spans="2:11" ht="20.100000000000001" customHeight="1">
      <c r="B71" s="96" t="s">
        <v>1205</v>
      </c>
      <c r="C71" s="114"/>
      <c r="D71" s="115"/>
      <c r="E71" s="115"/>
      <c r="F71" s="115"/>
      <c r="G71" s="115"/>
      <c r="H71" s="115"/>
      <c r="I71" s="115"/>
      <c r="J71" s="115"/>
      <c r="K71" s="116"/>
    </row>
    <row r="72" spans="2:11" ht="20.100000000000001" customHeight="1">
      <c r="B72" s="96" t="s">
        <v>1206</v>
      </c>
      <c r="C72" s="114"/>
      <c r="D72" s="115"/>
      <c r="E72" s="115"/>
      <c r="F72" s="115"/>
      <c r="G72" s="115"/>
      <c r="H72" s="115"/>
      <c r="I72" s="115"/>
      <c r="J72" s="115"/>
      <c r="K72" s="116"/>
    </row>
    <row r="73" spans="2:11" ht="20.100000000000001" customHeight="1">
      <c r="B73" s="96" t="s">
        <v>1207</v>
      </c>
      <c r="C73" s="114"/>
      <c r="D73" s="115"/>
      <c r="E73" s="115"/>
      <c r="F73" s="115"/>
      <c r="G73" s="115"/>
      <c r="H73" s="115"/>
      <c r="I73" s="115"/>
      <c r="J73" s="115"/>
      <c r="K73" s="116"/>
    </row>
    <row r="74" spans="2:11" ht="20.100000000000001" customHeight="1">
      <c r="B74" s="96" t="s">
        <v>1208</v>
      </c>
      <c r="C74" s="114"/>
      <c r="D74" s="115"/>
      <c r="E74" s="115"/>
      <c r="F74" s="115"/>
      <c r="G74" s="115"/>
      <c r="H74" s="115"/>
      <c r="I74" s="115"/>
      <c r="J74" s="115"/>
      <c r="K74" s="116"/>
    </row>
    <row r="75" spans="2:11" ht="20.100000000000001" customHeight="1">
      <c r="B75" s="96" t="s">
        <v>1209</v>
      </c>
      <c r="C75" s="114"/>
      <c r="D75" s="115"/>
      <c r="E75" s="115"/>
      <c r="F75" s="115"/>
      <c r="G75" s="115"/>
      <c r="H75" s="115"/>
      <c r="I75" s="115"/>
      <c r="J75" s="115"/>
      <c r="K75" s="116"/>
    </row>
    <row r="76" spans="2:11" ht="20.100000000000001" customHeight="1">
      <c r="B76" s="96" t="s">
        <v>1210</v>
      </c>
      <c r="C76" s="114"/>
      <c r="D76" s="115"/>
      <c r="E76" s="115"/>
      <c r="F76" s="115"/>
      <c r="G76" s="115"/>
      <c r="H76" s="115"/>
      <c r="I76" s="115"/>
      <c r="J76" s="115"/>
      <c r="K76" s="116"/>
    </row>
    <row r="77" spans="2:11" ht="20.100000000000001" customHeight="1">
      <c r="B77" s="96" t="s">
        <v>1211</v>
      </c>
      <c r="C77" s="114"/>
      <c r="D77" s="115"/>
      <c r="E77" s="115"/>
      <c r="F77" s="115"/>
      <c r="G77" s="115"/>
      <c r="H77" s="115"/>
      <c r="I77" s="115"/>
      <c r="J77" s="115"/>
      <c r="K77" s="116"/>
    </row>
    <row r="78" spans="2:11" ht="20.100000000000001" customHeight="1">
      <c r="B78" s="96" t="s">
        <v>1212</v>
      </c>
      <c r="C78" s="114"/>
      <c r="D78" s="115"/>
      <c r="E78" s="115"/>
      <c r="F78" s="115"/>
      <c r="G78" s="115"/>
      <c r="H78" s="115"/>
      <c r="I78" s="115"/>
      <c r="J78" s="115"/>
      <c r="K78" s="116"/>
    </row>
    <row r="79" spans="2:11" ht="20.100000000000001" customHeight="1">
      <c r="B79" s="96" t="s">
        <v>1213</v>
      </c>
      <c r="C79" s="114"/>
      <c r="D79" s="115"/>
      <c r="E79" s="115"/>
      <c r="F79" s="115"/>
      <c r="G79" s="115"/>
      <c r="H79" s="115"/>
      <c r="I79" s="115"/>
      <c r="J79" s="115"/>
      <c r="K79" s="116"/>
    </row>
    <row r="80" spans="2:11" ht="20.100000000000001" customHeight="1">
      <c r="B80" s="96" t="s">
        <v>1214</v>
      </c>
      <c r="C80" s="114"/>
      <c r="D80" s="115"/>
      <c r="E80" s="115"/>
      <c r="F80" s="115"/>
      <c r="G80" s="115"/>
      <c r="H80" s="115"/>
      <c r="I80" s="115"/>
      <c r="J80" s="115"/>
      <c r="K80" s="116"/>
    </row>
    <row r="81" spans="2:11" ht="20.100000000000001" customHeight="1">
      <c r="B81" s="96" t="s">
        <v>1215</v>
      </c>
      <c r="C81" s="114"/>
      <c r="D81" s="115"/>
      <c r="E81" s="115"/>
      <c r="F81" s="115"/>
      <c r="G81" s="115"/>
      <c r="H81" s="115"/>
      <c r="I81" s="115"/>
      <c r="J81" s="115"/>
      <c r="K81" s="116"/>
    </row>
    <row r="82" spans="2:11" ht="20.100000000000001" customHeight="1" thickBot="1">
      <c r="B82" s="96" t="s">
        <v>1216</v>
      </c>
      <c r="C82" s="117"/>
      <c r="D82" s="118"/>
      <c r="E82" s="118"/>
      <c r="F82" s="118"/>
      <c r="G82" s="118"/>
      <c r="H82" s="118"/>
      <c r="I82" s="118"/>
      <c r="J82" s="118"/>
      <c r="K82" s="119"/>
    </row>
    <row r="83" spans="2:11" ht="30" customHeight="1">
      <c r="B83" s="15"/>
      <c r="D83" s="78" t="s">
        <v>1217</v>
      </c>
      <c r="E83" s="78" t="s">
        <v>1218</v>
      </c>
      <c r="F83" s="175" t="str">
        <f>"Adjusted "&amp;$F67</f>
        <v>Adjusted Operational Variable 1</v>
      </c>
      <c r="G83" s="175" t="str">
        <f>"Adjusted "&amp;$G67</f>
        <v>Adjusted Operational Variable 2</v>
      </c>
      <c r="H83" s="175" t="str">
        <f>"Adjusted "&amp;$H67</f>
        <v>Adjusted Operational Variable 3</v>
      </c>
    </row>
    <row r="84" spans="2:11" ht="20.100000000000001" customHeight="1">
      <c r="D84" s="84">
        <f>SUMPRODUCT(D68:D82,I68:I82)/($H$9-$H$8+1)</f>
        <v>0</v>
      </c>
      <c r="E84" s="84" t="e">
        <f>SUMPRODUCT(E68:E82,$I68:$I82,$D68:$D82)/($I$9-$I$8+1)/SUM($D68:$D82)</f>
        <v>#DIV/0!</v>
      </c>
      <c r="F84" s="84" t="e">
        <f>SUMPRODUCT(F68:F82,$I68:$I82,$D68:$D82)/($H$9-$H$8+1)/SUM($D68:$D82)</f>
        <v>#DIV/0!</v>
      </c>
      <c r="G84" s="84" t="e">
        <f>SUMPRODUCT(G68:G82,$I68:$I82,$D68:$D82)/($H$9-$H$8+1)/SUM($D68:$D82)</f>
        <v>#DIV/0!</v>
      </c>
      <c r="H84" s="84" t="e">
        <f>SUMPRODUCT(H68:H82,$I68:$I82,$D68:$D82)/($H$9-$H$8+1)/SUM($D68:$D82)</f>
        <v>#DIV/0!</v>
      </c>
    </row>
    <row r="85" spans="2:11" ht="19.5" customHeight="1"/>
    <row r="86" spans="2:11" ht="40.200000000000003" customHeight="1" thickBot="1">
      <c r="B86" s="78" t="s">
        <v>71</v>
      </c>
      <c r="C86" s="78" t="s">
        <v>1252</v>
      </c>
      <c r="D86" s="78" t="s">
        <v>1253</v>
      </c>
      <c r="E86" s="78" t="s">
        <v>1254</v>
      </c>
      <c r="F86" s="175" t="str">
        <f>'15C Building Details'!$F$54</f>
        <v>Operational Variable 1</v>
      </c>
      <c r="G86" s="175" t="str">
        <f>'15C Building Details'!$G$54</f>
        <v>Operational Variable 2</v>
      </c>
      <c r="H86" s="175" t="str">
        <f>'15C Building Details'!$H$54</f>
        <v>Operational Variable 3</v>
      </c>
      <c r="I86" s="78" t="s">
        <v>1256</v>
      </c>
      <c r="J86" s="78" t="s">
        <v>55</v>
      </c>
      <c r="K86" s="78" t="s">
        <v>1255</v>
      </c>
    </row>
    <row r="87" spans="2:11" ht="20.100000000000001" customHeight="1">
      <c r="B87" s="96" t="s">
        <v>1202</v>
      </c>
      <c r="C87" s="111"/>
      <c r="D87" s="112"/>
      <c r="E87" s="112"/>
      <c r="F87" s="112"/>
      <c r="G87" s="112"/>
      <c r="H87" s="112"/>
      <c r="I87" s="112"/>
      <c r="J87" s="112"/>
      <c r="K87" s="113"/>
    </row>
    <row r="88" spans="2:11" ht="20.100000000000001" customHeight="1">
      <c r="B88" s="96" t="s">
        <v>1203</v>
      </c>
      <c r="C88" s="114"/>
      <c r="D88" s="115"/>
      <c r="E88" s="115"/>
      <c r="F88" s="115"/>
      <c r="G88" s="115"/>
      <c r="H88" s="115"/>
      <c r="I88" s="115"/>
      <c r="J88" s="115"/>
      <c r="K88" s="116"/>
    </row>
    <row r="89" spans="2:11" ht="20.100000000000001" customHeight="1">
      <c r="B89" s="96" t="s">
        <v>1204</v>
      </c>
      <c r="C89" s="114"/>
      <c r="D89" s="115"/>
      <c r="E89" s="115"/>
      <c r="F89" s="115"/>
      <c r="G89" s="115"/>
      <c r="H89" s="115"/>
      <c r="I89" s="115"/>
      <c r="J89" s="115"/>
      <c r="K89" s="116"/>
    </row>
    <row r="90" spans="2:11" ht="20.100000000000001" customHeight="1">
      <c r="B90" s="96" t="s">
        <v>1205</v>
      </c>
      <c r="C90" s="114"/>
      <c r="D90" s="115"/>
      <c r="E90" s="115"/>
      <c r="F90" s="115"/>
      <c r="G90" s="115"/>
      <c r="H90" s="115"/>
      <c r="I90" s="115"/>
      <c r="J90" s="115"/>
      <c r="K90" s="116"/>
    </row>
    <row r="91" spans="2:11" ht="20.100000000000001" customHeight="1">
      <c r="B91" s="96" t="s">
        <v>1206</v>
      </c>
      <c r="C91" s="114"/>
      <c r="D91" s="115"/>
      <c r="E91" s="115"/>
      <c r="F91" s="115"/>
      <c r="G91" s="115"/>
      <c r="H91" s="115"/>
      <c r="I91" s="115"/>
      <c r="J91" s="115"/>
      <c r="K91" s="116"/>
    </row>
    <row r="92" spans="2:11" ht="20.100000000000001" customHeight="1">
      <c r="B92" s="96" t="s">
        <v>1207</v>
      </c>
      <c r="C92" s="114"/>
      <c r="D92" s="115"/>
      <c r="E92" s="115"/>
      <c r="F92" s="115"/>
      <c r="G92" s="115"/>
      <c r="H92" s="115"/>
      <c r="I92" s="115"/>
      <c r="J92" s="115"/>
      <c r="K92" s="116"/>
    </row>
    <row r="93" spans="2:11" ht="20.100000000000001" customHeight="1">
      <c r="B93" s="96" t="s">
        <v>1208</v>
      </c>
      <c r="C93" s="114"/>
      <c r="D93" s="115"/>
      <c r="E93" s="115"/>
      <c r="F93" s="115"/>
      <c r="G93" s="115"/>
      <c r="H93" s="115"/>
      <c r="I93" s="115"/>
      <c r="J93" s="115"/>
      <c r="K93" s="116"/>
    </row>
    <row r="94" spans="2:11" ht="20.100000000000001" customHeight="1">
      <c r="B94" s="96" t="s">
        <v>1209</v>
      </c>
      <c r="C94" s="114"/>
      <c r="D94" s="115"/>
      <c r="E94" s="115"/>
      <c r="F94" s="115"/>
      <c r="G94" s="115"/>
      <c r="H94" s="115"/>
      <c r="I94" s="115"/>
      <c r="J94" s="115"/>
      <c r="K94" s="116"/>
    </row>
    <row r="95" spans="2:11" ht="20.100000000000001" customHeight="1">
      <c r="B95" s="96" t="s">
        <v>1210</v>
      </c>
      <c r="C95" s="114"/>
      <c r="D95" s="115"/>
      <c r="E95" s="115"/>
      <c r="F95" s="115"/>
      <c r="G95" s="115"/>
      <c r="H95" s="115"/>
      <c r="I95" s="115"/>
      <c r="J95" s="115"/>
      <c r="K95" s="116"/>
    </row>
    <row r="96" spans="2:11" ht="20.100000000000001" customHeight="1">
      <c r="B96" s="96" t="s">
        <v>1211</v>
      </c>
      <c r="C96" s="114"/>
      <c r="D96" s="115"/>
      <c r="E96" s="115"/>
      <c r="F96" s="115"/>
      <c r="G96" s="115"/>
      <c r="H96" s="115"/>
      <c r="I96" s="115"/>
      <c r="J96" s="115"/>
      <c r="K96" s="116"/>
    </row>
    <row r="97" spans="2:11" ht="20.100000000000001" customHeight="1">
      <c r="B97" s="96" t="s">
        <v>1212</v>
      </c>
      <c r="C97" s="114"/>
      <c r="D97" s="115"/>
      <c r="E97" s="115"/>
      <c r="F97" s="115"/>
      <c r="G97" s="115"/>
      <c r="H97" s="115"/>
      <c r="I97" s="115"/>
      <c r="J97" s="115"/>
      <c r="K97" s="116"/>
    </row>
    <row r="98" spans="2:11" ht="20.100000000000001" customHeight="1">
      <c r="B98" s="96" t="s">
        <v>1213</v>
      </c>
      <c r="C98" s="114"/>
      <c r="D98" s="115"/>
      <c r="E98" s="115"/>
      <c r="F98" s="115"/>
      <c r="G98" s="115"/>
      <c r="H98" s="115"/>
      <c r="I98" s="115"/>
      <c r="J98" s="115"/>
      <c r="K98" s="116"/>
    </row>
    <row r="99" spans="2:11" ht="20.100000000000001" customHeight="1">
      <c r="B99" s="96" t="s">
        <v>1214</v>
      </c>
      <c r="C99" s="114"/>
      <c r="D99" s="115"/>
      <c r="E99" s="115"/>
      <c r="F99" s="115"/>
      <c r="G99" s="115"/>
      <c r="H99" s="115"/>
      <c r="I99" s="115"/>
      <c r="J99" s="115"/>
      <c r="K99" s="116"/>
    </row>
    <row r="100" spans="2:11" ht="20.100000000000001" customHeight="1">
      <c r="B100" s="96" t="s">
        <v>1215</v>
      </c>
      <c r="C100" s="114"/>
      <c r="D100" s="115"/>
      <c r="E100" s="115"/>
      <c r="F100" s="115"/>
      <c r="G100" s="115"/>
      <c r="H100" s="115"/>
      <c r="I100" s="115"/>
      <c r="J100" s="115"/>
      <c r="K100" s="116"/>
    </row>
    <row r="101" spans="2:11" ht="20.100000000000001" customHeight="1" thickBot="1">
      <c r="B101" s="96" t="s">
        <v>1216</v>
      </c>
      <c r="C101" s="117"/>
      <c r="D101" s="118"/>
      <c r="E101" s="118"/>
      <c r="F101" s="118"/>
      <c r="G101" s="118"/>
      <c r="H101" s="118"/>
      <c r="I101" s="118"/>
      <c r="J101" s="118"/>
      <c r="K101" s="119"/>
    </row>
    <row r="102" spans="2:11" ht="30" customHeight="1">
      <c r="B102" s="15"/>
      <c r="D102" s="78" t="s">
        <v>1217</v>
      </c>
      <c r="E102" s="78" t="s">
        <v>1218</v>
      </c>
      <c r="F102" s="175" t="str">
        <f>"Adjusted "&amp;$F86</f>
        <v>Adjusted Operational Variable 1</v>
      </c>
      <c r="G102" s="175" t="str">
        <f>"Adjusted "&amp;$G86</f>
        <v>Adjusted Operational Variable 2</v>
      </c>
      <c r="H102" s="175" t="str">
        <f>"Adjusted "&amp;$H86</f>
        <v>Adjusted Operational Variable 3</v>
      </c>
    </row>
    <row r="103" spans="2:11" ht="20.100000000000001" customHeight="1">
      <c r="D103" s="84">
        <f>SUMPRODUCT(D87:D101,I87:I101)/($H$9-$H$8+1)</f>
        <v>0</v>
      </c>
      <c r="E103" s="84" t="e">
        <f>SUMPRODUCT(E87:E101,$I87:$I101,$D87:$D101)/($J$9-$J$8+1)/SUM($D87:$D101)</f>
        <v>#DIV/0!</v>
      </c>
      <c r="F103" s="84" t="e">
        <f>SUMPRODUCT(F87:F101,$I87:$I101,$D87:$D101)/($J$9-$J$8+1)/SUM($D87:$D101)</f>
        <v>#DIV/0!</v>
      </c>
      <c r="G103" s="84" t="e">
        <f>SUMPRODUCT(G87:G101,$I87:$I101,$D87:$D101)/($J$9-$J$8+1)/SUM($D87:$D101)</f>
        <v>#DIV/0!</v>
      </c>
      <c r="H103" s="84" t="e">
        <f>SUMPRODUCT(H87:H101,$I87:$I101,$D87:$D101)/($J$9-$J$8+1)/SUM($D87:$D101)</f>
        <v>#DIV/0!</v>
      </c>
    </row>
    <row r="104" spans="2:11" ht="20.100000000000001" customHeight="1"/>
    <row r="105" spans="2:11" ht="20.100000000000001" customHeight="1">
      <c r="B105" s="316" t="s">
        <v>1220</v>
      </c>
      <c r="C105" s="316"/>
      <c r="D105" s="316"/>
      <c r="E105" s="316"/>
      <c r="F105" s="316"/>
      <c r="G105" s="316"/>
      <c r="H105" s="316"/>
      <c r="I105" s="316"/>
      <c r="J105" s="316"/>
      <c r="K105" s="316"/>
    </row>
    <row r="106" spans="2:11" ht="20.100000000000001" customHeight="1"/>
    <row r="107" spans="2:11" ht="20.100000000000001" customHeight="1">
      <c r="B107" s="316" t="s">
        <v>1221</v>
      </c>
      <c r="C107" s="316"/>
      <c r="D107" s="316"/>
      <c r="E107" s="316"/>
      <c r="F107" s="316"/>
      <c r="G107" s="316"/>
      <c r="H107" s="316"/>
      <c r="I107" s="316"/>
      <c r="J107" s="316"/>
      <c r="K107" s="316"/>
    </row>
    <row r="108" spans="2:11" ht="20.100000000000001" customHeight="1" thickBot="1"/>
    <row r="109" spans="2:11" ht="20.100000000000001" customHeight="1">
      <c r="B109" s="78" t="s">
        <v>471</v>
      </c>
      <c r="C109" s="99" t="s">
        <v>569</v>
      </c>
      <c r="E109" s="289" t="s">
        <v>475</v>
      </c>
      <c r="F109" s="563"/>
      <c r="G109" s="564"/>
      <c r="H109" s="564"/>
      <c r="I109" s="565"/>
    </row>
    <row r="110" spans="2:11" ht="20.100000000000001" customHeight="1">
      <c r="B110" s="78" t="s">
        <v>477</v>
      </c>
      <c r="C110" s="100" t="str">
        <f>'15C Building Details'!C79</f>
        <v>Scope 2</v>
      </c>
      <c r="E110" s="615" t="s">
        <v>479</v>
      </c>
      <c r="F110" s="622"/>
      <c r="G110" s="623"/>
      <c r="H110" s="623"/>
      <c r="I110" s="624"/>
    </row>
    <row r="111" spans="2:11" ht="20.100000000000001" customHeight="1" thickBot="1">
      <c r="B111" s="78" t="s">
        <v>483</v>
      </c>
      <c r="C111" s="194" t="e">
        <f>'15C Building Details'!C80</f>
        <v>#N/A</v>
      </c>
      <c r="D111" s="317"/>
      <c r="E111" s="616"/>
      <c r="F111" s="566"/>
      <c r="G111" s="567"/>
      <c r="H111" s="567"/>
      <c r="I111" s="568"/>
    </row>
    <row r="112" spans="2:11" ht="20.100000000000001" customHeight="1">
      <c r="B112" s="78" t="s">
        <v>485</v>
      </c>
      <c r="C112" s="100" t="str">
        <f>'15C Building Details'!C81</f>
        <v>kWh</v>
      </c>
    </row>
    <row r="113" spans="2:11" ht="20.100000000000001" customHeight="1">
      <c r="B113" s="78" t="s">
        <v>487</v>
      </c>
      <c r="C113" s="196">
        <f>'15C Building Details'!C82</f>
        <v>3.5999999999999999E-3</v>
      </c>
      <c r="E113" s="11" t="s">
        <v>489</v>
      </c>
    </row>
    <row r="114" spans="2:11" ht="20.100000000000001" customHeight="1">
      <c r="G114" s="14"/>
      <c r="J114" s="11"/>
    </row>
    <row r="115" spans="2:11" ht="20.100000000000001" customHeight="1"/>
    <row r="116" spans="2:11" ht="40.200000000000003" customHeight="1" thickBot="1">
      <c r="B116" s="175" t="s">
        <v>491</v>
      </c>
      <c r="C116" s="175" t="s">
        <v>493</v>
      </c>
      <c r="D116" s="175" t="s">
        <v>495</v>
      </c>
      <c r="E116" s="175" t="s">
        <v>497</v>
      </c>
      <c r="F116" s="175" t="str">
        <f>"Billed Quantity ("&amp;C112&amp;")"</f>
        <v>Billed Quantity (kWh)</v>
      </c>
      <c r="G116" s="78" t="s">
        <v>501</v>
      </c>
      <c r="H116" s="78" t="s">
        <v>487</v>
      </c>
      <c r="I116" s="78" t="s">
        <v>1257</v>
      </c>
      <c r="J116" s="78" t="s">
        <v>1258</v>
      </c>
      <c r="K116" s="78" t="s">
        <v>1259</v>
      </c>
    </row>
    <row r="117" spans="2:11" ht="20.100000000000001" customHeight="1">
      <c r="B117" s="120"/>
      <c r="C117" s="121"/>
      <c r="D117" s="122"/>
      <c r="E117" s="122"/>
      <c r="F117" s="113"/>
      <c r="G117" s="105" t="str">
        <f t="shared" ref="G117:G152" si="4">IF(ISBLANK(D117),"",E117-D117+1)</f>
        <v/>
      </c>
      <c r="H117" s="106">
        <f>$C$113</f>
        <v>3.5999999999999999E-3</v>
      </c>
      <c r="I117" s="107">
        <f t="shared" ref="I117:I152" si="5">IF(F117&gt;0,F117*H117*IF(OR(D117&gt;$H$9,E117&lt;$H$8), 0, IF(D117&lt;$H$8,E117-$H$8,IF($H$9&lt;E117,E117-$H$9,G117)))/G117,0)</f>
        <v>0</v>
      </c>
      <c r="J117" s="107">
        <f t="shared" ref="J117:J152" si="6">IF(F117&gt;0,F117*H117*IF(OR(D117&gt;$I$9,E117&lt;$I$8), 0, IF(D117&lt;$I$8,E117-$I$8,IF($I$9&lt;E117,E117-$I$9,G117)))/G117,0)</f>
        <v>0</v>
      </c>
      <c r="K117" s="107">
        <f t="shared" ref="K117:K152" si="7">IF(F117&gt;0,F117*H117*IF(OR(D117&gt;$J$9,E117&lt;$J$8), 0, IF(D117&lt;$J$8,E117-$J$8,IF($J$9&lt;E117,E117-$J$9,G117)))/G117,0)</f>
        <v>0</v>
      </c>
    </row>
    <row r="118" spans="2:11" ht="20.100000000000001" customHeight="1">
      <c r="B118" s="123"/>
      <c r="C118" s="124"/>
      <c r="D118" s="125"/>
      <c r="E118" s="125"/>
      <c r="F118" s="116"/>
      <c r="G118" s="105" t="str">
        <f t="shared" si="4"/>
        <v/>
      </c>
      <c r="H118" s="106">
        <f t="shared" ref="H118:H152" si="8">$C$113</f>
        <v>3.5999999999999999E-3</v>
      </c>
      <c r="I118" s="107">
        <f t="shared" si="5"/>
        <v>0</v>
      </c>
      <c r="J118" s="107">
        <f t="shared" si="6"/>
        <v>0</v>
      </c>
      <c r="K118" s="107">
        <f t="shared" si="7"/>
        <v>0</v>
      </c>
    </row>
    <row r="119" spans="2:11" ht="20.100000000000001" customHeight="1">
      <c r="B119" s="123"/>
      <c r="C119" s="124"/>
      <c r="D119" s="125"/>
      <c r="E119" s="125"/>
      <c r="F119" s="116"/>
      <c r="G119" s="105" t="str">
        <f t="shared" si="4"/>
        <v/>
      </c>
      <c r="H119" s="106">
        <f t="shared" si="8"/>
        <v>3.5999999999999999E-3</v>
      </c>
      <c r="I119" s="107">
        <f t="shared" si="5"/>
        <v>0</v>
      </c>
      <c r="J119" s="107">
        <f t="shared" si="6"/>
        <v>0</v>
      </c>
      <c r="K119" s="107">
        <f t="shared" si="7"/>
        <v>0</v>
      </c>
    </row>
    <row r="120" spans="2:11" ht="20.100000000000001" customHeight="1">
      <c r="B120" s="123"/>
      <c r="C120" s="124"/>
      <c r="D120" s="125"/>
      <c r="E120" s="125"/>
      <c r="F120" s="116"/>
      <c r="G120" s="105" t="str">
        <f t="shared" si="4"/>
        <v/>
      </c>
      <c r="H120" s="106">
        <f t="shared" si="8"/>
        <v>3.5999999999999999E-3</v>
      </c>
      <c r="I120" s="107">
        <f t="shared" si="5"/>
        <v>0</v>
      </c>
      <c r="J120" s="107">
        <f t="shared" si="6"/>
        <v>0</v>
      </c>
      <c r="K120" s="107">
        <f t="shared" si="7"/>
        <v>0</v>
      </c>
    </row>
    <row r="121" spans="2:11" ht="20.100000000000001" customHeight="1">
      <c r="B121" s="123"/>
      <c r="C121" s="124"/>
      <c r="D121" s="125"/>
      <c r="E121" s="125"/>
      <c r="F121" s="116"/>
      <c r="G121" s="105" t="str">
        <f t="shared" si="4"/>
        <v/>
      </c>
      <c r="H121" s="106">
        <f t="shared" si="8"/>
        <v>3.5999999999999999E-3</v>
      </c>
      <c r="I121" s="107">
        <f t="shared" si="5"/>
        <v>0</v>
      </c>
      <c r="J121" s="107">
        <f t="shared" si="6"/>
        <v>0</v>
      </c>
      <c r="K121" s="107">
        <f t="shared" si="7"/>
        <v>0</v>
      </c>
    </row>
    <row r="122" spans="2:11" ht="20.100000000000001" customHeight="1">
      <c r="B122" s="123"/>
      <c r="C122" s="124"/>
      <c r="D122" s="125"/>
      <c r="E122" s="125"/>
      <c r="F122" s="116"/>
      <c r="G122" s="105" t="str">
        <f t="shared" si="4"/>
        <v/>
      </c>
      <c r="H122" s="106">
        <f t="shared" si="8"/>
        <v>3.5999999999999999E-3</v>
      </c>
      <c r="I122" s="107">
        <f t="shared" si="5"/>
        <v>0</v>
      </c>
      <c r="J122" s="107">
        <f t="shared" si="6"/>
        <v>0</v>
      </c>
      <c r="K122" s="107">
        <f t="shared" si="7"/>
        <v>0</v>
      </c>
    </row>
    <row r="123" spans="2:11" ht="20.100000000000001" customHeight="1">
      <c r="B123" s="123"/>
      <c r="C123" s="124"/>
      <c r="D123" s="125"/>
      <c r="E123" s="125"/>
      <c r="F123" s="116"/>
      <c r="G123" s="105" t="str">
        <f t="shared" si="4"/>
        <v/>
      </c>
      <c r="H123" s="106">
        <f t="shared" si="8"/>
        <v>3.5999999999999999E-3</v>
      </c>
      <c r="I123" s="107">
        <f t="shared" si="5"/>
        <v>0</v>
      </c>
      <c r="J123" s="107">
        <f t="shared" si="6"/>
        <v>0</v>
      </c>
      <c r="K123" s="107">
        <f t="shared" si="7"/>
        <v>0</v>
      </c>
    </row>
    <row r="124" spans="2:11" ht="20.100000000000001" customHeight="1">
      <c r="B124" s="123"/>
      <c r="C124" s="124"/>
      <c r="D124" s="125"/>
      <c r="E124" s="125"/>
      <c r="F124" s="116"/>
      <c r="G124" s="105" t="str">
        <f t="shared" si="4"/>
        <v/>
      </c>
      <c r="H124" s="106">
        <f t="shared" si="8"/>
        <v>3.5999999999999999E-3</v>
      </c>
      <c r="I124" s="107">
        <f t="shared" si="5"/>
        <v>0</v>
      </c>
      <c r="J124" s="107">
        <f t="shared" si="6"/>
        <v>0</v>
      </c>
      <c r="K124" s="107">
        <f t="shared" si="7"/>
        <v>0</v>
      </c>
    </row>
    <row r="125" spans="2:11" ht="20.100000000000001" customHeight="1">
      <c r="B125" s="123"/>
      <c r="C125" s="124"/>
      <c r="D125" s="125"/>
      <c r="E125" s="125"/>
      <c r="F125" s="116"/>
      <c r="G125" s="105" t="str">
        <f t="shared" si="4"/>
        <v/>
      </c>
      <c r="H125" s="106">
        <f t="shared" si="8"/>
        <v>3.5999999999999999E-3</v>
      </c>
      <c r="I125" s="107">
        <f t="shared" si="5"/>
        <v>0</v>
      </c>
      <c r="J125" s="107">
        <f t="shared" si="6"/>
        <v>0</v>
      </c>
      <c r="K125" s="107">
        <f t="shared" si="7"/>
        <v>0</v>
      </c>
    </row>
    <row r="126" spans="2:11" ht="20.100000000000001" customHeight="1">
      <c r="B126" s="123"/>
      <c r="C126" s="124"/>
      <c r="D126" s="125"/>
      <c r="E126" s="125"/>
      <c r="F126" s="116"/>
      <c r="G126" s="105" t="str">
        <f t="shared" si="4"/>
        <v/>
      </c>
      <c r="H126" s="106">
        <f t="shared" si="8"/>
        <v>3.5999999999999999E-3</v>
      </c>
      <c r="I126" s="107">
        <f t="shared" si="5"/>
        <v>0</v>
      </c>
      <c r="J126" s="107">
        <f t="shared" si="6"/>
        <v>0</v>
      </c>
      <c r="K126" s="107">
        <f t="shared" si="7"/>
        <v>0</v>
      </c>
    </row>
    <row r="127" spans="2:11" ht="20.100000000000001" customHeight="1">
      <c r="B127" s="123"/>
      <c r="C127" s="124"/>
      <c r="D127" s="125"/>
      <c r="E127" s="125"/>
      <c r="F127" s="116"/>
      <c r="G127" s="105" t="str">
        <f t="shared" si="4"/>
        <v/>
      </c>
      <c r="H127" s="106">
        <f t="shared" si="8"/>
        <v>3.5999999999999999E-3</v>
      </c>
      <c r="I127" s="107">
        <f t="shared" si="5"/>
        <v>0</v>
      </c>
      <c r="J127" s="107">
        <f t="shared" si="6"/>
        <v>0</v>
      </c>
      <c r="K127" s="107">
        <f t="shared" si="7"/>
        <v>0</v>
      </c>
    </row>
    <row r="128" spans="2:11" ht="20.100000000000001" customHeight="1">
      <c r="B128" s="123"/>
      <c r="C128" s="124"/>
      <c r="D128" s="125"/>
      <c r="E128" s="125"/>
      <c r="F128" s="116"/>
      <c r="G128" s="105" t="str">
        <f t="shared" si="4"/>
        <v/>
      </c>
      <c r="H128" s="106">
        <f t="shared" si="8"/>
        <v>3.5999999999999999E-3</v>
      </c>
      <c r="I128" s="107">
        <f t="shared" si="5"/>
        <v>0</v>
      </c>
      <c r="J128" s="107">
        <f t="shared" si="6"/>
        <v>0</v>
      </c>
      <c r="K128" s="107">
        <f t="shared" si="7"/>
        <v>0</v>
      </c>
    </row>
    <row r="129" spans="2:11" ht="20.100000000000001" customHeight="1">
      <c r="B129" s="123"/>
      <c r="C129" s="124"/>
      <c r="D129" s="125"/>
      <c r="E129" s="125"/>
      <c r="F129" s="116"/>
      <c r="G129" s="105" t="str">
        <f t="shared" si="4"/>
        <v/>
      </c>
      <c r="H129" s="106">
        <f t="shared" si="8"/>
        <v>3.5999999999999999E-3</v>
      </c>
      <c r="I129" s="107">
        <f t="shared" si="5"/>
        <v>0</v>
      </c>
      <c r="J129" s="107">
        <f t="shared" si="6"/>
        <v>0</v>
      </c>
      <c r="K129" s="107">
        <f t="shared" si="7"/>
        <v>0</v>
      </c>
    </row>
    <row r="130" spans="2:11" ht="20.100000000000001" customHeight="1">
      <c r="B130" s="123"/>
      <c r="C130" s="124"/>
      <c r="D130" s="125"/>
      <c r="E130" s="125"/>
      <c r="F130" s="116"/>
      <c r="G130" s="105" t="str">
        <f t="shared" si="4"/>
        <v/>
      </c>
      <c r="H130" s="106">
        <f t="shared" si="8"/>
        <v>3.5999999999999999E-3</v>
      </c>
      <c r="I130" s="107">
        <f t="shared" si="5"/>
        <v>0</v>
      </c>
      <c r="J130" s="107">
        <f t="shared" si="6"/>
        <v>0</v>
      </c>
      <c r="K130" s="107">
        <f t="shared" si="7"/>
        <v>0</v>
      </c>
    </row>
    <row r="131" spans="2:11" ht="20.100000000000001" customHeight="1">
      <c r="B131" s="123"/>
      <c r="C131" s="124"/>
      <c r="D131" s="125"/>
      <c r="E131" s="125"/>
      <c r="F131" s="116"/>
      <c r="G131" s="105" t="str">
        <f t="shared" si="4"/>
        <v/>
      </c>
      <c r="H131" s="106">
        <f t="shared" si="8"/>
        <v>3.5999999999999999E-3</v>
      </c>
      <c r="I131" s="107">
        <f t="shared" si="5"/>
        <v>0</v>
      </c>
      <c r="J131" s="107">
        <f t="shared" si="6"/>
        <v>0</v>
      </c>
      <c r="K131" s="107">
        <f t="shared" si="7"/>
        <v>0</v>
      </c>
    </row>
    <row r="132" spans="2:11" ht="20.100000000000001" customHeight="1">
      <c r="B132" s="123"/>
      <c r="C132" s="124"/>
      <c r="D132" s="125"/>
      <c r="E132" s="125"/>
      <c r="F132" s="116"/>
      <c r="G132" s="105" t="str">
        <f t="shared" si="4"/>
        <v/>
      </c>
      <c r="H132" s="106">
        <f t="shared" si="8"/>
        <v>3.5999999999999999E-3</v>
      </c>
      <c r="I132" s="107">
        <f t="shared" si="5"/>
        <v>0</v>
      </c>
      <c r="J132" s="107">
        <f t="shared" si="6"/>
        <v>0</v>
      </c>
      <c r="K132" s="107">
        <f t="shared" si="7"/>
        <v>0</v>
      </c>
    </row>
    <row r="133" spans="2:11" ht="20.100000000000001" customHeight="1">
      <c r="B133" s="123"/>
      <c r="C133" s="124"/>
      <c r="D133" s="125"/>
      <c r="E133" s="125"/>
      <c r="F133" s="116"/>
      <c r="G133" s="105" t="str">
        <f t="shared" si="4"/>
        <v/>
      </c>
      <c r="H133" s="106">
        <f t="shared" si="8"/>
        <v>3.5999999999999999E-3</v>
      </c>
      <c r="I133" s="107">
        <f t="shared" si="5"/>
        <v>0</v>
      </c>
      <c r="J133" s="107">
        <f t="shared" si="6"/>
        <v>0</v>
      </c>
      <c r="K133" s="107">
        <f t="shared" si="7"/>
        <v>0</v>
      </c>
    </row>
    <row r="134" spans="2:11" ht="20.100000000000001" customHeight="1">
      <c r="B134" s="123"/>
      <c r="C134" s="124"/>
      <c r="D134" s="125"/>
      <c r="E134" s="125"/>
      <c r="F134" s="116"/>
      <c r="G134" s="105" t="str">
        <f t="shared" si="4"/>
        <v/>
      </c>
      <c r="H134" s="106">
        <f t="shared" si="8"/>
        <v>3.5999999999999999E-3</v>
      </c>
      <c r="I134" s="107">
        <f t="shared" si="5"/>
        <v>0</v>
      </c>
      <c r="J134" s="107">
        <f t="shared" si="6"/>
        <v>0</v>
      </c>
      <c r="K134" s="107">
        <f t="shared" si="7"/>
        <v>0</v>
      </c>
    </row>
    <row r="135" spans="2:11" ht="20.100000000000001" customHeight="1">
      <c r="B135" s="123"/>
      <c r="C135" s="124"/>
      <c r="D135" s="125"/>
      <c r="E135" s="125"/>
      <c r="F135" s="116"/>
      <c r="G135" s="105" t="str">
        <f t="shared" si="4"/>
        <v/>
      </c>
      <c r="H135" s="106">
        <f t="shared" si="8"/>
        <v>3.5999999999999999E-3</v>
      </c>
      <c r="I135" s="107">
        <f t="shared" si="5"/>
        <v>0</v>
      </c>
      <c r="J135" s="107">
        <f t="shared" si="6"/>
        <v>0</v>
      </c>
      <c r="K135" s="107">
        <f t="shared" si="7"/>
        <v>0</v>
      </c>
    </row>
    <row r="136" spans="2:11" ht="20.100000000000001" customHeight="1">
      <c r="B136" s="123"/>
      <c r="C136" s="124"/>
      <c r="D136" s="125"/>
      <c r="E136" s="125"/>
      <c r="F136" s="116"/>
      <c r="G136" s="105" t="str">
        <f t="shared" si="4"/>
        <v/>
      </c>
      <c r="H136" s="106">
        <f t="shared" si="8"/>
        <v>3.5999999999999999E-3</v>
      </c>
      <c r="I136" s="107">
        <f t="shared" si="5"/>
        <v>0</v>
      </c>
      <c r="J136" s="107">
        <f t="shared" si="6"/>
        <v>0</v>
      </c>
      <c r="K136" s="107">
        <f t="shared" si="7"/>
        <v>0</v>
      </c>
    </row>
    <row r="137" spans="2:11" ht="20.100000000000001" customHeight="1">
      <c r="B137" s="123"/>
      <c r="C137" s="124"/>
      <c r="D137" s="125"/>
      <c r="E137" s="125"/>
      <c r="F137" s="116"/>
      <c r="G137" s="105" t="str">
        <f t="shared" si="4"/>
        <v/>
      </c>
      <c r="H137" s="106">
        <f t="shared" si="8"/>
        <v>3.5999999999999999E-3</v>
      </c>
      <c r="I137" s="107">
        <f t="shared" si="5"/>
        <v>0</v>
      </c>
      <c r="J137" s="107">
        <f t="shared" si="6"/>
        <v>0</v>
      </c>
      <c r="K137" s="107">
        <f t="shared" si="7"/>
        <v>0</v>
      </c>
    </row>
    <row r="138" spans="2:11" ht="20.100000000000001" customHeight="1">
      <c r="B138" s="123"/>
      <c r="C138" s="124"/>
      <c r="D138" s="125"/>
      <c r="E138" s="125"/>
      <c r="F138" s="116"/>
      <c r="G138" s="105" t="str">
        <f t="shared" si="4"/>
        <v/>
      </c>
      <c r="H138" s="106">
        <f t="shared" si="8"/>
        <v>3.5999999999999999E-3</v>
      </c>
      <c r="I138" s="107">
        <f t="shared" si="5"/>
        <v>0</v>
      </c>
      <c r="J138" s="107">
        <f t="shared" si="6"/>
        <v>0</v>
      </c>
      <c r="K138" s="107">
        <f t="shared" si="7"/>
        <v>0</v>
      </c>
    </row>
    <row r="139" spans="2:11" ht="20.100000000000001" customHeight="1">
      <c r="B139" s="123"/>
      <c r="C139" s="124"/>
      <c r="D139" s="125"/>
      <c r="E139" s="125"/>
      <c r="F139" s="116"/>
      <c r="G139" s="105" t="str">
        <f t="shared" si="4"/>
        <v/>
      </c>
      <c r="H139" s="106">
        <f t="shared" si="8"/>
        <v>3.5999999999999999E-3</v>
      </c>
      <c r="I139" s="107">
        <f t="shared" si="5"/>
        <v>0</v>
      </c>
      <c r="J139" s="107">
        <f t="shared" si="6"/>
        <v>0</v>
      </c>
      <c r="K139" s="107">
        <f t="shared" si="7"/>
        <v>0</v>
      </c>
    </row>
    <row r="140" spans="2:11" ht="20.100000000000001" customHeight="1">
      <c r="B140" s="123"/>
      <c r="C140" s="124"/>
      <c r="D140" s="125"/>
      <c r="E140" s="125"/>
      <c r="F140" s="116"/>
      <c r="G140" s="105" t="str">
        <f t="shared" si="4"/>
        <v/>
      </c>
      <c r="H140" s="106">
        <f t="shared" si="8"/>
        <v>3.5999999999999999E-3</v>
      </c>
      <c r="I140" s="107">
        <f t="shared" si="5"/>
        <v>0</v>
      </c>
      <c r="J140" s="107">
        <f t="shared" si="6"/>
        <v>0</v>
      </c>
      <c r="K140" s="107">
        <f t="shared" si="7"/>
        <v>0</v>
      </c>
    </row>
    <row r="141" spans="2:11" ht="20.100000000000001" customHeight="1">
      <c r="B141" s="123"/>
      <c r="C141" s="124"/>
      <c r="D141" s="125"/>
      <c r="E141" s="125"/>
      <c r="F141" s="116"/>
      <c r="G141" s="105" t="str">
        <f t="shared" si="4"/>
        <v/>
      </c>
      <c r="H141" s="106">
        <f t="shared" si="8"/>
        <v>3.5999999999999999E-3</v>
      </c>
      <c r="I141" s="107">
        <f t="shared" si="5"/>
        <v>0</v>
      </c>
      <c r="J141" s="107">
        <f t="shared" si="6"/>
        <v>0</v>
      </c>
      <c r="K141" s="107">
        <f t="shared" si="7"/>
        <v>0</v>
      </c>
    </row>
    <row r="142" spans="2:11" ht="20.100000000000001" customHeight="1">
      <c r="B142" s="123"/>
      <c r="C142" s="124"/>
      <c r="D142" s="125"/>
      <c r="E142" s="125"/>
      <c r="F142" s="116"/>
      <c r="G142" s="105" t="str">
        <f t="shared" si="4"/>
        <v/>
      </c>
      <c r="H142" s="106">
        <f t="shared" si="8"/>
        <v>3.5999999999999999E-3</v>
      </c>
      <c r="I142" s="107">
        <f t="shared" si="5"/>
        <v>0</v>
      </c>
      <c r="J142" s="107">
        <f t="shared" si="6"/>
        <v>0</v>
      </c>
      <c r="K142" s="107">
        <f t="shared" si="7"/>
        <v>0</v>
      </c>
    </row>
    <row r="143" spans="2:11" ht="20.100000000000001" customHeight="1">
      <c r="B143" s="123"/>
      <c r="C143" s="124"/>
      <c r="D143" s="125"/>
      <c r="E143" s="125"/>
      <c r="F143" s="116"/>
      <c r="G143" s="105" t="str">
        <f t="shared" si="4"/>
        <v/>
      </c>
      <c r="H143" s="106">
        <f t="shared" si="8"/>
        <v>3.5999999999999999E-3</v>
      </c>
      <c r="I143" s="107">
        <f t="shared" si="5"/>
        <v>0</v>
      </c>
      <c r="J143" s="107">
        <f t="shared" si="6"/>
        <v>0</v>
      </c>
      <c r="K143" s="107">
        <f t="shared" si="7"/>
        <v>0</v>
      </c>
    </row>
    <row r="144" spans="2:11" ht="20.100000000000001" customHeight="1">
      <c r="B144" s="123"/>
      <c r="C144" s="124"/>
      <c r="D144" s="125"/>
      <c r="E144" s="125"/>
      <c r="F144" s="116"/>
      <c r="G144" s="105" t="str">
        <f t="shared" si="4"/>
        <v/>
      </c>
      <c r="H144" s="106">
        <f t="shared" si="8"/>
        <v>3.5999999999999999E-3</v>
      </c>
      <c r="I144" s="107">
        <f t="shared" si="5"/>
        <v>0</v>
      </c>
      <c r="J144" s="107">
        <f t="shared" si="6"/>
        <v>0</v>
      </c>
      <c r="K144" s="107">
        <f t="shared" si="7"/>
        <v>0</v>
      </c>
    </row>
    <row r="145" spans="2:11" ht="20.100000000000001" customHeight="1">
      <c r="B145" s="123"/>
      <c r="C145" s="124"/>
      <c r="D145" s="125"/>
      <c r="E145" s="125"/>
      <c r="F145" s="116"/>
      <c r="G145" s="105" t="str">
        <f t="shared" si="4"/>
        <v/>
      </c>
      <c r="H145" s="106">
        <f t="shared" si="8"/>
        <v>3.5999999999999999E-3</v>
      </c>
      <c r="I145" s="107">
        <f t="shared" si="5"/>
        <v>0</v>
      </c>
      <c r="J145" s="107">
        <f t="shared" si="6"/>
        <v>0</v>
      </c>
      <c r="K145" s="107">
        <f t="shared" si="7"/>
        <v>0</v>
      </c>
    </row>
    <row r="146" spans="2:11" ht="20.100000000000001" customHeight="1">
      <c r="B146" s="123"/>
      <c r="C146" s="124"/>
      <c r="D146" s="125"/>
      <c r="E146" s="125"/>
      <c r="F146" s="116"/>
      <c r="G146" s="105" t="str">
        <f t="shared" si="4"/>
        <v/>
      </c>
      <c r="H146" s="106">
        <f t="shared" si="8"/>
        <v>3.5999999999999999E-3</v>
      </c>
      <c r="I146" s="107">
        <f t="shared" si="5"/>
        <v>0</v>
      </c>
      <c r="J146" s="107">
        <f t="shared" si="6"/>
        <v>0</v>
      </c>
      <c r="K146" s="107">
        <f t="shared" si="7"/>
        <v>0</v>
      </c>
    </row>
    <row r="147" spans="2:11" ht="20.100000000000001" customHeight="1">
      <c r="B147" s="123"/>
      <c r="C147" s="124"/>
      <c r="D147" s="125"/>
      <c r="E147" s="125"/>
      <c r="F147" s="116"/>
      <c r="G147" s="105" t="str">
        <f t="shared" si="4"/>
        <v/>
      </c>
      <c r="H147" s="106">
        <f t="shared" si="8"/>
        <v>3.5999999999999999E-3</v>
      </c>
      <c r="I147" s="107">
        <f t="shared" si="5"/>
        <v>0</v>
      </c>
      <c r="J147" s="107">
        <f t="shared" si="6"/>
        <v>0</v>
      </c>
      <c r="K147" s="107">
        <f t="shared" si="7"/>
        <v>0</v>
      </c>
    </row>
    <row r="148" spans="2:11" ht="20.100000000000001" customHeight="1">
      <c r="B148" s="123"/>
      <c r="C148" s="124"/>
      <c r="D148" s="125"/>
      <c r="E148" s="125"/>
      <c r="F148" s="116"/>
      <c r="G148" s="105" t="str">
        <f t="shared" si="4"/>
        <v/>
      </c>
      <c r="H148" s="106">
        <f t="shared" si="8"/>
        <v>3.5999999999999999E-3</v>
      </c>
      <c r="I148" s="107">
        <f t="shared" si="5"/>
        <v>0</v>
      </c>
      <c r="J148" s="107">
        <f t="shared" si="6"/>
        <v>0</v>
      </c>
      <c r="K148" s="107">
        <f t="shared" si="7"/>
        <v>0</v>
      </c>
    </row>
    <row r="149" spans="2:11" ht="20.100000000000001" customHeight="1">
      <c r="B149" s="123"/>
      <c r="C149" s="124"/>
      <c r="D149" s="125"/>
      <c r="E149" s="125"/>
      <c r="F149" s="116"/>
      <c r="G149" s="105" t="str">
        <f t="shared" si="4"/>
        <v/>
      </c>
      <c r="H149" s="106">
        <f t="shared" si="8"/>
        <v>3.5999999999999999E-3</v>
      </c>
      <c r="I149" s="107">
        <f t="shared" si="5"/>
        <v>0</v>
      </c>
      <c r="J149" s="107">
        <f t="shared" si="6"/>
        <v>0</v>
      </c>
      <c r="K149" s="107">
        <f t="shared" si="7"/>
        <v>0</v>
      </c>
    </row>
    <row r="150" spans="2:11" ht="20.100000000000001" customHeight="1">
      <c r="B150" s="123"/>
      <c r="C150" s="124"/>
      <c r="D150" s="125"/>
      <c r="E150" s="125"/>
      <c r="F150" s="116"/>
      <c r="G150" s="105" t="str">
        <f t="shared" si="4"/>
        <v/>
      </c>
      <c r="H150" s="106">
        <f t="shared" si="8"/>
        <v>3.5999999999999999E-3</v>
      </c>
      <c r="I150" s="107">
        <f t="shared" si="5"/>
        <v>0</v>
      </c>
      <c r="J150" s="107">
        <f t="shared" si="6"/>
        <v>0</v>
      </c>
      <c r="K150" s="107">
        <f t="shared" si="7"/>
        <v>0</v>
      </c>
    </row>
    <row r="151" spans="2:11" ht="20.100000000000001" customHeight="1">
      <c r="B151" s="123"/>
      <c r="C151" s="124"/>
      <c r="D151" s="125"/>
      <c r="E151" s="125"/>
      <c r="F151" s="116"/>
      <c r="G151" s="105" t="str">
        <f t="shared" si="4"/>
        <v/>
      </c>
      <c r="H151" s="106">
        <f t="shared" si="8"/>
        <v>3.5999999999999999E-3</v>
      </c>
      <c r="I151" s="107">
        <f t="shared" si="5"/>
        <v>0</v>
      </c>
      <c r="J151" s="107">
        <f t="shared" si="6"/>
        <v>0</v>
      </c>
      <c r="K151" s="107">
        <f t="shared" si="7"/>
        <v>0</v>
      </c>
    </row>
    <row r="152" spans="2:11" ht="20.100000000000001" customHeight="1" thickBot="1">
      <c r="B152" s="126"/>
      <c r="C152" s="127"/>
      <c r="D152" s="128"/>
      <c r="E152" s="128"/>
      <c r="F152" s="119"/>
      <c r="G152" s="105" t="str">
        <f t="shared" si="4"/>
        <v/>
      </c>
      <c r="H152" s="106">
        <f t="shared" si="8"/>
        <v>3.5999999999999999E-3</v>
      </c>
      <c r="I152" s="107">
        <f t="shared" si="5"/>
        <v>0</v>
      </c>
      <c r="J152" s="107">
        <f t="shared" si="6"/>
        <v>0</v>
      </c>
      <c r="K152" s="107">
        <f t="shared" si="7"/>
        <v>0</v>
      </c>
    </row>
    <row r="153" spans="2:11" ht="20.100000000000001" customHeight="1">
      <c r="D153" s="26"/>
      <c r="E153" s="26"/>
      <c r="F153" s="27"/>
      <c r="J153" s="11"/>
    </row>
    <row r="154" spans="2:11" ht="20.100000000000001" customHeight="1">
      <c r="B154" s="316" t="s">
        <v>1222</v>
      </c>
      <c r="C154" s="316"/>
      <c r="D154" s="316"/>
      <c r="E154" s="316"/>
      <c r="F154" s="316"/>
      <c r="G154" s="316"/>
      <c r="H154" s="316"/>
      <c r="I154" s="316"/>
      <c r="J154" s="316"/>
      <c r="K154" s="316"/>
    </row>
    <row r="155" spans="2:11" ht="20.100000000000001" customHeight="1" thickBot="1"/>
    <row r="156" spans="2:11" ht="20.100000000000001" customHeight="1">
      <c r="B156" s="78" t="s">
        <v>471</v>
      </c>
      <c r="C156" s="99" t="s">
        <v>1223</v>
      </c>
      <c r="E156" s="78" t="s">
        <v>475</v>
      </c>
      <c r="F156" s="563"/>
      <c r="G156" s="564"/>
      <c r="H156" s="564"/>
      <c r="I156" s="565"/>
    </row>
    <row r="157" spans="2:11" ht="20.100000000000001" customHeight="1">
      <c r="B157" s="78" t="s">
        <v>477</v>
      </c>
      <c r="C157" s="100" t="str">
        <f>'15C Building Details'!C102</f>
        <v>Scope 2</v>
      </c>
      <c r="E157" s="613" t="s">
        <v>479</v>
      </c>
      <c r="F157" s="622"/>
      <c r="G157" s="623"/>
      <c r="H157" s="623"/>
      <c r="I157" s="624"/>
    </row>
    <row r="158" spans="2:11" ht="20.100000000000001" customHeight="1" thickBot="1">
      <c r="B158" s="78" t="s">
        <v>483</v>
      </c>
      <c r="C158" s="194">
        <f>'15C Building Details'!C103</f>
        <v>0</v>
      </c>
      <c r="D158" s="317"/>
      <c r="E158" s="614"/>
      <c r="F158" s="566"/>
      <c r="G158" s="567"/>
      <c r="H158" s="567"/>
      <c r="I158" s="568"/>
    </row>
    <row r="159" spans="2:11" ht="20.100000000000001" customHeight="1">
      <c r="B159" s="78" t="s">
        <v>485</v>
      </c>
      <c r="C159" s="100" t="str">
        <f>'15C Building Details'!C104</f>
        <v>kWh</v>
      </c>
    </row>
    <row r="160" spans="2:11" ht="20.100000000000001" customHeight="1">
      <c r="B160" s="78" t="s">
        <v>487</v>
      </c>
      <c r="C160" s="99">
        <f>'15C Building Details'!C105</f>
        <v>3.5999999999999999E-3</v>
      </c>
      <c r="E160" s="11" t="s">
        <v>489</v>
      </c>
    </row>
    <row r="161" spans="2:11" ht="20.100000000000001" customHeight="1">
      <c r="G161" s="14"/>
      <c r="J161" s="11"/>
    </row>
    <row r="162" spans="2:11" ht="20.100000000000001" customHeight="1"/>
    <row r="163" spans="2:11" ht="40.200000000000003" customHeight="1" thickBot="1">
      <c r="B163" s="78" t="s">
        <v>491</v>
      </c>
      <c r="C163" s="78" t="s">
        <v>493</v>
      </c>
      <c r="D163" s="78" t="s">
        <v>495</v>
      </c>
      <c r="E163" s="78" t="s">
        <v>497</v>
      </c>
      <c r="F163" s="78" t="str">
        <f>"Billed Quantity ("&amp;C159&amp;")"</f>
        <v>Billed Quantity (kWh)</v>
      </c>
      <c r="G163" s="78" t="s">
        <v>501</v>
      </c>
      <c r="H163" s="78" t="s">
        <v>487</v>
      </c>
      <c r="I163" s="78" t="s">
        <v>1257</v>
      </c>
      <c r="J163" s="78" t="s">
        <v>1258</v>
      </c>
      <c r="K163" s="78" t="s">
        <v>1259</v>
      </c>
    </row>
    <row r="164" spans="2:11" ht="20.100000000000001" customHeight="1">
      <c r="B164" s="120"/>
      <c r="C164" s="121"/>
      <c r="D164" s="122"/>
      <c r="E164" s="122"/>
      <c r="F164" s="113"/>
      <c r="G164" s="105" t="str">
        <f t="shared" ref="G164:G199" si="9">IF(ISBLANK(D164),"",E164-D164+1)</f>
        <v/>
      </c>
      <c r="H164" s="106">
        <f>$C$160</f>
        <v>3.5999999999999999E-3</v>
      </c>
      <c r="I164" s="107">
        <f t="shared" ref="I164:I199" si="10">IF(F164&gt;0,F164*H164*IF(OR(D164&gt;$H$9,E164&lt;$H$8), 0, IF(D164&lt;$H$8,E164-$H$8,IF($H$9&lt;E164,E164-$H$9,G164)))/G164,0)</f>
        <v>0</v>
      </c>
      <c r="J164" s="107">
        <f t="shared" ref="J164:J199" si="11">IF(F164&gt;0,F164*H164*IF(OR(D164&gt;$I$9,E164&lt;$I$8), 0, IF(D164&lt;$I$8,E164-$I$8,IF($I$9&lt;E164,E164-$I$9,G164)))/G164,0)</f>
        <v>0</v>
      </c>
      <c r="K164" s="107">
        <f t="shared" ref="K164:K199" si="12">IF(F164&gt;0,F164*H164*IF(OR(D164&gt;$J$9,E164&lt;$J$8), 0, IF(D164&lt;$J$8,E164-$J$8,IF($J$9&lt;E164,E164-$J$9,G164)))/G164,0)</f>
        <v>0</v>
      </c>
    </row>
    <row r="165" spans="2:11" ht="20.100000000000001" customHeight="1">
      <c r="B165" s="123"/>
      <c r="C165" s="124"/>
      <c r="D165" s="125"/>
      <c r="E165" s="125"/>
      <c r="F165" s="116"/>
      <c r="G165" s="105" t="str">
        <f t="shared" si="9"/>
        <v/>
      </c>
      <c r="H165" s="106">
        <f t="shared" ref="H165:H199" si="13">$C$160</f>
        <v>3.5999999999999999E-3</v>
      </c>
      <c r="I165" s="107">
        <f t="shared" si="10"/>
        <v>0</v>
      </c>
      <c r="J165" s="107">
        <f t="shared" si="11"/>
        <v>0</v>
      </c>
      <c r="K165" s="107">
        <f t="shared" si="12"/>
        <v>0</v>
      </c>
    </row>
    <row r="166" spans="2:11" ht="20.100000000000001" customHeight="1">
      <c r="B166" s="123"/>
      <c r="C166" s="124"/>
      <c r="D166" s="125"/>
      <c r="E166" s="125"/>
      <c r="F166" s="116"/>
      <c r="G166" s="105" t="str">
        <f t="shared" si="9"/>
        <v/>
      </c>
      <c r="H166" s="106">
        <f t="shared" si="13"/>
        <v>3.5999999999999999E-3</v>
      </c>
      <c r="I166" s="107">
        <f t="shared" si="10"/>
        <v>0</v>
      </c>
      <c r="J166" s="107">
        <f t="shared" si="11"/>
        <v>0</v>
      </c>
      <c r="K166" s="107">
        <f t="shared" si="12"/>
        <v>0</v>
      </c>
    </row>
    <row r="167" spans="2:11" ht="20.100000000000001" customHeight="1">
      <c r="B167" s="123"/>
      <c r="C167" s="124"/>
      <c r="D167" s="125"/>
      <c r="E167" s="125"/>
      <c r="F167" s="116"/>
      <c r="G167" s="105" t="str">
        <f t="shared" si="9"/>
        <v/>
      </c>
      <c r="H167" s="106">
        <f t="shared" si="13"/>
        <v>3.5999999999999999E-3</v>
      </c>
      <c r="I167" s="107">
        <f t="shared" si="10"/>
        <v>0</v>
      </c>
      <c r="J167" s="107">
        <f t="shared" si="11"/>
        <v>0</v>
      </c>
      <c r="K167" s="107">
        <f t="shared" si="12"/>
        <v>0</v>
      </c>
    </row>
    <row r="168" spans="2:11" ht="20.100000000000001" customHeight="1">
      <c r="B168" s="123"/>
      <c r="C168" s="124"/>
      <c r="D168" s="125"/>
      <c r="E168" s="125"/>
      <c r="F168" s="116"/>
      <c r="G168" s="105" t="str">
        <f t="shared" si="9"/>
        <v/>
      </c>
      <c r="H168" s="106">
        <f t="shared" si="13"/>
        <v>3.5999999999999999E-3</v>
      </c>
      <c r="I168" s="107">
        <f t="shared" si="10"/>
        <v>0</v>
      </c>
      <c r="J168" s="107">
        <f t="shared" si="11"/>
        <v>0</v>
      </c>
      <c r="K168" s="107">
        <f t="shared" si="12"/>
        <v>0</v>
      </c>
    </row>
    <row r="169" spans="2:11" ht="20.100000000000001" customHeight="1">
      <c r="B169" s="123"/>
      <c r="C169" s="124"/>
      <c r="D169" s="125"/>
      <c r="E169" s="125"/>
      <c r="F169" s="116"/>
      <c r="G169" s="105" t="str">
        <f t="shared" si="9"/>
        <v/>
      </c>
      <c r="H169" s="106">
        <f t="shared" si="13"/>
        <v>3.5999999999999999E-3</v>
      </c>
      <c r="I169" s="107">
        <f t="shared" si="10"/>
        <v>0</v>
      </c>
      <c r="J169" s="107">
        <f t="shared" si="11"/>
        <v>0</v>
      </c>
      <c r="K169" s="107">
        <f t="shared" si="12"/>
        <v>0</v>
      </c>
    </row>
    <row r="170" spans="2:11" ht="20.100000000000001" customHeight="1">
      <c r="B170" s="123"/>
      <c r="C170" s="124"/>
      <c r="D170" s="125"/>
      <c r="E170" s="125"/>
      <c r="F170" s="116"/>
      <c r="G170" s="105" t="str">
        <f t="shared" si="9"/>
        <v/>
      </c>
      <c r="H170" s="106">
        <f t="shared" si="13"/>
        <v>3.5999999999999999E-3</v>
      </c>
      <c r="I170" s="107">
        <f t="shared" si="10"/>
        <v>0</v>
      </c>
      <c r="J170" s="107">
        <f t="shared" si="11"/>
        <v>0</v>
      </c>
      <c r="K170" s="107">
        <f t="shared" si="12"/>
        <v>0</v>
      </c>
    </row>
    <row r="171" spans="2:11" ht="20.100000000000001" customHeight="1">
      <c r="B171" s="123"/>
      <c r="C171" s="124"/>
      <c r="D171" s="125"/>
      <c r="E171" s="125"/>
      <c r="F171" s="116"/>
      <c r="G171" s="105" t="str">
        <f t="shared" si="9"/>
        <v/>
      </c>
      <c r="H171" s="106">
        <f t="shared" si="13"/>
        <v>3.5999999999999999E-3</v>
      </c>
      <c r="I171" s="107">
        <f t="shared" si="10"/>
        <v>0</v>
      </c>
      <c r="J171" s="107">
        <f t="shared" si="11"/>
        <v>0</v>
      </c>
      <c r="K171" s="107">
        <f t="shared" si="12"/>
        <v>0</v>
      </c>
    </row>
    <row r="172" spans="2:11" ht="20.100000000000001" customHeight="1">
      <c r="B172" s="123"/>
      <c r="C172" s="124"/>
      <c r="D172" s="125"/>
      <c r="E172" s="125"/>
      <c r="F172" s="116"/>
      <c r="G172" s="105" t="str">
        <f t="shared" si="9"/>
        <v/>
      </c>
      <c r="H172" s="106">
        <f t="shared" si="13"/>
        <v>3.5999999999999999E-3</v>
      </c>
      <c r="I172" s="107">
        <f t="shared" si="10"/>
        <v>0</v>
      </c>
      <c r="J172" s="107">
        <f t="shared" si="11"/>
        <v>0</v>
      </c>
      <c r="K172" s="107">
        <f t="shared" si="12"/>
        <v>0</v>
      </c>
    </row>
    <row r="173" spans="2:11" ht="20.100000000000001" customHeight="1">
      <c r="B173" s="123"/>
      <c r="C173" s="124"/>
      <c r="D173" s="125"/>
      <c r="E173" s="125"/>
      <c r="F173" s="116"/>
      <c r="G173" s="105" t="str">
        <f t="shared" si="9"/>
        <v/>
      </c>
      <c r="H173" s="106">
        <f t="shared" si="13"/>
        <v>3.5999999999999999E-3</v>
      </c>
      <c r="I173" s="107">
        <f t="shared" si="10"/>
        <v>0</v>
      </c>
      <c r="J173" s="107">
        <f t="shared" si="11"/>
        <v>0</v>
      </c>
      <c r="K173" s="107">
        <f t="shared" si="12"/>
        <v>0</v>
      </c>
    </row>
    <row r="174" spans="2:11" ht="20.100000000000001" customHeight="1">
      <c r="B174" s="123"/>
      <c r="C174" s="124"/>
      <c r="D174" s="125"/>
      <c r="E174" s="125"/>
      <c r="F174" s="116"/>
      <c r="G174" s="105" t="str">
        <f t="shared" si="9"/>
        <v/>
      </c>
      <c r="H174" s="106">
        <f t="shared" si="13"/>
        <v>3.5999999999999999E-3</v>
      </c>
      <c r="I174" s="107">
        <f t="shared" si="10"/>
        <v>0</v>
      </c>
      <c r="J174" s="107">
        <f t="shared" si="11"/>
        <v>0</v>
      </c>
      <c r="K174" s="107">
        <f t="shared" si="12"/>
        <v>0</v>
      </c>
    </row>
    <row r="175" spans="2:11" ht="20.100000000000001" customHeight="1">
      <c r="B175" s="123"/>
      <c r="C175" s="124"/>
      <c r="D175" s="125"/>
      <c r="E175" s="125"/>
      <c r="F175" s="116"/>
      <c r="G175" s="105" t="str">
        <f t="shared" si="9"/>
        <v/>
      </c>
      <c r="H175" s="106">
        <f t="shared" si="13"/>
        <v>3.5999999999999999E-3</v>
      </c>
      <c r="I175" s="107">
        <f t="shared" si="10"/>
        <v>0</v>
      </c>
      <c r="J175" s="107">
        <f t="shared" si="11"/>
        <v>0</v>
      </c>
      <c r="K175" s="107">
        <f t="shared" si="12"/>
        <v>0</v>
      </c>
    </row>
    <row r="176" spans="2:11" ht="20.100000000000001" customHeight="1">
      <c r="B176" s="123"/>
      <c r="C176" s="124"/>
      <c r="D176" s="125"/>
      <c r="E176" s="125"/>
      <c r="F176" s="116"/>
      <c r="G176" s="105" t="str">
        <f t="shared" si="9"/>
        <v/>
      </c>
      <c r="H176" s="106">
        <f t="shared" si="13"/>
        <v>3.5999999999999999E-3</v>
      </c>
      <c r="I176" s="107">
        <f t="shared" si="10"/>
        <v>0</v>
      </c>
      <c r="J176" s="107">
        <f t="shared" si="11"/>
        <v>0</v>
      </c>
      <c r="K176" s="107">
        <f t="shared" si="12"/>
        <v>0</v>
      </c>
    </row>
    <row r="177" spans="2:11" ht="20.100000000000001" customHeight="1">
      <c r="B177" s="123"/>
      <c r="C177" s="124"/>
      <c r="D177" s="125"/>
      <c r="E177" s="125"/>
      <c r="F177" s="116"/>
      <c r="G177" s="105" t="str">
        <f t="shared" si="9"/>
        <v/>
      </c>
      <c r="H177" s="106">
        <f t="shared" si="13"/>
        <v>3.5999999999999999E-3</v>
      </c>
      <c r="I177" s="107">
        <f t="shared" si="10"/>
        <v>0</v>
      </c>
      <c r="J177" s="107">
        <f t="shared" si="11"/>
        <v>0</v>
      </c>
      <c r="K177" s="107">
        <f t="shared" si="12"/>
        <v>0</v>
      </c>
    </row>
    <row r="178" spans="2:11" ht="20.100000000000001" customHeight="1">
      <c r="B178" s="123"/>
      <c r="C178" s="124"/>
      <c r="D178" s="125"/>
      <c r="E178" s="125"/>
      <c r="F178" s="116"/>
      <c r="G178" s="105" t="str">
        <f t="shared" si="9"/>
        <v/>
      </c>
      <c r="H178" s="106">
        <f t="shared" si="13"/>
        <v>3.5999999999999999E-3</v>
      </c>
      <c r="I178" s="107">
        <f t="shared" si="10"/>
        <v>0</v>
      </c>
      <c r="J178" s="107">
        <f t="shared" si="11"/>
        <v>0</v>
      </c>
      <c r="K178" s="107">
        <f t="shared" si="12"/>
        <v>0</v>
      </c>
    </row>
    <row r="179" spans="2:11" ht="20.100000000000001" customHeight="1">
      <c r="B179" s="123"/>
      <c r="C179" s="124"/>
      <c r="D179" s="125"/>
      <c r="E179" s="125"/>
      <c r="F179" s="116"/>
      <c r="G179" s="105" t="str">
        <f t="shared" si="9"/>
        <v/>
      </c>
      <c r="H179" s="106">
        <f t="shared" si="13"/>
        <v>3.5999999999999999E-3</v>
      </c>
      <c r="I179" s="107">
        <f t="shared" si="10"/>
        <v>0</v>
      </c>
      <c r="J179" s="107">
        <f t="shared" si="11"/>
        <v>0</v>
      </c>
      <c r="K179" s="107">
        <f t="shared" si="12"/>
        <v>0</v>
      </c>
    </row>
    <row r="180" spans="2:11" ht="20.100000000000001" customHeight="1">
      <c r="B180" s="123"/>
      <c r="C180" s="124"/>
      <c r="D180" s="125"/>
      <c r="E180" s="125"/>
      <c r="F180" s="116"/>
      <c r="G180" s="105" t="str">
        <f t="shared" si="9"/>
        <v/>
      </c>
      <c r="H180" s="106">
        <f t="shared" si="13"/>
        <v>3.5999999999999999E-3</v>
      </c>
      <c r="I180" s="107">
        <f t="shared" si="10"/>
        <v>0</v>
      </c>
      <c r="J180" s="107">
        <f t="shared" si="11"/>
        <v>0</v>
      </c>
      <c r="K180" s="107">
        <f t="shared" si="12"/>
        <v>0</v>
      </c>
    </row>
    <row r="181" spans="2:11" ht="20.100000000000001" customHeight="1">
      <c r="B181" s="123"/>
      <c r="C181" s="124"/>
      <c r="D181" s="125"/>
      <c r="E181" s="125"/>
      <c r="F181" s="116"/>
      <c r="G181" s="105" t="str">
        <f t="shared" si="9"/>
        <v/>
      </c>
      <c r="H181" s="106">
        <f t="shared" si="13"/>
        <v>3.5999999999999999E-3</v>
      </c>
      <c r="I181" s="107">
        <f t="shared" si="10"/>
        <v>0</v>
      </c>
      <c r="J181" s="107">
        <f t="shared" si="11"/>
        <v>0</v>
      </c>
      <c r="K181" s="107">
        <f t="shared" si="12"/>
        <v>0</v>
      </c>
    </row>
    <row r="182" spans="2:11" ht="20.100000000000001" customHeight="1">
      <c r="B182" s="123"/>
      <c r="C182" s="124"/>
      <c r="D182" s="125"/>
      <c r="E182" s="125"/>
      <c r="F182" s="116"/>
      <c r="G182" s="105" t="str">
        <f t="shared" si="9"/>
        <v/>
      </c>
      <c r="H182" s="106">
        <f t="shared" si="13"/>
        <v>3.5999999999999999E-3</v>
      </c>
      <c r="I182" s="107">
        <f t="shared" si="10"/>
        <v>0</v>
      </c>
      <c r="J182" s="107">
        <f t="shared" si="11"/>
        <v>0</v>
      </c>
      <c r="K182" s="107">
        <f t="shared" si="12"/>
        <v>0</v>
      </c>
    </row>
    <row r="183" spans="2:11" ht="20.100000000000001" customHeight="1">
      <c r="B183" s="123"/>
      <c r="C183" s="124"/>
      <c r="D183" s="125"/>
      <c r="E183" s="125"/>
      <c r="F183" s="116"/>
      <c r="G183" s="105" t="str">
        <f t="shared" si="9"/>
        <v/>
      </c>
      <c r="H183" s="106">
        <f t="shared" si="13"/>
        <v>3.5999999999999999E-3</v>
      </c>
      <c r="I183" s="107">
        <f t="shared" si="10"/>
        <v>0</v>
      </c>
      <c r="J183" s="107">
        <f t="shared" si="11"/>
        <v>0</v>
      </c>
      <c r="K183" s="107">
        <f t="shared" si="12"/>
        <v>0</v>
      </c>
    </row>
    <row r="184" spans="2:11" ht="20.100000000000001" customHeight="1">
      <c r="B184" s="123"/>
      <c r="C184" s="124"/>
      <c r="D184" s="125"/>
      <c r="E184" s="125"/>
      <c r="F184" s="116"/>
      <c r="G184" s="105" t="str">
        <f t="shared" si="9"/>
        <v/>
      </c>
      <c r="H184" s="106">
        <f t="shared" si="13"/>
        <v>3.5999999999999999E-3</v>
      </c>
      <c r="I184" s="107">
        <f t="shared" si="10"/>
        <v>0</v>
      </c>
      <c r="J184" s="107">
        <f t="shared" si="11"/>
        <v>0</v>
      </c>
      <c r="K184" s="107">
        <f t="shared" si="12"/>
        <v>0</v>
      </c>
    </row>
    <row r="185" spans="2:11" ht="20.100000000000001" customHeight="1">
      <c r="B185" s="123"/>
      <c r="C185" s="124"/>
      <c r="D185" s="125"/>
      <c r="E185" s="125"/>
      <c r="F185" s="116"/>
      <c r="G185" s="105" t="str">
        <f t="shared" si="9"/>
        <v/>
      </c>
      <c r="H185" s="106">
        <f t="shared" si="13"/>
        <v>3.5999999999999999E-3</v>
      </c>
      <c r="I185" s="107">
        <f t="shared" si="10"/>
        <v>0</v>
      </c>
      <c r="J185" s="107">
        <f t="shared" si="11"/>
        <v>0</v>
      </c>
      <c r="K185" s="107">
        <f t="shared" si="12"/>
        <v>0</v>
      </c>
    </row>
    <row r="186" spans="2:11" ht="20.100000000000001" customHeight="1">
      <c r="B186" s="123"/>
      <c r="C186" s="124"/>
      <c r="D186" s="125"/>
      <c r="E186" s="125"/>
      <c r="F186" s="116"/>
      <c r="G186" s="105" t="str">
        <f t="shared" si="9"/>
        <v/>
      </c>
      <c r="H186" s="106">
        <f t="shared" si="13"/>
        <v>3.5999999999999999E-3</v>
      </c>
      <c r="I186" s="107">
        <f t="shared" si="10"/>
        <v>0</v>
      </c>
      <c r="J186" s="107">
        <f t="shared" si="11"/>
        <v>0</v>
      </c>
      <c r="K186" s="107">
        <f t="shared" si="12"/>
        <v>0</v>
      </c>
    </row>
    <row r="187" spans="2:11" ht="20.100000000000001" customHeight="1">
      <c r="B187" s="123"/>
      <c r="C187" s="124"/>
      <c r="D187" s="125"/>
      <c r="E187" s="125"/>
      <c r="F187" s="116"/>
      <c r="G187" s="105" t="str">
        <f t="shared" si="9"/>
        <v/>
      </c>
      <c r="H187" s="106">
        <f t="shared" si="13"/>
        <v>3.5999999999999999E-3</v>
      </c>
      <c r="I187" s="107">
        <f t="shared" si="10"/>
        <v>0</v>
      </c>
      <c r="J187" s="107">
        <f t="shared" si="11"/>
        <v>0</v>
      </c>
      <c r="K187" s="107">
        <f t="shared" si="12"/>
        <v>0</v>
      </c>
    </row>
    <row r="188" spans="2:11" ht="20.100000000000001" customHeight="1">
      <c r="B188" s="123"/>
      <c r="C188" s="124"/>
      <c r="D188" s="125"/>
      <c r="E188" s="125"/>
      <c r="F188" s="116"/>
      <c r="G188" s="105" t="str">
        <f t="shared" si="9"/>
        <v/>
      </c>
      <c r="H188" s="106">
        <f t="shared" si="13"/>
        <v>3.5999999999999999E-3</v>
      </c>
      <c r="I188" s="107">
        <f t="shared" si="10"/>
        <v>0</v>
      </c>
      <c r="J188" s="107">
        <f t="shared" si="11"/>
        <v>0</v>
      </c>
      <c r="K188" s="107">
        <f t="shared" si="12"/>
        <v>0</v>
      </c>
    </row>
    <row r="189" spans="2:11" ht="20.100000000000001" customHeight="1">
      <c r="B189" s="123"/>
      <c r="C189" s="124"/>
      <c r="D189" s="125"/>
      <c r="E189" s="125"/>
      <c r="F189" s="116"/>
      <c r="G189" s="105" t="str">
        <f t="shared" si="9"/>
        <v/>
      </c>
      <c r="H189" s="106">
        <f t="shared" si="13"/>
        <v>3.5999999999999999E-3</v>
      </c>
      <c r="I189" s="107">
        <f t="shared" si="10"/>
        <v>0</v>
      </c>
      <c r="J189" s="107">
        <f t="shared" si="11"/>
        <v>0</v>
      </c>
      <c r="K189" s="107">
        <f t="shared" si="12"/>
        <v>0</v>
      </c>
    </row>
    <row r="190" spans="2:11" ht="20.100000000000001" customHeight="1">
      <c r="B190" s="123"/>
      <c r="C190" s="124"/>
      <c r="D190" s="125"/>
      <c r="E190" s="125"/>
      <c r="F190" s="116"/>
      <c r="G190" s="105" t="str">
        <f t="shared" si="9"/>
        <v/>
      </c>
      <c r="H190" s="106">
        <f t="shared" si="13"/>
        <v>3.5999999999999999E-3</v>
      </c>
      <c r="I190" s="107">
        <f t="shared" si="10"/>
        <v>0</v>
      </c>
      <c r="J190" s="107">
        <f t="shared" si="11"/>
        <v>0</v>
      </c>
      <c r="K190" s="107">
        <f t="shared" si="12"/>
        <v>0</v>
      </c>
    </row>
    <row r="191" spans="2:11" ht="20.100000000000001" customHeight="1">
      <c r="B191" s="123"/>
      <c r="C191" s="124"/>
      <c r="D191" s="125"/>
      <c r="E191" s="125"/>
      <c r="F191" s="116"/>
      <c r="G191" s="105" t="str">
        <f t="shared" si="9"/>
        <v/>
      </c>
      <c r="H191" s="106">
        <f t="shared" si="13"/>
        <v>3.5999999999999999E-3</v>
      </c>
      <c r="I191" s="107">
        <f t="shared" si="10"/>
        <v>0</v>
      </c>
      <c r="J191" s="107">
        <f t="shared" si="11"/>
        <v>0</v>
      </c>
      <c r="K191" s="107">
        <f t="shared" si="12"/>
        <v>0</v>
      </c>
    </row>
    <row r="192" spans="2:11" ht="20.100000000000001" customHeight="1">
      <c r="B192" s="123"/>
      <c r="C192" s="124"/>
      <c r="D192" s="125"/>
      <c r="E192" s="125"/>
      <c r="F192" s="116"/>
      <c r="G192" s="105" t="str">
        <f t="shared" si="9"/>
        <v/>
      </c>
      <c r="H192" s="106">
        <f t="shared" si="13"/>
        <v>3.5999999999999999E-3</v>
      </c>
      <c r="I192" s="107">
        <f t="shared" si="10"/>
        <v>0</v>
      </c>
      <c r="J192" s="107">
        <f t="shared" si="11"/>
        <v>0</v>
      </c>
      <c r="K192" s="107">
        <f t="shared" si="12"/>
        <v>0</v>
      </c>
    </row>
    <row r="193" spans="2:11" ht="20.100000000000001" customHeight="1">
      <c r="B193" s="123"/>
      <c r="C193" s="124"/>
      <c r="D193" s="125"/>
      <c r="E193" s="125"/>
      <c r="F193" s="116"/>
      <c r="G193" s="105" t="str">
        <f t="shared" si="9"/>
        <v/>
      </c>
      <c r="H193" s="106">
        <f t="shared" si="13"/>
        <v>3.5999999999999999E-3</v>
      </c>
      <c r="I193" s="107">
        <f t="shared" si="10"/>
        <v>0</v>
      </c>
      <c r="J193" s="107">
        <f t="shared" si="11"/>
        <v>0</v>
      </c>
      <c r="K193" s="107">
        <f t="shared" si="12"/>
        <v>0</v>
      </c>
    </row>
    <row r="194" spans="2:11" ht="20.100000000000001" customHeight="1">
      <c r="B194" s="123"/>
      <c r="C194" s="124"/>
      <c r="D194" s="125"/>
      <c r="E194" s="125"/>
      <c r="F194" s="116"/>
      <c r="G194" s="105" t="str">
        <f t="shared" si="9"/>
        <v/>
      </c>
      <c r="H194" s="106">
        <f t="shared" si="13"/>
        <v>3.5999999999999999E-3</v>
      </c>
      <c r="I194" s="107">
        <f t="shared" si="10"/>
        <v>0</v>
      </c>
      <c r="J194" s="107">
        <f t="shared" si="11"/>
        <v>0</v>
      </c>
      <c r="K194" s="107">
        <f t="shared" si="12"/>
        <v>0</v>
      </c>
    </row>
    <row r="195" spans="2:11" ht="20.100000000000001" customHeight="1">
      <c r="B195" s="123"/>
      <c r="C195" s="124"/>
      <c r="D195" s="125"/>
      <c r="E195" s="125"/>
      <c r="F195" s="116"/>
      <c r="G195" s="105" t="str">
        <f t="shared" si="9"/>
        <v/>
      </c>
      <c r="H195" s="106">
        <f t="shared" si="13"/>
        <v>3.5999999999999999E-3</v>
      </c>
      <c r="I195" s="107">
        <f t="shared" si="10"/>
        <v>0</v>
      </c>
      <c r="J195" s="107">
        <f t="shared" si="11"/>
        <v>0</v>
      </c>
      <c r="K195" s="107">
        <f t="shared" si="12"/>
        <v>0</v>
      </c>
    </row>
    <row r="196" spans="2:11" ht="20.100000000000001" customHeight="1">
      <c r="B196" s="123"/>
      <c r="C196" s="124"/>
      <c r="D196" s="125"/>
      <c r="E196" s="125"/>
      <c r="F196" s="116"/>
      <c r="G196" s="105" t="str">
        <f t="shared" si="9"/>
        <v/>
      </c>
      <c r="H196" s="106">
        <f t="shared" si="13"/>
        <v>3.5999999999999999E-3</v>
      </c>
      <c r="I196" s="107">
        <f t="shared" si="10"/>
        <v>0</v>
      </c>
      <c r="J196" s="107">
        <f t="shared" si="11"/>
        <v>0</v>
      </c>
      <c r="K196" s="107">
        <f t="shared" si="12"/>
        <v>0</v>
      </c>
    </row>
    <row r="197" spans="2:11" ht="20.100000000000001" customHeight="1">
      <c r="B197" s="123"/>
      <c r="C197" s="124"/>
      <c r="D197" s="125"/>
      <c r="E197" s="125"/>
      <c r="F197" s="116"/>
      <c r="G197" s="105" t="str">
        <f t="shared" si="9"/>
        <v/>
      </c>
      <c r="H197" s="106">
        <f t="shared" si="13"/>
        <v>3.5999999999999999E-3</v>
      </c>
      <c r="I197" s="107">
        <f t="shared" si="10"/>
        <v>0</v>
      </c>
      <c r="J197" s="107">
        <f t="shared" si="11"/>
        <v>0</v>
      </c>
      <c r="K197" s="107">
        <f t="shared" si="12"/>
        <v>0</v>
      </c>
    </row>
    <row r="198" spans="2:11" ht="20.100000000000001" customHeight="1">
      <c r="B198" s="123"/>
      <c r="C198" s="124"/>
      <c r="D198" s="125"/>
      <c r="E198" s="125"/>
      <c r="F198" s="116"/>
      <c r="G198" s="105" t="str">
        <f t="shared" si="9"/>
        <v/>
      </c>
      <c r="H198" s="106">
        <f t="shared" si="13"/>
        <v>3.5999999999999999E-3</v>
      </c>
      <c r="I198" s="107">
        <f t="shared" si="10"/>
        <v>0</v>
      </c>
      <c r="J198" s="107">
        <f t="shared" si="11"/>
        <v>0</v>
      </c>
      <c r="K198" s="107">
        <f t="shared" si="12"/>
        <v>0</v>
      </c>
    </row>
    <row r="199" spans="2:11" ht="20.100000000000001" customHeight="1" thickBot="1">
      <c r="B199" s="126"/>
      <c r="C199" s="127"/>
      <c r="D199" s="128"/>
      <c r="E199" s="128"/>
      <c r="F199" s="119"/>
      <c r="G199" s="105" t="str">
        <f t="shared" si="9"/>
        <v/>
      </c>
      <c r="H199" s="106">
        <f t="shared" si="13"/>
        <v>3.5999999999999999E-3</v>
      </c>
      <c r="I199" s="107">
        <f t="shared" si="10"/>
        <v>0</v>
      </c>
      <c r="J199" s="107">
        <f t="shared" si="11"/>
        <v>0</v>
      </c>
      <c r="K199" s="107">
        <f t="shared" si="12"/>
        <v>0</v>
      </c>
    </row>
    <row r="200" spans="2:11" ht="20.100000000000001" customHeight="1">
      <c r="D200" s="26"/>
      <c r="E200" s="26"/>
      <c r="F200" s="27"/>
      <c r="J200" s="11"/>
    </row>
    <row r="201" spans="2:11" ht="20.100000000000001" customHeight="1">
      <c r="B201" s="316" t="s">
        <v>1224</v>
      </c>
      <c r="C201" s="316"/>
      <c r="D201" s="316"/>
      <c r="E201" s="316"/>
      <c r="F201" s="316"/>
      <c r="G201" s="316"/>
      <c r="H201" s="316"/>
      <c r="I201" s="316"/>
      <c r="J201" s="316"/>
      <c r="K201" s="316"/>
    </row>
    <row r="202" spans="2:11" ht="20.100000000000001" customHeight="1" thickBot="1"/>
    <row r="203" spans="2:11" ht="20.100000000000001" customHeight="1">
      <c r="B203" s="78" t="s">
        <v>471</v>
      </c>
      <c r="C203" s="99" t="s">
        <v>1225</v>
      </c>
      <c r="E203" s="78" t="s">
        <v>475</v>
      </c>
      <c r="F203" s="563"/>
      <c r="G203" s="564"/>
      <c r="H203" s="564"/>
      <c r="I203" s="565"/>
    </row>
    <row r="204" spans="2:11" ht="20.100000000000001" customHeight="1">
      <c r="B204" s="78" t="s">
        <v>477</v>
      </c>
      <c r="C204" s="99" t="str">
        <f>IF(C203="Electricity",VLOOKUP($C$12,'NGER Emission Factors old'!$A$23:$J$34,2,FALSE),IF(C203="GreenPower",VLOOKUP(C203,'NGER Emission Factors old'!$A$23:$J$35,2,FALSE),VLOOKUP(C203,'NGER Emission Factors old'!$A$5:$J$18,2,FALSE)))</f>
        <v>Scope 1</v>
      </c>
      <c r="E204" s="613" t="s">
        <v>479</v>
      </c>
      <c r="F204" s="622"/>
      <c r="G204" s="623"/>
      <c r="H204" s="623"/>
      <c r="I204" s="624"/>
    </row>
    <row r="205" spans="2:11" ht="20.100000000000001" customHeight="1" thickBot="1">
      <c r="B205" s="78" t="s">
        <v>483</v>
      </c>
      <c r="C205" s="194" t="b">
        <f>'15C Building Details'!C126</f>
        <v>0</v>
      </c>
      <c r="D205" s="317"/>
      <c r="E205" s="614"/>
      <c r="F205" s="566"/>
      <c r="G205" s="567"/>
      <c r="H205" s="567"/>
      <c r="I205" s="568"/>
    </row>
    <row r="206" spans="2:11" ht="20.100000000000001" customHeight="1">
      <c r="B206" s="78" t="s">
        <v>485</v>
      </c>
      <c r="C206" s="194" t="str">
        <f>'15C Building Details'!C127</f>
        <v>MJ</v>
      </c>
    </row>
    <row r="207" spans="2:11" ht="20.100000000000001" customHeight="1">
      <c r="B207" s="78" t="s">
        <v>487</v>
      </c>
      <c r="C207" s="195">
        <f>'15C Building Details'!C128</f>
        <v>1E-3</v>
      </c>
      <c r="E207" s="11" t="s">
        <v>489</v>
      </c>
    </row>
    <row r="208" spans="2:11" ht="20.100000000000001" customHeight="1"/>
    <row r="209" spans="2:11" ht="20.100000000000001" customHeight="1"/>
    <row r="210" spans="2:11" ht="40.200000000000003" customHeight="1" thickBot="1">
      <c r="B210" s="78" t="s">
        <v>491</v>
      </c>
      <c r="C210" s="78" t="s">
        <v>493</v>
      </c>
      <c r="D210" s="78" t="s">
        <v>495</v>
      </c>
      <c r="E210" s="78" t="s">
        <v>497</v>
      </c>
      <c r="F210" s="78" t="str">
        <f>"Billed Quantity ("&amp;C206&amp;")"</f>
        <v>Billed Quantity (MJ)</v>
      </c>
      <c r="G210" s="78" t="s">
        <v>501</v>
      </c>
      <c r="H210" s="78" t="s">
        <v>487</v>
      </c>
      <c r="I210" s="78" t="s">
        <v>1257</v>
      </c>
      <c r="J210" s="78" t="s">
        <v>1258</v>
      </c>
      <c r="K210" s="78" t="s">
        <v>1259</v>
      </c>
    </row>
    <row r="211" spans="2:11" ht="20.100000000000001" customHeight="1">
      <c r="B211" s="120"/>
      <c r="C211" s="121"/>
      <c r="D211" s="122"/>
      <c r="E211" s="122"/>
      <c r="F211" s="113"/>
      <c r="G211" s="107" t="str">
        <f t="shared" ref="G211:G246" si="14">IF(ISBLANK(D211),"",E211-D211+1)</f>
        <v/>
      </c>
      <c r="H211" s="106">
        <f>$C$207</f>
        <v>1E-3</v>
      </c>
      <c r="I211" s="107">
        <f t="shared" ref="I211:I246" si="15">IF(F211&gt;0,F211*H211*IF(OR(D211&gt;$H$9,E211&lt;$H$8), 0, IF(D211&lt;$H$8,E211-$H$8,IF($H$9&lt;E211,E211-$H$9,G211)))/G211,0)</f>
        <v>0</v>
      </c>
      <c r="J211" s="107">
        <f t="shared" ref="J211:J246" si="16">IF(F211&gt;0,F211*H211*IF(OR(D211&gt;$I$9,E211&lt;$I$8), 0, IF(D211&lt;$I$8,E211-$I$8,IF($I$9&lt;E211,E211-$I$9,G211)))/G211,0)</f>
        <v>0</v>
      </c>
      <c r="K211" s="107">
        <f t="shared" ref="K211:K246" si="17">IF(F211&gt;0,F211*H211*IF(OR(D211&gt;$J$9,E211&lt;$J$8), 0, IF(D211&lt;$J$8,E211-$J$8,IF($J$9&lt;E211,E211-$J$9,G211)))/G211,0)</f>
        <v>0</v>
      </c>
    </row>
    <row r="212" spans="2:11" ht="20.100000000000001" customHeight="1">
      <c r="B212" s="123"/>
      <c r="C212" s="124"/>
      <c r="D212" s="125"/>
      <c r="E212" s="125"/>
      <c r="F212" s="116"/>
      <c r="G212" s="107" t="str">
        <f t="shared" si="14"/>
        <v/>
      </c>
      <c r="H212" s="106">
        <f t="shared" ref="H212:H246" si="18">$C$207</f>
        <v>1E-3</v>
      </c>
      <c r="I212" s="107">
        <f t="shared" si="15"/>
        <v>0</v>
      </c>
      <c r="J212" s="107">
        <f t="shared" si="16"/>
        <v>0</v>
      </c>
      <c r="K212" s="107">
        <f t="shared" si="17"/>
        <v>0</v>
      </c>
    </row>
    <row r="213" spans="2:11" ht="20.100000000000001" customHeight="1">
      <c r="B213" s="123"/>
      <c r="C213" s="124"/>
      <c r="D213" s="125"/>
      <c r="E213" s="125"/>
      <c r="F213" s="116"/>
      <c r="G213" s="107" t="str">
        <f t="shared" si="14"/>
        <v/>
      </c>
      <c r="H213" s="106">
        <f t="shared" si="18"/>
        <v>1E-3</v>
      </c>
      <c r="I213" s="107">
        <f t="shared" si="15"/>
        <v>0</v>
      </c>
      <c r="J213" s="107">
        <f t="shared" si="16"/>
        <v>0</v>
      </c>
      <c r="K213" s="107">
        <f t="shared" si="17"/>
        <v>0</v>
      </c>
    </row>
    <row r="214" spans="2:11" ht="20.100000000000001" customHeight="1">
      <c r="B214" s="123"/>
      <c r="C214" s="124"/>
      <c r="D214" s="125"/>
      <c r="E214" s="125"/>
      <c r="F214" s="116"/>
      <c r="G214" s="107" t="str">
        <f t="shared" si="14"/>
        <v/>
      </c>
      <c r="H214" s="106">
        <f t="shared" si="18"/>
        <v>1E-3</v>
      </c>
      <c r="I214" s="107">
        <f t="shared" si="15"/>
        <v>0</v>
      </c>
      <c r="J214" s="107">
        <f t="shared" si="16"/>
        <v>0</v>
      </c>
      <c r="K214" s="107">
        <f t="shared" si="17"/>
        <v>0</v>
      </c>
    </row>
    <row r="215" spans="2:11" ht="20.100000000000001" customHeight="1">
      <c r="B215" s="123"/>
      <c r="C215" s="124"/>
      <c r="D215" s="125"/>
      <c r="E215" s="125"/>
      <c r="F215" s="116"/>
      <c r="G215" s="107" t="str">
        <f t="shared" si="14"/>
        <v/>
      </c>
      <c r="H215" s="106">
        <f t="shared" si="18"/>
        <v>1E-3</v>
      </c>
      <c r="I215" s="107">
        <f t="shared" si="15"/>
        <v>0</v>
      </c>
      <c r="J215" s="107">
        <f t="shared" si="16"/>
        <v>0</v>
      </c>
      <c r="K215" s="107">
        <f t="shared" si="17"/>
        <v>0</v>
      </c>
    </row>
    <row r="216" spans="2:11" ht="20.100000000000001" customHeight="1">
      <c r="B216" s="123"/>
      <c r="C216" s="124"/>
      <c r="D216" s="125"/>
      <c r="E216" s="125"/>
      <c r="F216" s="116"/>
      <c r="G216" s="107" t="str">
        <f t="shared" si="14"/>
        <v/>
      </c>
      <c r="H216" s="106">
        <f t="shared" si="18"/>
        <v>1E-3</v>
      </c>
      <c r="I216" s="107">
        <f t="shared" si="15"/>
        <v>0</v>
      </c>
      <c r="J216" s="107">
        <f t="shared" si="16"/>
        <v>0</v>
      </c>
      <c r="K216" s="107">
        <f t="shared" si="17"/>
        <v>0</v>
      </c>
    </row>
    <row r="217" spans="2:11" ht="20.100000000000001" customHeight="1">
      <c r="B217" s="123"/>
      <c r="C217" s="124"/>
      <c r="D217" s="125"/>
      <c r="E217" s="125"/>
      <c r="F217" s="116"/>
      <c r="G217" s="107" t="str">
        <f t="shared" si="14"/>
        <v/>
      </c>
      <c r="H217" s="106">
        <f t="shared" si="18"/>
        <v>1E-3</v>
      </c>
      <c r="I217" s="107">
        <f t="shared" si="15"/>
        <v>0</v>
      </c>
      <c r="J217" s="107">
        <f t="shared" si="16"/>
        <v>0</v>
      </c>
      <c r="K217" s="107">
        <f t="shared" si="17"/>
        <v>0</v>
      </c>
    </row>
    <row r="218" spans="2:11" ht="20.100000000000001" customHeight="1">
      <c r="B218" s="123"/>
      <c r="C218" s="124"/>
      <c r="D218" s="125"/>
      <c r="E218" s="125"/>
      <c r="F218" s="116"/>
      <c r="G218" s="107" t="str">
        <f t="shared" si="14"/>
        <v/>
      </c>
      <c r="H218" s="106">
        <f t="shared" si="18"/>
        <v>1E-3</v>
      </c>
      <c r="I218" s="107">
        <f t="shared" si="15"/>
        <v>0</v>
      </c>
      <c r="J218" s="107">
        <f t="shared" si="16"/>
        <v>0</v>
      </c>
      <c r="K218" s="107">
        <f t="shared" si="17"/>
        <v>0</v>
      </c>
    </row>
    <row r="219" spans="2:11" ht="20.100000000000001" customHeight="1">
      <c r="B219" s="123"/>
      <c r="C219" s="124"/>
      <c r="D219" s="125"/>
      <c r="E219" s="125"/>
      <c r="F219" s="116"/>
      <c r="G219" s="107" t="str">
        <f t="shared" si="14"/>
        <v/>
      </c>
      <c r="H219" s="106">
        <f t="shared" si="18"/>
        <v>1E-3</v>
      </c>
      <c r="I219" s="107">
        <f t="shared" si="15"/>
        <v>0</v>
      </c>
      <c r="J219" s="107">
        <f t="shared" si="16"/>
        <v>0</v>
      </c>
      <c r="K219" s="107">
        <f t="shared" si="17"/>
        <v>0</v>
      </c>
    </row>
    <row r="220" spans="2:11" ht="20.100000000000001" customHeight="1">
      <c r="B220" s="123"/>
      <c r="C220" s="124"/>
      <c r="D220" s="125"/>
      <c r="E220" s="125"/>
      <c r="F220" s="116"/>
      <c r="G220" s="107" t="str">
        <f t="shared" si="14"/>
        <v/>
      </c>
      <c r="H220" s="106">
        <f t="shared" si="18"/>
        <v>1E-3</v>
      </c>
      <c r="I220" s="107">
        <f t="shared" si="15"/>
        <v>0</v>
      </c>
      <c r="J220" s="107">
        <f t="shared" si="16"/>
        <v>0</v>
      </c>
      <c r="K220" s="107">
        <f t="shared" si="17"/>
        <v>0</v>
      </c>
    </row>
    <row r="221" spans="2:11" ht="20.100000000000001" customHeight="1">
      <c r="B221" s="123"/>
      <c r="C221" s="124"/>
      <c r="D221" s="125"/>
      <c r="E221" s="125"/>
      <c r="F221" s="116"/>
      <c r="G221" s="107" t="str">
        <f t="shared" si="14"/>
        <v/>
      </c>
      <c r="H221" s="106">
        <f t="shared" si="18"/>
        <v>1E-3</v>
      </c>
      <c r="I221" s="107">
        <f t="shared" si="15"/>
        <v>0</v>
      </c>
      <c r="J221" s="107">
        <f t="shared" si="16"/>
        <v>0</v>
      </c>
      <c r="K221" s="107">
        <f t="shared" si="17"/>
        <v>0</v>
      </c>
    </row>
    <row r="222" spans="2:11" ht="20.100000000000001" customHeight="1">
      <c r="B222" s="123"/>
      <c r="C222" s="124"/>
      <c r="D222" s="125"/>
      <c r="E222" s="125"/>
      <c r="F222" s="116"/>
      <c r="G222" s="107" t="str">
        <f t="shared" si="14"/>
        <v/>
      </c>
      <c r="H222" s="106">
        <f t="shared" si="18"/>
        <v>1E-3</v>
      </c>
      <c r="I222" s="107">
        <f t="shared" si="15"/>
        <v>0</v>
      </c>
      <c r="J222" s="107">
        <f t="shared" si="16"/>
        <v>0</v>
      </c>
      <c r="K222" s="107">
        <f t="shared" si="17"/>
        <v>0</v>
      </c>
    </row>
    <row r="223" spans="2:11" ht="20.100000000000001" customHeight="1">
      <c r="B223" s="123"/>
      <c r="C223" s="124"/>
      <c r="D223" s="125"/>
      <c r="E223" s="125"/>
      <c r="F223" s="116"/>
      <c r="G223" s="107" t="str">
        <f t="shared" si="14"/>
        <v/>
      </c>
      <c r="H223" s="106">
        <f t="shared" si="18"/>
        <v>1E-3</v>
      </c>
      <c r="I223" s="107">
        <f t="shared" si="15"/>
        <v>0</v>
      </c>
      <c r="J223" s="107">
        <f t="shared" si="16"/>
        <v>0</v>
      </c>
      <c r="K223" s="107">
        <f t="shared" si="17"/>
        <v>0</v>
      </c>
    </row>
    <row r="224" spans="2:11" ht="20.100000000000001" customHeight="1">
      <c r="B224" s="123"/>
      <c r="C224" s="124"/>
      <c r="D224" s="125"/>
      <c r="E224" s="125"/>
      <c r="F224" s="116"/>
      <c r="G224" s="107" t="str">
        <f t="shared" si="14"/>
        <v/>
      </c>
      <c r="H224" s="106">
        <f t="shared" si="18"/>
        <v>1E-3</v>
      </c>
      <c r="I224" s="107">
        <f t="shared" si="15"/>
        <v>0</v>
      </c>
      <c r="J224" s="107">
        <f t="shared" si="16"/>
        <v>0</v>
      </c>
      <c r="K224" s="107">
        <f t="shared" si="17"/>
        <v>0</v>
      </c>
    </row>
    <row r="225" spans="2:11" ht="20.100000000000001" customHeight="1">
      <c r="B225" s="123"/>
      <c r="C225" s="124"/>
      <c r="D225" s="125"/>
      <c r="E225" s="125"/>
      <c r="F225" s="116"/>
      <c r="G225" s="107" t="str">
        <f t="shared" si="14"/>
        <v/>
      </c>
      <c r="H225" s="106">
        <f t="shared" si="18"/>
        <v>1E-3</v>
      </c>
      <c r="I225" s="107">
        <f t="shared" si="15"/>
        <v>0</v>
      </c>
      <c r="J225" s="107">
        <f t="shared" si="16"/>
        <v>0</v>
      </c>
      <c r="K225" s="107">
        <f t="shared" si="17"/>
        <v>0</v>
      </c>
    </row>
    <row r="226" spans="2:11" ht="20.100000000000001" customHeight="1">
      <c r="B226" s="123"/>
      <c r="C226" s="124"/>
      <c r="D226" s="125"/>
      <c r="E226" s="125"/>
      <c r="F226" s="116"/>
      <c r="G226" s="107" t="str">
        <f t="shared" si="14"/>
        <v/>
      </c>
      <c r="H226" s="106">
        <f t="shared" si="18"/>
        <v>1E-3</v>
      </c>
      <c r="I226" s="107">
        <f t="shared" si="15"/>
        <v>0</v>
      </c>
      <c r="J226" s="107">
        <f t="shared" si="16"/>
        <v>0</v>
      </c>
      <c r="K226" s="107">
        <f t="shared" si="17"/>
        <v>0</v>
      </c>
    </row>
    <row r="227" spans="2:11" ht="20.100000000000001" customHeight="1">
      <c r="B227" s="123"/>
      <c r="C227" s="124"/>
      <c r="D227" s="125"/>
      <c r="E227" s="125"/>
      <c r="F227" s="116"/>
      <c r="G227" s="107" t="str">
        <f t="shared" si="14"/>
        <v/>
      </c>
      <c r="H227" s="106">
        <f t="shared" si="18"/>
        <v>1E-3</v>
      </c>
      <c r="I227" s="107">
        <f t="shared" si="15"/>
        <v>0</v>
      </c>
      <c r="J227" s="107">
        <f t="shared" si="16"/>
        <v>0</v>
      </c>
      <c r="K227" s="107">
        <f t="shared" si="17"/>
        <v>0</v>
      </c>
    </row>
    <row r="228" spans="2:11" ht="20.100000000000001" customHeight="1">
      <c r="B228" s="123"/>
      <c r="C228" s="124"/>
      <c r="D228" s="125"/>
      <c r="E228" s="125"/>
      <c r="F228" s="116"/>
      <c r="G228" s="107" t="str">
        <f t="shared" si="14"/>
        <v/>
      </c>
      <c r="H228" s="106">
        <f t="shared" si="18"/>
        <v>1E-3</v>
      </c>
      <c r="I228" s="107">
        <f t="shared" si="15"/>
        <v>0</v>
      </c>
      <c r="J228" s="107">
        <f t="shared" si="16"/>
        <v>0</v>
      </c>
      <c r="K228" s="107">
        <f t="shared" si="17"/>
        <v>0</v>
      </c>
    </row>
    <row r="229" spans="2:11" ht="20.100000000000001" customHeight="1">
      <c r="B229" s="123"/>
      <c r="C229" s="124"/>
      <c r="D229" s="125"/>
      <c r="E229" s="125"/>
      <c r="F229" s="116"/>
      <c r="G229" s="107" t="str">
        <f t="shared" si="14"/>
        <v/>
      </c>
      <c r="H229" s="106">
        <f t="shared" si="18"/>
        <v>1E-3</v>
      </c>
      <c r="I229" s="107">
        <f t="shared" si="15"/>
        <v>0</v>
      </c>
      <c r="J229" s="107">
        <f t="shared" si="16"/>
        <v>0</v>
      </c>
      <c r="K229" s="107">
        <f t="shared" si="17"/>
        <v>0</v>
      </c>
    </row>
    <row r="230" spans="2:11" ht="20.100000000000001" customHeight="1">
      <c r="B230" s="123"/>
      <c r="C230" s="124"/>
      <c r="D230" s="125"/>
      <c r="E230" s="125"/>
      <c r="F230" s="116"/>
      <c r="G230" s="107" t="str">
        <f t="shared" si="14"/>
        <v/>
      </c>
      <c r="H230" s="106">
        <f t="shared" si="18"/>
        <v>1E-3</v>
      </c>
      <c r="I230" s="107">
        <f t="shared" si="15"/>
        <v>0</v>
      </c>
      <c r="J230" s="107">
        <f t="shared" si="16"/>
        <v>0</v>
      </c>
      <c r="K230" s="107">
        <f t="shared" si="17"/>
        <v>0</v>
      </c>
    </row>
    <row r="231" spans="2:11" ht="20.100000000000001" customHeight="1">
      <c r="B231" s="123"/>
      <c r="C231" s="124"/>
      <c r="D231" s="125"/>
      <c r="E231" s="125"/>
      <c r="F231" s="116"/>
      <c r="G231" s="107" t="str">
        <f t="shared" si="14"/>
        <v/>
      </c>
      <c r="H231" s="106">
        <f t="shared" si="18"/>
        <v>1E-3</v>
      </c>
      <c r="I231" s="107">
        <f t="shared" si="15"/>
        <v>0</v>
      </c>
      <c r="J231" s="107">
        <f t="shared" si="16"/>
        <v>0</v>
      </c>
      <c r="K231" s="107">
        <f t="shared" si="17"/>
        <v>0</v>
      </c>
    </row>
    <row r="232" spans="2:11" ht="20.100000000000001" customHeight="1">
      <c r="B232" s="123"/>
      <c r="C232" s="124"/>
      <c r="D232" s="125"/>
      <c r="E232" s="125"/>
      <c r="F232" s="116"/>
      <c r="G232" s="107" t="str">
        <f t="shared" si="14"/>
        <v/>
      </c>
      <c r="H232" s="106">
        <f t="shared" si="18"/>
        <v>1E-3</v>
      </c>
      <c r="I232" s="107">
        <f t="shared" si="15"/>
        <v>0</v>
      </c>
      <c r="J232" s="107">
        <f t="shared" si="16"/>
        <v>0</v>
      </c>
      <c r="K232" s="107">
        <f t="shared" si="17"/>
        <v>0</v>
      </c>
    </row>
    <row r="233" spans="2:11" ht="20.100000000000001" customHeight="1">
      <c r="B233" s="123"/>
      <c r="C233" s="124"/>
      <c r="D233" s="125"/>
      <c r="E233" s="125"/>
      <c r="F233" s="116"/>
      <c r="G233" s="107" t="str">
        <f t="shared" si="14"/>
        <v/>
      </c>
      <c r="H233" s="106">
        <f t="shared" si="18"/>
        <v>1E-3</v>
      </c>
      <c r="I233" s="107">
        <f t="shared" si="15"/>
        <v>0</v>
      </c>
      <c r="J233" s="107">
        <f t="shared" si="16"/>
        <v>0</v>
      </c>
      <c r="K233" s="107">
        <f t="shared" si="17"/>
        <v>0</v>
      </c>
    </row>
    <row r="234" spans="2:11" ht="20.100000000000001" customHeight="1">
      <c r="B234" s="123"/>
      <c r="C234" s="124"/>
      <c r="D234" s="125"/>
      <c r="E234" s="125"/>
      <c r="F234" s="116"/>
      <c r="G234" s="107" t="str">
        <f t="shared" si="14"/>
        <v/>
      </c>
      <c r="H234" s="106">
        <f t="shared" si="18"/>
        <v>1E-3</v>
      </c>
      <c r="I234" s="107">
        <f t="shared" si="15"/>
        <v>0</v>
      </c>
      <c r="J234" s="107">
        <f t="shared" si="16"/>
        <v>0</v>
      </c>
      <c r="K234" s="107">
        <f t="shared" si="17"/>
        <v>0</v>
      </c>
    </row>
    <row r="235" spans="2:11" ht="20.100000000000001" customHeight="1">
      <c r="B235" s="123"/>
      <c r="C235" s="124"/>
      <c r="D235" s="125"/>
      <c r="E235" s="125"/>
      <c r="F235" s="116"/>
      <c r="G235" s="107" t="str">
        <f t="shared" si="14"/>
        <v/>
      </c>
      <c r="H235" s="106">
        <f t="shared" si="18"/>
        <v>1E-3</v>
      </c>
      <c r="I235" s="107">
        <f t="shared" si="15"/>
        <v>0</v>
      </c>
      <c r="J235" s="107">
        <f t="shared" si="16"/>
        <v>0</v>
      </c>
      <c r="K235" s="107">
        <f t="shared" si="17"/>
        <v>0</v>
      </c>
    </row>
    <row r="236" spans="2:11" ht="20.100000000000001" customHeight="1">
      <c r="B236" s="123"/>
      <c r="C236" s="124"/>
      <c r="D236" s="125"/>
      <c r="E236" s="125"/>
      <c r="F236" s="116"/>
      <c r="G236" s="107" t="str">
        <f t="shared" si="14"/>
        <v/>
      </c>
      <c r="H236" s="106">
        <f t="shared" si="18"/>
        <v>1E-3</v>
      </c>
      <c r="I236" s="107">
        <f t="shared" si="15"/>
        <v>0</v>
      </c>
      <c r="J236" s="107">
        <f t="shared" si="16"/>
        <v>0</v>
      </c>
      <c r="K236" s="107">
        <f t="shared" si="17"/>
        <v>0</v>
      </c>
    </row>
    <row r="237" spans="2:11" ht="20.100000000000001" customHeight="1">
      <c r="B237" s="123"/>
      <c r="C237" s="124"/>
      <c r="D237" s="125"/>
      <c r="E237" s="125"/>
      <c r="F237" s="116"/>
      <c r="G237" s="107" t="str">
        <f t="shared" si="14"/>
        <v/>
      </c>
      <c r="H237" s="106">
        <f t="shared" si="18"/>
        <v>1E-3</v>
      </c>
      <c r="I237" s="107">
        <f t="shared" si="15"/>
        <v>0</v>
      </c>
      <c r="J237" s="107">
        <f t="shared" si="16"/>
        <v>0</v>
      </c>
      <c r="K237" s="107">
        <f t="shared" si="17"/>
        <v>0</v>
      </c>
    </row>
    <row r="238" spans="2:11" ht="20.100000000000001" customHeight="1">
      <c r="B238" s="123"/>
      <c r="C238" s="124"/>
      <c r="D238" s="125"/>
      <c r="E238" s="125"/>
      <c r="F238" s="116"/>
      <c r="G238" s="107" t="str">
        <f t="shared" si="14"/>
        <v/>
      </c>
      <c r="H238" s="106">
        <f t="shared" si="18"/>
        <v>1E-3</v>
      </c>
      <c r="I238" s="107">
        <f t="shared" si="15"/>
        <v>0</v>
      </c>
      <c r="J238" s="107">
        <f t="shared" si="16"/>
        <v>0</v>
      </c>
      <c r="K238" s="107">
        <f t="shared" si="17"/>
        <v>0</v>
      </c>
    </row>
    <row r="239" spans="2:11" ht="20.100000000000001" customHeight="1">
      <c r="B239" s="123"/>
      <c r="C239" s="124"/>
      <c r="D239" s="125"/>
      <c r="E239" s="125"/>
      <c r="F239" s="116"/>
      <c r="G239" s="107" t="str">
        <f t="shared" si="14"/>
        <v/>
      </c>
      <c r="H239" s="106">
        <f t="shared" si="18"/>
        <v>1E-3</v>
      </c>
      <c r="I239" s="107">
        <f t="shared" si="15"/>
        <v>0</v>
      </c>
      <c r="J239" s="107">
        <f t="shared" si="16"/>
        <v>0</v>
      </c>
      <c r="K239" s="107">
        <f t="shared" si="17"/>
        <v>0</v>
      </c>
    </row>
    <row r="240" spans="2:11" ht="20.100000000000001" customHeight="1">
      <c r="B240" s="123"/>
      <c r="C240" s="124"/>
      <c r="D240" s="125"/>
      <c r="E240" s="125"/>
      <c r="F240" s="116"/>
      <c r="G240" s="107" t="str">
        <f t="shared" si="14"/>
        <v/>
      </c>
      <c r="H240" s="106">
        <f t="shared" si="18"/>
        <v>1E-3</v>
      </c>
      <c r="I240" s="107">
        <f t="shared" si="15"/>
        <v>0</v>
      </c>
      <c r="J240" s="107">
        <f t="shared" si="16"/>
        <v>0</v>
      </c>
      <c r="K240" s="107">
        <f t="shared" si="17"/>
        <v>0</v>
      </c>
    </row>
    <row r="241" spans="2:11" ht="20.100000000000001" customHeight="1">
      <c r="B241" s="123"/>
      <c r="C241" s="124"/>
      <c r="D241" s="125"/>
      <c r="E241" s="125"/>
      <c r="F241" s="116"/>
      <c r="G241" s="107" t="str">
        <f t="shared" si="14"/>
        <v/>
      </c>
      <c r="H241" s="106">
        <f t="shared" si="18"/>
        <v>1E-3</v>
      </c>
      <c r="I241" s="107">
        <f t="shared" si="15"/>
        <v>0</v>
      </c>
      <c r="J241" s="107">
        <f t="shared" si="16"/>
        <v>0</v>
      </c>
      <c r="K241" s="107">
        <f t="shared" si="17"/>
        <v>0</v>
      </c>
    </row>
    <row r="242" spans="2:11" ht="20.100000000000001" customHeight="1">
      <c r="B242" s="123"/>
      <c r="C242" s="124"/>
      <c r="D242" s="125"/>
      <c r="E242" s="125"/>
      <c r="F242" s="116"/>
      <c r="G242" s="107" t="str">
        <f t="shared" si="14"/>
        <v/>
      </c>
      <c r="H242" s="106">
        <f t="shared" si="18"/>
        <v>1E-3</v>
      </c>
      <c r="I242" s="107">
        <f t="shared" si="15"/>
        <v>0</v>
      </c>
      <c r="J242" s="107">
        <f t="shared" si="16"/>
        <v>0</v>
      </c>
      <c r="K242" s="107">
        <f t="shared" si="17"/>
        <v>0</v>
      </c>
    </row>
    <row r="243" spans="2:11" ht="20.100000000000001" customHeight="1">
      <c r="B243" s="123"/>
      <c r="C243" s="124"/>
      <c r="D243" s="125"/>
      <c r="E243" s="125"/>
      <c r="F243" s="116"/>
      <c r="G243" s="107" t="str">
        <f t="shared" si="14"/>
        <v/>
      </c>
      <c r="H243" s="106">
        <f t="shared" si="18"/>
        <v>1E-3</v>
      </c>
      <c r="I243" s="107">
        <f t="shared" si="15"/>
        <v>0</v>
      </c>
      <c r="J243" s="107">
        <f t="shared" si="16"/>
        <v>0</v>
      </c>
      <c r="K243" s="107">
        <f t="shared" si="17"/>
        <v>0</v>
      </c>
    </row>
    <row r="244" spans="2:11" ht="20.100000000000001" customHeight="1">
      <c r="B244" s="123"/>
      <c r="C244" s="124"/>
      <c r="D244" s="125"/>
      <c r="E244" s="125"/>
      <c r="F244" s="116"/>
      <c r="G244" s="107" t="str">
        <f t="shared" si="14"/>
        <v/>
      </c>
      <c r="H244" s="106">
        <f t="shared" si="18"/>
        <v>1E-3</v>
      </c>
      <c r="I244" s="107">
        <f t="shared" si="15"/>
        <v>0</v>
      </c>
      <c r="J244" s="107">
        <f t="shared" si="16"/>
        <v>0</v>
      </c>
      <c r="K244" s="107">
        <f t="shared" si="17"/>
        <v>0</v>
      </c>
    </row>
    <row r="245" spans="2:11" ht="20.100000000000001" customHeight="1">
      <c r="B245" s="123"/>
      <c r="C245" s="124"/>
      <c r="D245" s="125"/>
      <c r="E245" s="125"/>
      <c r="F245" s="116"/>
      <c r="G245" s="107" t="str">
        <f t="shared" si="14"/>
        <v/>
      </c>
      <c r="H245" s="106">
        <f t="shared" si="18"/>
        <v>1E-3</v>
      </c>
      <c r="I245" s="107">
        <f t="shared" si="15"/>
        <v>0</v>
      </c>
      <c r="J245" s="107">
        <f t="shared" si="16"/>
        <v>0</v>
      </c>
      <c r="K245" s="107">
        <f t="shared" si="17"/>
        <v>0</v>
      </c>
    </row>
    <row r="246" spans="2:11" ht="20.100000000000001" customHeight="1" thickBot="1">
      <c r="B246" s="126"/>
      <c r="C246" s="127"/>
      <c r="D246" s="128"/>
      <c r="E246" s="128"/>
      <c r="F246" s="119"/>
      <c r="G246" s="107" t="str">
        <f t="shared" si="14"/>
        <v/>
      </c>
      <c r="H246" s="106">
        <f t="shared" si="18"/>
        <v>1E-3</v>
      </c>
      <c r="I246" s="107">
        <f t="shared" si="15"/>
        <v>0</v>
      </c>
      <c r="J246" s="107">
        <f t="shared" si="16"/>
        <v>0</v>
      </c>
      <c r="K246" s="107">
        <f t="shared" si="17"/>
        <v>0</v>
      </c>
    </row>
    <row r="247" spans="2:11" ht="20.100000000000001" customHeight="1">
      <c r="D247" s="26"/>
      <c r="E247" s="26"/>
      <c r="F247" s="27"/>
    </row>
    <row r="248" spans="2:11" ht="20.100000000000001" customHeight="1">
      <c r="B248" s="316" t="s">
        <v>1226</v>
      </c>
      <c r="C248" s="316"/>
      <c r="D248" s="316"/>
      <c r="E248" s="316"/>
      <c r="F248" s="316"/>
      <c r="G248" s="316"/>
      <c r="H248" s="316"/>
      <c r="I248" s="316"/>
      <c r="J248" s="316"/>
      <c r="K248" s="316"/>
    </row>
    <row r="249" spans="2:11" ht="20.100000000000001" customHeight="1" thickBot="1"/>
    <row r="250" spans="2:11" ht="20.100000000000001" customHeight="1">
      <c r="B250" s="78" t="s">
        <v>471</v>
      </c>
      <c r="C250" s="99" t="s">
        <v>1260</v>
      </c>
      <c r="E250" s="78" t="s">
        <v>475</v>
      </c>
      <c r="F250" s="563"/>
      <c r="G250" s="564"/>
      <c r="H250" s="564"/>
      <c r="I250" s="565"/>
    </row>
    <row r="251" spans="2:11" ht="20.100000000000001" customHeight="1">
      <c r="B251" s="78" t="s">
        <v>477</v>
      </c>
      <c r="C251" s="99" t="str">
        <f>IF(C250="Electricity",VLOOKUP($C$12,'NGER Emission Factors old'!$A$23:$J$34,2,FALSE),IF(C250="GreenPower",VLOOKUP(C250,'NGER Emission Factors old'!$A$23:$J$35,2,FALSE),VLOOKUP(C250,'NGER Emission Factors old'!$A$5:$J$18,2,FALSE)))</f>
        <v>Scope 1</v>
      </c>
      <c r="E251" s="613" t="s">
        <v>479</v>
      </c>
      <c r="F251" s="622"/>
      <c r="G251" s="623"/>
      <c r="H251" s="623"/>
      <c r="I251" s="624"/>
    </row>
    <row r="252" spans="2:11" ht="20.100000000000001" customHeight="1" thickBot="1">
      <c r="B252" s="78" t="s">
        <v>483</v>
      </c>
      <c r="C252" s="194" t="b">
        <f>'15C Building Details'!C149</f>
        <v>0</v>
      </c>
      <c r="D252" s="317"/>
      <c r="E252" s="614"/>
      <c r="F252" s="566"/>
      <c r="G252" s="567"/>
      <c r="H252" s="567"/>
      <c r="I252" s="568"/>
    </row>
    <row r="253" spans="2:11" ht="20.100000000000001" customHeight="1">
      <c r="B253" s="78" t="s">
        <v>485</v>
      </c>
      <c r="C253" s="194" t="str">
        <f>'15C Building Details'!C150</f>
        <v>kL</v>
      </c>
    </row>
    <row r="254" spans="2:11" ht="20.100000000000001" customHeight="1">
      <c r="B254" s="78" t="s">
        <v>487</v>
      </c>
      <c r="C254" s="194">
        <f>'15C Building Details'!C151</f>
        <v>26.2</v>
      </c>
      <c r="E254" s="11" t="s">
        <v>489</v>
      </c>
    </row>
    <row r="255" spans="2:11" ht="20.100000000000001" customHeight="1">
      <c r="G255" s="14"/>
      <c r="J255" s="11"/>
    </row>
    <row r="256" spans="2:11" ht="20.100000000000001" customHeight="1"/>
    <row r="257" spans="2:11" ht="40.200000000000003" customHeight="1" thickBot="1">
      <c r="B257" s="78" t="s">
        <v>491</v>
      </c>
      <c r="C257" s="78" t="s">
        <v>493</v>
      </c>
      <c r="D257" s="78" t="s">
        <v>495</v>
      </c>
      <c r="E257" s="78" t="s">
        <v>497</v>
      </c>
      <c r="F257" s="78" t="str">
        <f>"Billed Quantity ("&amp;C253&amp;")"</f>
        <v>Billed Quantity (kL)</v>
      </c>
      <c r="G257" s="78" t="s">
        <v>501</v>
      </c>
      <c r="H257" s="78" t="s">
        <v>487</v>
      </c>
      <c r="I257" s="78" t="s">
        <v>1257</v>
      </c>
      <c r="J257" s="78" t="s">
        <v>1258</v>
      </c>
      <c r="K257" s="78" t="s">
        <v>1259</v>
      </c>
    </row>
    <row r="258" spans="2:11" s="104" customFormat="1" ht="20.100000000000001" customHeight="1">
      <c r="B258" s="120"/>
      <c r="C258" s="121"/>
      <c r="D258" s="122"/>
      <c r="E258" s="122"/>
      <c r="F258" s="113"/>
      <c r="G258" s="107" t="str">
        <f t="shared" ref="G258:G293" si="19">IF(ISBLANK(D258),"",E258-D258+1)</f>
        <v/>
      </c>
      <c r="H258" s="106">
        <f t="shared" ref="H258:H293" si="20">$C$254</f>
        <v>26.2</v>
      </c>
      <c r="I258" s="107">
        <f t="shared" ref="I258:I293" si="21">IF(F258&gt;0,F258*H258*IF(OR(D258&gt;$H$9,E258&lt;$H$8), 0, IF(D258&lt;$H$8,E258-$H$8,IF($H$9&lt;E258,E258-$H$9,G258)))/G258,0)</f>
        <v>0</v>
      </c>
      <c r="J258" s="107">
        <f t="shared" ref="J258:J293" si="22">IF(F258&gt;0,F258*H258*IF(OR(D258&gt;$I$9,E258&lt;$I$8), 0, IF(D258&lt;$I$8,E258-$I$8,IF($I$9&lt;E258,E258-$I$9,G258)))/G258,0)</f>
        <v>0</v>
      </c>
      <c r="K258" s="107">
        <f t="shared" ref="K258:K293" si="23">IF(F258&gt;0,F258*H258*IF(OR(D258&gt;$J$9,E258&lt;$J$8), 0, IF(D258&lt;$J$8,E258-$J$8,IF($J$9&lt;E258,E258-$J$9,G258)))/G258,0)</f>
        <v>0</v>
      </c>
    </row>
    <row r="259" spans="2:11" s="104" customFormat="1" ht="20.100000000000001" customHeight="1">
      <c r="B259" s="123"/>
      <c r="C259" s="124"/>
      <c r="D259" s="125"/>
      <c r="E259" s="125"/>
      <c r="F259" s="116"/>
      <c r="G259" s="107" t="str">
        <f t="shared" si="19"/>
        <v/>
      </c>
      <c r="H259" s="106">
        <f t="shared" si="20"/>
        <v>26.2</v>
      </c>
      <c r="I259" s="107">
        <f t="shared" si="21"/>
        <v>0</v>
      </c>
      <c r="J259" s="107">
        <f t="shared" si="22"/>
        <v>0</v>
      </c>
      <c r="K259" s="107">
        <f t="shared" si="23"/>
        <v>0</v>
      </c>
    </row>
    <row r="260" spans="2:11" s="104" customFormat="1" ht="20.100000000000001" customHeight="1">
      <c r="B260" s="123"/>
      <c r="C260" s="124"/>
      <c r="D260" s="125"/>
      <c r="E260" s="125"/>
      <c r="F260" s="116"/>
      <c r="G260" s="107" t="str">
        <f t="shared" si="19"/>
        <v/>
      </c>
      <c r="H260" s="106">
        <f t="shared" si="20"/>
        <v>26.2</v>
      </c>
      <c r="I260" s="107">
        <f t="shared" si="21"/>
        <v>0</v>
      </c>
      <c r="J260" s="107">
        <f t="shared" si="22"/>
        <v>0</v>
      </c>
      <c r="K260" s="107">
        <f t="shared" si="23"/>
        <v>0</v>
      </c>
    </row>
    <row r="261" spans="2:11" s="104" customFormat="1" ht="20.100000000000001" customHeight="1">
      <c r="B261" s="123"/>
      <c r="C261" s="124"/>
      <c r="D261" s="125"/>
      <c r="E261" s="125"/>
      <c r="F261" s="116"/>
      <c r="G261" s="107" t="str">
        <f t="shared" si="19"/>
        <v/>
      </c>
      <c r="H261" s="106">
        <f t="shared" si="20"/>
        <v>26.2</v>
      </c>
      <c r="I261" s="107">
        <f t="shared" si="21"/>
        <v>0</v>
      </c>
      <c r="J261" s="107">
        <f t="shared" si="22"/>
        <v>0</v>
      </c>
      <c r="K261" s="107">
        <f t="shared" si="23"/>
        <v>0</v>
      </c>
    </row>
    <row r="262" spans="2:11" s="104" customFormat="1" ht="20.100000000000001" customHeight="1">
      <c r="B262" s="123"/>
      <c r="C262" s="124"/>
      <c r="D262" s="125"/>
      <c r="E262" s="125"/>
      <c r="F262" s="116"/>
      <c r="G262" s="107" t="str">
        <f t="shared" si="19"/>
        <v/>
      </c>
      <c r="H262" s="106">
        <f t="shared" si="20"/>
        <v>26.2</v>
      </c>
      <c r="I262" s="107">
        <f t="shared" si="21"/>
        <v>0</v>
      </c>
      <c r="J262" s="107">
        <f t="shared" si="22"/>
        <v>0</v>
      </c>
      <c r="K262" s="107">
        <f t="shared" si="23"/>
        <v>0</v>
      </c>
    </row>
    <row r="263" spans="2:11" s="104" customFormat="1" ht="20.100000000000001" customHeight="1">
      <c r="B263" s="123"/>
      <c r="C263" s="124"/>
      <c r="D263" s="125"/>
      <c r="E263" s="125"/>
      <c r="F263" s="116"/>
      <c r="G263" s="107" t="str">
        <f t="shared" si="19"/>
        <v/>
      </c>
      <c r="H263" s="106">
        <f t="shared" si="20"/>
        <v>26.2</v>
      </c>
      <c r="I263" s="107">
        <f t="shared" si="21"/>
        <v>0</v>
      </c>
      <c r="J263" s="107">
        <f t="shared" si="22"/>
        <v>0</v>
      </c>
      <c r="K263" s="107">
        <f t="shared" si="23"/>
        <v>0</v>
      </c>
    </row>
    <row r="264" spans="2:11" s="104" customFormat="1" ht="20.100000000000001" customHeight="1">
      <c r="B264" s="123"/>
      <c r="C264" s="124"/>
      <c r="D264" s="125"/>
      <c r="E264" s="125"/>
      <c r="F264" s="116"/>
      <c r="G264" s="107" t="str">
        <f t="shared" si="19"/>
        <v/>
      </c>
      <c r="H264" s="106">
        <f t="shared" si="20"/>
        <v>26.2</v>
      </c>
      <c r="I264" s="107">
        <f t="shared" si="21"/>
        <v>0</v>
      </c>
      <c r="J264" s="107">
        <f t="shared" si="22"/>
        <v>0</v>
      </c>
      <c r="K264" s="107">
        <f t="shared" si="23"/>
        <v>0</v>
      </c>
    </row>
    <row r="265" spans="2:11" s="104" customFormat="1" ht="20.100000000000001" customHeight="1">
      <c r="B265" s="123"/>
      <c r="C265" s="124"/>
      <c r="D265" s="125"/>
      <c r="E265" s="125"/>
      <c r="F265" s="116"/>
      <c r="G265" s="107" t="str">
        <f t="shared" si="19"/>
        <v/>
      </c>
      <c r="H265" s="106">
        <f t="shared" si="20"/>
        <v>26.2</v>
      </c>
      <c r="I265" s="107">
        <f t="shared" si="21"/>
        <v>0</v>
      </c>
      <c r="J265" s="107">
        <f t="shared" si="22"/>
        <v>0</v>
      </c>
      <c r="K265" s="107">
        <f t="shared" si="23"/>
        <v>0</v>
      </c>
    </row>
    <row r="266" spans="2:11" s="104" customFormat="1" ht="20.100000000000001" customHeight="1">
      <c r="B266" s="123"/>
      <c r="C266" s="124"/>
      <c r="D266" s="125"/>
      <c r="E266" s="125"/>
      <c r="F266" s="116"/>
      <c r="G266" s="107" t="str">
        <f t="shared" si="19"/>
        <v/>
      </c>
      <c r="H266" s="106">
        <f t="shared" si="20"/>
        <v>26.2</v>
      </c>
      <c r="I266" s="107">
        <f t="shared" si="21"/>
        <v>0</v>
      </c>
      <c r="J266" s="107">
        <f t="shared" si="22"/>
        <v>0</v>
      </c>
      <c r="K266" s="107">
        <f t="shared" si="23"/>
        <v>0</v>
      </c>
    </row>
    <row r="267" spans="2:11" s="104" customFormat="1" ht="20.100000000000001" customHeight="1">
      <c r="B267" s="123"/>
      <c r="C267" s="124"/>
      <c r="D267" s="125"/>
      <c r="E267" s="125"/>
      <c r="F267" s="116"/>
      <c r="G267" s="107" t="str">
        <f t="shared" si="19"/>
        <v/>
      </c>
      <c r="H267" s="106">
        <f t="shared" si="20"/>
        <v>26.2</v>
      </c>
      <c r="I267" s="107">
        <f t="shared" si="21"/>
        <v>0</v>
      </c>
      <c r="J267" s="107">
        <f t="shared" si="22"/>
        <v>0</v>
      </c>
      <c r="K267" s="107">
        <f t="shared" si="23"/>
        <v>0</v>
      </c>
    </row>
    <row r="268" spans="2:11" s="104" customFormat="1" ht="20.100000000000001" customHeight="1">
      <c r="B268" s="123"/>
      <c r="C268" s="124"/>
      <c r="D268" s="125"/>
      <c r="E268" s="125"/>
      <c r="F268" s="116"/>
      <c r="G268" s="107" t="str">
        <f t="shared" si="19"/>
        <v/>
      </c>
      <c r="H268" s="106">
        <f t="shared" si="20"/>
        <v>26.2</v>
      </c>
      <c r="I268" s="107">
        <f t="shared" si="21"/>
        <v>0</v>
      </c>
      <c r="J268" s="107">
        <f t="shared" si="22"/>
        <v>0</v>
      </c>
      <c r="K268" s="107">
        <f t="shared" si="23"/>
        <v>0</v>
      </c>
    </row>
    <row r="269" spans="2:11" s="104" customFormat="1" ht="20.100000000000001" customHeight="1">
      <c r="B269" s="123"/>
      <c r="C269" s="124"/>
      <c r="D269" s="125"/>
      <c r="E269" s="125"/>
      <c r="F269" s="116"/>
      <c r="G269" s="107" t="str">
        <f t="shared" si="19"/>
        <v/>
      </c>
      <c r="H269" s="106">
        <f t="shared" si="20"/>
        <v>26.2</v>
      </c>
      <c r="I269" s="107">
        <f t="shared" si="21"/>
        <v>0</v>
      </c>
      <c r="J269" s="107">
        <f t="shared" si="22"/>
        <v>0</v>
      </c>
      <c r="K269" s="107">
        <f t="shared" si="23"/>
        <v>0</v>
      </c>
    </row>
    <row r="270" spans="2:11" s="104" customFormat="1" ht="20.100000000000001" customHeight="1">
      <c r="B270" s="123"/>
      <c r="C270" s="124"/>
      <c r="D270" s="125"/>
      <c r="E270" s="125"/>
      <c r="F270" s="116"/>
      <c r="G270" s="107" t="str">
        <f t="shared" si="19"/>
        <v/>
      </c>
      <c r="H270" s="106">
        <f t="shared" si="20"/>
        <v>26.2</v>
      </c>
      <c r="I270" s="107">
        <f t="shared" si="21"/>
        <v>0</v>
      </c>
      <c r="J270" s="107">
        <f t="shared" si="22"/>
        <v>0</v>
      </c>
      <c r="K270" s="107">
        <f t="shared" si="23"/>
        <v>0</v>
      </c>
    </row>
    <row r="271" spans="2:11" s="104" customFormat="1" ht="20.100000000000001" customHeight="1">
      <c r="B271" s="123"/>
      <c r="C271" s="124"/>
      <c r="D271" s="125"/>
      <c r="E271" s="125"/>
      <c r="F271" s="116"/>
      <c r="G271" s="107" t="str">
        <f t="shared" si="19"/>
        <v/>
      </c>
      <c r="H271" s="106">
        <f t="shared" si="20"/>
        <v>26.2</v>
      </c>
      <c r="I271" s="107">
        <f t="shared" si="21"/>
        <v>0</v>
      </c>
      <c r="J271" s="107">
        <f t="shared" si="22"/>
        <v>0</v>
      </c>
      <c r="K271" s="107">
        <f t="shared" si="23"/>
        <v>0</v>
      </c>
    </row>
    <row r="272" spans="2:11" s="104" customFormat="1" ht="20.100000000000001" customHeight="1">
      <c r="B272" s="123"/>
      <c r="C272" s="124"/>
      <c r="D272" s="125"/>
      <c r="E272" s="125"/>
      <c r="F272" s="116"/>
      <c r="G272" s="107" t="str">
        <f t="shared" si="19"/>
        <v/>
      </c>
      <c r="H272" s="106">
        <f t="shared" si="20"/>
        <v>26.2</v>
      </c>
      <c r="I272" s="107">
        <f t="shared" si="21"/>
        <v>0</v>
      </c>
      <c r="J272" s="107">
        <f t="shared" si="22"/>
        <v>0</v>
      </c>
      <c r="K272" s="107">
        <f t="shared" si="23"/>
        <v>0</v>
      </c>
    </row>
    <row r="273" spans="2:11" s="104" customFormat="1" ht="20.100000000000001" customHeight="1">
      <c r="B273" s="123"/>
      <c r="C273" s="124"/>
      <c r="D273" s="125"/>
      <c r="E273" s="125"/>
      <c r="F273" s="116"/>
      <c r="G273" s="107" t="str">
        <f t="shared" si="19"/>
        <v/>
      </c>
      <c r="H273" s="106">
        <f t="shared" si="20"/>
        <v>26.2</v>
      </c>
      <c r="I273" s="107">
        <f t="shared" si="21"/>
        <v>0</v>
      </c>
      <c r="J273" s="107">
        <f t="shared" si="22"/>
        <v>0</v>
      </c>
      <c r="K273" s="107">
        <f t="shared" si="23"/>
        <v>0</v>
      </c>
    </row>
    <row r="274" spans="2:11" s="104" customFormat="1" ht="20.100000000000001" customHeight="1">
      <c r="B274" s="123"/>
      <c r="C274" s="124"/>
      <c r="D274" s="125"/>
      <c r="E274" s="125"/>
      <c r="F274" s="116"/>
      <c r="G274" s="107" t="str">
        <f t="shared" si="19"/>
        <v/>
      </c>
      <c r="H274" s="106">
        <f t="shared" si="20"/>
        <v>26.2</v>
      </c>
      <c r="I274" s="107">
        <f t="shared" si="21"/>
        <v>0</v>
      </c>
      <c r="J274" s="107">
        <f t="shared" si="22"/>
        <v>0</v>
      </c>
      <c r="K274" s="107">
        <f t="shared" si="23"/>
        <v>0</v>
      </c>
    </row>
    <row r="275" spans="2:11" s="104" customFormat="1" ht="20.100000000000001" customHeight="1">
      <c r="B275" s="123"/>
      <c r="C275" s="124"/>
      <c r="D275" s="125"/>
      <c r="E275" s="125"/>
      <c r="F275" s="116"/>
      <c r="G275" s="107" t="str">
        <f t="shared" si="19"/>
        <v/>
      </c>
      <c r="H275" s="106">
        <f t="shared" si="20"/>
        <v>26.2</v>
      </c>
      <c r="I275" s="107">
        <f t="shared" si="21"/>
        <v>0</v>
      </c>
      <c r="J275" s="107">
        <f t="shared" si="22"/>
        <v>0</v>
      </c>
      <c r="K275" s="107">
        <f t="shared" si="23"/>
        <v>0</v>
      </c>
    </row>
    <row r="276" spans="2:11" s="104" customFormat="1" ht="20.100000000000001" customHeight="1">
      <c r="B276" s="123"/>
      <c r="C276" s="124"/>
      <c r="D276" s="125"/>
      <c r="E276" s="125"/>
      <c r="F276" s="116"/>
      <c r="G276" s="107" t="str">
        <f t="shared" si="19"/>
        <v/>
      </c>
      <c r="H276" s="106">
        <f t="shared" si="20"/>
        <v>26.2</v>
      </c>
      <c r="I276" s="107">
        <f t="shared" si="21"/>
        <v>0</v>
      </c>
      <c r="J276" s="107">
        <f t="shared" si="22"/>
        <v>0</v>
      </c>
      <c r="K276" s="107">
        <f t="shared" si="23"/>
        <v>0</v>
      </c>
    </row>
    <row r="277" spans="2:11" s="104" customFormat="1" ht="20.100000000000001" customHeight="1">
      <c r="B277" s="123"/>
      <c r="C277" s="124"/>
      <c r="D277" s="125"/>
      <c r="E277" s="125"/>
      <c r="F277" s="116"/>
      <c r="G277" s="107" t="str">
        <f t="shared" si="19"/>
        <v/>
      </c>
      <c r="H277" s="106">
        <f t="shared" si="20"/>
        <v>26.2</v>
      </c>
      <c r="I277" s="107">
        <f t="shared" si="21"/>
        <v>0</v>
      </c>
      <c r="J277" s="107">
        <f t="shared" si="22"/>
        <v>0</v>
      </c>
      <c r="K277" s="107">
        <f t="shared" si="23"/>
        <v>0</v>
      </c>
    </row>
    <row r="278" spans="2:11" s="104" customFormat="1" ht="20.100000000000001" customHeight="1">
      <c r="B278" s="123"/>
      <c r="C278" s="124"/>
      <c r="D278" s="125"/>
      <c r="E278" s="125"/>
      <c r="F278" s="116"/>
      <c r="G278" s="107" t="str">
        <f t="shared" si="19"/>
        <v/>
      </c>
      <c r="H278" s="106">
        <f t="shared" si="20"/>
        <v>26.2</v>
      </c>
      <c r="I278" s="107">
        <f t="shared" si="21"/>
        <v>0</v>
      </c>
      <c r="J278" s="107">
        <f t="shared" si="22"/>
        <v>0</v>
      </c>
      <c r="K278" s="107">
        <f t="shared" si="23"/>
        <v>0</v>
      </c>
    </row>
    <row r="279" spans="2:11" s="104" customFormat="1" ht="20.100000000000001" customHeight="1">
      <c r="B279" s="123"/>
      <c r="C279" s="124"/>
      <c r="D279" s="125"/>
      <c r="E279" s="125"/>
      <c r="F279" s="116"/>
      <c r="G279" s="107" t="str">
        <f t="shared" si="19"/>
        <v/>
      </c>
      <c r="H279" s="106">
        <f t="shared" si="20"/>
        <v>26.2</v>
      </c>
      <c r="I279" s="107">
        <f t="shared" si="21"/>
        <v>0</v>
      </c>
      <c r="J279" s="107">
        <f t="shared" si="22"/>
        <v>0</v>
      </c>
      <c r="K279" s="107">
        <f t="shared" si="23"/>
        <v>0</v>
      </c>
    </row>
    <row r="280" spans="2:11" s="104" customFormat="1" ht="20.100000000000001" customHeight="1">
      <c r="B280" s="123"/>
      <c r="C280" s="124"/>
      <c r="D280" s="125"/>
      <c r="E280" s="125"/>
      <c r="F280" s="116"/>
      <c r="G280" s="107" t="str">
        <f t="shared" si="19"/>
        <v/>
      </c>
      <c r="H280" s="106">
        <f t="shared" si="20"/>
        <v>26.2</v>
      </c>
      <c r="I280" s="107">
        <f t="shared" si="21"/>
        <v>0</v>
      </c>
      <c r="J280" s="107">
        <f t="shared" si="22"/>
        <v>0</v>
      </c>
      <c r="K280" s="107">
        <f t="shared" si="23"/>
        <v>0</v>
      </c>
    </row>
    <row r="281" spans="2:11" s="104" customFormat="1" ht="20.100000000000001" customHeight="1">
      <c r="B281" s="123"/>
      <c r="C281" s="124"/>
      <c r="D281" s="125"/>
      <c r="E281" s="125"/>
      <c r="F281" s="116"/>
      <c r="G281" s="107" t="str">
        <f t="shared" si="19"/>
        <v/>
      </c>
      <c r="H281" s="106">
        <f t="shared" si="20"/>
        <v>26.2</v>
      </c>
      <c r="I281" s="107">
        <f t="shared" si="21"/>
        <v>0</v>
      </c>
      <c r="J281" s="107">
        <f t="shared" si="22"/>
        <v>0</v>
      </c>
      <c r="K281" s="107">
        <f t="shared" si="23"/>
        <v>0</v>
      </c>
    </row>
    <row r="282" spans="2:11" s="104" customFormat="1" ht="20.100000000000001" customHeight="1">
      <c r="B282" s="123"/>
      <c r="C282" s="124"/>
      <c r="D282" s="125"/>
      <c r="E282" s="125"/>
      <c r="F282" s="116"/>
      <c r="G282" s="107" t="str">
        <f t="shared" si="19"/>
        <v/>
      </c>
      <c r="H282" s="106">
        <f t="shared" si="20"/>
        <v>26.2</v>
      </c>
      <c r="I282" s="107">
        <f t="shared" si="21"/>
        <v>0</v>
      </c>
      <c r="J282" s="107">
        <f t="shared" si="22"/>
        <v>0</v>
      </c>
      <c r="K282" s="107">
        <f t="shared" si="23"/>
        <v>0</v>
      </c>
    </row>
    <row r="283" spans="2:11" s="104" customFormat="1" ht="20.100000000000001" customHeight="1">
      <c r="B283" s="123"/>
      <c r="C283" s="124"/>
      <c r="D283" s="125"/>
      <c r="E283" s="125"/>
      <c r="F283" s="116"/>
      <c r="G283" s="107" t="str">
        <f t="shared" si="19"/>
        <v/>
      </c>
      <c r="H283" s="106">
        <f t="shared" si="20"/>
        <v>26.2</v>
      </c>
      <c r="I283" s="107">
        <f t="shared" si="21"/>
        <v>0</v>
      </c>
      <c r="J283" s="107">
        <f t="shared" si="22"/>
        <v>0</v>
      </c>
      <c r="K283" s="107">
        <f t="shared" si="23"/>
        <v>0</v>
      </c>
    </row>
    <row r="284" spans="2:11" s="104" customFormat="1" ht="20.100000000000001" customHeight="1">
      <c r="B284" s="123"/>
      <c r="C284" s="124"/>
      <c r="D284" s="125"/>
      <c r="E284" s="125"/>
      <c r="F284" s="116"/>
      <c r="G284" s="107" t="str">
        <f t="shared" si="19"/>
        <v/>
      </c>
      <c r="H284" s="106">
        <f t="shared" si="20"/>
        <v>26.2</v>
      </c>
      <c r="I284" s="107">
        <f t="shared" si="21"/>
        <v>0</v>
      </c>
      <c r="J284" s="107">
        <f t="shared" si="22"/>
        <v>0</v>
      </c>
      <c r="K284" s="107">
        <f t="shared" si="23"/>
        <v>0</v>
      </c>
    </row>
    <row r="285" spans="2:11" s="104" customFormat="1" ht="20.100000000000001" customHeight="1">
      <c r="B285" s="123"/>
      <c r="C285" s="124"/>
      <c r="D285" s="125"/>
      <c r="E285" s="125"/>
      <c r="F285" s="116"/>
      <c r="G285" s="107" t="str">
        <f t="shared" si="19"/>
        <v/>
      </c>
      <c r="H285" s="106">
        <f t="shared" si="20"/>
        <v>26.2</v>
      </c>
      <c r="I285" s="107">
        <f t="shared" si="21"/>
        <v>0</v>
      </c>
      <c r="J285" s="107">
        <f t="shared" si="22"/>
        <v>0</v>
      </c>
      <c r="K285" s="107">
        <f t="shared" si="23"/>
        <v>0</v>
      </c>
    </row>
    <row r="286" spans="2:11" s="104" customFormat="1" ht="20.100000000000001" customHeight="1">
      <c r="B286" s="123"/>
      <c r="C286" s="124"/>
      <c r="D286" s="125"/>
      <c r="E286" s="125"/>
      <c r="F286" s="116"/>
      <c r="G286" s="107" t="str">
        <f>IF(ISBLANK(D286),"",E286-D286+1)</f>
        <v/>
      </c>
      <c r="H286" s="106">
        <f>$C$254</f>
        <v>26.2</v>
      </c>
      <c r="I286" s="107">
        <f>IF(F286&gt;0,F286*H286*IF(OR(D286&gt;$H$9,E286&lt;$H$8), 0, IF(D286&lt;$H$8,E286-$H$8,IF($H$9&lt;E286,E286-$H$9,G286)))/G286,0)</f>
        <v>0</v>
      </c>
      <c r="J286" s="107">
        <f>IF(F286&gt;0,F286*H286*IF(OR(D286&gt;$I$9,E286&lt;$I$8), 0, IF(D286&lt;$I$8,E286-$I$8,IF($I$9&lt;E286,E286-$I$9,G286)))/G286,0)</f>
        <v>0</v>
      </c>
      <c r="K286" s="107">
        <f>IF(F286&gt;0,F286*H286*IF(OR(D286&gt;$J$9,E286&lt;$J$8), 0, IF(D286&lt;$J$8,E286-$J$8,IF($J$9&lt;E286,E286-$J$9,G286)))/G286,0)</f>
        <v>0</v>
      </c>
    </row>
    <row r="287" spans="2:11" s="104" customFormat="1" ht="20.100000000000001" customHeight="1">
      <c r="B287" s="123"/>
      <c r="C287" s="124"/>
      <c r="D287" s="125"/>
      <c r="E287" s="125"/>
      <c r="F287" s="116"/>
      <c r="G287" s="107" t="str">
        <f>IF(ISBLANK(D287),"",E287-D287+1)</f>
        <v/>
      </c>
      <c r="H287" s="106">
        <f t="shared" si="20"/>
        <v>26.2</v>
      </c>
      <c r="I287" s="107">
        <f>IF(F287&gt;0,F287*H287*IF(OR(D287&gt;$H$9,E287&lt;$H$8), 0, IF(D287&lt;$H$8,E287-$H$8,IF($H$9&lt;E287,E287-$H$9,G287)))/G287,0)</f>
        <v>0</v>
      </c>
      <c r="J287" s="107">
        <f>IF(F287&gt;0,F287*H287*IF(OR(D287&gt;$I$9,E287&lt;$I$8), 0, IF(D287&lt;$I$8,E287-$I$8,IF($I$9&lt;E287,E287-$I$9,G287)))/G287,0)</f>
        <v>0</v>
      </c>
      <c r="K287" s="107">
        <f>IF(F287&gt;0,F287*H287*IF(OR(D287&gt;$J$9,E287&lt;$J$8), 0, IF(D287&lt;$J$8,E287-$J$8,IF($J$9&lt;E287,E287-$J$9,G287)))/G287,0)</f>
        <v>0</v>
      </c>
    </row>
    <row r="288" spans="2:11" s="104" customFormat="1" ht="20.100000000000001" customHeight="1">
      <c r="B288" s="123"/>
      <c r="C288" s="124"/>
      <c r="D288" s="125"/>
      <c r="E288" s="125"/>
      <c r="F288" s="116"/>
      <c r="G288" s="107" t="str">
        <f t="shared" si="19"/>
        <v/>
      </c>
      <c r="H288" s="106">
        <f t="shared" si="20"/>
        <v>26.2</v>
      </c>
      <c r="I288" s="107">
        <f t="shared" si="21"/>
        <v>0</v>
      </c>
      <c r="J288" s="107">
        <f t="shared" si="22"/>
        <v>0</v>
      </c>
      <c r="K288" s="107">
        <f t="shared" si="23"/>
        <v>0</v>
      </c>
    </row>
    <row r="289" spans="2:11" s="104" customFormat="1" ht="20.100000000000001" customHeight="1">
      <c r="B289" s="123"/>
      <c r="C289" s="124"/>
      <c r="D289" s="125"/>
      <c r="E289" s="125"/>
      <c r="F289" s="116"/>
      <c r="G289" s="107" t="str">
        <f t="shared" si="19"/>
        <v/>
      </c>
      <c r="H289" s="106">
        <f t="shared" si="20"/>
        <v>26.2</v>
      </c>
      <c r="I289" s="107">
        <f t="shared" si="21"/>
        <v>0</v>
      </c>
      <c r="J289" s="107">
        <f t="shared" si="22"/>
        <v>0</v>
      </c>
      <c r="K289" s="107">
        <f t="shared" si="23"/>
        <v>0</v>
      </c>
    </row>
    <row r="290" spans="2:11" s="104" customFormat="1" ht="20.100000000000001" customHeight="1">
      <c r="B290" s="123"/>
      <c r="C290" s="124"/>
      <c r="D290" s="125"/>
      <c r="E290" s="125"/>
      <c r="F290" s="116"/>
      <c r="G290" s="107" t="str">
        <f t="shared" si="19"/>
        <v/>
      </c>
      <c r="H290" s="106">
        <f t="shared" si="20"/>
        <v>26.2</v>
      </c>
      <c r="I290" s="107">
        <f t="shared" si="21"/>
        <v>0</v>
      </c>
      <c r="J290" s="107">
        <f t="shared" si="22"/>
        <v>0</v>
      </c>
      <c r="K290" s="107">
        <f t="shared" si="23"/>
        <v>0</v>
      </c>
    </row>
    <row r="291" spans="2:11" s="104" customFormat="1" ht="20.100000000000001" customHeight="1">
      <c r="B291" s="123"/>
      <c r="C291" s="124"/>
      <c r="D291" s="125"/>
      <c r="E291" s="125"/>
      <c r="F291" s="116"/>
      <c r="G291" s="107" t="str">
        <f t="shared" si="19"/>
        <v/>
      </c>
      <c r="H291" s="106">
        <f t="shared" si="20"/>
        <v>26.2</v>
      </c>
      <c r="I291" s="107">
        <f t="shared" si="21"/>
        <v>0</v>
      </c>
      <c r="J291" s="107">
        <f t="shared" si="22"/>
        <v>0</v>
      </c>
      <c r="K291" s="107">
        <f t="shared" si="23"/>
        <v>0</v>
      </c>
    </row>
    <row r="292" spans="2:11" s="104" customFormat="1" ht="20.100000000000001" customHeight="1">
      <c r="B292" s="123"/>
      <c r="C292" s="124"/>
      <c r="D292" s="125"/>
      <c r="E292" s="125"/>
      <c r="F292" s="116"/>
      <c r="G292" s="107" t="str">
        <f t="shared" si="19"/>
        <v/>
      </c>
      <c r="H292" s="106">
        <f t="shared" si="20"/>
        <v>26.2</v>
      </c>
      <c r="I292" s="107">
        <f t="shared" si="21"/>
        <v>0</v>
      </c>
      <c r="J292" s="107">
        <f t="shared" si="22"/>
        <v>0</v>
      </c>
      <c r="K292" s="107">
        <f t="shared" si="23"/>
        <v>0</v>
      </c>
    </row>
    <row r="293" spans="2:11" s="104" customFormat="1" ht="20.100000000000001" customHeight="1" thickBot="1">
      <c r="B293" s="126"/>
      <c r="C293" s="127"/>
      <c r="D293" s="128"/>
      <c r="E293" s="128"/>
      <c r="F293" s="119"/>
      <c r="G293" s="107" t="str">
        <f t="shared" si="19"/>
        <v/>
      </c>
      <c r="H293" s="106">
        <f t="shared" si="20"/>
        <v>26.2</v>
      </c>
      <c r="I293" s="107">
        <f t="shared" si="21"/>
        <v>0</v>
      </c>
      <c r="J293" s="107">
        <f t="shared" si="22"/>
        <v>0</v>
      </c>
      <c r="K293" s="107">
        <f t="shared" si="23"/>
        <v>0</v>
      </c>
    </row>
    <row r="294" spans="2:11" ht="20.100000000000001" customHeight="1"/>
    <row r="295" spans="2:11" ht="20.100000000000001" customHeight="1">
      <c r="B295" s="316" t="s">
        <v>1228</v>
      </c>
      <c r="C295" s="316"/>
      <c r="D295" s="316"/>
      <c r="E295" s="316"/>
      <c r="F295" s="316"/>
      <c r="G295" s="316"/>
      <c r="H295" s="316"/>
      <c r="I295" s="316"/>
      <c r="J295" s="316"/>
      <c r="K295" s="316"/>
    </row>
    <row r="296" spans="2:11" ht="20.100000000000001" customHeight="1" thickBot="1"/>
    <row r="297" spans="2:11" ht="20.100000000000001" customHeight="1">
      <c r="B297" s="78" t="s">
        <v>471</v>
      </c>
      <c r="C297" s="99" t="s">
        <v>1229</v>
      </c>
      <c r="E297" s="78" t="s">
        <v>475</v>
      </c>
      <c r="F297" s="563"/>
      <c r="G297" s="564"/>
      <c r="H297" s="564"/>
      <c r="I297" s="565"/>
    </row>
    <row r="298" spans="2:11" ht="20.100000000000001" customHeight="1">
      <c r="B298" s="78" t="s">
        <v>477</v>
      </c>
      <c r="C298" s="99" t="str">
        <f>IF(C297="Electricity",VLOOKUP($C$12,'NGER Emission Factors old'!$A$23:$J$34,2,FALSE),IF(C297="GreenPower",VLOOKUP(C297,'NGER Emission Factors old'!$A$23:$J$35,2,FALSE),VLOOKUP(C297,'NGER Emission Factors old'!$A$5:$J$18,2,FALSE)))</f>
        <v>Scope 1</v>
      </c>
      <c r="E298" s="613" t="s">
        <v>479</v>
      </c>
      <c r="F298" s="622"/>
      <c r="G298" s="623"/>
      <c r="H298" s="623"/>
      <c r="I298" s="624"/>
    </row>
    <row r="299" spans="2:11" ht="20.100000000000001" customHeight="1" thickBot="1">
      <c r="B299" s="78" t="s">
        <v>483</v>
      </c>
      <c r="C299" s="194" t="b">
        <f>'15C Building Details'!C172</f>
        <v>0</v>
      </c>
      <c r="D299" s="317"/>
      <c r="E299" s="614"/>
      <c r="F299" s="566"/>
      <c r="G299" s="567"/>
      <c r="H299" s="567"/>
      <c r="I299" s="568"/>
    </row>
    <row r="300" spans="2:11" ht="20.100000000000001" customHeight="1">
      <c r="B300" s="78" t="s">
        <v>485</v>
      </c>
      <c r="C300" s="194" t="str">
        <f>'15C Building Details'!C173</f>
        <v>kL</v>
      </c>
    </row>
    <row r="301" spans="2:11" ht="20.100000000000001" customHeight="1">
      <c r="B301" s="78" t="s">
        <v>487</v>
      </c>
      <c r="C301" s="194">
        <f>'15C Building Details'!C174</f>
        <v>38.6</v>
      </c>
      <c r="E301" s="11" t="s">
        <v>489</v>
      </c>
    </row>
    <row r="302" spans="2:11" ht="20.100000000000001" customHeight="1">
      <c r="G302" s="14"/>
      <c r="J302" s="11"/>
    </row>
    <row r="303" spans="2:11" ht="20.100000000000001" customHeight="1"/>
    <row r="304" spans="2:11" ht="40.200000000000003" customHeight="1" thickBot="1">
      <c r="B304" s="78" t="s">
        <v>491</v>
      </c>
      <c r="C304" s="78" t="s">
        <v>493</v>
      </c>
      <c r="D304" s="78" t="s">
        <v>495</v>
      </c>
      <c r="E304" s="78" t="s">
        <v>497</v>
      </c>
      <c r="F304" s="78" t="str">
        <f>"Billed Quantity ("&amp;C300&amp;")"</f>
        <v>Billed Quantity (kL)</v>
      </c>
      <c r="G304" s="78" t="s">
        <v>501</v>
      </c>
      <c r="H304" s="78" t="s">
        <v>487</v>
      </c>
      <c r="I304" s="78" t="s">
        <v>1257</v>
      </c>
      <c r="J304" s="78" t="s">
        <v>1258</v>
      </c>
      <c r="K304" s="78" t="s">
        <v>1259</v>
      </c>
    </row>
    <row r="305" spans="2:11" ht="20.100000000000001" customHeight="1">
      <c r="B305" s="120"/>
      <c r="C305" s="121"/>
      <c r="D305" s="122"/>
      <c r="E305" s="122"/>
      <c r="F305" s="113"/>
      <c r="G305" s="107" t="str">
        <f t="shared" ref="G305:G340" si="24">IF(ISBLANK(D305),"",E305-D305+1)</f>
        <v/>
      </c>
      <c r="H305" s="106">
        <f t="shared" ref="H305:H340" si="25">$C$301</f>
        <v>38.6</v>
      </c>
      <c r="I305" s="107">
        <f t="shared" ref="I305:I340" si="26">IF(F305&gt;0,F305*H305*IF(OR(D305&gt;$H$9,E305&lt;$H$8), 0, IF(D305&lt;$H$8,E305-$H$8,IF($H$9&lt;E305,E305-$H$9,G305)))/G305,0)</f>
        <v>0</v>
      </c>
      <c r="J305" s="107">
        <f t="shared" ref="J305:J340" si="27">IF(F305&gt;0,F305*H305*IF(OR(D305&gt;$I$9,E305&lt;$I$8), 0, IF(D305&lt;$I$8,E305-$I$8,IF($I$9&lt;E305,E305-$I$9,G305)))/G305,0)</f>
        <v>0</v>
      </c>
      <c r="K305" s="107">
        <f t="shared" ref="K305:K340" si="28">IF(F305&gt;0,F305*H305*IF(OR(D305&gt;$J$9,E305&lt;$J$8), 0, IF(D305&lt;$J$8,E305-$J$8,IF($J$9&lt;E305,E305-$J$9,G305)))/G305,0)</f>
        <v>0</v>
      </c>
    </row>
    <row r="306" spans="2:11" ht="20.100000000000001" customHeight="1">
      <c r="B306" s="123"/>
      <c r="C306" s="124"/>
      <c r="D306" s="125"/>
      <c r="E306" s="125"/>
      <c r="F306" s="116"/>
      <c r="G306" s="107" t="str">
        <f t="shared" si="24"/>
        <v/>
      </c>
      <c r="H306" s="106">
        <f t="shared" si="25"/>
        <v>38.6</v>
      </c>
      <c r="I306" s="107">
        <f t="shared" si="26"/>
        <v>0</v>
      </c>
      <c r="J306" s="107">
        <f t="shared" si="27"/>
        <v>0</v>
      </c>
      <c r="K306" s="107">
        <f t="shared" si="28"/>
        <v>0</v>
      </c>
    </row>
    <row r="307" spans="2:11" ht="20.100000000000001" customHeight="1">
      <c r="B307" s="123"/>
      <c r="C307" s="124"/>
      <c r="D307" s="125"/>
      <c r="E307" s="125"/>
      <c r="F307" s="116"/>
      <c r="G307" s="107" t="str">
        <f t="shared" si="24"/>
        <v/>
      </c>
      <c r="H307" s="106">
        <f t="shared" si="25"/>
        <v>38.6</v>
      </c>
      <c r="I307" s="107">
        <f t="shared" si="26"/>
        <v>0</v>
      </c>
      <c r="J307" s="107">
        <f t="shared" si="27"/>
        <v>0</v>
      </c>
      <c r="K307" s="107">
        <f t="shared" si="28"/>
        <v>0</v>
      </c>
    </row>
    <row r="308" spans="2:11" ht="20.100000000000001" customHeight="1">
      <c r="B308" s="123"/>
      <c r="C308" s="124"/>
      <c r="D308" s="125"/>
      <c r="E308" s="125"/>
      <c r="F308" s="116"/>
      <c r="G308" s="107" t="str">
        <f t="shared" si="24"/>
        <v/>
      </c>
      <c r="H308" s="106">
        <f t="shared" si="25"/>
        <v>38.6</v>
      </c>
      <c r="I308" s="107">
        <f t="shared" si="26"/>
        <v>0</v>
      </c>
      <c r="J308" s="107">
        <f t="shared" si="27"/>
        <v>0</v>
      </c>
      <c r="K308" s="107">
        <f t="shared" si="28"/>
        <v>0</v>
      </c>
    </row>
    <row r="309" spans="2:11" ht="20.100000000000001" customHeight="1">
      <c r="B309" s="123"/>
      <c r="C309" s="124"/>
      <c r="D309" s="125"/>
      <c r="E309" s="125"/>
      <c r="F309" s="116"/>
      <c r="G309" s="107" t="str">
        <f t="shared" si="24"/>
        <v/>
      </c>
      <c r="H309" s="106">
        <f t="shared" si="25"/>
        <v>38.6</v>
      </c>
      <c r="I309" s="107">
        <f t="shared" si="26"/>
        <v>0</v>
      </c>
      <c r="J309" s="107">
        <f t="shared" si="27"/>
        <v>0</v>
      </c>
      <c r="K309" s="107">
        <f t="shared" si="28"/>
        <v>0</v>
      </c>
    </row>
    <row r="310" spans="2:11" ht="20.100000000000001" customHeight="1">
      <c r="B310" s="123"/>
      <c r="C310" s="124"/>
      <c r="D310" s="125"/>
      <c r="E310" s="125"/>
      <c r="F310" s="116"/>
      <c r="G310" s="107" t="str">
        <f t="shared" si="24"/>
        <v/>
      </c>
      <c r="H310" s="106">
        <f t="shared" si="25"/>
        <v>38.6</v>
      </c>
      <c r="I310" s="107">
        <f t="shared" si="26"/>
        <v>0</v>
      </c>
      <c r="J310" s="107">
        <f t="shared" si="27"/>
        <v>0</v>
      </c>
      <c r="K310" s="107">
        <f t="shared" si="28"/>
        <v>0</v>
      </c>
    </row>
    <row r="311" spans="2:11" ht="20.100000000000001" customHeight="1">
      <c r="B311" s="123"/>
      <c r="C311" s="124"/>
      <c r="D311" s="125"/>
      <c r="E311" s="125"/>
      <c r="F311" s="116"/>
      <c r="G311" s="107" t="str">
        <f t="shared" si="24"/>
        <v/>
      </c>
      <c r="H311" s="106">
        <f t="shared" si="25"/>
        <v>38.6</v>
      </c>
      <c r="I311" s="107">
        <f t="shared" si="26"/>
        <v>0</v>
      </c>
      <c r="J311" s="107">
        <f t="shared" si="27"/>
        <v>0</v>
      </c>
      <c r="K311" s="107">
        <f t="shared" si="28"/>
        <v>0</v>
      </c>
    </row>
    <row r="312" spans="2:11" ht="20.100000000000001" customHeight="1">
      <c r="B312" s="123"/>
      <c r="C312" s="124"/>
      <c r="D312" s="125"/>
      <c r="E312" s="125"/>
      <c r="F312" s="116"/>
      <c r="G312" s="107" t="str">
        <f t="shared" si="24"/>
        <v/>
      </c>
      <c r="H312" s="106">
        <f t="shared" si="25"/>
        <v>38.6</v>
      </c>
      <c r="I312" s="107">
        <f t="shared" si="26"/>
        <v>0</v>
      </c>
      <c r="J312" s="107">
        <f t="shared" si="27"/>
        <v>0</v>
      </c>
      <c r="K312" s="107">
        <f t="shared" si="28"/>
        <v>0</v>
      </c>
    </row>
    <row r="313" spans="2:11" ht="20.100000000000001" customHeight="1">
      <c r="B313" s="123"/>
      <c r="C313" s="124"/>
      <c r="D313" s="125"/>
      <c r="E313" s="125"/>
      <c r="F313" s="116"/>
      <c r="G313" s="107" t="str">
        <f t="shared" si="24"/>
        <v/>
      </c>
      <c r="H313" s="106">
        <f t="shared" si="25"/>
        <v>38.6</v>
      </c>
      <c r="I313" s="107">
        <f t="shared" si="26"/>
        <v>0</v>
      </c>
      <c r="J313" s="107">
        <f t="shared" si="27"/>
        <v>0</v>
      </c>
      <c r="K313" s="107">
        <f t="shared" si="28"/>
        <v>0</v>
      </c>
    </row>
    <row r="314" spans="2:11" ht="20.100000000000001" customHeight="1">
      <c r="B314" s="123"/>
      <c r="C314" s="124"/>
      <c r="D314" s="125"/>
      <c r="E314" s="125"/>
      <c r="F314" s="116"/>
      <c r="G314" s="107" t="str">
        <f t="shared" si="24"/>
        <v/>
      </c>
      <c r="H314" s="106">
        <f t="shared" si="25"/>
        <v>38.6</v>
      </c>
      <c r="I314" s="107">
        <f t="shared" si="26"/>
        <v>0</v>
      </c>
      <c r="J314" s="107">
        <f t="shared" si="27"/>
        <v>0</v>
      </c>
      <c r="K314" s="107">
        <f t="shared" si="28"/>
        <v>0</v>
      </c>
    </row>
    <row r="315" spans="2:11" ht="20.100000000000001" customHeight="1">
      <c r="B315" s="123"/>
      <c r="C315" s="124"/>
      <c r="D315" s="125"/>
      <c r="E315" s="125"/>
      <c r="F315" s="116"/>
      <c r="G315" s="107" t="str">
        <f t="shared" si="24"/>
        <v/>
      </c>
      <c r="H315" s="106">
        <f t="shared" si="25"/>
        <v>38.6</v>
      </c>
      <c r="I315" s="107">
        <f t="shared" si="26"/>
        <v>0</v>
      </c>
      <c r="J315" s="107">
        <f t="shared" si="27"/>
        <v>0</v>
      </c>
      <c r="K315" s="107">
        <f t="shared" si="28"/>
        <v>0</v>
      </c>
    </row>
    <row r="316" spans="2:11" ht="20.100000000000001" customHeight="1">
      <c r="B316" s="123"/>
      <c r="C316" s="124"/>
      <c r="D316" s="125"/>
      <c r="E316" s="125"/>
      <c r="F316" s="116"/>
      <c r="G316" s="107" t="str">
        <f t="shared" si="24"/>
        <v/>
      </c>
      <c r="H316" s="106">
        <f t="shared" si="25"/>
        <v>38.6</v>
      </c>
      <c r="I316" s="107">
        <f t="shared" si="26"/>
        <v>0</v>
      </c>
      <c r="J316" s="107">
        <f t="shared" si="27"/>
        <v>0</v>
      </c>
      <c r="K316" s="107">
        <f t="shared" si="28"/>
        <v>0</v>
      </c>
    </row>
    <row r="317" spans="2:11" ht="20.100000000000001" customHeight="1">
      <c r="B317" s="123"/>
      <c r="C317" s="124"/>
      <c r="D317" s="125"/>
      <c r="E317" s="125"/>
      <c r="F317" s="116"/>
      <c r="G317" s="107" t="str">
        <f t="shared" si="24"/>
        <v/>
      </c>
      <c r="H317" s="106">
        <f t="shared" si="25"/>
        <v>38.6</v>
      </c>
      <c r="I317" s="107">
        <f t="shared" si="26"/>
        <v>0</v>
      </c>
      <c r="J317" s="107">
        <f t="shared" si="27"/>
        <v>0</v>
      </c>
      <c r="K317" s="107">
        <f t="shared" si="28"/>
        <v>0</v>
      </c>
    </row>
    <row r="318" spans="2:11" ht="20.100000000000001" customHeight="1">
      <c r="B318" s="123"/>
      <c r="C318" s="124"/>
      <c r="D318" s="125"/>
      <c r="E318" s="125"/>
      <c r="F318" s="116"/>
      <c r="G318" s="107" t="str">
        <f t="shared" si="24"/>
        <v/>
      </c>
      <c r="H318" s="106">
        <f t="shared" si="25"/>
        <v>38.6</v>
      </c>
      <c r="I318" s="107">
        <f t="shared" si="26"/>
        <v>0</v>
      </c>
      <c r="J318" s="107">
        <f t="shared" si="27"/>
        <v>0</v>
      </c>
      <c r="K318" s="107">
        <f t="shared" si="28"/>
        <v>0</v>
      </c>
    </row>
    <row r="319" spans="2:11" ht="20.100000000000001" customHeight="1">
      <c r="B319" s="123"/>
      <c r="C319" s="124"/>
      <c r="D319" s="125"/>
      <c r="E319" s="125"/>
      <c r="F319" s="116"/>
      <c r="G319" s="107" t="str">
        <f t="shared" si="24"/>
        <v/>
      </c>
      <c r="H319" s="106">
        <f t="shared" si="25"/>
        <v>38.6</v>
      </c>
      <c r="I319" s="107">
        <f t="shared" si="26"/>
        <v>0</v>
      </c>
      <c r="J319" s="107">
        <f t="shared" si="27"/>
        <v>0</v>
      </c>
      <c r="K319" s="107">
        <f t="shared" si="28"/>
        <v>0</v>
      </c>
    </row>
    <row r="320" spans="2:11" ht="20.100000000000001" customHeight="1">
      <c r="B320" s="123"/>
      <c r="C320" s="124"/>
      <c r="D320" s="125"/>
      <c r="E320" s="125"/>
      <c r="F320" s="116"/>
      <c r="G320" s="107" t="str">
        <f t="shared" si="24"/>
        <v/>
      </c>
      <c r="H320" s="106">
        <f t="shared" si="25"/>
        <v>38.6</v>
      </c>
      <c r="I320" s="107">
        <f t="shared" si="26"/>
        <v>0</v>
      </c>
      <c r="J320" s="107">
        <f t="shared" si="27"/>
        <v>0</v>
      </c>
      <c r="K320" s="107">
        <f t="shared" si="28"/>
        <v>0</v>
      </c>
    </row>
    <row r="321" spans="2:11" ht="20.100000000000001" customHeight="1">
      <c r="B321" s="123"/>
      <c r="C321" s="124"/>
      <c r="D321" s="125"/>
      <c r="E321" s="125"/>
      <c r="F321" s="116"/>
      <c r="G321" s="107" t="str">
        <f t="shared" si="24"/>
        <v/>
      </c>
      <c r="H321" s="106">
        <f t="shared" si="25"/>
        <v>38.6</v>
      </c>
      <c r="I321" s="107">
        <f t="shared" si="26"/>
        <v>0</v>
      </c>
      <c r="J321" s="107">
        <f t="shared" si="27"/>
        <v>0</v>
      </c>
      <c r="K321" s="107">
        <f t="shared" si="28"/>
        <v>0</v>
      </c>
    </row>
    <row r="322" spans="2:11" ht="20.100000000000001" customHeight="1">
      <c r="B322" s="123"/>
      <c r="C322" s="124"/>
      <c r="D322" s="125"/>
      <c r="E322" s="125"/>
      <c r="F322" s="116"/>
      <c r="G322" s="107" t="str">
        <f t="shared" si="24"/>
        <v/>
      </c>
      <c r="H322" s="106">
        <f t="shared" si="25"/>
        <v>38.6</v>
      </c>
      <c r="I322" s="107">
        <f t="shared" si="26"/>
        <v>0</v>
      </c>
      <c r="J322" s="107">
        <f t="shared" si="27"/>
        <v>0</v>
      </c>
      <c r="K322" s="107">
        <f t="shared" si="28"/>
        <v>0</v>
      </c>
    </row>
    <row r="323" spans="2:11" ht="20.100000000000001" customHeight="1">
      <c r="B323" s="123"/>
      <c r="C323" s="124"/>
      <c r="D323" s="125"/>
      <c r="E323" s="125"/>
      <c r="F323" s="116"/>
      <c r="G323" s="107" t="str">
        <f t="shared" si="24"/>
        <v/>
      </c>
      <c r="H323" s="106">
        <f t="shared" si="25"/>
        <v>38.6</v>
      </c>
      <c r="I323" s="107">
        <f t="shared" si="26"/>
        <v>0</v>
      </c>
      <c r="J323" s="107">
        <f t="shared" si="27"/>
        <v>0</v>
      </c>
      <c r="K323" s="107">
        <f t="shared" si="28"/>
        <v>0</v>
      </c>
    </row>
    <row r="324" spans="2:11" ht="20.100000000000001" customHeight="1">
      <c r="B324" s="123"/>
      <c r="C324" s="124"/>
      <c r="D324" s="125"/>
      <c r="E324" s="125"/>
      <c r="F324" s="116"/>
      <c r="G324" s="107" t="str">
        <f t="shared" si="24"/>
        <v/>
      </c>
      <c r="H324" s="106">
        <f t="shared" si="25"/>
        <v>38.6</v>
      </c>
      <c r="I324" s="107">
        <f t="shared" si="26"/>
        <v>0</v>
      </c>
      <c r="J324" s="107">
        <f t="shared" si="27"/>
        <v>0</v>
      </c>
      <c r="K324" s="107">
        <f t="shared" si="28"/>
        <v>0</v>
      </c>
    </row>
    <row r="325" spans="2:11" ht="20.100000000000001" customHeight="1">
      <c r="B325" s="123"/>
      <c r="C325" s="124"/>
      <c r="D325" s="125"/>
      <c r="E325" s="125"/>
      <c r="F325" s="116"/>
      <c r="G325" s="107" t="str">
        <f t="shared" si="24"/>
        <v/>
      </c>
      <c r="H325" s="106">
        <f t="shared" si="25"/>
        <v>38.6</v>
      </c>
      <c r="I325" s="107">
        <f t="shared" si="26"/>
        <v>0</v>
      </c>
      <c r="J325" s="107">
        <f t="shared" si="27"/>
        <v>0</v>
      </c>
      <c r="K325" s="107">
        <f t="shared" si="28"/>
        <v>0</v>
      </c>
    </row>
    <row r="326" spans="2:11" ht="20.100000000000001" customHeight="1">
      <c r="B326" s="123"/>
      <c r="C326" s="124"/>
      <c r="D326" s="125"/>
      <c r="E326" s="125"/>
      <c r="F326" s="116"/>
      <c r="G326" s="107" t="str">
        <f t="shared" si="24"/>
        <v/>
      </c>
      <c r="H326" s="106">
        <f t="shared" si="25"/>
        <v>38.6</v>
      </c>
      <c r="I326" s="107">
        <f t="shared" si="26"/>
        <v>0</v>
      </c>
      <c r="J326" s="107">
        <f t="shared" si="27"/>
        <v>0</v>
      </c>
      <c r="K326" s="107">
        <f t="shared" si="28"/>
        <v>0</v>
      </c>
    </row>
    <row r="327" spans="2:11" ht="20.100000000000001" customHeight="1">
      <c r="B327" s="123"/>
      <c r="C327" s="124"/>
      <c r="D327" s="125"/>
      <c r="E327" s="125"/>
      <c r="F327" s="116"/>
      <c r="G327" s="107" t="str">
        <f t="shared" si="24"/>
        <v/>
      </c>
      <c r="H327" s="106">
        <f t="shared" si="25"/>
        <v>38.6</v>
      </c>
      <c r="I327" s="107">
        <f t="shared" si="26"/>
        <v>0</v>
      </c>
      <c r="J327" s="107">
        <f t="shared" si="27"/>
        <v>0</v>
      </c>
      <c r="K327" s="107">
        <f t="shared" si="28"/>
        <v>0</v>
      </c>
    </row>
    <row r="328" spans="2:11" ht="20.100000000000001" customHeight="1">
      <c r="B328" s="123"/>
      <c r="C328" s="124"/>
      <c r="D328" s="125"/>
      <c r="E328" s="125"/>
      <c r="F328" s="116"/>
      <c r="G328" s="107" t="str">
        <f t="shared" si="24"/>
        <v/>
      </c>
      <c r="H328" s="106">
        <f t="shared" si="25"/>
        <v>38.6</v>
      </c>
      <c r="I328" s="107">
        <f t="shared" si="26"/>
        <v>0</v>
      </c>
      <c r="J328" s="107">
        <f t="shared" si="27"/>
        <v>0</v>
      </c>
      <c r="K328" s="107">
        <f t="shared" si="28"/>
        <v>0</v>
      </c>
    </row>
    <row r="329" spans="2:11" ht="20.100000000000001" customHeight="1">
      <c r="B329" s="123"/>
      <c r="C329" s="124"/>
      <c r="D329" s="125"/>
      <c r="E329" s="125"/>
      <c r="F329" s="116"/>
      <c r="G329" s="107" t="str">
        <f t="shared" si="24"/>
        <v/>
      </c>
      <c r="H329" s="106">
        <f t="shared" si="25"/>
        <v>38.6</v>
      </c>
      <c r="I329" s="107">
        <f t="shared" si="26"/>
        <v>0</v>
      </c>
      <c r="J329" s="107">
        <f t="shared" si="27"/>
        <v>0</v>
      </c>
      <c r="K329" s="107">
        <f t="shared" si="28"/>
        <v>0</v>
      </c>
    </row>
    <row r="330" spans="2:11" ht="20.100000000000001" customHeight="1">
      <c r="B330" s="123"/>
      <c r="C330" s="124"/>
      <c r="D330" s="125"/>
      <c r="E330" s="125"/>
      <c r="F330" s="116"/>
      <c r="G330" s="107" t="str">
        <f t="shared" si="24"/>
        <v/>
      </c>
      <c r="H330" s="106">
        <f t="shared" si="25"/>
        <v>38.6</v>
      </c>
      <c r="I330" s="107">
        <f t="shared" si="26"/>
        <v>0</v>
      </c>
      <c r="J330" s="107">
        <f t="shared" si="27"/>
        <v>0</v>
      </c>
      <c r="K330" s="107">
        <f t="shared" si="28"/>
        <v>0</v>
      </c>
    </row>
    <row r="331" spans="2:11" ht="20.100000000000001" customHeight="1">
      <c r="B331" s="123"/>
      <c r="C331" s="124"/>
      <c r="D331" s="125"/>
      <c r="E331" s="125"/>
      <c r="F331" s="116"/>
      <c r="G331" s="107" t="str">
        <f t="shared" si="24"/>
        <v/>
      </c>
      <c r="H331" s="106">
        <f t="shared" si="25"/>
        <v>38.6</v>
      </c>
      <c r="I331" s="107">
        <f t="shared" si="26"/>
        <v>0</v>
      </c>
      <c r="J331" s="107">
        <f t="shared" si="27"/>
        <v>0</v>
      </c>
      <c r="K331" s="107">
        <f t="shared" si="28"/>
        <v>0</v>
      </c>
    </row>
    <row r="332" spans="2:11" ht="20.100000000000001" customHeight="1">
      <c r="B332" s="123"/>
      <c r="C332" s="124"/>
      <c r="D332" s="125"/>
      <c r="E332" s="125"/>
      <c r="F332" s="116"/>
      <c r="G332" s="107" t="str">
        <f t="shared" si="24"/>
        <v/>
      </c>
      <c r="H332" s="106">
        <f t="shared" si="25"/>
        <v>38.6</v>
      </c>
      <c r="I332" s="107">
        <f t="shared" si="26"/>
        <v>0</v>
      </c>
      <c r="J332" s="107">
        <f t="shared" si="27"/>
        <v>0</v>
      </c>
      <c r="K332" s="107">
        <f t="shared" si="28"/>
        <v>0</v>
      </c>
    </row>
    <row r="333" spans="2:11" ht="20.100000000000001" customHeight="1">
      <c r="B333" s="123"/>
      <c r="C333" s="124"/>
      <c r="D333" s="125"/>
      <c r="E333" s="125"/>
      <c r="F333" s="116"/>
      <c r="G333" s="107" t="str">
        <f t="shared" si="24"/>
        <v/>
      </c>
      <c r="H333" s="106">
        <f t="shared" si="25"/>
        <v>38.6</v>
      </c>
      <c r="I333" s="107">
        <f t="shared" si="26"/>
        <v>0</v>
      </c>
      <c r="J333" s="107">
        <f t="shared" si="27"/>
        <v>0</v>
      </c>
      <c r="K333" s="107">
        <f t="shared" si="28"/>
        <v>0</v>
      </c>
    </row>
    <row r="334" spans="2:11" ht="20.100000000000001" customHeight="1">
      <c r="B334" s="123"/>
      <c r="C334" s="124"/>
      <c r="D334" s="125"/>
      <c r="E334" s="125"/>
      <c r="F334" s="116"/>
      <c r="G334" s="107" t="str">
        <f t="shared" si="24"/>
        <v/>
      </c>
      <c r="H334" s="106">
        <f t="shared" si="25"/>
        <v>38.6</v>
      </c>
      <c r="I334" s="107">
        <f t="shared" si="26"/>
        <v>0</v>
      </c>
      <c r="J334" s="107">
        <f t="shared" si="27"/>
        <v>0</v>
      </c>
      <c r="K334" s="107">
        <f t="shared" si="28"/>
        <v>0</v>
      </c>
    </row>
    <row r="335" spans="2:11" ht="20.100000000000001" customHeight="1">
      <c r="B335" s="123"/>
      <c r="C335" s="124"/>
      <c r="D335" s="125"/>
      <c r="E335" s="125"/>
      <c r="F335" s="116"/>
      <c r="G335" s="107" t="str">
        <f t="shared" si="24"/>
        <v/>
      </c>
      <c r="H335" s="106">
        <f t="shared" si="25"/>
        <v>38.6</v>
      </c>
      <c r="I335" s="107">
        <f t="shared" si="26"/>
        <v>0</v>
      </c>
      <c r="J335" s="107">
        <f t="shared" si="27"/>
        <v>0</v>
      </c>
      <c r="K335" s="107">
        <f t="shared" si="28"/>
        <v>0</v>
      </c>
    </row>
    <row r="336" spans="2:11" ht="20.100000000000001" customHeight="1">
      <c r="B336" s="123"/>
      <c r="C336" s="124"/>
      <c r="D336" s="125"/>
      <c r="E336" s="125"/>
      <c r="F336" s="116"/>
      <c r="G336" s="107" t="str">
        <f t="shared" si="24"/>
        <v/>
      </c>
      <c r="H336" s="106">
        <f t="shared" si="25"/>
        <v>38.6</v>
      </c>
      <c r="I336" s="107">
        <f t="shared" si="26"/>
        <v>0</v>
      </c>
      <c r="J336" s="107">
        <f t="shared" si="27"/>
        <v>0</v>
      </c>
      <c r="K336" s="107">
        <f t="shared" si="28"/>
        <v>0</v>
      </c>
    </row>
    <row r="337" spans="2:11" ht="20.100000000000001" customHeight="1">
      <c r="B337" s="123"/>
      <c r="C337" s="124"/>
      <c r="D337" s="125"/>
      <c r="E337" s="125"/>
      <c r="F337" s="116"/>
      <c r="G337" s="107" t="str">
        <f t="shared" si="24"/>
        <v/>
      </c>
      <c r="H337" s="106">
        <f t="shared" si="25"/>
        <v>38.6</v>
      </c>
      <c r="I337" s="107">
        <f t="shared" si="26"/>
        <v>0</v>
      </c>
      <c r="J337" s="107">
        <f t="shared" si="27"/>
        <v>0</v>
      </c>
      <c r="K337" s="107">
        <f t="shared" si="28"/>
        <v>0</v>
      </c>
    </row>
    <row r="338" spans="2:11" ht="20.100000000000001" customHeight="1">
      <c r="B338" s="123"/>
      <c r="C338" s="124"/>
      <c r="D338" s="125"/>
      <c r="E338" s="125"/>
      <c r="F338" s="116"/>
      <c r="G338" s="107" t="str">
        <f t="shared" si="24"/>
        <v/>
      </c>
      <c r="H338" s="106">
        <f t="shared" si="25"/>
        <v>38.6</v>
      </c>
      <c r="I338" s="107">
        <f t="shared" si="26"/>
        <v>0</v>
      </c>
      <c r="J338" s="107">
        <f t="shared" si="27"/>
        <v>0</v>
      </c>
      <c r="K338" s="107">
        <f t="shared" si="28"/>
        <v>0</v>
      </c>
    </row>
    <row r="339" spans="2:11" ht="20.100000000000001" customHeight="1">
      <c r="B339" s="123"/>
      <c r="C339" s="124"/>
      <c r="D339" s="125"/>
      <c r="E339" s="125"/>
      <c r="F339" s="116"/>
      <c r="G339" s="107" t="str">
        <f t="shared" si="24"/>
        <v/>
      </c>
      <c r="H339" s="106">
        <f t="shared" si="25"/>
        <v>38.6</v>
      </c>
      <c r="I339" s="107">
        <f t="shared" si="26"/>
        <v>0</v>
      </c>
      <c r="J339" s="107">
        <f t="shared" si="27"/>
        <v>0</v>
      </c>
      <c r="K339" s="107">
        <f t="shared" si="28"/>
        <v>0</v>
      </c>
    </row>
    <row r="340" spans="2:11" ht="20.100000000000001" customHeight="1" thickBot="1">
      <c r="B340" s="126"/>
      <c r="C340" s="127"/>
      <c r="D340" s="128"/>
      <c r="E340" s="128"/>
      <c r="F340" s="119"/>
      <c r="G340" s="107" t="str">
        <f t="shared" si="24"/>
        <v/>
      </c>
      <c r="H340" s="106">
        <f t="shared" si="25"/>
        <v>38.6</v>
      </c>
      <c r="I340" s="107">
        <f t="shared" si="26"/>
        <v>0</v>
      </c>
      <c r="J340" s="107">
        <f t="shared" si="27"/>
        <v>0</v>
      </c>
      <c r="K340" s="107">
        <f t="shared" si="28"/>
        <v>0</v>
      </c>
    </row>
    <row r="341" spans="2:11" ht="20.100000000000001" customHeight="1"/>
    <row r="342" spans="2:11" ht="20.100000000000001" customHeight="1">
      <c r="B342" s="316" t="s">
        <v>1230</v>
      </c>
      <c r="C342" s="316"/>
      <c r="D342" s="316"/>
      <c r="E342" s="316"/>
      <c r="F342" s="316"/>
      <c r="G342" s="316"/>
      <c r="H342" s="316"/>
      <c r="I342" s="316"/>
      <c r="J342" s="316"/>
      <c r="K342" s="316"/>
    </row>
    <row r="343" spans="2:11" ht="20.100000000000001" customHeight="1" thickBot="1"/>
    <row r="344" spans="2:11" ht="20.100000000000001" customHeight="1">
      <c r="B344" s="78" t="s">
        <v>471</v>
      </c>
      <c r="C344" s="99" t="s">
        <v>1261</v>
      </c>
      <c r="E344" s="78" t="s">
        <v>475</v>
      </c>
      <c r="F344" s="563"/>
      <c r="G344" s="564"/>
      <c r="H344" s="564"/>
      <c r="I344" s="565"/>
    </row>
    <row r="345" spans="2:11" ht="20.100000000000001" customHeight="1">
      <c r="B345" s="78" t="s">
        <v>477</v>
      </c>
      <c r="C345" s="99" t="str">
        <f>IF(C344="Electricity",VLOOKUP($C$12,'NGER Emission Factors old'!$A$23:$J$34,2,FALSE),IF(C344="GreenPower",VLOOKUP(C344,'NGER Emission Factors old'!$A$23:$J$35,2,FALSE),VLOOKUP(C344,'NGER Emission Factors old'!$A$5:$J$18,2,FALSE)))</f>
        <v>Scope 1</v>
      </c>
      <c r="E345" s="613" t="s">
        <v>479</v>
      </c>
      <c r="F345" s="622"/>
      <c r="G345" s="623"/>
      <c r="H345" s="623"/>
      <c r="I345" s="624"/>
    </row>
    <row r="346" spans="2:11" ht="20.100000000000001" customHeight="1" thickBot="1">
      <c r="B346" s="78" t="s">
        <v>483</v>
      </c>
      <c r="C346" s="194" t="b">
        <f>'15C Building Details'!C195</f>
        <v>0</v>
      </c>
      <c r="D346" s="317"/>
      <c r="E346" s="614"/>
      <c r="F346" s="566"/>
      <c r="G346" s="567"/>
      <c r="H346" s="567"/>
      <c r="I346" s="568"/>
    </row>
    <row r="347" spans="2:11" ht="20.100000000000001" customHeight="1">
      <c r="B347" s="78" t="s">
        <v>485</v>
      </c>
      <c r="C347" s="194" t="str">
        <f>'15C Building Details'!C196</f>
        <v>Tonnes</v>
      </c>
    </row>
    <row r="348" spans="2:11" ht="20.100000000000001" customHeight="1">
      <c r="B348" s="78" t="s">
        <v>487</v>
      </c>
      <c r="C348" s="194">
        <f>'15C Building Details'!C197</f>
        <v>27</v>
      </c>
      <c r="E348" s="11" t="s">
        <v>489</v>
      </c>
    </row>
    <row r="349" spans="2:11" ht="20.100000000000001" customHeight="1">
      <c r="G349" s="14"/>
      <c r="J349" s="11"/>
    </row>
    <row r="350" spans="2:11" ht="20.100000000000001" customHeight="1"/>
    <row r="351" spans="2:11" ht="40.200000000000003" customHeight="1" thickBot="1">
      <c r="B351" s="78" t="s">
        <v>491</v>
      </c>
      <c r="C351" s="78" t="s">
        <v>493</v>
      </c>
      <c r="D351" s="78" t="s">
        <v>495</v>
      </c>
      <c r="E351" s="78" t="s">
        <v>497</v>
      </c>
      <c r="F351" s="78" t="str">
        <f>"Billed Quantity ("&amp;C347&amp;")"</f>
        <v>Billed Quantity (Tonnes)</v>
      </c>
      <c r="G351" s="78" t="s">
        <v>501</v>
      </c>
      <c r="H351" s="78" t="s">
        <v>487</v>
      </c>
      <c r="I351" s="78" t="s">
        <v>1257</v>
      </c>
      <c r="J351" s="78" t="s">
        <v>1258</v>
      </c>
      <c r="K351" s="78" t="s">
        <v>1259</v>
      </c>
    </row>
    <row r="352" spans="2:11" ht="20.100000000000001" customHeight="1">
      <c r="B352" s="120"/>
      <c r="C352" s="121"/>
      <c r="D352" s="122"/>
      <c r="E352" s="122"/>
      <c r="F352" s="113"/>
      <c r="G352" s="107" t="str">
        <f t="shared" ref="G352:G387" si="29">IF(ISBLANK(D352),"",E352-D352+1)</f>
        <v/>
      </c>
      <c r="H352" s="106">
        <f t="shared" ref="H352:H387" si="30">$C$348</f>
        <v>27</v>
      </c>
      <c r="I352" s="107">
        <f t="shared" ref="I352:I387" si="31">IF(F352&gt;0,F352*H352*IF(OR(D352&gt;$H$9,E352&lt;$H$8), 0, IF(D352&lt;$H$8,E352-$H$8,IF($H$9&lt;E352,E352-$H$9,G352)))/G352,0)</f>
        <v>0</v>
      </c>
      <c r="J352" s="107">
        <f t="shared" ref="J352:J387" si="32">IF(F352&gt;0,F352*H352*IF(OR(D352&gt;$I$9,E352&lt;$I$8), 0, IF(D352&lt;$I$8,E352-$I$8,IF($I$9&lt;E352,E352-$I$9,G352)))/G352,0)</f>
        <v>0</v>
      </c>
      <c r="K352" s="107">
        <f t="shared" ref="K352:K387" si="33">IF(F352&gt;0,F352*H352*IF(OR(D352&gt;$J$9,E352&lt;$J$8), 0, IF(D352&lt;$J$8,E352-$J$8,IF($J$9&lt;E352,E352-$J$9,G352)))/G352,0)</f>
        <v>0</v>
      </c>
    </row>
    <row r="353" spans="2:11" ht="20.100000000000001" customHeight="1">
      <c r="B353" s="123"/>
      <c r="C353" s="124"/>
      <c r="D353" s="125"/>
      <c r="E353" s="125"/>
      <c r="F353" s="116"/>
      <c r="G353" s="107" t="str">
        <f t="shared" si="29"/>
        <v/>
      </c>
      <c r="H353" s="106">
        <f t="shared" si="30"/>
        <v>27</v>
      </c>
      <c r="I353" s="107">
        <f t="shared" si="31"/>
        <v>0</v>
      </c>
      <c r="J353" s="107">
        <f t="shared" si="32"/>
        <v>0</v>
      </c>
      <c r="K353" s="107">
        <f t="shared" si="33"/>
        <v>0</v>
      </c>
    </row>
    <row r="354" spans="2:11" ht="20.100000000000001" customHeight="1">
      <c r="B354" s="123"/>
      <c r="C354" s="124"/>
      <c r="D354" s="125"/>
      <c r="E354" s="125"/>
      <c r="F354" s="116"/>
      <c r="G354" s="107" t="str">
        <f t="shared" si="29"/>
        <v/>
      </c>
      <c r="H354" s="106">
        <f t="shared" si="30"/>
        <v>27</v>
      </c>
      <c r="I354" s="107">
        <f t="shared" si="31"/>
        <v>0</v>
      </c>
      <c r="J354" s="107">
        <f t="shared" si="32"/>
        <v>0</v>
      </c>
      <c r="K354" s="107">
        <f t="shared" si="33"/>
        <v>0</v>
      </c>
    </row>
    <row r="355" spans="2:11" ht="20.100000000000001" customHeight="1">
      <c r="B355" s="123"/>
      <c r="C355" s="124"/>
      <c r="D355" s="125"/>
      <c r="E355" s="125"/>
      <c r="F355" s="116"/>
      <c r="G355" s="107" t="str">
        <f t="shared" si="29"/>
        <v/>
      </c>
      <c r="H355" s="106">
        <f t="shared" si="30"/>
        <v>27</v>
      </c>
      <c r="I355" s="107">
        <f t="shared" si="31"/>
        <v>0</v>
      </c>
      <c r="J355" s="107">
        <f t="shared" si="32"/>
        <v>0</v>
      </c>
      <c r="K355" s="107">
        <f t="shared" si="33"/>
        <v>0</v>
      </c>
    </row>
    <row r="356" spans="2:11" ht="20.100000000000001" customHeight="1">
      <c r="B356" s="123"/>
      <c r="C356" s="124"/>
      <c r="D356" s="125"/>
      <c r="E356" s="125"/>
      <c r="F356" s="116"/>
      <c r="G356" s="107" t="str">
        <f t="shared" si="29"/>
        <v/>
      </c>
      <c r="H356" s="106">
        <f t="shared" si="30"/>
        <v>27</v>
      </c>
      <c r="I356" s="107">
        <f t="shared" si="31"/>
        <v>0</v>
      </c>
      <c r="J356" s="107">
        <f t="shared" si="32"/>
        <v>0</v>
      </c>
      <c r="K356" s="107">
        <f t="shared" si="33"/>
        <v>0</v>
      </c>
    </row>
    <row r="357" spans="2:11" ht="20.100000000000001" customHeight="1">
      <c r="B357" s="123"/>
      <c r="C357" s="124"/>
      <c r="D357" s="125"/>
      <c r="E357" s="125"/>
      <c r="F357" s="116"/>
      <c r="G357" s="107" t="str">
        <f t="shared" si="29"/>
        <v/>
      </c>
      <c r="H357" s="106">
        <f t="shared" si="30"/>
        <v>27</v>
      </c>
      <c r="I357" s="107">
        <f t="shared" si="31"/>
        <v>0</v>
      </c>
      <c r="J357" s="107">
        <f t="shared" si="32"/>
        <v>0</v>
      </c>
      <c r="K357" s="107">
        <f t="shared" si="33"/>
        <v>0</v>
      </c>
    </row>
    <row r="358" spans="2:11" ht="20.100000000000001" customHeight="1">
      <c r="B358" s="123"/>
      <c r="C358" s="124"/>
      <c r="D358" s="125"/>
      <c r="E358" s="125"/>
      <c r="F358" s="116"/>
      <c r="G358" s="107" t="str">
        <f t="shared" si="29"/>
        <v/>
      </c>
      <c r="H358" s="106">
        <f t="shared" si="30"/>
        <v>27</v>
      </c>
      <c r="I358" s="107">
        <f t="shared" si="31"/>
        <v>0</v>
      </c>
      <c r="J358" s="107">
        <f t="shared" si="32"/>
        <v>0</v>
      </c>
      <c r="K358" s="107">
        <f t="shared" si="33"/>
        <v>0</v>
      </c>
    </row>
    <row r="359" spans="2:11" ht="20.100000000000001" customHeight="1">
      <c r="B359" s="123"/>
      <c r="C359" s="124"/>
      <c r="D359" s="125"/>
      <c r="E359" s="125"/>
      <c r="F359" s="116"/>
      <c r="G359" s="107" t="str">
        <f t="shared" si="29"/>
        <v/>
      </c>
      <c r="H359" s="106">
        <f t="shared" si="30"/>
        <v>27</v>
      </c>
      <c r="I359" s="107">
        <f t="shared" si="31"/>
        <v>0</v>
      </c>
      <c r="J359" s="107">
        <f t="shared" si="32"/>
        <v>0</v>
      </c>
      <c r="K359" s="107">
        <f t="shared" si="33"/>
        <v>0</v>
      </c>
    </row>
    <row r="360" spans="2:11" ht="20.100000000000001" customHeight="1">
      <c r="B360" s="123"/>
      <c r="C360" s="124"/>
      <c r="D360" s="125"/>
      <c r="E360" s="125"/>
      <c r="F360" s="116"/>
      <c r="G360" s="107" t="str">
        <f t="shared" si="29"/>
        <v/>
      </c>
      <c r="H360" s="106">
        <f t="shared" si="30"/>
        <v>27</v>
      </c>
      <c r="I360" s="107">
        <f t="shared" si="31"/>
        <v>0</v>
      </c>
      <c r="J360" s="107">
        <f t="shared" si="32"/>
        <v>0</v>
      </c>
      <c r="K360" s="107">
        <f t="shared" si="33"/>
        <v>0</v>
      </c>
    </row>
    <row r="361" spans="2:11" ht="20.100000000000001" customHeight="1">
      <c r="B361" s="123"/>
      <c r="C361" s="124"/>
      <c r="D361" s="125"/>
      <c r="E361" s="125"/>
      <c r="F361" s="116"/>
      <c r="G361" s="107" t="str">
        <f t="shared" si="29"/>
        <v/>
      </c>
      <c r="H361" s="106">
        <f t="shared" si="30"/>
        <v>27</v>
      </c>
      <c r="I361" s="107">
        <f t="shared" si="31"/>
        <v>0</v>
      </c>
      <c r="J361" s="107">
        <f t="shared" si="32"/>
        <v>0</v>
      </c>
      <c r="K361" s="107">
        <f t="shared" si="33"/>
        <v>0</v>
      </c>
    </row>
    <row r="362" spans="2:11" ht="20.100000000000001" customHeight="1">
      <c r="B362" s="123"/>
      <c r="C362" s="124"/>
      <c r="D362" s="125"/>
      <c r="E362" s="125"/>
      <c r="F362" s="116"/>
      <c r="G362" s="107" t="str">
        <f t="shared" si="29"/>
        <v/>
      </c>
      <c r="H362" s="106">
        <f t="shared" si="30"/>
        <v>27</v>
      </c>
      <c r="I362" s="107">
        <f t="shared" si="31"/>
        <v>0</v>
      </c>
      <c r="J362" s="107">
        <f t="shared" si="32"/>
        <v>0</v>
      </c>
      <c r="K362" s="107">
        <f t="shared" si="33"/>
        <v>0</v>
      </c>
    </row>
    <row r="363" spans="2:11" ht="20.100000000000001" customHeight="1">
      <c r="B363" s="123"/>
      <c r="C363" s="124"/>
      <c r="D363" s="125"/>
      <c r="E363" s="125"/>
      <c r="F363" s="116"/>
      <c r="G363" s="107" t="str">
        <f t="shared" si="29"/>
        <v/>
      </c>
      <c r="H363" s="106">
        <f t="shared" si="30"/>
        <v>27</v>
      </c>
      <c r="I363" s="107">
        <f t="shared" si="31"/>
        <v>0</v>
      </c>
      <c r="J363" s="107">
        <f t="shared" si="32"/>
        <v>0</v>
      </c>
      <c r="K363" s="107">
        <f t="shared" si="33"/>
        <v>0</v>
      </c>
    </row>
    <row r="364" spans="2:11" ht="20.100000000000001" customHeight="1">
      <c r="B364" s="123"/>
      <c r="C364" s="124"/>
      <c r="D364" s="125"/>
      <c r="E364" s="125"/>
      <c r="F364" s="116"/>
      <c r="G364" s="107" t="str">
        <f t="shared" si="29"/>
        <v/>
      </c>
      <c r="H364" s="106">
        <f t="shared" si="30"/>
        <v>27</v>
      </c>
      <c r="I364" s="107">
        <f t="shared" si="31"/>
        <v>0</v>
      </c>
      <c r="J364" s="107">
        <f t="shared" si="32"/>
        <v>0</v>
      </c>
      <c r="K364" s="107">
        <f t="shared" si="33"/>
        <v>0</v>
      </c>
    </row>
    <row r="365" spans="2:11" ht="20.100000000000001" customHeight="1">
      <c r="B365" s="123"/>
      <c r="C365" s="124"/>
      <c r="D365" s="125"/>
      <c r="E365" s="125"/>
      <c r="F365" s="116"/>
      <c r="G365" s="107" t="str">
        <f t="shared" si="29"/>
        <v/>
      </c>
      <c r="H365" s="106">
        <f t="shared" si="30"/>
        <v>27</v>
      </c>
      <c r="I365" s="107">
        <f t="shared" si="31"/>
        <v>0</v>
      </c>
      <c r="J365" s="107">
        <f t="shared" si="32"/>
        <v>0</v>
      </c>
      <c r="K365" s="107">
        <f t="shared" si="33"/>
        <v>0</v>
      </c>
    </row>
    <row r="366" spans="2:11" ht="20.100000000000001" customHeight="1">
      <c r="B366" s="123"/>
      <c r="C366" s="124"/>
      <c r="D366" s="125"/>
      <c r="E366" s="125"/>
      <c r="F366" s="116"/>
      <c r="G366" s="107" t="str">
        <f t="shared" si="29"/>
        <v/>
      </c>
      <c r="H366" s="106">
        <f t="shared" si="30"/>
        <v>27</v>
      </c>
      <c r="I366" s="107">
        <f t="shared" si="31"/>
        <v>0</v>
      </c>
      <c r="J366" s="107">
        <f t="shared" si="32"/>
        <v>0</v>
      </c>
      <c r="K366" s="107">
        <f t="shared" si="33"/>
        <v>0</v>
      </c>
    </row>
    <row r="367" spans="2:11" ht="20.100000000000001" customHeight="1">
      <c r="B367" s="123"/>
      <c r="C367" s="124"/>
      <c r="D367" s="125"/>
      <c r="E367" s="125"/>
      <c r="F367" s="116"/>
      <c r="G367" s="107" t="str">
        <f t="shared" si="29"/>
        <v/>
      </c>
      <c r="H367" s="106">
        <f t="shared" si="30"/>
        <v>27</v>
      </c>
      <c r="I367" s="107">
        <f t="shared" si="31"/>
        <v>0</v>
      </c>
      <c r="J367" s="107">
        <f t="shared" si="32"/>
        <v>0</v>
      </c>
      <c r="K367" s="107">
        <f t="shared" si="33"/>
        <v>0</v>
      </c>
    </row>
    <row r="368" spans="2:11" ht="20.100000000000001" customHeight="1">
      <c r="B368" s="123"/>
      <c r="C368" s="124"/>
      <c r="D368" s="125"/>
      <c r="E368" s="125"/>
      <c r="F368" s="116"/>
      <c r="G368" s="107" t="str">
        <f t="shared" si="29"/>
        <v/>
      </c>
      <c r="H368" s="106">
        <f t="shared" si="30"/>
        <v>27</v>
      </c>
      <c r="I368" s="107">
        <f t="shared" si="31"/>
        <v>0</v>
      </c>
      <c r="J368" s="107">
        <f t="shared" si="32"/>
        <v>0</v>
      </c>
      <c r="K368" s="107">
        <f t="shared" si="33"/>
        <v>0</v>
      </c>
    </row>
    <row r="369" spans="2:11" ht="20.100000000000001" customHeight="1">
      <c r="B369" s="123"/>
      <c r="C369" s="124"/>
      <c r="D369" s="125"/>
      <c r="E369" s="125"/>
      <c r="F369" s="116"/>
      <c r="G369" s="107" t="str">
        <f t="shared" si="29"/>
        <v/>
      </c>
      <c r="H369" s="106">
        <f t="shared" si="30"/>
        <v>27</v>
      </c>
      <c r="I369" s="107">
        <f t="shared" si="31"/>
        <v>0</v>
      </c>
      <c r="J369" s="107">
        <f t="shared" si="32"/>
        <v>0</v>
      </c>
      <c r="K369" s="107">
        <f t="shared" si="33"/>
        <v>0</v>
      </c>
    </row>
    <row r="370" spans="2:11" ht="20.100000000000001" customHeight="1">
      <c r="B370" s="123"/>
      <c r="C370" s="124"/>
      <c r="D370" s="125"/>
      <c r="E370" s="125"/>
      <c r="F370" s="116"/>
      <c r="G370" s="107" t="str">
        <f t="shared" si="29"/>
        <v/>
      </c>
      <c r="H370" s="106">
        <f t="shared" si="30"/>
        <v>27</v>
      </c>
      <c r="I370" s="107">
        <f t="shared" si="31"/>
        <v>0</v>
      </c>
      <c r="J370" s="107">
        <f t="shared" si="32"/>
        <v>0</v>
      </c>
      <c r="K370" s="107">
        <f t="shared" si="33"/>
        <v>0</v>
      </c>
    </row>
    <row r="371" spans="2:11" ht="20.100000000000001" customHeight="1">
      <c r="B371" s="123"/>
      <c r="C371" s="124"/>
      <c r="D371" s="125"/>
      <c r="E371" s="125"/>
      <c r="F371" s="116"/>
      <c r="G371" s="107" t="str">
        <f t="shared" si="29"/>
        <v/>
      </c>
      <c r="H371" s="106">
        <f t="shared" si="30"/>
        <v>27</v>
      </c>
      <c r="I371" s="107">
        <f t="shared" si="31"/>
        <v>0</v>
      </c>
      <c r="J371" s="107">
        <f t="shared" si="32"/>
        <v>0</v>
      </c>
      <c r="K371" s="107">
        <f t="shared" si="33"/>
        <v>0</v>
      </c>
    </row>
    <row r="372" spans="2:11" ht="20.100000000000001" customHeight="1">
      <c r="B372" s="123"/>
      <c r="C372" s="124"/>
      <c r="D372" s="125"/>
      <c r="E372" s="125"/>
      <c r="F372" s="116"/>
      <c r="G372" s="107" t="str">
        <f t="shared" si="29"/>
        <v/>
      </c>
      <c r="H372" s="106">
        <f t="shared" si="30"/>
        <v>27</v>
      </c>
      <c r="I372" s="107">
        <f t="shared" si="31"/>
        <v>0</v>
      </c>
      <c r="J372" s="107">
        <f t="shared" si="32"/>
        <v>0</v>
      </c>
      <c r="K372" s="107">
        <f t="shared" si="33"/>
        <v>0</v>
      </c>
    </row>
    <row r="373" spans="2:11" ht="20.100000000000001" customHeight="1">
      <c r="B373" s="123"/>
      <c r="C373" s="124"/>
      <c r="D373" s="125"/>
      <c r="E373" s="125"/>
      <c r="F373" s="116"/>
      <c r="G373" s="107" t="str">
        <f t="shared" si="29"/>
        <v/>
      </c>
      <c r="H373" s="106">
        <f t="shared" si="30"/>
        <v>27</v>
      </c>
      <c r="I373" s="107">
        <f t="shared" si="31"/>
        <v>0</v>
      </c>
      <c r="J373" s="107">
        <f t="shared" si="32"/>
        <v>0</v>
      </c>
      <c r="K373" s="107">
        <f t="shared" si="33"/>
        <v>0</v>
      </c>
    </row>
    <row r="374" spans="2:11" ht="20.100000000000001" customHeight="1">
      <c r="B374" s="123"/>
      <c r="C374" s="124"/>
      <c r="D374" s="125"/>
      <c r="E374" s="125"/>
      <c r="F374" s="116"/>
      <c r="G374" s="107" t="str">
        <f t="shared" si="29"/>
        <v/>
      </c>
      <c r="H374" s="106">
        <f t="shared" si="30"/>
        <v>27</v>
      </c>
      <c r="I374" s="107">
        <f t="shared" si="31"/>
        <v>0</v>
      </c>
      <c r="J374" s="107">
        <f t="shared" si="32"/>
        <v>0</v>
      </c>
      <c r="K374" s="107">
        <f t="shared" si="33"/>
        <v>0</v>
      </c>
    </row>
    <row r="375" spans="2:11" ht="20.100000000000001" customHeight="1">
      <c r="B375" s="123"/>
      <c r="C375" s="124"/>
      <c r="D375" s="125"/>
      <c r="E375" s="125"/>
      <c r="F375" s="116"/>
      <c r="G375" s="107" t="str">
        <f t="shared" si="29"/>
        <v/>
      </c>
      <c r="H375" s="106">
        <f t="shared" si="30"/>
        <v>27</v>
      </c>
      <c r="I375" s="107">
        <f t="shared" si="31"/>
        <v>0</v>
      </c>
      <c r="J375" s="107">
        <f t="shared" si="32"/>
        <v>0</v>
      </c>
      <c r="K375" s="107">
        <f t="shared" si="33"/>
        <v>0</v>
      </c>
    </row>
    <row r="376" spans="2:11" ht="20.100000000000001" customHeight="1">
      <c r="B376" s="123"/>
      <c r="C376" s="124"/>
      <c r="D376" s="125"/>
      <c r="E376" s="125"/>
      <c r="F376" s="116"/>
      <c r="G376" s="107" t="str">
        <f t="shared" si="29"/>
        <v/>
      </c>
      <c r="H376" s="106">
        <f t="shared" si="30"/>
        <v>27</v>
      </c>
      <c r="I376" s="107">
        <f t="shared" si="31"/>
        <v>0</v>
      </c>
      <c r="J376" s="107">
        <f t="shared" si="32"/>
        <v>0</v>
      </c>
      <c r="K376" s="107">
        <f t="shared" si="33"/>
        <v>0</v>
      </c>
    </row>
    <row r="377" spans="2:11" ht="20.100000000000001" customHeight="1">
      <c r="B377" s="123"/>
      <c r="C377" s="124"/>
      <c r="D377" s="125"/>
      <c r="E377" s="125"/>
      <c r="F377" s="116"/>
      <c r="G377" s="107" t="str">
        <f t="shared" si="29"/>
        <v/>
      </c>
      <c r="H377" s="106">
        <f t="shared" si="30"/>
        <v>27</v>
      </c>
      <c r="I377" s="107">
        <f t="shared" si="31"/>
        <v>0</v>
      </c>
      <c r="J377" s="107">
        <f t="shared" si="32"/>
        <v>0</v>
      </c>
      <c r="K377" s="107">
        <f t="shared" si="33"/>
        <v>0</v>
      </c>
    </row>
    <row r="378" spans="2:11" ht="20.100000000000001" customHeight="1">
      <c r="B378" s="123"/>
      <c r="C378" s="124"/>
      <c r="D378" s="125"/>
      <c r="E378" s="125"/>
      <c r="F378" s="116"/>
      <c r="G378" s="107" t="str">
        <f t="shared" si="29"/>
        <v/>
      </c>
      <c r="H378" s="106">
        <f t="shared" si="30"/>
        <v>27</v>
      </c>
      <c r="I378" s="107">
        <f t="shared" si="31"/>
        <v>0</v>
      </c>
      <c r="J378" s="107">
        <f t="shared" si="32"/>
        <v>0</v>
      </c>
      <c r="K378" s="107">
        <f t="shared" si="33"/>
        <v>0</v>
      </c>
    </row>
    <row r="379" spans="2:11" ht="20.100000000000001" customHeight="1">
      <c r="B379" s="123"/>
      <c r="C379" s="124"/>
      <c r="D379" s="125"/>
      <c r="E379" s="125"/>
      <c r="F379" s="116"/>
      <c r="G379" s="107" t="str">
        <f t="shared" si="29"/>
        <v/>
      </c>
      <c r="H379" s="106">
        <f t="shared" si="30"/>
        <v>27</v>
      </c>
      <c r="I379" s="107">
        <f t="shared" si="31"/>
        <v>0</v>
      </c>
      <c r="J379" s="107">
        <f t="shared" si="32"/>
        <v>0</v>
      </c>
      <c r="K379" s="107">
        <f t="shared" si="33"/>
        <v>0</v>
      </c>
    </row>
    <row r="380" spans="2:11" ht="20.100000000000001" customHeight="1">
      <c r="B380" s="123"/>
      <c r="C380" s="124"/>
      <c r="D380" s="125"/>
      <c r="E380" s="125"/>
      <c r="F380" s="116"/>
      <c r="G380" s="107" t="str">
        <f t="shared" si="29"/>
        <v/>
      </c>
      <c r="H380" s="106">
        <f t="shared" si="30"/>
        <v>27</v>
      </c>
      <c r="I380" s="107">
        <f t="shared" si="31"/>
        <v>0</v>
      </c>
      <c r="J380" s="107">
        <f t="shared" si="32"/>
        <v>0</v>
      </c>
      <c r="K380" s="107">
        <f t="shared" si="33"/>
        <v>0</v>
      </c>
    </row>
    <row r="381" spans="2:11" ht="20.100000000000001" customHeight="1">
      <c r="B381" s="123"/>
      <c r="C381" s="124"/>
      <c r="D381" s="125"/>
      <c r="E381" s="125"/>
      <c r="F381" s="116"/>
      <c r="G381" s="107" t="str">
        <f t="shared" si="29"/>
        <v/>
      </c>
      <c r="H381" s="106">
        <f t="shared" si="30"/>
        <v>27</v>
      </c>
      <c r="I381" s="107">
        <f t="shared" si="31"/>
        <v>0</v>
      </c>
      <c r="J381" s="107">
        <f t="shared" si="32"/>
        <v>0</v>
      </c>
      <c r="K381" s="107">
        <f t="shared" si="33"/>
        <v>0</v>
      </c>
    </row>
    <row r="382" spans="2:11" ht="20.100000000000001" customHeight="1">
      <c r="B382" s="123"/>
      <c r="C382" s="124"/>
      <c r="D382" s="125"/>
      <c r="E382" s="125"/>
      <c r="F382" s="116"/>
      <c r="G382" s="107" t="str">
        <f t="shared" si="29"/>
        <v/>
      </c>
      <c r="H382" s="106">
        <f t="shared" si="30"/>
        <v>27</v>
      </c>
      <c r="I382" s="107">
        <f t="shared" si="31"/>
        <v>0</v>
      </c>
      <c r="J382" s="107">
        <f t="shared" si="32"/>
        <v>0</v>
      </c>
      <c r="K382" s="107">
        <f t="shared" si="33"/>
        <v>0</v>
      </c>
    </row>
    <row r="383" spans="2:11" ht="20.100000000000001" customHeight="1">
      <c r="B383" s="123"/>
      <c r="C383" s="124"/>
      <c r="D383" s="125"/>
      <c r="E383" s="125"/>
      <c r="F383" s="116"/>
      <c r="G383" s="107" t="str">
        <f t="shared" si="29"/>
        <v/>
      </c>
      <c r="H383" s="106">
        <f t="shared" si="30"/>
        <v>27</v>
      </c>
      <c r="I383" s="107">
        <f t="shared" si="31"/>
        <v>0</v>
      </c>
      <c r="J383" s="107">
        <f t="shared" si="32"/>
        <v>0</v>
      </c>
      <c r="K383" s="107">
        <f t="shared" si="33"/>
        <v>0</v>
      </c>
    </row>
    <row r="384" spans="2:11" ht="20.100000000000001" customHeight="1">
      <c r="B384" s="123"/>
      <c r="C384" s="124"/>
      <c r="D384" s="125"/>
      <c r="E384" s="125"/>
      <c r="F384" s="116"/>
      <c r="G384" s="107" t="str">
        <f t="shared" si="29"/>
        <v/>
      </c>
      <c r="H384" s="106">
        <f t="shared" si="30"/>
        <v>27</v>
      </c>
      <c r="I384" s="107">
        <f t="shared" si="31"/>
        <v>0</v>
      </c>
      <c r="J384" s="107">
        <f t="shared" si="32"/>
        <v>0</v>
      </c>
      <c r="K384" s="107">
        <f t="shared" si="33"/>
        <v>0</v>
      </c>
    </row>
    <row r="385" spans="2:11" ht="20.100000000000001" customHeight="1">
      <c r="B385" s="123"/>
      <c r="C385" s="124"/>
      <c r="D385" s="125"/>
      <c r="E385" s="125"/>
      <c r="F385" s="116"/>
      <c r="G385" s="107" t="str">
        <f t="shared" si="29"/>
        <v/>
      </c>
      <c r="H385" s="106">
        <f t="shared" si="30"/>
        <v>27</v>
      </c>
      <c r="I385" s="107">
        <f t="shared" si="31"/>
        <v>0</v>
      </c>
      <c r="J385" s="107">
        <f t="shared" si="32"/>
        <v>0</v>
      </c>
      <c r="K385" s="107">
        <f t="shared" si="33"/>
        <v>0</v>
      </c>
    </row>
    <row r="386" spans="2:11" ht="20.100000000000001" customHeight="1">
      <c r="B386" s="123"/>
      <c r="C386" s="124"/>
      <c r="D386" s="125"/>
      <c r="E386" s="125"/>
      <c r="F386" s="116"/>
      <c r="G386" s="107" t="str">
        <f t="shared" si="29"/>
        <v/>
      </c>
      <c r="H386" s="106">
        <f t="shared" si="30"/>
        <v>27</v>
      </c>
      <c r="I386" s="107">
        <f t="shared" si="31"/>
        <v>0</v>
      </c>
      <c r="J386" s="107">
        <f t="shared" si="32"/>
        <v>0</v>
      </c>
      <c r="K386" s="107">
        <f t="shared" si="33"/>
        <v>0</v>
      </c>
    </row>
    <row r="387" spans="2:11" ht="20.100000000000001" customHeight="1" thickBot="1">
      <c r="B387" s="126"/>
      <c r="C387" s="127"/>
      <c r="D387" s="128"/>
      <c r="E387" s="128"/>
      <c r="F387" s="119"/>
      <c r="G387" s="107" t="str">
        <f t="shared" si="29"/>
        <v/>
      </c>
      <c r="H387" s="106">
        <f t="shared" si="30"/>
        <v>27</v>
      </c>
      <c r="I387" s="107">
        <f t="shared" si="31"/>
        <v>0</v>
      </c>
      <c r="J387" s="107">
        <f t="shared" si="32"/>
        <v>0</v>
      </c>
      <c r="K387" s="107">
        <f t="shared" si="33"/>
        <v>0</v>
      </c>
    </row>
    <row r="388" spans="2:11" ht="20.100000000000001" customHeight="1"/>
    <row r="389" spans="2:11" ht="20.100000000000001" customHeight="1">
      <c r="B389" s="316" t="s">
        <v>1232</v>
      </c>
      <c r="C389" s="316"/>
      <c r="D389" s="316"/>
      <c r="E389" s="316"/>
      <c r="F389" s="316"/>
      <c r="G389" s="316"/>
      <c r="H389" s="316"/>
      <c r="I389" s="316"/>
      <c r="J389" s="316"/>
      <c r="K389" s="316"/>
    </row>
    <row r="390" spans="2:11" ht="20.100000000000001" customHeight="1" thickBot="1"/>
    <row r="391" spans="2:11" ht="20.100000000000001" customHeight="1">
      <c r="B391" s="78" t="s">
        <v>471</v>
      </c>
      <c r="C391" s="99" t="str">
        <f>'15C Building Details'!C216</f>
        <v>Other</v>
      </c>
      <c r="E391" s="78" t="s">
        <v>475</v>
      </c>
      <c r="F391" s="563"/>
      <c r="G391" s="564"/>
      <c r="H391" s="564"/>
      <c r="I391" s="565"/>
    </row>
    <row r="392" spans="2:11" ht="20.100000000000001" customHeight="1">
      <c r="B392" s="78" t="s">
        <v>477</v>
      </c>
      <c r="C392" s="99">
        <f>'15C Building Details'!C217</f>
        <v>0</v>
      </c>
      <c r="E392" s="613" t="s">
        <v>479</v>
      </c>
      <c r="F392" s="622"/>
      <c r="G392" s="623"/>
      <c r="H392" s="623"/>
      <c r="I392" s="624"/>
    </row>
    <row r="393" spans="2:11" ht="20.100000000000001" customHeight="1" thickBot="1">
      <c r="B393" s="78" t="s">
        <v>483</v>
      </c>
      <c r="C393" s="99">
        <f>'15C Building Details'!C218</f>
        <v>0</v>
      </c>
      <c r="D393" s="317"/>
      <c r="E393" s="614"/>
      <c r="F393" s="566"/>
      <c r="G393" s="567"/>
      <c r="H393" s="567"/>
      <c r="I393" s="568"/>
    </row>
    <row r="394" spans="2:11" ht="20.100000000000001" customHeight="1">
      <c r="B394" s="78" t="s">
        <v>485</v>
      </c>
      <c r="C394" s="99">
        <f>'15C Building Details'!C219</f>
        <v>0</v>
      </c>
    </row>
    <row r="395" spans="2:11" ht="20.100000000000001" customHeight="1">
      <c r="B395" s="78" t="s">
        <v>487</v>
      </c>
      <c r="C395" s="99">
        <f>'15C Building Details'!C220</f>
        <v>0</v>
      </c>
      <c r="E395" s="11" t="s">
        <v>489</v>
      </c>
    </row>
    <row r="396" spans="2:11" ht="20.100000000000001" customHeight="1">
      <c r="G396" s="14"/>
      <c r="J396" s="11"/>
    </row>
    <row r="397" spans="2:11" ht="20.100000000000001" customHeight="1"/>
    <row r="398" spans="2:11" ht="40.200000000000003" customHeight="1" thickBot="1">
      <c r="B398" s="175" t="s">
        <v>491</v>
      </c>
      <c r="C398" s="175" t="s">
        <v>493</v>
      </c>
      <c r="D398" s="175" t="s">
        <v>495</v>
      </c>
      <c r="E398" s="175" t="s">
        <v>497</v>
      </c>
      <c r="F398" s="175" t="str">
        <f>"Billed Quantity ("&amp;C394&amp;")"</f>
        <v>Billed Quantity (0)</v>
      </c>
      <c r="G398" s="78" t="s">
        <v>501</v>
      </c>
      <c r="H398" s="78" t="s">
        <v>487</v>
      </c>
      <c r="I398" s="78" t="s">
        <v>1257</v>
      </c>
      <c r="J398" s="78" t="s">
        <v>1258</v>
      </c>
      <c r="K398" s="78" t="s">
        <v>1259</v>
      </c>
    </row>
    <row r="399" spans="2:11" ht="20.100000000000001" customHeight="1">
      <c r="B399" s="120"/>
      <c r="C399" s="121"/>
      <c r="D399" s="122"/>
      <c r="E399" s="122"/>
      <c r="F399" s="113"/>
      <c r="G399" s="105" t="str">
        <f t="shared" ref="G399:G434" si="34">IF(ISBLANK(D399),"",E399-D399+1)</f>
        <v/>
      </c>
      <c r="H399" s="106">
        <f t="shared" ref="H399:H434" si="35">$C$395</f>
        <v>0</v>
      </c>
      <c r="I399" s="107">
        <f t="shared" ref="I399:I434" si="36">IF(F399&gt;0,F399*H399*IF(OR(D399&gt;$H$9,E399&lt;$H$8), 0, IF(D399&lt;$H$8,E399-$H$8,IF($H$9&lt;E399,E399-$H$9,G399)))/G399,0)</f>
        <v>0</v>
      </c>
      <c r="J399" s="107">
        <f t="shared" ref="J399:J434" si="37">IF(F399&gt;0,F399*H399*IF(OR(D399&gt;$I$9,E399&lt;$I$8), 0, IF(D399&lt;$I$8,E399-$I$8,IF($I$9&lt;E399,E399-$I$9,G399)))/G399,0)</f>
        <v>0</v>
      </c>
      <c r="K399" s="107">
        <f t="shared" ref="K399:K434" si="38">IF(F399&gt;0,F399*H399*IF(OR(D399&gt;$J$9,E399&lt;$J$8), 0, IF(D399&lt;$J$8,E399-$J$8,IF($J$9&lt;E399,E399-$J$9,G399)))/G399,0)</f>
        <v>0</v>
      </c>
    </row>
    <row r="400" spans="2:11" ht="20.100000000000001" customHeight="1">
      <c r="B400" s="123"/>
      <c r="C400" s="124"/>
      <c r="D400" s="125"/>
      <c r="E400" s="125"/>
      <c r="F400" s="116"/>
      <c r="G400" s="105" t="str">
        <f t="shared" si="34"/>
        <v/>
      </c>
      <c r="H400" s="106">
        <f t="shared" si="35"/>
        <v>0</v>
      </c>
      <c r="I400" s="107">
        <f t="shared" si="36"/>
        <v>0</v>
      </c>
      <c r="J400" s="107">
        <f t="shared" si="37"/>
        <v>0</v>
      </c>
      <c r="K400" s="107">
        <f t="shared" si="38"/>
        <v>0</v>
      </c>
    </row>
    <row r="401" spans="2:11" ht="20.100000000000001" customHeight="1">
      <c r="B401" s="123"/>
      <c r="C401" s="124"/>
      <c r="D401" s="125"/>
      <c r="E401" s="125"/>
      <c r="F401" s="116"/>
      <c r="G401" s="105" t="str">
        <f t="shared" si="34"/>
        <v/>
      </c>
      <c r="H401" s="106">
        <f t="shared" si="35"/>
        <v>0</v>
      </c>
      <c r="I401" s="107">
        <f t="shared" si="36"/>
        <v>0</v>
      </c>
      <c r="J401" s="107">
        <f t="shared" si="37"/>
        <v>0</v>
      </c>
      <c r="K401" s="107">
        <f t="shared" si="38"/>
        <v>0</v>
      </c>
    </row>
    <row r="402" spans="2:11" ht="20.100000000000001" customHeight="1">
      <c r="B402" s="123"/>
      <c r="C402" s="124"/>
      <c r="D402" s="125"/>
      <c r="E402" s="125"/>
      <c r="F402" s="116"/>
      <c r="G402" s="105" t="str">
        <f t="shared" si="34"/>
        <v/>
      </c>
      <c r="H402" s="106">
        <f t="shared" si="35"/>
        <v>0</v>
      </c>
      <c r="I402" s="107">
        <f t="shared" si="36"/>
        <v>0</v>
      </c>
      <c r="J402" s="107">
        <f t="shared" si="37"/>
        <v>0</v>
      </c>
      <c r="K402" s="107">
        <f t="shared" si="38"/>
        <v>0</v>
      </c>
    </row>
    <row r="403" spans="2:11" ht="20.100000000000001" customHeight="1">
      <c r="B403" s="123"/>
      <c r="C403" s="124"/>
      <c r="D403" s="125"/>
      <c r="E403" s="125"/>
      <c r="F403" s="116"/>
      <c r="G403" s="105" t="str">
        <f t="shared" si="34"/>
        <v/>
      </c>
      <c r="H403" s="106">
        <f t="shared" si="35"/>
        <v>0</v>
      </c>
      <c r="I403" s="107">
        <f t="shared" si="36"/>
        <v>0</v>
      </c>
      <c r="J403" s="107">
        <f t="shared" si="37"/>
        <v>0</v>
      </c>
      <c r="K403" s="107">
        <f t="shared" si="38"/>
        <v>0</v>
      </c>
    </row>
    <row r="404" spans="2:11" ht="20.100000000000001" customHeight="1">
      <c r="B404" s="123"/>
      <c r="C404" s="124"/>
      <c r="D404" s="125"/>
      <c r="E404" s="125"/>
      <c r="F404" s="116"/>
      <c r="G404" s="105" t="str">
        <f t="shared" si="34"/>
        <v/>
      </c>
      <c r="H404" s="106">
        <f t="shared" si="35"/>
        <v>0</v>
      </c>
      <c r="I404" s="107">
        <f t="shared" si="36"/>
        <v>0</v>
      </c>
      <c r="J404" s="107">
        <f t="shared" si="37"/>
        <v>0</v>
      </c>
      <c r="K404" s="107">
        <f t="shared" si="38"/>
        <v>0</v>
      </c>
    </row>
    <row r="405" spans="2:11" ht="20.100000000000001" customHeight="1">
      <c r="B405" s="123"/>
      <c r="C405" s="124"/>
      <c r="D405" s="125"/>
      <c r="E405" s="125"/>
      <c r="F405" s="116"/>
      <c r="G405" s="105" t="str">
        <f t="shared" si="34"/>
        <v/>
      </c>
      <c r="H405" s="106">
        <f t="shared" si="35"/>
        <v>0</v>
      </c>
      <c r="I405" s="107">
        <f t="shared" si="36"/>
        <v>0</v>
      </c>
      <c r="J405" s="107">
        <f t="shared" si="37"/>
        <v>0</v>
      </c>
      <c r="K405" s="107">
        <f t="shared" si="38"/>
        <v>0</v>
      </c>
    </row>
    <row r="406" spans="2:11" ht="20.100000000000001" customHeight="1">
      <c r="B406" s="123"/>
      <c r="C406" s="124"/>
      <c r="D406" s="125"/>
      <c r="E406" s="125"/>
      <c r="F406" s="116"/>
      <c r="G406" s="105" t="str">
        <f t="shared" si="34"/>
        <v/>
      </c>
      <c r="H406" s="106">
        <f t="shared" si="35"/>
        <v>0</v>
      </c>
      <c r="I406" s="107">
        <f t="shared" si="36"/>
        <v>0</v>
      </c>
      <c r="J406" s="107">
        <f t="shared" si="37"/>
        <v>0</v>
      </c>
      <c r="K406" s="107">
        <f t="shared" si="38"/>
        <v>0</v>
      </c>
    </row>
    <row r="407" spans="2:11" ht="20.100000000000001" customHeight="1">
      <c r="B407" s="123"/>
      <c r="C407" s="124"/>
      <c r="D407" s="125"/>
      <c r="E407" s="125"/>
      <c r="F407" s="116"/>
      <c r="G407" s="105" t="str">
        <f t="shared" si="34"/>
        <v/>
      </c>
      <c r="H407" s="106">
        <f t="shared" si="35"/>
        <v>0</v>
      </c>
      <c r="I407" s="107">
        <f t="shared" si="36"/>
        <v>0</v>
      </c>
      <c r="J407" s="107">
        <f t="shared" si="37"/>
        <v>0</v>
      </c>
      <c r="K407" s="107">
        <f t="shared" si="38"/>
        <v>0</v>
      </c>
    </row>
    <row r="408" spans="2:11" ht="20.100000000000001" customHeight="1">
      <c r="B408" s="123"/>
      <c r="C408" s="124"/>
      <c r="D408" s="125"/>
      <c r="E408" s="125"/>
      <c r="F408" s="116"/>
      <c r="G408" s="105" t="str">
        <f t="shared" si="34"/>
        <v/>
      </c>
      <c r="H408" s="106">
        <f t="shared" si="35"/>
        <v>0</v>
      </c>
      <c r="I408" s="107">
        <f t="shared" si="36"/>
        <v>0</v>
      </c>
      <c r="J408" s="107">
        <f t="shared" si="37"/>
        <v>0</v>
      </c>
      <c r="K408" s="107">
        <f t="shared" si="38"/>
        <v>0</v>
      </c>
    </row>
    <row r="409" spans="2:11" ht="20.100000000000001" customHeight="1">
      <c r="B409" s="123"/>
      <c r="C409" s="124"/>
      <c r="D409" s="125"/>
      <c r="E409" s="125"/>
      <c r="F409" s="116"/>
      <c r="G409" s="105" t="str">
        <f t="shared" si="34"/>
        <v/>
      </c>
      <c r="H409" s="106">
        <f t="shared" si="35"/>
        <v>0</v>
      </c>
      <c r="I409" s="107">
        <f t="shared" si="36"/>
        <v>0</v>
      </c>
      <c r="J409" s="107">
        <f t="shared" si="37"/>
        <v>0</v>
      </c>
      <c r="K409" s="107">
        <f t="shared" si="38"/>
        <v>0</v>
      </c>
    </row>
    <row r="410" spans="2:11" ht="20.100000000000001" customHeight="1">
      <c r="B410" s="123"/>
      <c r="C410" s="124"/>
      <c r="D410" s="125"/>
      <c r="E410" s="125"/>
      <c r="F410" s="116"/>
      <c r="G410" s="105" t="str">
        <f t="shared" si="34"/>
        <v/>
      </c>
      <c r="H410" s="106">
        <f t="shared" si="35"/>
        <v>0</v>
      </c>
      <c r="I410" s="107">
        <f t="shared" si="36"/>
        <v>0</v>
      </c>
      <c r="J410" s="107">
        <f t="shared" si="37"/>
        <v>0</v>
      </c>
      <c r="K410" s="107">
        <f t="shared" si="38"/>
        <v>0</v>
      </c>
    </row>
    <row r="411" spans="2:11" ht="20.100000000000001" customHeight="1">
      <c r="B411" s="123"/>
      <c r="C411" s="124"/>
      <c r="D411" s="125"/>
      <c r="E411" s="125"/>
      <c r="F411" s="116"/>
      <c r="G411" s="105" t="str">
        <f t="shared" si="34"/>
        <v/>
      </c>
      <c r="H411" s="106">
        <f t="shared" si="35"/>
        <v>0</v>
      </c>
      <c r="I411" s="107">
        <f t="shared" si="36"/>
        <v>0</v>
      </c>
      <c r="J411" s="107">
        <f t="shared" si="37"/>
        <v>0</v>
      </c>
      <c r="K411" s="107">
        <f t="shared" si="38"/>
        <v>0</v>
      </c>
    </row>
    <row r="412" spans="2:11" ht="20.100000000000001" customHeight="1">
      <c r="B412" s="123"/>
      <c r="C412" s="124"/>
      <c r="D412" s="125"/>
      <c r="E412" s="125"/>
      <c r="F412" s="116"/>
      <c r="G412" s="105" t="str">
        <f t="shared" si="34"/>
        <v/>
      </c>
      <c r="H412" s="106">
        <f t="shared" si="35"/>
        <v>0</v>
      </c>
      <c r="I412" s="107">
        <f t="shared" si="36"/>
        <v>0</v>
      </c>
      <c r="J412" s="107">
        <f t="shared" si="37"/>
        <v>0</v>
      </c>
      <c r="K412" s="107">
        <f t="shared" si="38"/>
        <v>0</v>
      </c>
    </row>
    <row r="413" spans="2:11" ht="20.100000000000001" customHeight="1">
      <c r="B413" s="123"/>
      <c r="C413" s="124"/>
      <c r="D413" s="125"/>
      <c r="E413" s="125"/>
      <c r="F413" s="116"/>
      <c r="G413" s="105" t="str">
        <f t="shared" si="34"/>
        <v/>
      </c>
      <c r="H413" s="106">
        <f t="shared" si="35"/>
        <v>0</v>
      </c>
      <c r="I413" s="107">
        <f t="shared" si="36"/>
        <v>0</v>
      </c>
      <c r="J413" s="107">
        <f t="shared" si="37"/>
        <v>0</v>
      </c>
      <c r="K413" s="107">
        <f t="shared" si="38"/>
        <v>0</v>
      </c>
    </row>
    <row r="414" spans="2:11" ht="20.100000000000001" customHeight="1">
      <c r="B414" s="123"/>
      <c r="C414" s="124"/>
      <c r="D414" s="125"/>
      <c r="E414" s="125"/>
      <c r="F414" s="116"/>
      <c r="G414" s="105" t="str">
        <f t="shared" si="34"/>
        <v/>
      </c>
      <c r="H414" s="106">
        <f t="shared" si="35"/>
        <v>0</v>
      </c>
      <c r="I414" s="107">
        <f t="shared" si="36"/>
        <v>0</v>
      </c>
      <c r="J414" s="107">
        <f t="shared" si="37"/>
        <v>0</v>
      </c>
      <c r="K414" s="107">
        <f t="shared" si="38"/>
        <v>0</v>
      </c>
    </row>
    <row r="415" spans="2:11" ht="20.100000000000001" customHeight="1">
      <c r="B415" s="123"/>
      <c r="C415" s="124"/>
      <c r="D415" s="125"/>
      <c r="E415" s="125"/>
      <c r="F415" s="116"/>
      <c r="G415" s="105" t="str">
        <f t="shared" si="34"/>
        <v/>
      </c>
      <c r="H415" s="106">
        <f t="shared" si="35"/>
        <v>0</v>
      </c>
      <c r="I415" s="107">
        <f t="shared" si="36"/>
        <v>0</v>
      </c>
      <c r="J415" s="107">
        <f t="shared" si="37"/>
        <v>0</v>
      </c>
      <c r="K415" s="107">
        <f t="shared" si="38"/>
        <v>0</v>
      </c>
    </row>
    <row r="416" spans="2:11" ht="20.100000000000001" customHeight="1">
      <c r="B416" s="123"/>
      <c r="C416" s="124"/>
      <c r="D416" s="125"/>
      <c r="E416" s="125"/>
      <c r="F416" s="116"/>
      <c r="G416" s="105" t="str">
        <f t="shared" si="34"/>
        <v/>
      </c>
      <c r="H416" s="106">
        <f t="shared" si="35"/>
        <v>0</v>
      </c>
      <c r="I416" s="107">
        <f t="shared" si="36"/>
        <v>0</v>
      </c>
      <c r="J416" s="107">
        <f t="shared" si="37"/>
        <v>0</v>
      </c>
      <c r="K416" s="107">
        <f t="shared" si="38"/>
        <v>0</v>
      </c>
    </row>
    <row r="417" spans="2:11" ht="20.100000000000001" customHeight="1">
      <c r="B417" s="123"/>
      <c r="C417" s="124"/>
      <c r="D417" s="125"/>
      <c r="E417" s="125"/>
      <c r="F417" s="116"/>
      <c r="G417" s="105" t="str">
        <f t="shared" si="34"/>
        <v/>
      </c>
      <c r="H417" s="106">
        <f t="shared" si="35"/>
        <v>0</v>
      </c>
      <c r="I417" s="107">
        <f t="shared" si="36"/>
        <v>0</v>
      </c>
      <c r="J417" s="107">
        <f t="shared" si="37"/>
        <v>0</v>
      </c>
      <c r="K417" s="107">
        <f t="shared" si="38"/>
        <v>0</v>
      </c>
    </row>
    <row r="418" spans="2:11" ht="20.100000000000001" customHeight="1">
      <c r="B418" s="123"/>
      <c r="C418" s="124"/>
      <c r="D418" s="125"/>
      <c r="E418" s="125"/>
      <c r="F418" s="116"/>
      <c r="G418" s="105" t="str">
        <f t="shared" si="34"/>
        <v/>
      </c>
      <c r="H418" s="106">
        <f t="shared" si="35"/>
        <v>0</v>
      </c>
      <c r="I418" s="107">
        <f t="shared" si="36"/>
        <v>0</v>
      </c>
      <c r="J418" s="107">
        <f t="shared" si="37"/>
        <v>0</v>
      </c>
      <c r="K418" s="107">
        <f t="shared" si="38"/>
        <v>0</v>
      </c>
    </row>
    <row r="419" spans="2:11" ht="20.100000000000001" customHeight="1">
      <c r="B419" s="123"/>
      <c r="C419" s="124"/>
      <c r="D419" s="125"/>
      <c r="E419" s="125"/>
      <c r="F419" s="116"/>
      <c r="G419" s="105" t="str">
        <f t="shared" si="34"/>
        <v/>
      </c>
      <c r="H419" s="106">
        <f t="shared" si="35"/>
        <v>0</v>
      </c>
      <c r="I419" s="107">
        <f t="shared" si="36"/>
        <v>0</v>
      </c>
      <c r="J419" s="107">
        <f t="shared" si="37"/>
        <v>0</v>
      </c>
      <c r="K419" s="107">
        <f t="shared" si="38"/>
        <v>0</v>
      </c>
    </row>
    <row r="420" spans="2:11" ht="20.100000000000001" customHeight="1">
      <c r="B420" s="123"/>
      <c r="C420" s="124"/>
      <c r="D420" s="125"/>
      <c r="E420" s="125"/>
      <c r="F420" s="116"/>
      <c r="G420" s="105" t="str">
        <f t="shared" si="34"/>
        <v/>
      </c>
      <c r="H420" s="106">
        <f t="shared" si="35"/>
        <v>0</v>
      </c>
      <c r="I420" s="107">
        <f t="shared" si="36"/>
        <v>0</v>
      </c>
      <c r="J420" s="107">
        <f t="shared" si="37"/>
        <v>0</v>
      </c>
      <c r="K420" s="107">
        <f t="shared" si="38"/>
        <v>0</v>
      </c>
    </row>
    <row r="421" spans="2:11" ht="20.100000000000001" customHeight="1">
      <c r="B421" s="123"/>
      <c r="C421" s="124"/>
      <c r="D421" s="125"/>
      <c r="E421" s="125"/>
      <c r="F421" s="116"/>
      <c r="G421" s="105" t="str">
        <f t="shared" si="34"/>
        <v/>
      </c>
      <c r="H421" s="106">
        <f t="shared" si="35"/>
        <v>0</v>
      </c>
      <c r="I421" s="107">
        <f t="shared" si="36"/>
        <v>0</v>
      </c>
      <c r="J421" s="107">
        <f t="shared" si="37"/>
        <v>0</v>
      </c>
      <c r="K421" s="107">
        <f t="shared" si="38"/>
        <v>0</v>
      </c>
    </row>
    <row r="422" spans="2:11" ht="20.100000000000001" customHeight="1">
      <c r="B422" s="123"/>
      <c r="C422" s="124"/>
      <c r="D422" s="125"/>
      <c r="E422" s="125"/>
      <c r="F422" s="116"/>
      <c r="G422" s="105" t="str">
        <f t="shared" si="34"/>
        <v/>
      </c>
      <c r="H422" s="106">
        <f t="shared" si="35"/>
        <v>0</v>
      </c>
      <c r="I422" s="107">
        <f t="shared" si="36"/>
        <v>0</v>
      </c>
      <c r="J422" s="107">
        <f t="shared" si="37"/>
        <v>0</v>
      </c>
      <c r="K422" s="107">
        <f t="shared" si="38"/>
        <v>0</v>
      </c>
    </row>
    <row r="423" spans="2:11" ht="20.100000000000001" customHeight="1">
      <c r="B423" s="123"/>
      <c r="C423" s="124"/>
      <c r="D423" s="125"/>
      <c r="E423" s="125"/>
      <c r="F423" s="116"/>
      <c r="G423" s="105" t="str">
        <f t="shared" si="34"/>
        <v/>
      </c>
      <c r="H423" s="106">
        <f t="shared" si="35"/>
        <v>0</v>
      </c>
      <c r="I423" s="107">
        <f t="shared" si="36"/>
        <v>0</v>
      </c>
      <c r="J423" s="107">
        <f t="shared" si="37"/>
        <v>0</v>
      </c>
      <c r="K423" s="107">
        <f t="shared" si="38"/>
        <v>0</v>
      </c>
    </row>
    <row r="424" spans="2:11" ht="20.100000000000001" customHeight="1">
      <c r="B424" s="123"/>
      <c r="C424" s="124"/>
      <c r="D424" s="125"/>
      <c r="E424" s="125"/>
      <c r="F424" s="116"/>
      <c r="G424" s="105" t="str">
        <f t="shared" si="34"/>
        <v/>
      </c>
      <c r="H424" s="106">
        <f t="shared" si="35"/>
        <v>0</v>
      </c>
      <c r="I424" s="107">
        <f t="shared" si="36"/>
        <v>0</v>
      </c>
      <c r="J424" s="107">
        <f t="shared" si="37"/>
        <v>0</v>
      </c>
      <c r="K424" s="107">
        <f t="shared" si="38"/>
        <v>0</v>
      </c>
    </row>
    <row r="425" spans="2:11" ht="20.100000000000001" customHeight="1">
      <c r="B425" s="123"/>
      <c r="C425" s="124"/>
      <c r="D425" s="125"/>
      <c r="E425" s="125"/>
      <c r="F425" s="116"/>
      <c r="G425" s="105" t="str">
        <f t="shared" si="34"/>
        <v/>
      </c>
      <c r="H425" s="106">
        <f t="shared" si="35"/>
        <v>0</v>
      </c>
      <c r="I425" s="107">
        <f t="shared" si="36"/>
        <v>0</v>
      </c>
      <c r="J425" s="107">
        <f t="shared" si="37"/>
        <v>0</v>
      </c>
      <c r="K425" s="107">
        <f t="shared" si="38"/>
        <v>0</v>
      </c>
    </row>
    <row r="426" spans="2:11" ht="20.100000000000001" customHeight="1">
      <c r="B426" s="123"/>
      <c r="C426" s="124"/>
      <c r="D426" s="125"/>
      <c r="E426" s="125"/>
      <c r="F426" s="116"/>
      <c r="G426" s="105" t="str">
        <f t="shared" si="34"/>
        <v/>
      </c>
      <c r="H426" s="106">
        <f t="shared" si="35"/>
        <v>0</v>
      </c>
      <c r="I426" s="107">
        <f t="shared" si="36"/>
        <v>0</v>
      </c>
      <c r="J426" s="107">
        <f t="shared" si="37"/>
        <v>0</v>
      </c>
      <c r="K426" s="107">
        <f t="shared" si="38"/>
        <v>0</v>
      </c>
    </row>
    <row r="427" spans="2:11" ht="20.100000000000001" customHeight="1">
      <c r="B427" s="123"/>
      <c r="C427" s="124"/>
      <c r="D427" s="125"/>
      <c r="E427" s="125"/>
      <c r="F427" s="116"/>
      <c r="G427" s="105" t="str">
        <f t="shared" si="34"/>
        <v/>
      </c>
      <c r="H427" s="106">
        <f t="shared" si="35"/>
        <v>0</v>
      </c>
      <c r="I427" s="107">
        <f t="shared" si="36"/>
        <v>0</v>
      </c>
      <c r="J427" s="107">
        <f t="shared" si="37"/>
        <v>0</v>
      </c>
      <c r="K427" s="107">
        <f t="shared" si="38"/>
        <v>0</v>
      </c>
    </row>
    <row r="428" spans="2:11" ht="20.100000000000001" customHeight="1">
      <c r="B428" s="123"/>
      <c r="C428" s="124"/>
      <c r="D428" s="125"/>
      <c r="E428" s="125"/>
      <c r="F428" s="116"/>
      <c r="G428" s="105" t="str">
        <f t="shared" si="34"/>
        <v/>
      </c>
      <c r="H428" s="106">
        <f t="shared" si="35"/>
        <v>0</v>
      </c>
      <c r="I428" s="107">
        <f t="shared" si="36"/>
        <v>0</v>
      </c>
      <c r="J428" s="107">
        <f t="shared" si="37"/>
        <v>0</v>
      </c>
      <c r="K428" s="107">
        <f t="shared" si="38"/>
        <v>0</v>
      </c>
    </row>
    <row r="429" spans="2:11" ht="20.100000000000001" customHeight="1">
      <c r="B429" s="123"/>
      <c r="C429" s="124"/>
      <c r="D429" s="125"/>
      <c r="E429" s="125"/>
      <c r="F429" s="116"/>
      <c r="G429" s="105" t="str">
        <f t="shared" si="34"/>
        <v/>
      </c>
      <c r="H429" s="106">
        <f t="shared" si="35"/>
        <v>0</v>
      </c>
      <c r="I429" s="107">
        <f t="shared" si="36"/>
        <v>0</v>
      </c>
      <c r="J429" s="107">
        <f t="shared" si="37"/>
        <v>0</v>
      </c>
      <c r="K429" s="107">
        <f t="shared" si="38"/>
        <v>0</v>
      </c>
    </row>
    <row r="430" spans="2:11" ht="20.100000000000001" customHeight="1">
      <c r="B430" s="123"/>
      <c r="C430" s="124"/>
      <c r="D430" s="125"/>
      <c r="E430" s="125"/>
      <c r="F430" s="116"/>
      <c r="G430" s="105" t="str">
        <f t="shared" si="34"/>
        <v/>
      </c>
      <c r="H430" s="106">
        <f t="shared" si="35"/>
        <v>0</v>
      </c>
      <c r="I430" s="107">
        <f t="shared" si="36"/>
        <v>0</v>
      </c>
      <c r="J430" s="107">
        <f t="shared" si="37"/>
        <v>0</v>
      </c>
      <c r="K430" s="107">
        <f t="shared" si="38"/>
        <v>0</v>
      </c>
    </row>
    <row r="431" spans="2:11" ht="20.100000000000001" customHeight="1">
      <c r="B431" s="123"/>
      <c r="C431" s="124"/>
      <c r="D431" s="125"/>
      <c r="E431" s="125"/>
      <c r="F431" s="116"/>
      <c r="G431" s="105" t="str">
        <f t="shared" si="34"/>
        <v/>
      </c>
      <c r="H431" s="106">
        <f t="shared" si="35"/>
        <v>0</v>
      </c>
      <c r="I431" s="107">
        <f t="shared" si="36"/>
        <v>0</v>
      </c>
      <c r="J431" s="107">
        <f t="shared" si="37"/>
        <v>0</v>
      </c>
      <c r="K431" s="107">
        <f t="shared" si="38"/>
        <v>0</v>
      </c>
    </row>
    <row r="432" spans="2:11" ht="20.100000000000001" customHeight="1">
      <c r="B432" s="123"/>
      <c r="C432" s="124"/>
      <c r="D432" s="125"/>
      <c r="E432" s="125"/>
      <c r="F432" s="116"/>
      <c r="G432" s="105" t="str">
        <f t="shared" si="34"/>
        <v/>
      </c>
      <c r="H432" s="106">
        <f t="shared" si="35"/>
        <v>0</v>
      </c>
      <c r="I432" s="107">
        <f t="shared" si="36"/>
        <v>0</v>
      </c>
      <c r="J432" s="107">
        <f t="shared" si="37"/>
        <v>0</v>
      </c>
      <c r="K432" s="107">
        <f t="shared" si="38"/>
        <v>0</v>
      </c>
    </row>
    <row r="433" spans="2:11" ht="20.100000000000001" customHeight="1">
      <c r="B433" s="123"/>
      <c r="C433" s="124"/>
      <c r="D433" s="125"/>
      <c r="E433" s="125"/>
      <c r="F433" s="116"/>
      <c r="G433" s="105" t="str">
        <f t="shared" si="34"/>
        <v/>
      </c>
      <c r="H433" s="106">
        <f t="shared" si="35"/>
        <v>0</v>
      </c>
      <c r="I433" s="107">
        <f t="shared" si="36"/>
        <v>0</v>
      </c>
      <c r="J433" s="107">
        <f t="shared" si="37"/>
        <v>0</v>
      </c>
      <c r="K433" s="107">
        <f t="shared" si="38"/>
        <v>0</v>
      </c>
    </row>
    <row r="434" spans="2:11" ht="20.100000000000001" customHeight="1" thickBot="1">
      <c r="B434" s="126"/>
      <c r="C434" s="127"/>
      <c r="D434" s="128"/>
      <c r="E434" s="128"/>
      <c r="F434" s="119"/>
      <c r="G434" s="105" t="str">
        <f t="shared" si="34"/>
        <v/>
      </c>
      <c r="H434" s="106">
        <f t="shared" si="35"/>
        <v>0</v>
      </c>
      <c r="I434" s="107">
        <f t="shared" si="36"/>
        <v>0</v>
      </c>
      <c r="J434" s="107">
        <f t="shared" si="37"/>
        <v>0</v>
      </c>
      <c r="K434" s="107">
        <f t="shared" si="38"/>
        <v>0</v>
      </c>
    </row>
  </sheetData>
  <sheetProtection algorithmName="SHA-512" hashValue="renj+7NcjcFe5W9aImoJ4FqK6M4e9QJLzUa619Im4LCerfP5EpS06Fw5BCB8YEABGjXJ/NdRgTe/oKhCt44F6w==" saltValue="w4uh/16d5W0G3zTAj7U94w==" spinCount="100000" sheet="1" objects="1" scenarios="1"/>
  <customSheetViews>
    <customSheetView guid="{BA12A2B5-8B2E-47CE-85C5-00A71CD7042B}" scale="85" showGridLines="0" showRowCol="0" fitToPage="1" hiddenColumns="1">
      <selection activeCell="C8" sqref="C8:D8"/>
      <pageMargins left="0" right="0" top="0" bottom="0" header="0" footer="0"/>
      <pageSetup paperSize="9" scale="12" orientation="portrait" r:id="rId1"/>
    </customSheetView>
    <customSheetView guid="{6E4579C3-98CA-4325-AF39-19A629870080}" scale="85" showGridLines="0" showRowCol="0" fitToPage="1" hiddenColumns="1">
      <selection activeCell="B3" sqref="B3"/>
      <pageMargins left="0" right="0" top="0" bottom="0" header="0" footer="0"/>
      <pageSetup paperSize="9" scale="12" orientation="portrait" r:id="rId2"/>
    </customSheetView>
    <customSheetView guid="{BC75B7F8-7A05-4F92-B953-0DB7EDA000F8}" scale="85" showGridLines="0" showRowCol="0" fitToPage="1" hiddenColumns="1" topLeftCell="A70">
      <selection activeCell="C11" sqref="C11:D13"/>
      <pageMargins left="0" right="0" top="0" bottom="0" header="0" footer="0"/>
      <pageSetup paperSize="9" scale="12" orientation="portrait" r:id="rId3"/>
    </customSheetView>
    <customSheetView guid="{BF159B5C-C230-4B3A-8DDE-333808894C93}" scale="85" showGridLines="0" showRowCol="0" fitToPage="1" hiddenColumns="1">
      <selection activeCell="B8" sqref="B8"/>
      <pageMargins left="0" right="0" top="0" bottom="0" header="0" footer="0"/>
      <pageSetup paperSize="9" scale="12" orientation="portrait" r:id="rId4"/>
    </customSheetView>
  </customSheetViews>
  <mergeCells count="38">
    <mergeCell ref="H21:J21"/>
    <mergeCell ref="B30:D30"/>
    <mergeCell ref="B34:B35"/>
    <mergeCell ref="C34:E34"/>
    <mergeCell ref="B21:B22"/>
    <mergeCell ref="C21:C22"/>
    <mergeCell ref="D21:D22"/>
    <mergeCell ref="E21:G21"/>
    <mergeCell ref="E298:E299"/>
    <mergeCell ref="F298:I299"/>
    <mergeCell ref="F344:I344"/>
    <mergeCell ref="F391:I391"/>
    <mergeCell ref="E392:E393"/>
    <mergeCell ref="F392:I393"/>
    <mergeCell ref="E345:E346"/>
    <mergeCell ref="F345:I346"/>
    <mergeCell ref="D15:F15"/>
    <mergeCell ref="D16:F16"/>
    <mergeCell ref="D17:F17"/>
    <mergeCell ref="F251:I252"/>
    <mergeCell ref="F297:I297"/>
    <mergeCell ref="F109:I109"/>
    <mergeCell ref="E110:E111"/>
    <mergeCell ref="F110:I111"/>
    <mergeCell ref="F203:I203"/>
    <mergeCell ref="E204:E205"/>
    <mergeCell ref="F204:I205"/>
    <mergeCell ref="F156:I156"/>
    <mergeCell ref="E157:E158"/>
    <mergeCell ref="F157:I158"/>
    <mergeCell ref="F250:I250"/>
    <mergeCell ref="E251:E252"/>
    <mergeCell ref="C13:D13"/>
    <mergeCell ref="C8:D8"/>
    <mergeCell ref="C9:D9"/>
    <mergeCell ref="C10:D10"/>
    <mergeCell ref="C11:D11"/>
    <mergeCell ref="C12:D12"/>
  </mergeCells>
  <dataValidations count="4">
    <dataValidation type="list" allowBlank="1" showInputMessage="1" showErrorMessage="1" sqref="C12" xr:uid="{228DA139-21FA-42D4-85EF-D30CA4357275}">
      <formula1>STATES</formula1>
    </dataValidation>
    <dataValidation type="list" allowBlank="1" showInputMessage="1" showErrorMessage="1" sqref="C13" xr:uid="{2CF2E3BF-6EF8-4261-9C97-BA8179CC802E}">
      <formula1>Metro</formula1>
    </dataValidation>
    <dataValidation type="list" allowBlank="1" showInputMessage="1" showErrorMessage="1" sqref="C15" xr:uid="{00000000-0002-0000-0500-000002000000}">
      <formula1>BldUse</formula1>
    </dataValidation>
    <dataValidation type="list" allowBlank="1" showInputMessage="1" showErrorMessage="1" sqref="C16" xr:uid="{00000000-0002-0000-0500-000003000000}">
      <formula1>ANZSIC</formula1>
    </dataValidation>
  </dataValidations>
  <pageMargins left="0.70866141732283472" right="0.70866141732283472" top="0.74803149606299213" bottom="0.74803149606299213" header="0.31496062992125984" footer="0.31496062992125984"/>
  <pageSetup paperSize="9" scale="12" orientation="portrait" r:id="rId5"/>
  <drawing r:id="rId6"/>
  <legacyDrawingHF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5">
    <tabColor theme="3"/>
    <pageSetUpPr fitToPage="1"/>
  </sheetPr>
  <dimension ref="B1:K435"/>
  <sheetViews>
    <sheetView showGridLines="0" zoomScale="85" zoomScaleNormal="85" workbookViewId="0">
      <selection activeCell="C111" sqref="C111"/>
    </sheetView>
  </sheetViews>
  <sheetFormatPr defaultColWidth="9.33203125" defaultRowHeight="13.2"/>
  <cols>
    <col min="1" max="1" width="5.6640625" style="11" customWidth="1"/>
    <col min="2" max="2" width="36" style="11" customWidth="1"/>
    <col min="3" max="3" width="31.33203125" style="11" customWidth="1"/>
    <col min="4" max="4" width="27" style="11" customWidth="1"/>
    <col min="5" max="8" width="23.33203125" style="11" customWidth="1"/>
    <col min="9" max="9" width="22.6640625" style="11" customWidth="1"/>
    <col min="10" max="10" width="22.6640625" style="14" customWidth="1"/>
    <col min="11" max="11" width="22.6640625" style="11" customWidth="1"/>
    <col min="12" max="12" width="9.33203125" style="11" customWidth="1"/>
    <col min="13" max="16384" width="9.33203125" style="11"/>
  </cols>
  <sheetData>
    <row r="1" spans="2:11" ht="65.25" customHeight="1"/>
    <row r="2" spans="2:11" ht="20.100000000000001" customHeight="1"/>
    <row r="3" spans="2:11" s="315" customFormat="1" ht="33.75" customHeight="1">
      <c r="B3" s="180" t="s">
        <v>1263</v>
      </c>
      <c r="C3" s="180"/>
      <c r="D3" s="180"/>
      <c r="E3" s="180"/>
      <c r="F3" s="180"/>
      <c r="G3" s="180"/>
      <c r="H3" s="180"/>
      <c r="I3" s="180"/>
      <c r="J3" s="180"/>
      <c r="K3" s="180"/>
    </row>
    <row r="4" spans="2:11" ht="20.100000000000001" customHeight="1"/>
    <row r="5" spans="2:11" ht="20.100000000000001" customHeight="1">
      <c r="B5" s="316" t="s">
        <v>1161</v>
      </c>
      <c r="C5" s="316"/>
      <c r="D5" s="316"/>
      <c r="E5" s="316"/>
      <c r="F5" s="316"/>
      <c r="G5" s="316"/>
      <c r="H5" s="316"/>
      <c r="I5" s="316"/>
      <c r="J5" s="316"/>
      <c r="K5" s="316"/>
    </row>
    <row r="6" spans="2:11" ht="20.100000000000001" customHeight="1">
      <c r="I6" s="14"/>
      <c r="J6" s="11"/>
    </row>
    <row r="7" spans="2:11" ht="20.100000000000001" customHeight="1">
      <c r="B7" s="81" t="s">
        <v>71</v>
      </c>
      <c r="C7" s="133"/>
      <c r="D7" s="133"/>
      <c r="E7" s="133"/>
      <c r="G7" s="78" t="s">
        <v>1162</v>
      </c>
      <c r="H7" s="175" t="s">
        <v>1243</v>
      </c>
      <c r="I7" s="175" t="s">
        <v>1244</v>
      </c>
      <c r="J7" s="175" t="s">
        <v>1245</v>
      </c>
    </row>
    <row r="8" spans="2:11" ht="26.4">
      <c r="B8" s="292" t="s">
        <v>1127</v>
      </c>
      <c r="C8" s="627"/>
      <c r="D8" s="628"/>
      <c r="E8" s="432"/>
      <c r="G8" s="163" t="s">
        <v>1246</v>
      </c>
      <c r="H8" s="360"/>
      <c r="I8" s="368"/>
      <c r="J8" s="368"/>
    </row>
    <row r="9" spans="2:11" ht="20.100000000000001" customHeight="1">
      <c r="B9" s="292" t="s">
        <v>1166</v>
      </c>
      <c r="C9" s="569"/>
      <c r="D9" s="570"/>
      <c r="E9" s="432"/>
      <c r="G9" s="163" t="s">
        <v>1247</v>
      </c>
      <c r="H9" s="244">
        <f>DATE(YEAR(H8)+1,MONTH(H8),DAY(H8)-1)</f>
        <v>365</v>
      </c>
      <c r="I9" s="244">
        <f>DATE(YEAR(I8)+1,MONTH(I8),DAY(I8)-1)</f>
        <v>365</v>
      </c>
      <c r="J9" s="244">
        <f>DATE(YEAR(J8)+1,MONTH(J8),DAY(J8)-1)</f>
        <v>365</v>
      </c>
    </row>
    <row r="10" spans="2:11" ht="20.100000000000001" customHeight="1">
      <c r="B10" s="292" t="s">
        <v>1168</v>
      </c>
      <c r="C10" s="569"/>
      <c r="D10" s="570"/>
      <c r="E10" s="432"/>
      <c r="F10" s="317"/>
      <c r="G10" s="16"/>
      <c r="H10" s="16"/>
      <c r="I10" s="18"/>
      <c r="J10" s="18"/>
    </row>
    <row r="11" spans="2:11" ht="20.100000000000001" customHeight="1">
      <c r="B11" s="292" t="s">
        <v>1169</v>
      </c>
      <c r="C11" s="571"/>
      <c r="D11" s="572"/>
      <c r="E11" s="433">
        <f>IF(C12="NZ", CONCATENATE(0,C11), C11)</f>
        <v>0</v>
      </c>
      <c r="G11" s="163" t="s">
        <v>1264</v>
      </c>
      <c r="H11" s="369"/>
      <c r="I11" s="370"/>
      <c r="J11" s="370"/>
    </row>
    <row r="12" spans="2:11" ht="20.100000000000001" customHeight="1">
      <c r="B12" s="292" t="s">
        <v>1170</v>
      </c>
      <c r="C12" s="573"/>
      <c r="D12" s="604"/>
      <c r="E12" s="432"/>
      <c r="G12" s="157" t="s">
        <v>1172</v>
      </c>
      <c r="H12" s="162" t="str">
        <f>IFERROR(VLOOKUP($E$11,'CDD &amp; HDD table'!$A:$D,3,FALSE),"")</f>
        <v/>
      </c>
      <c r="I12" s="162" t="str">
        <f>H12</f>
        <v/>
      </c>
      <c r="J12" s="162" t="str">
        <f>I12</f>
        <v/>
      </c>
    </row>
    <row r="13" spans="2:11" ht="20.100000000000001" customHeight="1">
      <c r="B13" s="292" t="s">
        <v>1171</v>
      </c>
      <c r="C13" s="573"/>
      <c r="D13" s="604"/>
      <c r="E13" s="432"/>
      <c r="G13" s="157" t="s">
        <v>1173</v>
      </c>
      <c r="H13" s="155" t="str">
        <f>IFERROR(VLOOKUP($E$11,'CDD &amp; HDD table'!$A:$D,4,FALSE),"")</f>
        <v/>
      </c>
      <c r="I13" s="155" t="str">
        <f>H13</f>
        <v/>
      </c>
      <c r="J13" s="155" t="str">
        <f>I13</f>
        <v/>
      </c>
    </row>
    <row r="14" spans="2:11" ht="20.100000000000001" customHeight="1">
      <c r="B14" s="16"/>
      <c r="C14" s="16"/>
      <c r="D14" s="18"/>
      <c r="E14" s="18"/>
      <c r="J14" s="11"/>
    </row>
    <row r="15" spans="2:11" ht="30" customHeight="1">
      <c r="B15" s="292" t="s">
        <v>1174</v>
      </c>
      <c r="C15" s="82"/>
      <c r="D15" s="625" t="s">
        <v>1175</v>
      </c>
      <c r="E15" s="625"/>
      <c r="F15" s="625"/>
      <c r="J15" s="11"/>
    </row>
    <row r="16" spans="2:11" ht="30" customHeight="1">
      <c r="B16" s="292" t="s">
        <v>1176</v>
      </c>
      <c r="C16" s="82"/>
      <c r="D16" s="625" t="s">
        <v>1177</v>
      </c>
      <c r="E16" s="625"/>
      <c r="F16" s="625"/>
      <c r="J16" s="11"/>
    </row>
    <row r="17" spans="2:11" ht="30" customHeight="1">
      <c r="B17" s="292" t="s">
        <v>1178</v>
      </c>
      <c r="C17" s="82"/>
      <c r="D17" s="626" t="s">
        <v>1249</v>
      </c>
      <c r="E17" s="626"/>
      <c r="F17" s="626"/>
    </row>
    <row r="18" spans="2:11" ht="20.100000000000001" customHeight="1"/>
    <row r="19" spans="2:11" ht="20.100000000000001" customHeight="1">
      <c r="B19" s="316" t="s">
        <v>1184</v>
      </c>
      <c r="C19" s="316"/>
      <c r="D19" s="316"/>
      <c r="E19" s="316"/>
      <c r="F19" s="316"/>
      <c r="G19" s="316"/>
      <c r="H19" s="316"/>
      <c r="I19" s="316"/>
      <c r="J19" s="316"/>
      <c r="K19" s="316"/>
    </row>
    <row r="20" spans="2:11" ht="20.100000000000001" customHeight="1">
      <c r="I20" s="14"/>
      <c r="J20" s="11"/>
    </row>
    <row r="21" spans="2:11" ht="20.100000000000001" customHeight="1">
      <c r="B21" s="613" t="s">
        <v>358</v>
      </c>
      <c r="C21" s="613" t="s">
        <v>360</v>
      </c>
      <c r="D21" s="613" t="s">
        <v>363</v>
      </c>
      <c r="E21" s="610" t="s">
        <v>1185</v>
      </c>
      <c r="F21" s="611"/>
      <c r="G21" s="612"/>
      <c r="H21" s="610" t="s">
        <v>1250</v>
      </c>
      <c r="I21" s="611"/>
      <c r="J21" s="612"/>
      <c r="K21" s="19"/>
    </row>
    <row r="22" spans="2:11" ht="20.100000000000001" customHeight="1">
      <c r="B22" s="614"/>
      <c r="C22" s="614"/>
      <c r="D22" s="614"/>
      <c r="E22" s="78" t="s">
        <v>1243</v>
      </c>
      <c r="F22" s="78" t="s">
        <v>1244</v>
      </c>
      <c r="G22" s="78" t="s">
        <v>1245</v>
      </c>
      <c r="H22" s="78" t="s">
        <v>1243</v>
      </c>
      <c r="I22" s="78" t="s">
        <v>1244</v>
      </c>
      <c r="J22" s="78" t="s">
        <v>1245</v>
      </c>
      <c r="K22" s="21"/>
    </row>
    <row r="23" spans="2:11" ht="20.100000000000001" customHeight="1">
      <c r="B23" s="154">
        <v>1</v>
      </c>
      <c r="C23" s="158" t="str">
        <f>C109</f>
        <v>Electricity</v>
      </c>
      <c r="D23" s="159" t="e">
        <f>'15C Building Details'!D26</f>
        <v>#N/A</v>
      </c>
      <c r="E23" s="155">
        <f>SUM(I117:I152)</f>
        <v>0</v>
      </c>
      <c r="F23" s="155">
        <f>SUM(J117:J152)</f>
        <v>0</v>
      </c>
      <c r="G23" s="155">
        <f>SUM(K117:K152)</f>
        <v>0</v>
      </c>
      <c r="H23" s="155" t="e">
        <f>E23*$D23</f>
        <v>#N/A</v>
      </c>
      <c r="I23" s="155" t="e">
        <f>F23*$D23</f>
        <v>#N/A</v>
      </c>
      <c r="J23" s="155" t="e">
        <f>G23*$D23</f>
        <v>#N/A</v>
      </c>
      <c r="K23" s="22"/>
    </row>
    <row r="24" spans="2:11" ht="20.100000000000001" customHeight="1">
      <c r="B24" s="154">
        <v>2</v>
      </c>
      <c r="C24" s="154" t="str">
        <f>C156</f>
        <v>GreenPower</v>
      </c>
      <c r="D24" s="159">
        <f>'15C Building Details'!D27</f>
        <v>0</v>
      </c>
      <c r="E24" s="160">
        <f>SUM(I164:I199)</f>
        <v>0</v>
      </c>
      <c r="F24" s="160">
        <f>SUM(J164:J199)</f>
        <v>0</v>
      </c>
      <c r="G24" s="160">
        <f>SUM(K164:K199)</f>
        <v>0</v>
      </c>
      <c r="H24" s="155">
        <f t="shared" ref="H24:H29" si="0">E24*$D24</f>
        <v>0</v>
      </c>
      <c r="I24" s="155">
        <f t="shared" ref="I24:J29" si="1">F24*$D24</f>
        <v>0</v>
      </c>
      <c r="J24" s="155">
        <f t="shared" si="1"/>
        <v>0</v>
      </c>
      <c r="K24" s="22"/>
    </row>
    <row r="25" spans="2:11" ht="20.100000000000001" customHeight="1">
      <c r="B25" s="154">
        <v>3</v>
      </c>
      <c r="C25" s="154" t="str">
        <f>C203</f>
        <v>Natural gas distributed in a pipeline</v>
      </c>
      <c r="D25" s="159" t="b">
        <f>'15C Building Details'!D28</f>
        <v>0</v>
      </c>
      <c r="E25" s="160">
        <f>SUM(I211:I247)</f>
        <v>0</v>
      </c>
      <c r="F25" s="160">
        <f>SUM(J211:J247)</f>
        <v>0</v>
      </c>
      <c r="G25" s="160">
        <f>SUM(K211:K247)</f>
        <v>0</v>
      </c>
      <c r="H25" s="155">
        <f>E25*$D25</f>
        <v>0</v>
      </c>
      <c r="I25" s="155">
        <f>F25*$D25</f>
        <v>0</v>
      </c>
      <c r="J25" s="155">
        <f>G25*$D25</f>
        <v>0</v>
      </c>
      <c r="K25" s="22"/>
    </row>
    <row r="26" spans="2:11" ht="20.100000000000001" customHeight="1">
      <c r="B26" s="154">
        <v>4</v>
      </c>
      <c r="C26" s="154" t="str">
        <f>C251</f>
        <v>LPG</v>
      </c>
      <c r="D26" s="159" t="b">
        <f>'15C Building Details'!D29</f>
        <v>0</v>
      </c>
      <c r="E26" s="160">
        <f>SUM(I259:I294)</f>
        <v>0</v>
      </c>
      <c r="F26" s="160">
        <f>SUM(J259:J294)</f>
        <v>0</v>
      </c>
      <c r="G26" s="160">
        <f>SUM(K259:K294)</f>
        <v>0</v>
      </c>
      <c r="H26" s="155">
        <f t="shared" si="0"/>
        <v>0</v>
      </c>
      <c r="I26" s="155">
        <f t="shared" si="1"/>
        <v>0</v>
      </c>
      <c r="J26" s="155">
        <f t="shared" si="1"/>
        <v>0</v>
      </c>
      <c r="K26" s="22"/>
    </row>
    <row r="27" spans="2:11" ht="20.100000000000001" customHeight="1">
      <c r="B27" s="154">
        <v>5</v>
      </c>
      <c r="C27" s="154" t="str">
        <f>C298</f>
        <v>Diesel Oil</v>
      </c>
      <c r="D27" s="159" t="b">
        <f>'15C Building Details'!D30</f>
        <v>0</v>
      </c>
      <c r="E27" s="160">
        <f>SUM(I306:I341)</f>
        <v>0</v>
      </c>
      <c r="F27" s="160">
        <f>SUM(J306:J341)</f>
        <v>0</v>
      </c>
      <c r="G27" s="160">
        <f>SUM(K306:K341)</f>
        <v>0</v>
      </c>
      <c r="H27" s="155">
        <f t="shared" si="0"/>
        <v>0</v>
      </c>
      <c r="I27" s="155">
        <f t="shared" si="1"/>
        <v>0</v>
      </c>
      <c r="J27" s="155">
        <f t="shared" si="1"/>
        <v>0</v>
      </c>
      <c r="K27" s="22"/>
    </row>
    <row r="28" spans="2:11" ht="20.100000000000001" customHeight="1">
      <c r="B28" s="154">
        <v>6</v>
      </c>
      <c r="C28" s="154" t="str">
        <f>C345</f>
        <v>Black Coal</v>
      </c>
      <c r="D28" s="159" t="b">
        <f>'15C Building Details'!D31</f>
        <v>0</v>
      </c>
      <c r="E28" s="160">
        <f>SUM(I353:I388)</f>
        <v>0</v>
      </c>
      <c r="F28" s="160">
        <f>SUM(J353:J388)</f>
        <v>0</v>
      </c>
      <c r="G28" s="160">
        <f>SUM(K353:K388)</f>
        <v>0</v>
      </c>
      <c r="H28" s="155">
        <f t="shared" si="0"/>
        <v>0</v>
      </c>
      <c r="I28" s="155">
        <f t="shared" si="1"/>
        <v>0</v>
      </c>
      <c r="J28" s="155">
        <f t="shared" si="1"/>
        <v>0</v>
      </c>
      <c r="K28" s="22"/>
    </row>
    <row r="29" spans="2:11" ht="20.100000000000001" customHeight="1">
      <c r="B29" s="154">
        <v>7</v>
      </c>
      <c r="C29" s="154" t="str">
        <f>C392</f>
        <v>Other</v>
      </c>
      <c r="D29" s="159">
        <f>IFERROR(IF(C29="Electricity",VLOOKUP($C$12,'NGER Emission Factors old'!$A$23:$K$34,10,FALSE)/VLOOKUP($C$12,'NGER Emission Factors old'!$A$23:$K$35,6,FALSE),IF(C29="GreenPower",VLOOKUP(C29,'NGER Emission Factors old'!$A$23:$J$35,10,FALSE)/VLOOKUP(C29,'NGER Emission Factors old'!$A$23:$J$35,6,FALSE),VLOOKUP(C29,'NGER Emission Factors old'!$A$5:$K$10,10,FALSE))),0)</f>
        <v>0</v>
      </c>
      <c r="E29" s="160">
        <f>SUM(I400:I435)</f>
        <v>0</v>
      </c>
      <c r="F29" s="160">
        <f>SUM(J400:J435)</f>
        <v>0</v>
      </c>
      <c r="G29" s="160">
        <f>SUM(K400:K435)</f>
        <v>0</v>
      </c>
      <c r="H29" s="155">
        <f t="shared" si="0"/>
        <v>0</v>
      </c>
      <c r="I29" s="155">
        <f t="shared" si="1"/>
        <v>0</v>
      </c>
      <c r="J29" s="155">
        <f t="shared" si="1"/>
        <v>0</v>
      </c>
      <c r="K29" s="22"/>
    </row>
    <row r="30" spans="2:11" ht="20.100000000000001" customHeight="1">
      <c r="B30" s="610" t="s">
        <v>1187</v>
      </c>
      <c r="C30" s="611"/>
      <c r="D30" s="612"/>
      <c r="E30" s="161">
        <f t="shared" ref="E30:J30" si="2">SUM(E23:E29)</f>
        <v>0</v>
      </c>
      <c r="F30" s="161">
        <f t="shared" si="2"/>
        <v>0</v>
      </c>
      <c r="G30" s="161">
        <f t="shared" si="2"/>
        <v>0</v>
      </c>
      <c r="H30" s="161" t="e">
        <f t="shared" si="2"/>
        <v>#N/A</v>
      </c>
      <c r="I30" s="161" t="e">
        <f t="shared" si="2"/>
        <v>#N/A</v>
      </c>
      <c r="J30" s="161" t="e">
        <f t="shared" si="2"/>
        <v>#N/A</v>
      </c>
      <c r="K30" s="22"/>
    </row>
    <row r="31" spans="2:11" ht="20.100000000000001" customHeight="1">
      <c r="I31" s="14"/>
      <c r="J31" s="11"/>
    </row>
    <row r="32" spans="2:11" ht="20.100000000000001" customHeight="1">
      <c r="B32" s="316" t="s">
        <v>1188</v>
      </c>
      <c r="C32" s="316"/>
      <c r="D32" s="316"/>
      <c r="E32" s="316"/>
      <c r="F32" s="316"/>
      <c r="G32" s="316"/>
      <c r="H32" s="316"/>
      <c r="I32" s="316"/>
      <c r="J32" s="316"/>
      <c r="K32" s="316"/>
    </row>
    <row r="33" spans="2:11" ht="20.100000000000001" customHeight="1">
      <c r="J33" s="11"/>
    </row>
    <row r="34" spans="2:11" ht="20.100000000000001" customHeight="1">
      <c r="B34" s="613" t="s">
        <v>1189</v>
      </c>
      <c r="C34" s="610" t="s">
        <v>1251</v>
      </c>
      <c r="D34" s="611"/>
      <c r="E34" s="612"/>
      <c r="J34" s="11"/>
    </row>
    <row r="35" spans="2:11" ht="20.100000000000001" customHeight="1">
      <c r="B35" s="614"/>
      <c r="C35" s="78" t="s">
        <v>1243</v>
      </c>
      <c r="D35" s="78" t="s">
        <v>1244</v>
      </c>
      <c r="E35" s="78" t="s">
        <v>1245</v>
      </c>
      <c r="J35" s="11"/>
    </row>
    <row r="36" spans="2:11" ht="20.100000000000001" customHeight="1">
      <c r="B36" s="157" t="str">
        <f>'15C Building Details'!B43</f>
        <v>Cooling degree days</v>
      </c>
      <c r="C36" s="155" t="str">
        <f t="shared" ref="C36:E37" si="3">+H12</f>
        <v/>
      </c>
      <c r="D36" s="155" t="str">
        <f t="shared" si="3"/>
        <v/>
      </c>
      <c r="E36" s="155" t="str">
        <f t="shared" si="3"/>
        <v/>
      </c>
      <c r="J36" s="11"/>
    </row>
    <row r="37" spans="2:11" ht="20.100000000000001" customHeight="1">
      <c r="B37" s="157" t="str">
        <f>'15C Building Details'!B44</f>
        <v>Heating degree days</v>
      </c>
      <c r="C37" s="155" t="str">
        <f t="shared" si="3"/>
        <v/>
      </c>
      <c r="D37" s="155" t="str">
        <f t="shared" si="3"/>
        <v/>
      </c>
      <c r="E37" s="155" t="str">
        <f t="shared" si="3"/>
        <v/>
      </c>
      <c r="J37" s="11"/>
    </row>
    <row r="38" spans="2:11" ht="20.100000000000001" customHeight="1">
      <c r="B38" s="157" t="str">
        <f>'15C Building Details'!B45</f>
        <v>Adjusted Area</v>
      </c>
      <c r="C38" s="155">
        <f>D65</f>
        <v>0</v>
      </c>
      <c r="D38" s="155">
        <f>D84</f>
        <v>0</v>
      </c>
      <c r="E38" s="155">
        <f>D103</f>
        <v>0</v>
      </c>
      <c r="J38" s="11"/>
    </row>
    <row r="39" spans="2:11" ht="20.100000000000001" customHeight="1">
      <c r="B39" s="157" t="str">
        <f>'15C Building Details'!B46</f>
        <v>Adjusted Hours</v>
      </c>
      <c r="C39" s="155" t="e">
        <f>E65</f>
        <v>#DIV/0!</v>
      </c>
      <c r="D39" s="155" t="e">
        <f>E84</f>
        <v>#DIV/0!</v>
      </c>
      <c r="E39" s="155" t="e">
        <f>E103</f>
        <v>#DIV/0!</v>
      </c>
      <c r="J39" s="11"/>
    </row>
    <row r="40" spans="2:11" ht="20.100000000000001" customHeight="1">
      <c r="B40" s="157" t="str">
        <f>'15C Building Details'!B47</f>
        <v>Adjusted Operational Variable 1</v>
      </c>
      <c r="C40" s="155" t="e">
        <f>F65</f>
        <v>#DIV/0!</v>
      </c>
      <c r="D40" s="155" t="e">
        <f>F84</f>
        <v>#DIV/0!</v>
      </c>
      <c r="E40" s="155" t="e">
        <f>F103</f>
        <v>#DIV/0!</v>
      </c>
      <c r="J40" s="11"/>
    </row>
    <row r="41" spans="2:11" ht="20.100000000000001" customHeight="1">
      <c r="B41" s="157" t="str">
        <f>'15C Building Details'!B48</f>
        <v>Adjusted Operational Variable 2</v>
      </c>
      <c r="C41" s="155" t="e">
        <f>G65</f>
        <v>#DIV/0!</v>
      </c>
      <c r="D41" s="155" t="e">
        <f>G84</f>
        <v>#DIV/0!</v>
      </c>
      <c r="E41" s="155" t="e">
        <f>G103</f>
        <v>#DIV/0!</v>
      </c>
      <c r="J41" s="11"/>
    </row>
    <row r="42" spans="2:11" ht="20.100000000000001" customHeight="1">
      <c r="B42" s="157" t="str">
        <f>'15C Building Details'!B49</f>
        <v>Adjusted Operational Variable 3</v>
      </c>
      <c r="C42" s="155" t="e">
        <f>H65</f>
        <v>#DIV/0!</v>
      </c>
      <c r="D42" s="155" t="e">
        <f>H84</f>
        <v>#DIV/0!</v>
      </c>
      <c r="E42" s="155" t="e">
        <f>H103</f>
        <v>#DIV/0!</v>
      </c>
      <c r="J42" s="11"/>
    </row>
    <row r="43" spans="2:11" ht="20.100000000000001" customHeight="1">
      <c r="J43" s="11"/>
    </row>
    <row r="44" spans="2:11" ht="20.100000000000001" customHeight="1">
      <c r="J44" s="11"/>
    </row>
    <row r="45" spans="2:11" ht="20.100000000000001" customHeight="1"/>
    <row r="46" spans="2:11" ht="20.100000000000001" customHeight="1">
      <c r="B46" s="316" t="s">
        <v>1193</v>
      </c>
      <c r="C46" s="316"/>
      <c r="D46" s="316"/>
      <c r="E46" s="316"/>
      <c r="F46" s="316"/>
      <c r="G46" s="316"/>
      <c r="H46" s="316"/>
      <c r="I46" s="316"/>
      <c r="J46" s="316"/>
      <c r="K46" s="316"/>
    </row>
    <row r="47" spans="2:11" ht="20.100000000000001" customHeight="1"/>
    <row r="48" spans="2:11" ht="40.200000000000003" customHeight="1" thickBot="1">
      <c r="B48" s="175" t="s">
        <v>71</v>
      </c>
      <c r="C48" s="175" t="s">
        <v>1252</v>
      </c>
      <c r="D48" s="175" t="s">
        <v>1253</v>
      </c>
      <c r="E48" s="175" t="s">
        <v>1254</v>
      </c>
      <c r="F48" s="175" t="str">
        <f>'15C Building Details'!$F$54</f>
        <v>Operational Variable 1</v>
      </c>
      <c r="G48" s="175" t="str">
        <f>'15C Building Details'!$G$54</f>
        <v>Operational Variable 2</v>
      </c>
      <c r="H48" s="175" t="str">
        <f>'15C Building Details'!$H$54</f>
        <v>Operational Variable 3</v>
      </c>
      <c r="I48" s="175" t="s">
        <v>1256</v>
      </c>
      <c r="J48" s="175" t="s">
        <v>55</v>
      </c>
      <c r="K48" s="175" t="s">
        <v>1255</v>
      </c>
    </row>
    <row r="49" spans="2:11" ht="20.100000000000001" customHeight="1">
      <c r="B49" s="429" t="s">
        <v>1202</v>
      </c>
      <c r="C49" s="420"/>
      <c r="D49" s="421"/>
      <c r="E49" s="421"/>
      <c r="F49" s="421"/>
      <c r="G49" s="421"/>
      <c r="H49" s="421"/>
      <c r="I49" s="421"/>
      <c r="J49" s="421"/>
      <c r="K49" s="422"/>
    </row>
    <row r="50" spans="2:11" ht="20.100000000000001" customHeight="1">
      <c r="B50" s="430" t="s">
        <v>1203</v>
      </c>
      <c r="C50" s="371"/>
      <c r="D50" s="417"/>
      <c r="E50" s="417"/>
      <c r="F50" s="417"/>
      <c r="G50" s="417"/>
      <c r="H50" s="417"/>
      <c r="I50" s="417"/>
      <c r="J50" s="417"/>
      <c r="K50" s="424"/>
    </row>
    <row r="51" spans="2:11" ht="20.100000000000001" customHeight="1">
      <c r="B51" s="430" t="s">
        <v>1204</v>
      </c>
      <c r="C51" s="371"/>
      <c r="D51" s="417"/>
      <c r="E51" s="417"/>
      <c r="F51" s="417"/>
      <c r="G51" s="417"/>
      <c r="H51" s="417"/>
      <c r="I51" s="417"/>
      <c r="J51" s="417"/>
      <c r="K51" s="424"/>
    </row>
    <row r="52" spans="2:11" ht="20.100000000000001" customHeight="1">
      <c r="B52" s="430" t="s">
        <v>1205</v>
      </c>
      <c r="C52" s="371"/>
      <c r="D52" s="417"/>
      <c r="E52" s="417"/>
      <c r="F52" s="417"/>
      <c r="G52" s="417"/>
      <c r="H52" s="417"/>
      <c r="I52" s="417"/>
      <c r="J52" s="417"/>
      <c r="K52" s="424"/>
    </row>
    <row r="53" spans="2:11" ht="20.100000000000001" customHeight="1">
      <c r="B53" s="430" t="s">
        <v>1206</v>
      </c>
      <c r="C53" s="371"/>
      <c r="D53" s="417"/>
      <c r="E53" s="417"/>
      <c r="F53" s="417"/>
      <c r="G53" s="417"/>
      <c r="H53" s="417"/>
      <c r="I53" s="417"/>
      <c r="J53" s="417"/>
      <c r="K53" s="424"/>
    </row>
    <row r="54" spans="2:11" ht="20.100000000000001" customHeight="1">
      <c r="B54" s="430" t="s">
        <v>1207</v>
      </c>
      <c r="C54" s="371"/>
      <c r="D54" s="417"/>
      <c r="E54" s="417"/>
      <c r="F54" s="417"/>
      <c r="G54" s="417"/>
      <c r="H54" s="417"/>
      <c r="I54" s="417"/>
      <c r="J54" s="417"/>
      <c r="K54" s="424"/>
    </row>
    <row r="55" spans="2:11" ht="20.100000000000001" customHeight="1">
      <c r="B55" s="430" t="s">
        <v>1208</v>
      </c>
      <c r="C55" s="371"/>
      <c r="D55" s="417"/>
      <c r="E55" s="417"/>
      <c r="F55" s="417"/>
      <c r="G55" s="417"/>
      <c r="H55" s="417"/>
      <c r="I55" s="417"/>
      <c r="J55" s="417"/>
      <c r="K55" s="424"/>
    </row>
    <row r="56" spans="2:11" ht="20.100000000000001" customHeight="1">
      <c r="B56" s="430" t="s">
        <v>1209</v>
      </c>
      <c r="C56" s="371"/>
      <c r="D56" s="417"/>
      <c r="E56" s="417"/>
      <c r="F56" s="417"/>
      <c r="G56" s="417"/>
      <c r="H56" s="417"/>
      <c r="I56" s="417"/>
      <c r="J56" s="417"/>
      <c r="K56" s="424"/>
    </row>
    <row r="57" spans="2:11" ht="20.100000000000001" customHeight="1">
      <c r="B57" s="430" t="s">
        <v>1210</v>
      </c>
      <c r="C57" s="371"/>
      <c r="D57" s="417"/>
      <c r="E57" s="417"/>
      <c r="F57" s="417"/>
      <c r="G57" s="417"/>
      <c r="H57" s="417"/>
      <c r="I57" s="417"/>
      <c r="J57" s="417"/>
      <c r="K57" s="424"/>
    </row>
    <row r="58" spans="2:11" ht="20.100000000000001" customHeight="1">
      <c r="B58" s="430" t="s">
        <v>1211</v>
      </c>
      <c r="C58" s="371"/>
      <c r="D58" s="417"/>
      <c r="E58" s="417"/>
      <c r="F58" s="417"/>
      <c r="G58" s="417"/>
      <c r="H58" s="417"/>
      <c r="I58" s="417"/>
      <c r="J58" s="417"/>
      <c r="K58" s="424"/>
    </row>
    <row r="59" spans="2:11" ht="20.100000000000001" customHeight="1">
      <c r="B59" s="430" t="s">
        <v>1212</v>
      </c>
      <c r="C59" s="371"/>
      <c r="D59" s="417"/>
      <c r="E59" s="417"/>
      <c r="F59" s="417"/>
      <c r="G59" s="417"/>
      <c r="H59" s="417"/>
      <c r="I59" s="417"/>
      <c r="J59" s="417"/>
      <c r="K59" s="424"/>
    </row>
    <row r="60" spans="2:11" ht="20.100000000000001" customHeight="1">
      <c r="B60" s="430" t="s">
        <v>1213</v>
      </c>
      <c r="C60" s="371"/>
      <c r="D60" s="417"/>
      <c r="E60" s="417"/>
      <c r="F60" s="417"/>
      <c r="G60" s="417"/>
      <c r="H60" s="417"/>
      <c r="I60" s="417"/>
      <c r="J60" s="417"/>
      <c r="K60" s="424"/>
    </row>
    <row r="61" spans="2:11" ht="20.100000000000001" customHeight="1">
      <c r="B61" s="430" t="s">
        <v>1214</v>
      </c>
      <c r="C61" s="371"/>
      <c r="D61" s="417"/>
      <c r="E61" s="417"/>
      <c r="F61" s="417"/>
      <c r="G61" s="417"/>
      <c r="H61" s="417"/>
      <c r="I61" s="417"/>
      <c r="J61" s="417"/>
      <c r="K61" s="424"/>
    </row>
    <row r="62" spans="2:11" ht="20.100000000000001" customHeight="1">
      <c r="B62" s="430" t="s">
        <v>1215</v>
      </c>
      <c r="C62" s="371"/>
      <c r="D62" s="417"/>
      <c r="E62" s="417"/>
      <c r="F62" s="417"/>
      <c r="G62" s="417"/>
      <c r="H62" s="417"/>
      <c r="I62" s="417"/>
      <c r="J62" s="417"/>
      <c r="K62" s="424"/>
    </row>
    <row r="63" spans="2:11" ht="20.100000000000001" customHeight="1" thickBot="1">
      <c r="B63" s="431" t="s">
        <v>1216</v>
      </c>
      <c r="C63" s="426"/>
      <c r="D63" s="427"/>
      <c r="E63" s="427"/>
      <c r="F63" s="427"/>
      <c r="G63" s="427"/>
      <c r="H63" s="427"/>
      <c r="I63" s="427"/>
      <c r="J63" s="427"/>
      <c r="K63" s="428"/>
    </row>
    <row r="64" spans="2:11" ht="40.200000000000003" customHeight="1">
      <c r="B64" s="15"/>
      <c r="D64" s="290" t="s">
        <v>1217</v>
      </c>
      <c r="E64" s="290" t="s">
        <v>1218</v>
      </c>
      <c r="F64" s="418" t="str">
        <f>"Adjusted "&amp;$F48</f>
        <v>Adjusted Operational Variable 1</v>
      </c>
      <c r="G64" s="418" t="str">
        <f>"Adjusted "&amp;$G48</f>
        <v>Adjusted Operational Variable 2</v>
      </c>
      <c r="H64" s="418" t="str">
        <f>"Adjusted "&amp;$H48</f>
        <v>Adjusted Operational Variable 3</v>
      </c>
    </row>
    <row r="65" spans="2:11" ht="20.100000000000001" customHeight="1">
      <c r="D65" s="155">
        <f>SUMPRODUCT(D49:D63,I49:I63)/($H$9-$H$8+1)</f>
        <v>0</v>
      </c>
      <c r="E65" s="155" t="e">
        <f>SUMPRODUCT(E49:E63,$I49:$I63,$D49:$D63)/($H$9-$H$8+1)/SUM($D49:$D63)</f>
        <v>#DIV/0!</v>
      </c>
      <c r="F65" s="155" t="e">
        <f>SUMPRODUCT(F49:F63,$I49:$I63,$D49:$D63)/($H$9-$H$8+1)/SUM($D49:$D63)</f>
        <v>#DIV/0!</v>
      </c>
      <c r="G65" s="155" t="e">
        <f>SUMPRODUCT(G49:G63,$I49:$I63,$D49:$D63)/($H$9-$H$8+1)/SUM($D49:$D63)</f>
        <v>#DIV/0!</v>
      </c>
      <c r="H65" s="155" t="e">
        <f>SUMPRODUCT(H49:H63,$I49:$I63,$D49:$D63)/($H$9-$H$8+1)/SUM($D49:$D63)</f>
        <v>#DIV/0!</v>
      </c>
    </row>
    <row r="66" spans="2:11" ht="20.100000000000001" customHeight="1"/>
    <row r="67" spans="2:11" ht="40.200000000000003" customHeight="1" thickBot="1">
      <c r="B67" s="78" t="s">
        <v>71</v>
      </c>
      <c r="C67" s="78" t="s">
        <v>1252</v>
      </c>
      <c r="D67" s="78" t="s">
        <v>1253</v>
      </c>
      <c r="E67" s="78" t="s">
        <v>1254</v>
      </c>
      <c r="F67" s="175" t="str">
        <f>'15C Building Details'!$F$54</f>
        <v>Operational Variable 1</v>
      </c>
      <c r="G67" s="175" t="str">
        <f>'15C Building Details'!$G$54</f>
        <v>Operational Variable 2</v>
      </c>
      <c r="H67" s="175" t="str">
        <f>'15C Building Details'!$H$54</f>
        <v>Operational Variable 3</v>
      </c>
      <c r="I67" s="78" t="s">
        <v>1256</v>
      </c>
      <c r="J67" s="78" t="s">
        <v>55</v>
      </c>
      <c r="K67" s="78" t="s">
        <v>1255</v>
      </c>
    </row>
    <row r="68" spans="2:11" ht="20.100000000000001" customHeight="1">
      <c r="B68" s="156" t="str">
        <f>B49</f>
        <v>Functional space 1</v>
      </c>
      <c r="C68" s="111"/>
      <c r="D68" s="112"/>
      <c r="E68" s="112"/>
      <c r="F68" s="112"/>
      <c r="G68" s="112"/>
      <c r="H68" s="112"/>
      <c r="I68" s="112"/>
      <c r="J68" s="112"/>
      <c r="K68" s="113"/>
    </row>
    <row r="69" spans="2:11" ht="20.100000000000001" customHeight="1">
      <c r="B69" s="156" t="str">
        <f t="shared" ref="B69:B82" si="4">B50</f>
        <v>Functional space 2</v>
      </c>
      <c r="C69" s="114"/>
      <c r="D69" s="115"/>
      <c r="E69" s="115"/>
      <c r="F69" s="115"/>
      <c r="G69" s="115"/>
      <c r="H69" s="115"/>
      <c r="I69" s="115"/>
      <c r="J69" s="115"/>
      <c r="K69" s="116"/>
    </row>
    <row r="70" spans="2:11" ht="20.100000000000001" customHeight="1">
      <c r="B70" s="156" t="str">
        <f t="shared" si="4"/>
        <v>Functional space 3</v>
      </c>
      <c r="C70" s="114"/>
      <c r="D70" s="115"/>
      <c r="E70" s="115"/>
      <c r="F70" s="115"/>
      <c r="G70" s="115"/>
      <c r="H70" s="115"/>
      <c r="I70" s="115"/>
      <c r="J70" s="115"/>
      <c r="K70" s="116"/>
    </row>
    <row r="71" spans="2:11" ht="20.100000000000001" customHeight="1">
      <c r="B71" s="156" t="str">
        <f t="shared" si="4"/>
        <v>Functional space 4</v>
      </c>
      <c r="C71" s="114"/>
      <c r="D71" s="115"/>
      <c r="E71" s="115"/>
      <c r="F71" s="115"/>
      <c r="G71" s="115"/>
      <c r="H71" s="115"/>
      <c r="I71" s="115"/>
      <c r="J71" s="115"/>
      <c r="K71" s="116"/>
    </row>
    <row r="72" spans="2:11" ht="20.100000000000001" customHeight="1">
      <c r="B72" s="156" t="str">
        <f t="shared" si="4"/>
        <v>Functional space 5</v>
      </c>
      <c r="C72" s="114"/>
      <c r="D72" s="115"/>
      <c r="E72" s="115"/>
      <c r="F72" s="115"/>
      <c r="G72" s="115"/>
      <c r="H72" s="115"/>
      <c r="I72" s="115"/>
      <c r="J72" s="115"/>
      <c r="K72" s="116"/>
    </row>
    <row r="73" spans="2:11" ht="20.100000000000001" customHeight="1">
      <c r="B73" s="156" t="str">
        <f t="shared" si="4"/>
        <v>Functional space 6</v>
      </c>
      <c r="C73" s="114"/>
      <c r="D73" s="115"/>
      <c r="E73" s="115"/>
      <c r="F73" s="115"/>
      <c r="G73" s="115"/>
      <c r="H73" s="115"/>
      <c r="I73" s="115"/>
      <c r="J73" s="115"/>
      <c r="K73" s="116"/>
    </row>
    <row r="74" spans="2:11" ht="20.100000000000001" customHeight="1">
      <c r="B74" s="156" t="str">
        <f t="shared" si="4"/>
        <v>Functional space 7</v>
      </c>
      <c r="C74" s="114"/>
      <c r="D74" s="115"/>
      <c r="E74" s="115"/>
      <c r="F74" s="115"/>
      <c r="G74" s="115"/>
      <c r="H74" s="115"/>
      <c r="I74" s="115"/>
      <c r="J74" s="115"/>
      <c r="K74" s="116"/>
    </row>
    <row r="75" spans="2:11" ht="20.100000000000001" customHeight="1">
      <c r="B75" s="156" t="str">
        <f t="shared" si="4"/>
        <v>Functional space 8</v>
      </c>
      <c r="C75" s="114"/>
      <c r="D75" s="115"/>
      <c r="E75" s="115"/>
      <c r="F75" s="115"/>
      <c r="G75" s="115"/>
      <c r="H75" s="115"/>
      <c r="I75" s="115"/>
      <c r="J75" s="115"/>
      <c r="K75" s="116"/>
    </row>
    <row r="76" spans="2:11" ht="20.100000000000001" customHeight="1">
      <c r="B76" s="156" t="str">
        <f t="shared" si="4"/>
        <v>Functional space 9</v>
      </c>
      <c r="C76" s="114"/>
      <c r="D76" s="115"/>
      <c r="E76" s="115"/>
      <c r="F76" s="115"/>
      <c r="G76" s="115"/>
      <c r="H76" s="115"/>
      <c r="I76" s="115"/>
      <c r="J76" s="115"/>
      <c r="K76" s="116"/>
    </row>
    <row r="77" spans="2:11" ht="20.100000000000001" customHeight="1">
      <c r="B77" s="156" t="str">
        <f t="shared" si="4"/>
        <v>Functional space 10</v>
      </c>
      <c r="C77" s="114"/>
      <c r="D77" s="115"/>
      <c r="E77" s="115"/>
      <c r="F77" s="115"/>
      <c r="G77" s="115"/>
      <c r="H77" s="115"/>
      <c r="I77" s="115"/>
      <c r="J77" s="115"/>
      <c r="K77" s="116"/>
    </row>
    <row r="78" spans="2:11" ht="20.100000000000001" customHeight="1">
      <c r="B78" s="156" t="str">
        <f t="shared" si="4"/>
        <v>Functional space 11</v>
      </c>
      <c r="C78" s="114"/>
      <c r="D78" s="115"/>
      <c r="E78" s="115"/>
      <c r="F78" s="115"/>
      <c r="G78" s="115"/>
      <c r="H78" s="115"/>
      <c r="I78" s="115"/>
      <c r="J78" s="115"/>
      <c r="K78" s="116"/>
    </row>
    <row r="79" spans="2:11" ht="20.100000000000001" customHeight="1">
      <c r="B79" s="156" t="str">
        <f t="shared" si="4"/>
        <v>Functional space 12</v>
      </c>
      <c r="C79" s="114"/>
      <c r="D79" s="115"/>
      <c r="E79" s="115"/>
      <c r="F79" s="115"/>
      <c r="G79" s="115"/>
      <c r="H79" s="115"/>
      <c r="I79" s="115"/>
      <c r="J79" s="115"/>
      <c r="K79" s="116"/>
    </row>
    <row r="80" spans="2:11" ht="20.100000000000001" customHeight="1">
      <c r="B80" s="156" t="str">
        <f t="shared" si="4"/>
        <v>Functional space 13</v>
      </c>
      <c r="C80" s="114"/>
      <c r="D80" s="115"/>
      <c r="E80" s="115"/>
      <c r="F80" s="115"/>
      <c r="G80" s="115"/>
      <c r="H80" s="115"/>
      <c r="I80" s="115"/>
      <c r="J80" s="115"/>
      <c r="K80" s="116"/>
    </row>
    <row r="81" spans="2:11" ht="20.100000000000001" customHeight="1">
      <c r="B81" s="156" t="str">
        <f t="shared" si="4"/>
        <v>Functional space 14</v>
      </c>
      <c r="C81" s="114"/>
      <c r="D81" s="115"/>
      <c r="E81" s="115"/>
      <c r="F81" s="115"/>
      <c r="G81" s="115"/>
      <c r="H81" s="115"/>
      <c r="I81" s="115"/>
      <c r="J81" s="115"/>
      <c r="K81" s="116"/>
    </row>
    <row r="82" spans="2:11" ht="20.100000000000001" customHeight="1" thickBot="1">
      <c r="B82" s="156" t="str">
        <f t="shared" si="4"/>
        <v>Functional space 15</v>
      </c>
      <c r="C82" s="117"/>
      <c r="D82" s="118"/>
      <c r="E82" s="118"/>
      <c r="F82" s="118"/>
      <c r="G82" s="118"/>
      <c r="H82" s="118"/>
      <c r="I82" s="118"/>
      <c r="J82" s="118"/>
      <c r="K82" s="119"/>
    </row>
    <row r="83" spans="2:11" ht="40.200000000000003" customHeight="1">
      <c r="B83" s="15"/>
      <c r="D83" s="78" t="s">
        <v>1217</v>
      </c>
      <c r="E83" s="78" t="s">
        <v>1218</v>
      </c>
      <c r="F83" s="175" t="str">
        <f>"Adjusted "&amp;$F67</f>
        <v>Adjusted Operational Variable 1</v>
      </c>
      <c r="G83" s="175" t="str">
        <f>"Adjusted "&amp;$G67</f>
        <v>Adjusted Operational Variable 2</v>
      </c>
      <c r="H83" s="175" t="str">
        <f>"Adjusted "&amp;$H67</f>
        <v>Adjusted Operational Variable 3</v>
      </c>
    </row>
    <row r="84" spans="2:11" ht="20.100000000000001" customHeight="1">
      <c r="D84" s="155">
        <f>SUMPRODUCT(D68:D82,I68:I82)/($H$9-$H$8+1)</f>
        <v>0</v>
      </c>
      <c r="E84" s="155" t="e">
        <f>SUMPRODUCT(E68:E82,$I68:$I82,$D68:$D82)/($I$9-$I$8+1)/SUM($D68:$D82)</f>
        <v>#DIV/0!</v>
      </c>
      <c r="F84" s="155" t="e">
        <f>SUMPRODUCT(F68:F82,$I68:$I82,$D68:$D82)/($H$9-$H$8+1)/SUM($D68:$D82)</f>
        <v>#DIV/0!</v>
      </c>
      <c r="G84" s="155" t="e">
        <f>SUMPRODUCT(G68:G82,$I68:$I82,$D68:$D82)/($H$9-$H$8+1)/SUM($D68:$D82)</f>
        <v>#DIV/0!</v>
      </c>
      <c r="H84" s="155" t="e">
        <f>SUMPRODUCT(H68:H82,$I68:$I82,$D68:$D82)/($H$9-$H$8+1)/SUM($D68:$D82)</f>
        <v>#DIV/0!</v>
      </c>
    </row>
    <row r="85" spans="2:11" ht="20.100000000000001" customHeight="1"/>
    <row r="86" spans="2:11" ht="40.200000000000003" customHeight="1" thickBot="1">
      <c r="B86" s="78" t="s">
        <v>71</v>
      </c>
      <c r="C86" s="78" t="s">
        <v>1252</v>
      </c>
      <c r="D86" s="78" t="s">
        <v>1253</v>
      </c>
      <c r="E86" s="78" t="s">
        <v>1254</v>
      </c>
      <c r="F86" s="175" t="str">
        <f>'15C Building Details'!$F$54</f>
        <v>Operational Variable 1</v>
      </c>
      <c r="G86" s="175" t="str">
        <f>'15C Building Details'!$G$54</f>
        <v>Operational Variable 2</v>
      </c>
      <c r="H86" s="175" t="str">
        <f>'15C Building Details'!$H$54</f>
        <v>Operational Variable 3</v>
      </c>
      <c r="I86" s="78" t="s">
        <v>1256</v>
      </c>
      <c r="J86" s="78" t="s">
        <v>55</v>
      </c>
      <c r="K86" s="78" t="s">
        <v>1255</v>
      </c>
    </row>
    <row r="87" spans="2:11" ht="20.100000000000001" customHeight="1">
      <c r="B87" s="156" t="str">
        <f>B68</f>
        <v>Functional space 1</v>
      </c>
      <c r="C87" s="111"/>
      <c r="D87" s="112"/>
      <c r="E87" s="112"/>
      <c r="F87" s="112"/>
      <c r="G87" s="112"/>
      <c r="H87" s="112"/>
      <c r="I87" s="112"/>
      <c r="J87" s="112"/>
      <c r="K87" s="113"/>
    </row>
    <row r="88" spans="2:11" ht="20.100000000000001" customHeight="1">
      <c r="B88" s="156" t="str">
        <f t="shared" ref="B88:B101" si="5">B69</f>
        <v>Functional space 2</v>
      </c>
      <c r="C88" s="114"/>
      <c r="D88" s="115"/>
      <c r="E88" s="115"/>
      <c r="F88" s="115"/>
      <c r="G88" s="115"/>
      <c r="H88" s="115"/>
      <c r="I88" s="115"/>
      <c r="J88" s="115"/>
      <c r="K88" s="116"/>
    </row>
    <row r="89" spans="2:11" ht="20.100000000000001" customHeight="1">
      <c r="B89" s="156" t="str">
        <f t="shared" si="5"/>
        <v>Functional space 3</v>
      </c>
      <c r="C89" s="114"/>
      <c r="D89" s="115"/>
      <c r="E89" s="115"/>
      <c r="F89" s="115"/>
      <c r="G89" s="115"/>
      <c r="H89" s="115"/>
      <c r="I89" s="115"/>
      <c r="J89" s="115"/>
      <c r="K89" s="116"/>
    </row>
    <row r="90" spans="2:11" ht="20.100000000000001" customHeight="1">
      <c r="B90" s="156" t="str">
        <f t="shared" si="5"/>
        <v>Functional space 4</v>
      </c>
      <c r="C90" s="114"/>
      <c r="D90" s="115"/>
      <c r="E90" s="115"/>
      <c r="F90" s="115"/>
      <c r="G90" s="115"/>
      <c r="H90" s="115"/>
      <c r="I90" s="115"/>
      <c r="J90" s="115"/>
      <c r="K90" s="116"/>
    </row>
    <row r="91" spans="2:11" ht="20.100000000000001" customHeight="1">
      <c r="B91" s="156" t="str">
        <f t="shared" si="5"/>
        <v>Functional space 5</v>
      </c>
      <c r="C91" s="114"/>
      <c r="D91" s="115"/>
      <c r="E91" s="115"/>
      <c r="F91" s="115"/>
      <c r="G91" s="115"/>
      <c r="H91" s="115"/>
      <c r="I91" s="115"/>
      <c r="J91" s="115"/>
      <c r="K91" s="116"/>
    </row>
    <row r="92" spans="2:11" ht="20.100000000000001" customHeight="1">
      <c r="B92" s="156" t="str">
        <f t="shared" si="5"/>
        <v>Functional space 6</v>
      </c>
      <c r="C92" s="114"/>
      <c r="D92" s="115"/>
      <c r="E92" s="115"/>
      <c r="F92" s="115"/>
      <c r="G92" s="115"/>
      <c r="H92" s="115"/>
      <c r="I92" s="115"/>
      <c r="J92" s="115"/>
      <c r="K92" s="116"/>
    </row>
    <row r="93" spans="2:11" ht="20.100000000000001" customHeight="1">
      <c r="B93" s="156" t="str">
        <f t="shared" si="5"/>
        <v>Functional space 7</v>
      </c>
      <c r="C93" s="114"/>
      <c r="D93" s="115"/>
      <c r="E93" s="115"/>
      <c r="F93" s="115"/>
      <c r="G93" s="115"/>
      <c r="H93" s="115"/>
      <c r="I93" s="115"/>
      <c r="J93" s="115"/>
      <c r="K93" s="116"/>
    </row>
    <row r="94" spans="2:11" ht="20.100000000000001" customHeight="1">
      <c r="B94" s="156" t="str">
        <f t="shared" si="5"/>
        <v>Functional space 8</v>
      </c>
      <c r="C94" s="114"/>
      <c r="D94" s="115"/>
      <c r="E94" s="115"/>
      <c r="F94" s="115"/>
      <c r="G94" s="115"/>
      <c r="H94" s="115"/>
      <c r="I94" s="115"/>
      <c r="J94" s="115"/>
      <c r="K94" s="116"/>
    </row>
    <row r="95" spans="2:11" ht="20.100000000000001" customHeight="1">
      <c r="B95" s="156" t="str">
        <f t="shared" si="5"/>
        <v>Functional space 9</v>
      </c>
      <c r="C95" s="114"/>
      <c r="D95" s="115"/>
      <c r="E95" s="115"/>
      <c r="F95" s="115"/>
      <c r="G95" s="115"/>
      <c r="H95" s="115"/>
      <c r="I95" s="115"/>
      <c r="J95" s="115"/>
      <c r="K95" s="116"/>
    </row>
    <row r="96" spans="2:11" ht="20.100000000000001" customHeight="1">
      <c r="B96" s="156" t="str">
        <f t="shared" si="5"/>
        <v>Functional space 10</v>
      </c>
      <c r="C96" s="114"/>
      <c r="D96" s="115"/>
      <c r="E96" s="115"/>
      <c r="F96" s="115"/>
      <c r="G96" s="115"/>
      <c r="H96" s="115"/>
      <c r="I96" s="115"/>
      <c r="J96" s="115"/>
      <c r="K96" s="116"/>
    </row>
    <row r="97" spans="2:11" ht="20.100000000000001" customHeight="1">
      <c r="B97" s="156" t="str">
        <f t="shared" si="5"/>
        <v>Functional space 11</v>
      </c>
      <c r="C97" s="114"/>
      <c r="D97" s="115"/>
      <c r="E97" s="115"/>
      <c r="F97" s="115"/>
      <c r="G97" s="115"/>
      <c r="H97" s="115"/>
      <c r="I97" s="115"/>
      <c r="J97" s="115"/>
      <c r="K97" s="116"/>
    </row>
    <row r="98" spans="2:11" ht="20.100000000000001" customHeight="1">
      <c r="B98" s="156" t="str">
        <f t="shared" si="5"/>
        <v>Functional space 12</v>
      </c>
      <c r="C98" s="114"/>
      <c r="D98" s="115"/>
      <c r="E98" s="115"/>
      <c r="F98" s="115"/>
      <c r="G98" s="115"/>
      <c r="H98" s="115"/>
      <c r="I98" s="115"/>
      <c r="J98" s="115"/>
      <c r="K98" s="116"/>
    </row>
    <row r="99" spans="2:11" ht="20.100000000000001" customHeight="1">
      <c r="B99" s="156" t="str">
        <f t="shared" si="5"/>
        <v>Functional space 13</v>
      </c>
      <c r="C99" s="114"/>
      <c r="D99" s="115"/>
      <c r="E99" s="115"/>
      <c r="F99" s="115"/>
      <c r="G99" s="115"/>
      <c r="H99" s="115"/>
      <c r="I99" s="115"/>
      <c r="J99" s="115"/>
      <c r="K99" s="116"/>
    </row>
    <row r="100" spans="2:11" ht="20.100000000000001" customHeight="1">
      <c r="B100" s="156" t="str">
        <f t="shared" si="5"/>
        <v>Functional space 14</v>
      </c>
      <c r="C100" s="114"/>
      <c r="D100" s="115"/>
      <c r="E100" s="115"/>
      <c r="F100" s="115"/>
      <c r="G100" s="115"/>
      <c r="H100" s="115"/>
      <c r="I100" s="115"/>
      <c r="J100" s="115"/>
      <c r="K100" s="116"/>
    </row>
    <row r="101" spans="2:11" ht="20.100000000000001" customHeight="1" thickBot="1">
      <c r="B101" s="156" t="str">
        <f t="shared" si="5"/>
        <v>Functional space 15</v>
      </c>
      <c r="C101" s="117"/>
      <c r="D101" s="118"/>
      <c r="E101" s="118"/>
      <c r="F101" s="118"/>
      <c r="G101" s="118"/>
      <c r="H101" s="118"/>
      <c r="I101" s="118"/>
      <c r="J101" s="118"/>
      <c r="K101" s="119"/>
    </row>
    <row r="102" spans="2:11" ht="40.200000000000003" customHeight="1">
      <c r="B102" s="15"/>
      <c r="D102" s="78" t="s">
        <v>1217</v>
      </c>
      <c r="E102" s="78" t="s">
        <v>1218</v>
      </c>
      <c r="F102" s="175" t="str">
        <f>"Adjusted "&amp;$F86</f>
        <v>Adjusted Operational Variable 1</v>
      </c>
      <c r="G102" s="175" t="str">
        <f>"Adjusted "&amp;$G86</f>
        <v>Adjusted Operational Variable 2</v>
      </c>
      <c r="H102" s="175" t="str">
        <f>"Adjusted "&amp;$H86</f>
        <v>Adjusted Operational Variable 3</v>
      </c>
    </row>
    <row r="103" spans="2:11" ht="20.100000000000001" customHeight="1">
      <c r="D103" s="155">
        <f>SUMPRODUCT(D87:D101,I87:I101)/($H$9-$H$8+1)</f>
        <v>0</v>
      </c>
      <c r="E103" s="155" t="e">
        <f>SUMPRODUCT(E87:E101,$I87:$I101,$D87:$D101)/($J$9-$J$8+1)/SUM($D87:$D101)</f>
        <v>#DIV/0!</v>
      </c>
      <c r="F103" s="155" t="e">
        <f>SUMPRODUCT(F87:F101,$I87:$I101,$D87:$D101)/($J$9-$J$8+1)/SUM($D87:$D101)</f>
        <v>#DIV/0!</v>
      </c>
      <c r="G103" s="155" t="e">
        <f>SUMPRODUCT(G87:G101,$I87:$I101,$D87:$D101)/($J$9-$J$8+1)/SUM($D87:$D101)</f>
        <v>#DIV/0!</v>
      </c>
      <c r="H103" s="155" t="e">
        <f>SUMPRODUCT(H87:H101,$I87:$I101,$D87:$D101)/($J$9-$J$8+1)/SUM($D87:$D101)</f>
        <v>#DIV/0!</v>
      </c>
    </row>
    <row r="104" spans="2:11" ht="20.100000000000001" customHeight="1"/>
    <row r="105" spans="2:11" ht="20.100000000000001" customHeight="1">
      <c r="B105" s="316" t="s">
        <v>1220</v>
      </c>
      <c r="C105" s="316"/>
      <c r="D105" s="316"/>
      <c r="E105" s="316"/>
      <c r="F105" s="316"/>
      <c r="G105" s="316"/>
      <c r="H105" s="316"/>
      <c r="I105" s="316"/>
      <c r="J105" s="316"/>
      <c r="K105" s="316"/>
    </row>
    <row r="106" spans="2:11" ht="20.100000000000001" customHeight="1"/>
    <row r="107" spans="2:11" ht="20.100000000000001" customHeight="1">
      <c r="B107" s="316" t="s">
        <v>1221</v>
      </c>
      <c r="C107" s="316"/>
      <c r="D107" s="316"/>
      <c r="E107" s="316"/>
      <c r="F107" s="316"/>
      <c r="G107" s="316"/>
      <c r="H107" s="316"/>
      <c r="I107" s="316"/>
      <c r="J107" s="316"/>
      <c r="K107" s="316"/>
    </row>
    <row r="108" spans="2:11" ht="20.100000000000001" customHeight="1" thickBot="1"/>
    <row r="109" spans="2:11" ht="20.100000000000001" customHeight="1">
      <c r="B109" s="78" t="s">
        <v>471</v>
      </c>
      <c r="C109" s="154" t="s">
        <v>569</v>
      </c>
      <c r="E109" s="289" t="s">
        <v>475</v>
      </c>
      <c r="F109" s="563"/>
      <c r="G109" s="564"/>
      <c r="H109" s="564"/>
      <c r="I109" s="565"/>
    </row>
    <row r="110" spans="2:11" ht="20.100000000000001" customHeight="1">
      <c r="B110" s="78" t="s">
        <v>477</v>
      </c>
      <c r="C110" s="158" t="str">
        <f>'15C Building Details'!C79</f>
        <v>Scope 2</v>
      </c>
      <c r="E110" s="615" t="s">
        <v>479</v>
      </c>
      <c r="F110" s="622"/>
      <c r="G110" s="623"/>
      <c r="H110" s="623"/>
      <c r="I110" s="624"/>
    </row>
    <row r="111" spans="2:11" ht="20.100000000000001" customHeight="1" thickBot="1">
      <c r="B111" s="78" t="s">
        <v>483</v>
      </c>
      <c r="C111" s="198" t="e">
        <f>'15C Building Details'!C80</f>
        <v>#N/A</v>
      </c>
      <c r="D111" s="317"/>
      <c r="E111" s="616"/>
      <c r="F111" s="566"/>
      <c r="G111" s="567"/>
      <c r="H111" s="567"/>
      <c r="I111" s="568"/>
    </row>
    <row r="112" spans="2:11" ht="20.100000000000001" customHeight="1">
      <c r="B112" s="78" t="s">
        <v>485</v>
      </c>
      <c r="C112" s="158" t="str">
        <f>'15C Building Details'!C81</f>
        <v>kWh</v>
      </c>
    </row>
    <row r="113" spans="2:11" ht="20.100000000000001" customHeight="1">
      <c r="B113" s="78" t="s">
        <v>487</v>
      </c>
      <c r="C113" s="199">
        <f>'15C Building Details'!C82</f>
        <v>3.5999999999999999E-3</v>
      </c>
      <c r="E113" s="11" t="s">
        <v>489</v>
      </c>
    </row>
    <row r="114" spans="2:11" ht="20.100000000000001" customHeight="1">
      <c r="G114" s="14"/>
      <c r="J114" s="11"/>
    </row>
    <row r="115" spans="2:11" ht="20.100000000000001" customHeight="1"/>
    <row r="116" spans="2:11" ht="40.200000000000003" customHeight="1" thickBot="1">
      <c r="B116" s="78" t="s">
        <v>491</v>
      </c>
      <c r="C116" s="78" t="s">
        <v>493</v>
      </c>
      <c r="D116" s="78" t="s">
        <v>495</v>
      </c>
      <c r="E116" s="78" t="s">
        <v>497</v>
      </c>
      <c r="F116" s="78" t="str">
        <f>"Billed Quantity ("&amp;C112&amp;")"</f>
        <v>Billed Quantity (kWh)</v>
      </c>
      <c r="G116" s="78" t="s">
        <v>501</v>
      </c>
      <c r="H116" s="78" t="s">
        <v>487</v>
      </c>
      <c r="I116" s="78" t="s">
        <v>1257</v>
      </c>
      <c r="J116" s="78" t="s">
        <v>1258</v>
      </c>
      <c r="K116" s="78" t="s">
        <v>1259</v>
      </c>
    </row>
    <row r="117" spans="2:11" ht="20.100000000000001" customHeight="1">
      <c r="B117" s="120"/>
      <c r="C117" s="121"/>
      <c r="D117" s="122"/>
      <c r="E117" s="122"/>
      <c r="F117" s="113"/>
      <c r="G117" s="153" t="str">
        <f t="shared" ref="G117:G152" si="6">IF(ISBLANK(D117),"",E117-D117+1)</f>
        <v/>
      </c>
      <c r="H117" s="152">
        <f>$C$113</f>
        <v>3.5999999999999999E-3</v>
      </c>
      <c r="I117" s="153">
        <f t="shared" ref="I117:I152" si="7">IF(F117&gt;0,F117*H117*IF(OR(D117&gt;$H$9,E117&lt;$H$8), 0, IF(D117&lt;$H$8,E117-$H$8,IF($H$9&lt;E117,E117-$H$9,G117)))/G117,0)</f>
        <v>0</v>
      </c>
      <c r="J117" s="153">
        <f t="shared" ref="J117:J152" si="8">IF(F117&gt;0,F117*H117*IF(OR(D117&gt;$I$9,E117&lt;$I$8), 0, IF(D117&lt;$I$8,E117-$I$8,IF($I$9&lt;E117,E117-$I$9,G117)))/G117,0)</f>
        <v>0</v>
      </c>
      <c r="K117" s="153">
        <f t="shared" ref="K117:K152" si="9">IF(F117&gt;0,F117*H117*IF(OR(D117&gt;$J$9,E117&lt;$J$8), 0, IF(D117&lt;$J$8,E117-$J$8,IF($J$9&lt;E117,E117-$J$9,G117)))/G117,0)</f>
        <v>0</v>
      </c>
    </row>
    <row r="118" spans="2:11" ht="20.100000000000001" customHeight="1">
      <c r="B118" s="123"/>
      <c r="C118" s="124"/>
      <c r="D118" s="125"/>
      <c r="E118" s="125"/>
      <c r="F118" s="116"/>
      <c r="G118" s="153" t="str">
        <f t="shared" si="6"/>
        <v/>
      </c>
      <c r="H118" s="152">
        <f t="shared" ref="H118:H152" si="10">$C$113</f>
        <v>3.5999999999999999E-3</v>
      </c>
      <c r="I118" s="153">
        <f t="shared" si="7"/>
        <v>0</v>
      </c>
      <c r="J118" s="153">
        <f t="shared" si="8"/>
        <v>0</v>
      </c>
      <c r="K118" s="153">
        <f t="shared" si="9"/>
        <v>0</v>
      </c>
    </row>
    <row r="119" spans="2:11" ht="20.100000000000001" customHeight="1">
      <c r="B119" s="123"/>
      <c r="C119" s="124"/>
      <c r="D119" s="125"/>
      <c r="E119" s="125"/>
      <c r="F119" s="116"/>
      <c r="G119" s="153" t="str">
        <f t="shared" si="6"/>
        <v/>
      </c>
      <c r="H119" s="152">
        <f t="shared" si="10"/>
        <v>3.5999999999999999E-3</v>
      </c>
      <c r="I119" s="153">
        <f t="shared" si="7"/>
        <v>0</v>
      </c>
      <c r="J119" s="153">
        <f t="shared" si="8"/>
        <v>0</v>
      </c>
      <c r="K119" s="153">
        <f t="shared" si="9"/>
        <v>0</v>
      </c>
    </row>
    <row r="120" spans="2:11" ht="20.100000000000001" customHeight="1">
      <c r="B120" s="123"/>
      <c r="C120" s="124"/>
      <c r="D120" s="125"/>
      <c r="E120" s="125"/>
      <c r="F120" s="116"/>
      <c r="G120" s="153" t="str">
        <f t="shared" si="6"/>
        <v/>
      </c>
      <c r="H120" s="152">
        <f t="shared" si="10"/>
        <v>3.5999999999999999E-3</v>
      </c>
      <c r="I120" s="153">
        <f t="shared" si="7"/>
        <v>0</v>
      </c>
      <c r="J120" s="153">
        <f t="shared" si="8"/>
        <v>0</v>
      </c>
      <c r="K120" s="153">
        <f t="shared" si="9"/>
        <v>0</v>
      </c>
    </row>
    <row r="121" spans="2:11" ht="20.100000000000001" customHeight="1">
      <c r="B121" s="123"/>
      <c r="C121" s="124"/>
      <c r="D121" s="125"/>
      <c r="E121" s="125"/>
      <c r="F121" s="116"/>
      <c r="G121" s="153" t="str">
        <f t="shared" si="6"/>
        <v/>
      </c>
      <c r="H121" s="152">
        <f t="shared" si="10"/>
        <v>3.5999999999999999E-3</v>
      </c>
      <c r="I121" s="153">
        <f t="shared" si="7"/>
        <v>0</v>
      </c>
      <c r="J121" s="153">
        <f t="shared" si="8"/>
        <v>0</v>
      </c>
      <c r="K121" s="153">
        <f t="shared" si="9"/>
        <v>0</v>
      </c>
    </row>
    <row r="122" spans="2:11" ht="20.100000000000001" customHeight="1">
      <c r="B122" s="123"/>
      <c r="C122" s="124"/>
      <c r="D122" s="125"/>
      <c r="E122" s="125"/>
      <c r="F122" s="116"/>
      <c r="G122" s="153" t="str">
        <f t="shared" si="6"/>
        <v/>
      </c>
      <c r="H122" s="152">
        <f t="shared" si="10"/>
        <v>3.5999999999999999E-3</v>
      </c>
      <c r="I122" s="153">
        <f t="shared" si="7"/>
        <v>0</v>
      </c>
      <c r="J122" s="153">
        <f t="shared" si="8"/>
        <v>0</v>
      </c>
      <c r="K122" s="153">
        <f t="shared" si="9"/>
        <v>0</v>
      </c>
    </row>
    <row r="123" spans="2:11" ht="20.100000000000001" customHeight="1">
      <c r="B123" s="123"/>
      <c r="C123" s="124"/>
      <c r="D123" s="125"/>
      <c r="E123" s="125"/>
      <c r="F123" s="116"/>
      <c r="G123" s="153" t="str">
        <f t="shared" si="6"/>
        <v/>
      </c>
      <c r="H123" s="152">
        <f t="shared" si="10"/>
        <v>3.5999999999999999E-3</v>
      </c>
      <c r="I123" s="153">
        <f t="shared" si="7"/>
        <v>0</v>
      </c>
      <c r="J123" s="153">
        <f t="shared" si="8"/>
        <v>0</v>
      </c>
      <c r="K123" s="153">
        <f t="shared" si="9"/>
        <v>0</v>
      </c>
    </row>
    <row r="124" spans="2:11" ht="20.100000000000001" customHeight="1">
      <c r="B124" s="123"/>
      <c r="C124" s="124"/>
      <c r="D124" s="125"/>
      <c r="E124" s="125"/>
      <c r="F124" s="116"/>
      <c r="G124" s="153" t="str">
        <f t="shared" si="6"/>
        <v/>
      </c>
      <c r="H124" s="152">
        <f t="shared" si="10"/>
        <v>3.5999999999999999E-3</v>
      </c>
      <c r="I124" s="153">
        <f t="shared" si="7"/>
        <v>0</v>
      </c>
      <c r="J124" s="153">
        <f t="shared" si="8"/>
        <v>0</v>
      </c>
      <c r="K124" s="153">
        <f t="shared" si="9"/>
        <v>0</v>
      </c>
    </row>
    <row r="125" spans="2:11" ht="20.100000000000001" customHeight="1">
      <c r="B125" s="123"/>
      <c r="C125" s="124"/>
      <c r="D125" s="125"/>
      <c r="E125" s="125"/>
      <c r="F125" s="116"/>
      <c r="G125" s="153" t="str">
        <f t="shared" si="6"/>
        <v/>
      </c>
      <c r="H125" s="152">
        <f t="shared" si="10"/>
        <v>3.5999999999999999E-3</v>
      </c>
      <c r="I125" s="153">
        <f t="shared" si="7"/>
        <v>0</v>
      </c>
      <c r="J125" s="153">
        <f t="shared" si="8"/>
        <v>0</v>
      </c>
      <c r="K125" s="153">
        <f t="shared" si="9"/>
        <v>0</v>
      </c>
    </row>
    <row r="126" spans="2:11" ht="20.100000000000001" customHeight="1">
      <c r="B126" s="123"/>
      <c r="C126" s="124"/>
      <c r="D126" s="125"/>
      <c r="E126" s="125"/>
      <c r="F126" s="116"/>
      <c r="G126" s="153" t="str">
        <f t="shared" si="6"/>
        <v/>
      </c>
      <c r="H126" s="152">
        <f t="shared" si="10"/>
        <v>3.5999999999999999E-3</v>
      </c>
      <c r="I126" s="153">
        <f t="shared" si="7"/>
        <v>0</v>
      </c>
      <c r="J126" s="153">
        <f t="shared" si="8"/>
        <v>0</v>
      </c>
      <c r="K126" s="153">
        <f t="shared" si="9"/>
        <v>0</v>
      </c>
    </row>
    <row r="127" spans="2:11" ht="20.100000000000001" customHeight="1">
      <c r="B127" s="123"/>
      <c r="C127" s="124"/>
      <c r="D127" s="125"/>
      <c r="E127" s="125"/>
      <c r="F127" s="116"/>
      <c r="G127" s="153" t="str">
        <f t="shared" si="6"/>
        <v/>
      </c>
      <c r="H127" s="152">
        <f t="shared" si="10"/>
        <v>3.5999999999999999E-3</v>
      </c>
      <c r="I127" s="153">
        <f t="shared" si="7"/>
        <v>0</v>
      </c>
      <c r="J127" s="153">
        <f t="shared" si="8"/>
        <v>0</v>
      </c>
      <c r="K127" s="153">
        <f t="shared" si="9"/>
        <v>0</v>
      </c>
    </row>
    <row r="128" spans="2:11" ht="20.100000000000001" customHeight="1">
      <c r="B128" s="123"/>
      <c r="C128" s="124"/>
      <c r="D128" s="125"/>
      <c r="E128" s="125"/>
      <c r="F128" s="116"/>
      <c r="G128" s="153" t="str">
        <f t="shared" si="6"/>
        <v/>
      </c>
      <c r="H128" s="152">
        <f t="shared" si="10"/>
        <v>3.5999999999999999E-3</v>
      </c>
      <c r="I128" s="153">
        <f t="shared" si="7"/>
        <v>0</v>
      </c>
      <c r="J128" s="153">
        <f t="shared" si="8"/>
        <v>0</v>
      </c>
      <c r="K128" s="153">
        <f t="shared" si="9"/>
        <v>0</v>
      </c>
    </row>
    <row r="129" spans="2:11" ht="20.100000000000001" customHeight="1">
      <c r="B129" s="123"/>
      <c r="C129" s="124"/>
      <c r="D129" s="125"/>
      <c r="E129" s="125"/>
      <c r="F129" s="116"/>
      <c r="G129" s="153" t="str">
        <f t="shared" si="6"/>
        <v/>
      </c>
      <c r="H129" s="152">
        <f t="shared" si="10"/>
        <v>3.5999999999999999E-3</v>
      </c>
      <c r="I129" s="153">
        <f t="shared" si="7"/>
        <v>0</v>
      </c>
      <c r="J129" s="153">
        <f t="shared" si="8"/>
        <v>0</v>
      </c>
      <c r="K129" s="153">
        <f t="shared" si="9"/>
        <v>0</v>
      </c>
    </row>
    <row r="130" spans="2:11" ht="20.100000000000001" customHeight="1">
      <c r="B130" s="123"/>
      <c r="C130" s="124"/>
      <c r="D130" s="125"/>
      <c r="E130" s="125"/>
      <c r="F130" s="116"/>
      <c r="G130" s="153" t="str">
        <f t="shared" si="6"/>
        <v/>
      </c>
      <c r="H130" s="152">
        <f t="shared" si="10"/>
        <v>3.5999999999999999E-3</v>
      </c>
      <c r="I130" s="153">
        <f t="shared" si="7"/>
        <v>0</v>
      </c>
      <c r="J130" s="153">
        <f t="shared" si="8"/>
        <v>0</v>
      </c>
      <c r="K130" s="153">
        <f t="shared" si="9"/>
        <v>0</v>
      </c>
    </row>
    <row r="131" spans="2:11" ht="20.100000000000001" customHeight="1">
      <c r="B131" s="123"/>
      <c r="C131" s="124"/>
      <c r="D131" s="125"/>
      <c r="E131" s="125"/>
      <c r="F131" s="116"/>
      <c r="G131" s="153" t="str">
        <f t="shared" si="6"/>
        <v/>
      </c>
      <c r="H131" s="152">
        <f t="shared" si="10"/>
        <v>3.5999999999999999E-3</v>
      </c>
      <c r="I131" s="153">
        <f t="shared" si="7"/>
        <v>0</v>
      </c>
      <c r="J131" s="153">
        <f t="shared" si="8"/>
        <v>0</v>
      </c>
      <c r="K131" s="153">
        <f t="shared" si="9"/>
        <v>0</v>
      </c>
    </row>
    <row r="132" spans="2:11" ht="20.100000000000001" customHeight="1">
      <c r="B132" s="123"/>
      <c r="C132" s="124"/>
      <c r="D132" s="125"/>
      <c r="E132" s="125"/>
      <c r="F132" s="116"/>
      <c r="G132" s="153" t="str">
        <f t="shared" si="6"/>
        <v/>
      </c>
      <c r="H132" s="152">
        <f t="shared" si="10"/>
        <v>3.5999999999999999E-3</v>
      </c>
      <c r="I132" s="153">
        <f t="shared" si="7"/>
        <v>0</v>
      </c>
      <c r="J132" s="153">
        <f t="shared" si="8"/>
        <v>0</v>
      </c>
      <c r="K132" s="153">
        <f t="shared" si="9"/>
        <v>0</v>
      </c>
    </row>
    <row r="133" spans="2:11" ht="20.100000000000001" customHeight="1">
      <c r="B133" s="123"/>
      <c r="C133" s="124"/>
      <c r="D133" s="125"/>
      <c r="E133" s="125"/>
      <c r="F133" s="116"/>
      <c r="G133" s="153" t="str">
        <f t="shared" si="6"/>
        <v/>
      </c>
      <c r="H133" s="152">
        <f t="shared" si="10"/>
        <v>3.5999999999999999E-3</v>
      </c>
      <c r="I133" s="153">
        <f t="shared" si="7"/>
        <v>0</v>
      </c>
      <c r="J133" s="153">
        <f t="shared" si="8"/>
        <v>0</v>
      </c>
      <c r="K133" s="153">
        <f t="shared" si="9"/>
        <v>0</v>
      </c>
    </row>
    <row r="134" spans="2:11" ht="20.100000000000001" customHeight="1">
      <c r="B134" s="123"/>
      <c r="C134" s="124"/>
      <c r="D134" s="125"/>
      <c r="E134" s="125"/>
      <c r="F134" s="116"/>
      <c r="G134" s="153" t="str">
        <f t="shared" si="6"/>
        <v/>
      </c>
      <c r="H134" s="152">
        <f t="shared" si="10"/>
        <v>3.5999999999999999E-3</v>
      </c>
      <c r="I134" s="153">
        <f t="shared" si="7"/>
        <v>0</v>
      </c>
      <c r="J134" s="153">
        <f t="shared" si="8"/>
        <v>0</v>
      </c>
      <c r="K134" s="153">
        <f t="shared" si="9"/>
        <v>0</v>
      </c>
    </row>
    <row r="135" spans="2:11" ht="20.100000000000001" customHeight="1">
      <c r="B135" s="123"/>
      <c r="C135" s="124"/>
      <c r="D135" s="125"/>
      <c r="E135" s="125"/>
      <c r="F135" s="116"/>
      <c r="G135" s="153" t="str">
        <f t="shared" si="6"/>
        <v/>
      </c>
      <c r="H135" s="152">
        <f t="shared" si="10"/>
        <v>3.5999999999999999E-3</v>
      </c>
      <c r="I135" s="153">
        <f t="shared" si="7"/>
        <v>0</v>
      </c>
      <c r="J135" s="153">
        <f t="shared" si="8"/>
        <v>0</v>
      </c>
      <c r="K135" s="153">
        <f t="shared" si="9"/>
        <v>0</v>
      </c>
    </row>
    <row r="136" spans="2:11" ht="20.100000000000001" customHeight="1">
      <c r="B136" s="123"/>
      <c r="C136" s="124"/>
      <c r="D136" s="125"/>
      <c r="E136" s="125"/>
      <c r="F136" s="116"/>
      <c r="G136" s="153" t="str">
        <f t="shared" si="6"/>
        <v/>
      </c>
      <c r="H136" s="152">
        <f t="shared" si="10"/>
        <v>3.5999999999999999E-3</v>
      </c>
      <c r="I136" s="153">
        <f t="shared" si="7"/>
        <v>0</v>
      </c>
      <c r="J136" s="153">
        <f t="shared" si="8"/>
        <v>0</v>
      </c>
      <c r="K136" s="153">
        <f t="shared" si="9"/>
        <v>0</v>
      </c>
    </row>
    <row r="137" spans="2:11" ht="20.100000000000001" customHeight="1">
      <c r="B137" s="123"/>
      <c r="C137" s="124"/>
      <c r="D137" s="125"/>
      <c r="E137" s="125"/>
      <c r="F137" s="116"/>
      <c r="G137" s="153" t="str">
        <f t="shared" si="6"/>
        <v/>
      </c>
      <c r="H137" s="152">
        <f t="shared" si="10"/>
        <v>3.5999999999999999E-3</v>
      </c>
      <c r="I137" s="153">
        <f t="shared" si="7"/>
        <v>0</v>
      </c>
      <c r="J137" s="153">
        <f t="shared" si="8"/>
        <v>0</v>
      </c>
      <c r="K137" s="153">
        <f t="shared" si="9"/>
        <v>0</v>
      </c>
    </row>
    <row r="138" spans="2:11" ht="20.100000000000001" customHeight="1">
      <c r="B138" s="123"/>
      <c r="C138" s="124"/>
      <c r="D138" s="125"/>
      <c r="E138" s="125"/>
      <c r="F138" s="116"/>
      <c r="G138" s="153" t="str">
        <f t="shared" si="6"/>
        <v/>
      </c>
      <c r="H138" s="152">
        <f t="shared" si="10"/>
        <v>3.5999999999999999E-3</v>
      </c>
      <c r="I138" s="153">
        <f t="shared" si="7"/>
        <v>0</v>
      </c>
      <c r="J138" s="153">
        <f t="shared" si="8"/>
        <v>0</v>
      </c>
      <c r="K138" s="153">
        <f t="shared" si="9"/>
        <v>0</v>
      </c>
    </row>
    <row r="139" spans="2:11" ht="20.100000000000001" customHeight="1">
      <c r="B139" s="123"/>
      <c r="C139" s="124"/>
      <c r="D139" s="125"/>
      <c r="E139" s="125"/>
      <c r="F139" s="116"/>
      <c r="G139" s="153" t="str">
        <f t="shared" si="6"/>
        <v/>
      </c>
      <c r="H139" s="152">
        <f t="shared" si="10"/>
        <v>3.5999999999999999E-3</v>
      </c>
      <c r="I139" s="153">
        <f t="shared" si="7"/>
        <v>0</v>
      </c>
      <c r="J139" s="153">
        <f t="shared" si="8"/>
        <v>0</v>
      </c>
      <c r="K139" s="153">
        <f t="shared" si="9"/>
        <v>0</v>
      </c>
    </row>
    <row r="140" spans="2:11" ht="20.100000000000001" customHeight="1">
      <c r="B140" s="123"/>
      <c r="C140" s="124"/>
      <c r="D140" s="125"/>
      <c r="E140" s="125"/>
      <c r="F140" s="116"/>
      <c r="G140" s="153" t="str">
        <f t="shared" si="6"/>
        <v/>
      </c>
      <c r="H140" s="152">
        <f t="shared" si="10"/>
        <v>3.5999999999999999E-3</v>
      </c>
      <c r="I140" s="153">
        <f t="shared" si="7"/>
        <v>0</v>
      </c>
      <c r="J140" s="153">
        <f t="shared" si="8"/>
        <v>0</v>
      </c>
      <c r="K140" s="153">
        <f t="shared" si="9"/>
        <v>0</v>
      </c>
    </row>
    <row r="141" spans="2:11" ht="20.100000000000001" customHeight="1">
      <c r="B141" s="123"/>
      <c r="C141" s="124"/>
      <c r="D141" s="125"/>
      <c r="E141" s="125"/>
      <c r="F141" s="116"/>
      <c r="G141" s="153" t="str">
        <f t="shared" si="6"/>
        <v/>
      </c>
      <c r="H141" s="152">
        <f t="shared" si="10"/>
        <v>3.5999999999999999E-3</v>
      </c>
      <c r="I141" s="153">
        <f t="shared" si="7"/>
        <v>0</v>
      </c>
      <c r="J141" s="153">
        <f t="shared" si="8"/>
        <v>0</v>
      </c>
      <c r="K141" s="153">
        <f t="shared" si="9"/>
        <v>0</v>
      </c>
    </row>
    <row r="142" spans="2:11" ht="20.100000000000001" customHeight="1">
      <c r="B142" s="123"/>
      <c r="C142" s="124"/>
      <c r="D142" s="125"/>
      <c r="E142" s="125"/>
      <c r="F142" s="116"/>
      <c r="G142" s="153" t="str">
        <f t="shared" si="6"/>
        <v/>
      </c>
      <c r="H142" s="152">
        <f t="shared" si="10"/>
        <v>3.5999999999999999E-3</v>
      </c>
      <c r="I142" s="153">
        <f t="shared" si="7"/>
        <v>0</v>
      </c>
      <c r="J142" s="153">
        <f t="shared" si="8"/>
        <v>0</v>
      </c>
      <c r="K142" s="153">
        <f t="shared" si="9"/>
        <v>0</v>
      </c>
    </row>
    <row r="143" spans="2:11" ht="20.100000000000001" customHeight="1">
      <c r="B143" s="123"/>
      <c r="C143" s="124"/>
      <c r="D143" s="125"/>
      <c r="E143" s="125"/>
      <c r="F143" s="116"/>
      <c r="G143" s="153" t="str">
        <f t="shared" si="6"/>
        <v/>
      </c>
      <c r="H143" s="152">
        <f t="shared" si="10"/>
        <v>3.5999999999999999E-3</v>
      </c>
      <c r="I143" s="153">
        <f t="shared" si="7"/>
        <v>0</v>
      </c>
      <c r="J143" s="153">
        <f t="shared" si="8"/>
        <v>0</v>
      </c>
      <c r="K143" s="153">
        <f t="shared" si="9"/>
        <v>0</v>
      </c>
    </row>
    <row r="144" spans="2:11" ht="20.100000000000001" customHeight="1">
      <c r="B144" s="123"/>
      <c r="C144" s="124"/>
      <c r="D144" s="125"/>
      <c r="E144" s="125"/>
      <c r="F144" s="116"/>
      <c r="G144" s="153" t="str">
        <f t="shared" si="6"/>
        <v/>
      </c>
      <c r="H144" s="152">
        <f t="shared" si="10"/>
        <v>3.5999999999999999E-3</v>
      </c>
      <c r="I144" s="153">
        <f t="shared" si="7"/>
        <v>0</v>
      </c>
      <c r="J144" s="153">
        <f t="shared" si="8"/>
        <v>0</v>
      </c>
      <c r="K144" s="153">
        <f t="shared" si="9"/>
        <v>0</v>
      </c>
    </row>
    <row r="145" spans="2:11" ht="20.100000000000001" customHeight="1">
      <c r="B145" s="123"/>
      <c r="C145" s="124"/>
      <c r="D145" s="125"/>
      <c r="E145" s="125"/>
      <c r="F145" s="116"/>
      <c r="G145" s="153" t="str">
        <f t="shared" si="6"/>
        <v/>
      </c>
      <c r="H145" s="152">
        <f t="shared" si="10"/>
        <v>3.5999999999999999E-3</v>
      </c>
      <c r="I145" s="153">
        <f t="shared" si="7"/>
        <v>0</v>
      </c>
      <c r="J145" s="153">
        <f t="shared" si="8"/>
        <v>0</v>
      </c>
      <c r="K145" s="153">
        <f t="shared" si="9"/>
        <v>0</v>
      </c>
    </row>
    <row r="146" spans="2:11" ht="20.100000000000001" customHeight="1">
      <c r="B146" s="123"/>
      <c r="C146" s="124"/>
      <c r="D146" s="125"/>
      <c r="E146" s="125"/>
      <c r="F146" s="116"/>
      <c r="G146" s="153" t="str">
        <f t="shared" si="6"/>
        <v/>
      </c>
      <c r="H146" s="152">
        <f t="shared" si="10"/>
        <v>3.5999999999999999E-3</v>
      </c>
      <c r="I146" s="153">
        <f t="shared" si="7"/>
        <v>0</v>
      </c>
      <c r="J146" s="153">
        <f t="shared" si="8"/>
        <v>0</v>
      </c>
      <c r="K146" s="153">
        <f t="shared" si="9"/>
        <v>0</v>
      </c>
    </row>
    <row r="147" spans="2:11" ht="20.100000000000001" customHeight="1">
      <c r="B147" s="123"/>
      <c r="C147" s="124"/>
      <c r="D147" s="125"/>
      <c r="E147" s="125"/>
      <c r="F147" s="116"/>
      <c r="G147" s="153" t="str">
        <f t="shared" si="6"/>
        <v/>
      </c>
      <c r="H147" s="152">
        <f t="shared" si="10"/>
        <v>3.5999999999999999E-3</v>
      </c>
      <c r="I147" s="153">
        <f t="shared" si="7"/>
        <v>0</v>
      </c>
      <c r="J147" s="153">
        <f t="shared" si="8"/>
        <v>0</v>
      </c>
      <c r="K147" s="153">
        <f t="shared" si="9"/>
        <v>0</v>
      </c>
    </row>
    <row r="148" spans="2:11" ht="20.100000000000001" customHeight="1">
      <c r="B148" s="123"/>
      <c r="C148" s="124"/>
      <c r="D148" s="125"/>
      <c r="E148" s="125"/>
      <c r="F148" s="116"/>
      <c r="G148" s="153" t="str">
        <f t="shared" si="6"/>
        <v/>
      </c>
      <c r="H148" s="152">
        <f t="shared" si="10"/>
        <v>3.5999999999999999E-3</v>
      </c>
      <c r="I148" s="153">
        <f t="shared" si="7"/>
        <v>0</v>
      </c>
      <c r="J148" s="153">
        <f t="shared" si="8"/>
        <v>0</v>
      </c>
      <c r="K148" s="153">
        <f t="shared" si="9"/>
        <v>0</v>
      </c>
    </row>
    <row r="149" spans="2:11" ht="20.100000000000001" customHeight="1">
      <c r="B149" s="123"/>
      <c r="C149" s="124"/>
      <c r="D149" s="125"/>
      <c r="E149" s="125"/>
      <c r="F149" s="116"/>
      <c r="G149" s="153" t="str">
        <f t="shared" si="6"/>
        <v/>
      </c>
      <c r="H149" s="152">
        <f t="shared" si="10"/>
        <v>3.5999999999999999E-3</v>
      </c>
      <c r="I149" s="153">
        <f t="shared" si="7"/>
        <v>0</v>
      </c>
      <c r="J149" s="153">
        <f t="shared" si="8"/>
        <v>0</v>
      </c>
      <c r="K149" s="153">
        <f t="shared" si="9"/>
        <v>0</v>
      </c>
    </row>
    <row r="150" spans="2:11" ht="20.100000000000001" customHeight="1">
      <c r="B150" s="123"/>
      <c r="C150" s="124"/>
      <c r="D150" s="125"/>
      <c r="E150" s="125"/>
      <c r="F150" s="116"/>
      <c r="G150" s="153" t="str">
        <f t="shared" si="6"/>
        <v/>
      </c>
      <c r="H150" s="152">
        <f t="shared" si="10"/>
        <v>3.5999999999999999E-3</v>
      </c>
      <c r="I150" s="153">
        <f t="shared" si="7"/>
        <v>0</v>
      </c>
      <c r="J150" s="153">
        <f t="shared" si="8"/>
        <v>0</v>
      </c>
      <c r="K150" s="153">
        <f t="shared" si="9"/>
        <v>0</v>
      </c>
    </row>
    <row r="151" spans="2:11" ht="20.100000000000001" customHeight="1">
      <c r="B151" s="123"/>
      <c r="C151" s="124"/>
      <c r="D151" s="125"/>
      <c r="E151" s="125"/>
      <c r="F151" s="116"/>
      <c r="G151" s="153" t="str">
        <f t="shared" si="6"/>
        <v/>
      </c>
      <c r="H151" s="152">
        <f t="shared" si="10"/>
        <v>3.5999999999999999E-3</v>
      </c>
      <c r="I151" s="153">
        <f t="shared" si="7"/>
        <v>0</v>
      </c>
      <c r="J151" s="153">
        <f t="shared" si="8"/>
        <v>0</v>
      </c>
      <c r="K151" s="153">
        <f t="shared" si="9"/>
        <v>0</v>
      </c>
    </row>
    <row r="152" spans="2:11" ht="20.100000000000001" customHeight="1" thickBot="1">
      <c r="B152" s="126"/>
      <c r="C152" s="127"/>
      <c r="D152" s="128"/>
      <c r="E152" s="128"/>
      <c r="F152" s="119"/>
      <c r="G152" s="153" t="str">
        <f t="shared" si="6"/>
        <v/>
      </c>
      <c r="H152" s="152">
        <f t="shared" si="10"/>
        <v>3.5999999999999999E-3</v>
      </c>
      <c r="I152" s="153">
        <f t="shared" si="7"/>
        <v>0</v>
      </c>
      <c r="J152" s="153">
        <f t="shared" si="8"/>
        <v>0</v>
      </c>
      <c r="K152" s="153">
        <f t="shared" si="9"/>
        <v>0</v>
      </c>
    </row>
    <row r="153" spans="2:11" ht="20.100000000000001" customHeight="1">
      <c r="D153" s="26"/>
      <c r="E153" s="26"/>
      <c r="F153" s="27"/>
      <c r="J153" s="11"/>
    </row>
    <row r="154" spans="2:11" ht="20.100000000000001" customHeight="1">
      <c r="B154" s="316" t="s">
        <v>1222</v>
      </c>
      <c r="C154" s="316"/>
      <c r="D154" s="316"/>
      <c r="E154" s="316"/>
      <c r="F154" s="316"/>
      <c r="G154" s="316"/>
      <c r="H154" s="316"/>
      <c r="I154" s="316"/>
      <c r="J154" s="316"/>
      <c r="K154" s="316"/>
    </row>
    <row r="155" spans="2:11" ht="20.100000000000001" customHeight="1" thickBot="1">
      <c r="E155" s="94"/>
    </row>
    <row r="156" spans="2:11" ht="20.100000000000001" customHeight="1">
      <c r="B156" s="78" t="s">
        <v>471</v>
      </c>
      <c r="C156" s="154" t="s">
        <v>1223</v>
      </c>
      <c r="E156" s="78" t="s">
        <v>475</v>
      </c>
      <c r="F156" s="563"/>
      <c r="G156" s="564"/>
      <c r="H156" s="564"/>
      <c r="I156" s="565"/>
    </row>
    <row r="157" spans="2:11" ht="20.100000000000001" customHeight="1">
      <c r="B157" s="78" t="s">
        <v>477</v>
      </c>
      <c r="C157" s="158" t="str">
        <f>'15C Building Details'!C102</f>
        <v>Scope 2</v>
      </c>
      <c r="E157" s="613" t="s">
        <v>479</v>
      </c>
      <c r="F157" s="622"/>
      <c r="G157" s="623"/>
      <c r="H157" s="623"/>
      <c r="I157" s="624"/>
    </row>
    <row r="158" spans="2:11" ht="20.100000000000001" customHeight="1" thickBot="1">
      <c r="B158" s="78" t="s">
        <v>483</v>
      </c>
      <c r="C158" s="197">
        <f>'15C Building Details'!C103</f>
        <v>0</v>
      </c>
      <c r="D158" s="317"/>
      <c r="E158" s="614"/>
      <c r="F158" s="566"/>
      <c r="G158" s="567"/>
      <c r="H158" s="567"/>
      <c r="I158" s="568"/>
    </row>
    <row r="159" spans="2:11" ht="20.100000000000001" customHeight="1">
      <c r="B159" s="78" t="s">
        <v>485</v>
      </c>
      <c r="C159" s="158" t="str">
        <f>'15C Building Details'!C104</f>
        <v>kWh</v>
      </c>
    </row>
    <row r="160" spans="2:11" ht="20.100000000000001" customHeight="1">
      <c r="B160" s="78" t="s">
        <v>487</v>
      </c>
      <c r="C160" s="154">
        <f>'15C Building Details'!C105</f>
        <v>3.5999999999999999E-3</v>
      </c>
      <c r="E160" s="11" t="s">
        <v>489</v>
      </c>
    </row>
    <row r="161" spans="2:11" ht="20.100000000000001" customHeight="1">
      <c r="G161" s="14"/>
      <c r="J161" s="11"/>
    </row>
    <row r="162" spans="2:11" ht="20.100000000000001" customHeight="1"/>
    <row r="163" spans="2:11" ht="40.200000000000003" customHeight="1" thickBot="1">
      <c r="B163" s="78" t="s">
        <v>491</v>
      </c>
      <c r="C163" s="78" t="s">
        <v>493</v>
      </c>
      <c r="D163" s="78" t="s">
        <v>495</v>
      </c>
      <c r="E163" s="78" t="s">
        <v>497</v>
      </c>
      <c r="F163" s="78" t="str">
        <f>"Billed Quantity ("&amp;C159&amp;")"</f>
        <v>Billed Quantity (kWh)</v>
      </c>
      <c r="G163" s="78" t="s">
        <v>501</v>
      </c>
      <c r="H163" s="78" t="s">
        <v>487</v>
      </c>
      <c r="I163" s="78" t="s">
        <v>1257</v>
      </c>
      <c r="J163" s="78" t="s">
        <v>1258</v>
      </c>
      <c r="K163" s="78" t="s">
        <v>1259</v>
      </c>
    </row>
    <row r="164" spans="2:11" ht="20.100000000000001" customHeight="1">
      <c r="B164" s="120"/>
      <c r="C164" s="121"/>
      <c r="D164" s="122"/>
      <c r="E164" s="122"/>
      <c r="F164" s="113"/>
      <c r="G164" s="153" t="str">
        <f>IF(ISBLANK(D164),"",E164-D164+1)</f>
        <v/>
      </c>
      <c r="H164" s="152">
        <f>$C$160</f>
        <v>3.5999999999999999E-3</v>
      </c>
      <c r="I164" s="153">
        <f t="shared" ref="I164:I199" si="11">IF(F164&gt;0,F164*H164*IF(OR(D164&gt;$H$9,E164&lt;$H$8), 0, IF(D164&lt;$H$8,E164-$H$8,IF($H$9&lt;E164,E164-$H$9,G164)))/G164,0)</f>
        <v>0</v>
      </c>
      <c r="J164" s="153">
        <f t="shared" ref="J164:J199" si="12">IF(F164&gt;0,F164*H164*IF(OR(D164&gt;$I$9,E164&lt;$I$8), 0, IF(D164&lt;$I$8,E164-$I$8,IF($I$9&lt;E164,E164-$I$9,G164)))/G164,0)</f>
        <v>0</v>
      </c>
      <c r="K164" s="153">
        <f t="shared" ref="K164:K199" si="13">IF(F164&gt;0,F164*H164*IF(OR(D164&gt;$J$9,E164&lt;$J$8), 0, IF(D164&lt;$J$8,E164-$J$8,IF($J$9&lt;E164,E164-$J$9,G164)))/G164,0)</f>
        <v>0</v>
      </c>
    </row>
    <row r="165" spans="2:11" ht="20.100000000000001" customHeight="1">
      <c r="B165" s="123"/>
      <c r="C165" s="124"/>
      <c r="D165" s="125"/>
      <c r="E165" s="125"/>
      <c r="F165" s="116"/>
      <c r="G165" s="153" t="str">
        <f t="shared" ref="G165:G199" si="14">IF(ISBLANK(D165),"",E165-D165+1)</f>
        <v/>
      </c>
      <c r="H165" s="152">
        <f t="shared" ref="H165:H199" si="15">$C$160</f>
        <v>3.5999999999999999E-3</v>
      </c>
      <c r="I165" s="153">
        <f t="shared" si="11"/>
        <v>0</v>
      </c>
      <c r="J165" s="153">
        <f t="shared" si="12"/>
        <v>0</v>
      </c>
      <c r="K165" s="153">
        <f t="shared" si="13"/>
        <v>0</v>
      </c>
    </row>
    <row r="166" spans="2:11" ht="20.100000000000001" customHeight="1">
      <c r="B166" s="123"/>
      <c r="C166" s="124"/>
      <c r="D166" s="125"/>
      <c r="E166" s="125"/>
      <c r="F166" s="116"/>
      <c r="G166" s="153" t="str">
        <f t="shared" si="14"/>
        <v/>
      </c>
      <c r="H166" s="152">
        <f t="shared" si="15"/>
        <v>3.5999999999999999E-3</v>
      </c>
      <c r="I166" s="153">
        <f t="shared" si="11"/>
        <v>0</v>
      </c>
      <c r="J166" s="153">
        <f t="shared" si="12"/>
        <v>0</v>
      </c>
      <c r="K166" s="153">
        <f t="shared" si="13"/>
        <v>0</v>
      </c>
    </row>
    <row r="167" spans="2:11" ht="20.100000000000001" customHeight="1">
      <c r="B167" s="123"/>
      <c r="C167" s="124"/>
      <c r="D167" s="125"/>
      <c r="E167" s="125"/>
      <c r="F167" s="116"/>
      <c r="G167" s="153" t="str">
        <f t="shared" si="14"/>
        <v/>
      </c>
      <c r="H167" s="152">
        <f t="shared" si="15"/>
        <v>3.5999999999999999E-3</v>
      </c>
      <c r="I167" s="153">
        <f t="shared" si="11"/>
        <v>0</v>
      </c>
      <c r="J167" s="153">
        <f t="shared" si="12"/>
        <v>0</v>
      </c>
      <c r="K167" s="153">
        <f t="shared" si="13"/>
        <v>0</v>
      </c>
    </row>
    <row r="168" spans="2:11" ht="20.100000000000001" customHeight="1">
      <c r="B168" s="123"/>
      <c r="C168" s="124"/>
      <c r="D168" s="125"/>
      <c r="E168" s="125"/>
      <c r="F168" s="116"/>
      <c r="G168" s="153" t="str">
        <f t="shared" si="14"/>
        <v/>
      </c>
      <c r="H168" s="152">
        <f t="shared" si="15"/>
        <v>3.5999999999999999E-3</v>
      </c>
      <c r="I168" s="153">
        <f t="shared" si="11"/>
        <v>0</v>
      </c>
      <c r="J168" s="153">
        <f t="shared" si="12"/>
        <v>0</v>
      </c>
      <c r="K168" s="153">
        <f t="shared" si="13"/>
        <v>0</v>
      </c>
    </row>
    <row r="169" spans="2:11" ht="20.100000000000001" customHeight="1">
      <c r="B169" s="123"/>
      <c r="C169" s="124"/>
      <c r="D169" s="125"/>
      <c r="E169" s="125"/>
      <c r="F169" s="116"/>
      <c r="G169" s="153" t="str">
        <f t="shared" si="14"/>
        <v/>
      </c>
      <c r="H169" s="152">
        <f t="shared" si="15"/>
        <v>3.5999999999999999E-3</v>
      </c>
      <c r="I169" s="153">
        <f t="shared" si="11"/>
        <v>0</v>
      </c>
      <c r="J169" s="153">
        <f t="shared" si="12"/>
        <v>0</v>
      </c>
      <c r="K169" s="153">
        <f t="shared" si="13"/>
        <v>0</v>
      </c>
    </row>
    <row r="170" spans="2:11" ht="20.100000000000001" customHeight="1">
      <c r="B170" s="123"/>
      <c r="C170" s="124"/>
      <c r="D170" s="125"/>
      <c r="E170" s="125"/>
      <c r="F170" s="116"/>
      <c r="G170" s="153" t="str">
        <f t="shared" si="14"/>
        <v/>
      </c>
      <c r="H170" s="152">
        <f t="shared" si="15"/>
        <v>3.5999999999999999E-3</v>
      </c>
      <c r="I170" s="153">
        <f t="shared" si="11"/>
        <v>0</v>
      </c>
      <c r="J170" s="153">
        <f t="shared" si="12"/>
        <v>0</v>
      </c>
      <c r="K170" s="153">
        <f t="shared" si="13"/>
        <v>0</v>
      </c>
    </row>
    <row r="171" spans="2:11" ht="20.100000000000001" customHeight="1">
      <c r="B171" s="123"/>
      <c r="C171" s="124"/>
      <c r="D171" s="125"/>
      <c r="E171" s="125"/>
      <c r="F171" s="116"/>
      <c r="G171" s="153" t="str">
        <f t="shared" si="14"/>
        <v/>
      </c>
      <c r="H171" s="152">
        <f t="shared" si="15"/>
        <v>3.5999999999999999E-3</v>
      </c>
      <c r="I171" s="153">
        <f t="shared" si="11"/>
        <v>0</v>
      </c>
      <c r="J171" s="153">
        <f t="shared" si="12"/>
        <v>0</v>
      </c>
      <c r="K171" s="153">
        <f t="shared" si="13"/>
        <v>0</v>
      </c>
    </row>
    <row r="172" spans="2:11" ht="20.100000000000001" customHeight="1">
      <c r="B172" s="123"/>
      <c r="C172" s="124"/>
      <c r="D172" s="125"/>
      <c r="E172" s="125"/>
      <c r="F172" s="116"/>
      <c r="G172" s="153" t="str">
        <f t="shared" si="14"/>
        <v/>
      </c>
      <c r="H172" s="152">
        <f t="shared" si="15"/>
        <v>3.5999999999999999E-3</v>
      </c>
      <c r="I172" s="153">
        <f t="shared" si="11"/>
        <v>0</v>
      </c>
      <c r="J172" s="153">
        <f t="shared" si="12"/>
        <v>0</v>
      </c>
      <c r="K172" s="153">
        <f t="shared" si="13"/>
        <v>0</v>
      </c>
    </row>
    <row r="173" spans="2:11" ht="20.100000000000001" customHeight="1">
      <c r="B173" s="123"/>
      <c r="C173" s="124"/>
      <c r="D173" s="125"/>
      <c r="E173" s="125"/>
      <c r="F173" s="116"/>
      <c r="G173" s="153" t="str">
        <f t="shared" si="14"/>
        <v/>
      </c>
      <c r="H173" s="152">
        <f t="shared" si="15"/>
        <v>3.5999999999999999E-3</v>
      </c>
      <c r="I173" s="153">
        <f t="shared" si="11"/>
        <v>0</v>
      </c>
      <c r="J173" s="153">
        <f t="shared" si="12"/>
        <v>0</v>
      </c>
      <c r="K173" s="153">
        <f t="shared" si="13"/>
        <v>0</v>
      </c>
    </row>
    <row r="174" spans="2:11" ht="20.100000000000001" customHeight="1">
      <c r="B174" s="123"/>
      <c r="C174" s="124"/>
      <c r="D174" s="125"/>
      <c r="E174" s="125"/>
      <c r="F174" s="116"/>
      <c r="G174" s="153" t="str">
        <f t="shared" si="14"/>
        <v/>
      </c>
      <c r="H174" s="152">
        <f t="shared" si="15"/>
        <v>3.5999999999999999E-3</v>
      </c>
      <c r="I174" s="153">
        <f t="shared" si="11"/>
        <v>0</v>
      </c>
      <c r="J174" s="153">
        <f t="shared" si="12"/>
        <v>0</v>
      </c>
      <c r="K174" s="153">
        <f t="shared" si="13"/>
        <v>0</v>
      </c>
    </row>
    <row r="175" spans="2:11" ht="20.100000000000001" customHeight="1">
      <c r="B175" s="123"/>
      <c r="C175" s="124"/>
      <c r="D175" s="125"/>
      <c r="E175" s="125"/>
      <c r="F175" s="116"/>
      <c r="G175" s="153" t="str">
        <f t="shared" si="14"/>
        <v/>
      </c>
      <c r="H175" s="152">
        <f t="shared" si="15"/>
        <v>3.5999999999999999E-3</v>
      </c>
      <c r="I175" s="153">
        <f t="shared" si="11"/>
        <v>0</v>
      </c>
      <c r="J175" s="153">
        <f t="shared" si="12"/>
        <v>0</v>
      </c>
      <c r="K175" s="153">
        <f t="shared" si="13"/>
        <v>0</v>
      </c>
    </row>
    <row r="176" spans="2:11" ht="20.100000000000001" customHeight="1">
      <c r="B176" s="123"/>
      <c r="C176" s="124"/>
      <c r="D176" s="125"/>
      <c r="E176" s="125"/>
      <c r="F176" s="116"/>
      <c r="G176" s="153" t="str">
        <f t="shared" si="14"/>
        <v/>
      </c>
      <c r="H176" s="152">
        <f t="shared" si="15"/>
        <v>3.5999999999999999E-3</v>
      </c>
      <c r="I176" s="153">
        <f t="shared" si="11"/>
        <v>0</v>
      </c>
      <c r="J176" s="153">
        <f t="shared" si="12"/>
        <v>0</v>
      </c>
      <c r="K176" s="153">
        <f t="shared" si="13"/>
        <v>0</v>
      </c>
    </row>
    <row r="177" spans="2:11" ht="20.100000000000001" customHeight="1">
      <c r="B177" s="123"/>
      <c r="C177" s="124"/>
      <c r="D177" s="125"/>
      <c r="E177" s="125"/>
      <c r="F177" s="116"/>
      <c r="G177" s="153" t="str">
        <f t="shared" si="14"/>
        <v/>
      </c>
      <c r="H177" s="152">
        <f t="shared" si="15"/>
        <v>3.5999999999999999E-3</v>
      </c>
      <c r="I177" s="153">
        <f t="shared" si="11"/>
        <v>0</v>
      </c>
      <c r="J177" s="153">
        <f t="shared" si="12"/>
        <v>0</v>
      </c>
      <c r="K177" s="153">
        <f t="shared" si="13"/>
        <v>0</v>
      </c>
    </row>
    <row r="178" spans="2:11" ht="20.100000000000001" customHeight="1">
      <c r="B178" s="123"/>
      <c r="C178" s="124"/>
      <c r="D178" s="125"/>
      <c r="E178" s="125"/>
      <c r="F178" s="116"/>
      <c r="G178" s="153" t="str">
        <f t="shared" si="14"/>
        <v/>
      </c>
      <c r="H178" s="152">
        <f t="shared" si="15"/>
        <v>3.5999999999999999E-3</v>
      </c>
      <c r="I178" s="153">
        <f t="shared" si="11"/>
        <v>0</v>
      </c>
      <c r="J178" s="153">
        <f t="shared" si="12"/>
        <v>0</v>
      </c>
      <c r="K178" s="153">
        <f t="shared" si="13"/>
        <v>0</v>
      </c>
    </row>
    <row r="179" spans="2:11" ht="20.100000000000001" customHeight="1">
      <c r="B179" s="123"/>
      <c r="C179" s="124"/>
      <c r="D179" s="125"/>
      <c r="E179" s="125"/>
      <c r="F179" s="116"/>
      <c r="G179" s="153" t="str">
        <f t="shared" si="14"/>
        <v/>
      </c>
      <c r="H179" s="152">
        <f t="shared" si="15"/>
        <v>3.5999999999999999E-3</v>
      </c>
      <c r="I179" s="153">
        <f t="shared" si="11"/>
        <v>0</v>
      </c>
      <c r="J179" s="153">
        <f t="shared" si="12"/>
        <v>0</v>
      </c>
      <c r="K179" s="153">
        <f t="shared" si="13"/>
        <v>0</v>
      </c>
    </row>
    <row r="180" spans="2:11" ht="20.100000000000001" customHeight="1">
      <c r="B180" s="123"/>
      <c r="C180" s="124"/>
      <c r="D180" s="125"/>
      <c r="E180" s="125"/>
      <c r="F180" s="116"/>
      <c r="G180" s="153" t="str">
        <f t="shared" si="14"/>
        <v/>
      </c>
      <c r="H180" s="152">
        <f t="shared" si="15"/>
        <v>3.5999999999999999E-3</v>
      </c>
      <c r="I180" s="153">
        <f t="shared" si="11"/>
        <v>0</v>
      </c>
      <c r="J180" s="153">
        <f t="shared" si="12"/>
        <v>0</v>
      </c>
      <c r="K180" s="153">
        <f t="shared" si="13"/>
        <v>0</v>
      </c>
    </row>
    <row r="181" spans="2:11" ht="20.100000000000001" customHeight="1">
      <c r="B181" s="123"/>
      <c r="C181" s="124"/>
      <c r="D181" s="125"/>
      <c r="E181" s="125"/>
      <c r="F181" s="116"/>
      <c r="G181" s="153" t="str">
        <f t="shared" si="14"/>
        <v/>
      </c>
      <c r="H181" s="152">
        <f t="shared" si="15"/>
        <v>3.5999999999999999E-3</v>
      </c>
      <c r="I181" s="153">
        <f t="shared" si="11"/>
        <v>0</v>
      </c>
      <c r="J181" s="153">
        <f t="shared" si="12"/>
        <v>0</v>
      </c>
      <c r="K181" s="153">
        <f t="shared" si="13"/>
        <v>0</v>
      </c>
    </row>
    <row r="182" spans="2:11" ht="20.100000000000001" customHeight="1">
      <c r="B182" s="123"/>
      <c r="C182" s="124"/>
      <c r="D182" s="125"/>
      <c r="E182" s="125"/>
      <c r="F182" s="116"/>
      <c r="G182" s="153" t="str">
        <f t="shared" si="14"/>
        <v/>
      </c>
      <c r="H182" s="152">
        <f t="shared" si="15"/>
        <v>3.5999999999999999E-3</v>
      </c>
      <c r="I182" s="153">
        <f t="shared" si="11"/>
        <v>0</v>
      </c>
      <c r="J182" s="153">
        <f t="shared" si="12"/>
        <v>0</v>
      </c>
      <c r="K182" s="153">
        <f t="shared" si="13"/>
        <v>0</v>
      </c>
    </row>
    <row r="183" spans="2:11" ht="20.100000000000001" customHeight="1">
      <c r="B183" s="123"/>
      <c r="C183" s="124"/>
      <c r="D183" s="125"/>
      <c r="E183" s="125"/>
      <c r="F183" s="116"/>
      <c r="G183" s="153" t="str">
        <f t="shared" si="14"/>
        <v/>
      </c>
      <c r="H183" s="152">
        <f t="shared" si="15"/>
        <v>3.5999999999999999E-3</v>
      </c>
      <c r="I183" s="153">
        <f t="shared" si="11"/>
        <v>0</v>
      </c>
      <c r="J183" s="153">
        <f t="shared" si="12"/>
        <v>0</v>
      </c>
      <c r="K183" s="153">
        <f t="shared" si="13"/>
        <v>0</v>
      </c>
    </row>
    <row r="184" spans="2:11" ht="20.100000000000001" customHeight="1">
      <c r="B184" s="123"/>
      <c r="C184" s="124"/>
      <c r="D184" s="125"/>
      <c r="E184" s="125"/>
      <c r="F184" s="116"/>
      <c r="G184" s="153" t="str">
        <f t="shared" si="14"/>
        <v/>
      </c>
      <c r="H184" s="152">
        <f t="shared" si="15"/>
        <v>3.5999999999999999E-3</v>
      </c>
      <c r="I184" s="153">
        <f t="shared" si="11"/>
        <v>0</v>
      </c>
      <c r="J184" s="153">
        <f t="shared" si="12"/>
        <v>0</v>
      </c>
      <c r="K184" s="153">
        <f t="shared" si="13"/>
        <v>0</v>
      </c>
    </row>
    <row r="185" spans="2:11" ht="20.100000000000001" customHeight="1">
      <c r="B185" s="123"/>
      <c r="C185" s="124"/>
      <c r="D185" s="125"/>
      <c r="E185" s="125"/>
      <c r="F185" s="116"/>
      <c r="G185" s="153" t="str">
        <f t="shared" si="14"/>
        <v/>
      </c>
      <c r="H185" s="152">
        <f t="shared" si="15"/>
        <v>3.5999999999999999E-3</v>
      </c>
      <c r="I185" s="153">
        <f t="shared" si="11"/>
        <v>0</v>
      </c>
      <c r="J185" s="153">
        <f t="shared" si="12"/>
        <v>0</v>
      </c>
      <c r="K185" s="153">
        <f t="shared" si="13"/>
        <v>0</v>
      </c>
    </row>
    <row r="186" spans="2:11" ht="20.100000000000001" customHeight="1">
      <c r="B186" s="123"/>
      <c r="C186" s="124"/>
      <c r="D186" s="125"/>
      <c r="E186" s="125"/>
      <c r="F186" s="116"/>
      <c r="G186" s="153" t="str">
        <f t="shared" si="14"/>
        <v/>
      </c>
      <c r="H186" s="152">
        <f t="shared" si="15"/>
        <v>3.5999999999999999E-3</v>
      </c>
      <c r="I186" s="153">
        <f t="shared" si="11"/>
        <v>0</v>
      </c>
      <c r="J186" s="153">
        <f t="shared" si="12"/>
        <v>0</v>
      </c>
      <c r="K186" s="153">
        <f t="shared" si="13"/>
        <v>0</v>
      </c>
    </row>
    <row r="187" spans="2:11" ht="20.100000000000001" customHeight="1">
      <c r="B187" s="123"/>
      <c r="C187" s="124"/>
      <c r="D187" s="125"/>
      <c r="E187" s="125"/>
      <c r="F187" s="116"/>
      <c r="G187" s="153" t="str">
        <f t="shared" si="14"/>
        <v/>
      </c>
      <c r="H187" s="152">
        <f t="shared" si="15"/>
        <v>3.5999999999999999E-3</v>
      </c>
      <c r="I187" s="153">
        <f t="shared" si="11"/>
        <v>0</v>
      </c>
      <c r="J187" s="153">
        <f t="shared" si="12"/>
        <v>0</v>
      </c>
      <c r="K187" s="153">
        <f t="shared" si="13"/>
        <v>0</v>
      </c>
    </row>
    <row r="188" spans="2:11" ht="20.100000000000001" customHeight="1">
      <c r="B188" s="123"/>
      <c r="C188" s="124"/>
      <c r="D188" s="125"/>
      <c r="E188" s="125"/>
      <c r="F188" s="116"/>
      <c r="G188" s="153" t="str">
        <f t="shared" si="14"/>
        <v/>
      </c>
      <c r="H188" s="152">
        <f t="shared" si="15"/>
        <v>3.5999999999999999E-3</v>
      </c>
      <c r="I188" s="153">
        <f t="shared" si="11"/>
        <v>0</v>
      </c>
      <c r="J188" s="153">
        <f t="shared" si="12"/>
        <v>0</v>
      </c>
      <c r="K188" s="153">
        <f t="shared" si="13"/>
        <v>0</v>
      </c>
    </row>
    <row r="189" spans="2:11" ht="20.100000000000001" customHeight="1">
      <c r="B189" s="123"/>
      <c r="C189" s="124"/>
      <c r="D189" s="125"/>
      <c r="E189" s="125"/>
      <c r="F189" s="116"/>
      <c r="G189" s="153" t="str">
        <f t="shared" si="14"/>
        <v/>
      </c>
      <c r="H189" s="152">
        <f t="shared" si="15"/>
        <v>3.5999999999999999E-3</v>
      </c>
      <c r="I189" s="153">
        <f t="shared" si="11"/>
        <v>0</v>
      </c>
      <c r="J189" s="153">
        <f t="shared" si="12"/>
        <v>0</v>
      </c>
      <c r="K189" s="153">
        <f t="shared" si="13"/>
        <v>0</v>
      </c>
    </row>
    <row r="190" spans="2:11" ht="20.100000000000001" customHeight="1">
      <c r="B190" s="123"/>
      <c r="C190" s="124"/>
      <c r="D190" s="125"/>
      <c r="E190" s="125"/>
      <c r="F190" s="116"/>
      <c r="G190" s="153" t="str">
        <f t="shared" si="14"/>
        <v/>
      </c>
      <c r="H190" s="152">
        <f t="shared" si="15"/>
        <v>3.5999999999999999E-3</v>
      </c>
      <c r="I190" s="153">
        <f t="shared" si="11"/>
        <v>0</v>
      </c>
      <c r="J190" s="153">
        <f t="shared" si="12"/>
        <v>0</v>
      </c>
      <c r="K190" s="153">
        <f t="shared" si="13"/>
        <v>0</v>
      </c>
    </row>
    <row r="191" spans="2:11" ht="20.100000000000001" customHeight="1">
      <c r="B191" s="123"/>
      <c r="C191" s="124"/>
      <c r="D191" s="125"/>
      <c r="E191" s="125"/>
      <c r="F191" s="116"/>
      <c r="G191" s="153" t="str">
        <f t="shared" si="14"/>
        <v/>
      </c>
      <c r="H191" s="152">
        <f t="shared" si="15"/>
        <v>3.5999999999999999E-3</v>
      </c>
      <c r="I191" s="153">
        <f t="shared" si="11"/>
        <v>0</v>
      </c>
      <c r="J191" s="153">
        <f t="shared" si="12"/>
        <v>0</v>
      </c>
      <c r="K191" s="153">
        <f t="shared" si="13"/>
        <v>0</v>
      </c>
    </row>
    <row r="192" spans="2:11" ht="20.100000000000001" customHeight="1">
      <c r="B192" s="123"/>
      <c r="C192" s="124"/>
      <c r="D192" s="125"/>
      <c r="E192" s="125"/>
      <c r="F192" s="116"/>
      <c r="G192" s="153" t="str">
        <f t="shared" si="14"/>
        <v/>
      </c>
      <c r="H192" s="152">
        <f t="shared" si="15"/>
        <v>3.5999999999999999E-3</v>
      </c>
      <c r="I192" s="153">
        <f t="shared" si="11"/>
        <v>0</v>
      </c>
      <c r="J192" s="153">
        <f t="shared" si="12"/>
        <v>0</v>
      </c>
      <c r="K192" s="153">
        <f t="shared" si="13"/>
        <v>0</v>
      </c>
    </row>
    <row r="193" spans="2:11" ht="20.100000000000001" customHeight="1">
      <c r="B193" s="123"/>
      <c r="C193" s="124"/>
      <c r="D193" s="125"/>
      <c r="E193" s="125"/>
      <c r="F193" s="116"/>
      <c r="G193" s="153" t="str">
        <f t="shared" si="14"/>
        <v/>
      </c>
      <c r="H193" s="152">
        <f t="shared" si="15"/>
        <v>3.5999999999999999E-3</v>
      </c>
      <c r="I193" s="153">
        <f t="shared" si="11"/>
        <v>0</v>
      </c>
      <c r="J193" s="153">
        <f t="shared" si="12"/>
        <v>0</v>
      </c>
      <c r="K193" s="153">
        <f t="shared" si="13"/>
        <v>0</v>
      </c>
    </row>
    <row r="194" spans="2:11" ht="20.100000000000001" customHeight="1">
      <c r="B194" s="123"/>
      <c r="C194" s="124"/>
      <c r="D194" s="125"/>
      <c r="E194" s="125"/>
      <c r="F194" s="116"/>
      <c r="G194" s="153" t="str">
        <f t="shared" si="14"/>
        <v/>
      </c>
      <c r="H194" s="152">
        <f t="shared" si="15"/>
        <v>3.5999999999999999E-3</v>
      </c>
      <c r="I194" s="153">
        <f t="shared" si="11"/>
        <v>0</v>
      </c>
      <c r="J194" s="153">
        <f t="shared" si="12"/>
        <v>0</v>
      </c>
      <c r="K194" s="153">
        <f t="shared" si="13"/>
        <v>0</v>
      </c>
    </row>
    <row r="195" spans="2:11" ht="20.100000000000001" customHeight="1">
      <c r="B195" s="123"/>
      <c r="C195" s="124"/>
      <c r="D195" s="125"/>
      <c r="E195" s="125"/>
      <c r="F195" s="116"/>
      <c r="G195" s="153" t="str">
        <f t="shared" si="14"/>
        <v/>
      </c>
      <c r="H195" s="152">
        <f t="shared" si="15"/>
        <v>3.5999999999999999E-3</v>
      </c>
      <c r="I195" s="153">
        <f t="shared" si="11"/>
        <v>0</v>
      </c>
      <c r="J195" s="153">
        <f t="shared" si="12"/>
        <v>0</v>
      </c>
      <c r="K195" s="153">
        <f t="shared" si="13"/>
        <v>0</v>
      </c>
    </row>
    <row r="196" spans="2:11" ht="20.100000000000001" customHeight="1">
      <c r="B196" s="123"/>
      <c r="C196" s="124"/>
      <c r="D196" s="125"/>
      <c r="E196" s="125"/>
      <c r="F196" s="116"/>
      <c r="G196" s="153" t="str">
        <f t="shared" si="14"/>
        <v/>
      </c>
      <c r="H196" s="152">
        <f t="shared" si="15"/>
        <v>3.5999999999999999E-3</v>
      </c>
      <c r="I196" s="153">
        <f t="shared" si="11"/>
        <v>0</v>
      </c>
      <c r="J196" s="153">
        <f t="shared" si="12"/>
        <v>0</v>
      </c>
      <c r="K196" s="153">
        <f t="shared" si="13"/>
        <v>0</v>
      </c>
    </row>
    <row r="197" spans="2:11" ht="20.100000000000001" customHeight="1">
      <c r="B197" s="123"/>
      <c r="C197" s="124"/>
      <c r="D197" s="125"/>
      <c r="E197" s="125"/>
      <c r="F197" s="116"/>
      <c r="G197" s="153" t="str">
        <f t="shared" si="14"/>
        <v/>
      </c>
      <c r="H197" s="152">
        <f t="shared" si="15"/>
        <v>3.5999999999999999E-3</v>
      </c>
      <c r="I197" s="153">
        <f t="shared" si="11"/>
        <v>0</v>
      </c>
      <c r="J197" s="153">
        <f t="shared" si="12"/>
        <v>0</v>
      </c>
      <c r="K197" s="153">
        <f t="shared" si="13"/>
        <v>0</v>
      </c>
    </row>
    <row r="198" spans="2:11" ht="20.100000000000001" customHeight="1">
      <c r="B198" s="123"/>
      <c r="C198" s="124"/>
      <c r="D198" s="125"/>
      <c r="E198" s="125"/>
      <c r="F198" s="116"/>
      <c r="G198" s="153" t="str">
        <f t="shared" si="14"/>
        <v/>
      </c>
      <c r="H198" s="152">
        <f t="shared" si="15"/>
        <v>3.5999999999999999E-3</v>
      </c>
      <c r="I198" s="153">
        <f t="shared" si="11"/>
        <v>0</v>
      </c>
      <c r="J198" s="153">
        <f t="shared" si="12"/>
        <v>0</v>
      </c>
      <c r="K198" s="153">
        <f t="shared" si="13"/>
        <v>0</v>
      </c>
    </row>
    <row r="199" spans="2:11" ht="20.100000000000001" customHeight="1" thickBot="1">
      <c r="B199" s="126"/>
      <c r="C199" s="127"/>
      <c r="D199" s="128"/>
      <c r="E199" s="128"/>
      <c r="F199" s="119"/>
      <c r="G199" s="153" t="str">
        <f t="shared" si="14"/>
        <v/>
      </c>
      <c r="H199" s="152">
        <f t="shared" si="15"/>
        <v>3.5999999999999999E-3</v>
      </c>
      <c r="I199" s="153">
        <f t="shared" si="11"/>
        <v>0</v>
      </c>
      <c r="J199" s="153">
        <f t="shared" si="12"/>
        <v>0</v>
      </c>
      <c r="K199" s="153">
        <f t="shared" si="13"/>
        <v>0</v>
      </c>
    </row>
    <row r="200" spans="2:11" ht="20.100000000000001" customHeight="1">
      <c r="D200" s="26"/>
      <c r="E200" s="26"/>
      <c r="F200" s="27"/>
    </row>
    <row r="201" spans="2:11" ht="20.100000000000001" customHeight="1">
      <c r="B201" s="316" t="s">
        <v>1224</v>
      </c>
      <c r="C201" s="316"/>
      <c r="D201" s="316"/>
      <c r="E201" s="316"/>
      <c r="F201" s="316"/>
      <c r="G201" s="316"/>
      <c r="H201" s="316"/>
      <c r="I201" s="316"/>
      <c r="J201" s="316"/>
      <c r="K201" s="316"/>
    </row>
    <row r="202" spans="2:11" ht="20.100000000000001" customHeight="1" thickBot="1"/>
    <row r="203" spans="2:11" ht="20.100000000000001" customHeight="1">
      <c r="B203" s="78" t="s">
        <v>471</v>
      </c>
      <c r="C203" s="154" t="s">
        <v>1225</v>
      </c>
      <c r="E203" s="78" t="s">
        <v>475</v>
      </c>
      <c r="F203" s="563"/>
      <c r="G203" s="564"/>
      <c r="H203" s="564"/>
      <c r="I203" s="565"/>
    </row>
    <row r="204" spans="2:11" ht="20.100000000000001" customHeight="1">
      <c r="B204" s="78" t="s">
        <v>477</v>
      </c>
      <c r="C204" s="154" t="str">
        <f>IF(C203="Electricity",VLOOKUP($C$12,'NGER Emission Factors old'!$A$23:$J$34,2,FALSE),IF(C203="GreenPower",VLOOKUP(C203,'NGER Emission Factors old'!$A$23:$J$35,2,FALSE),VLOOKUP(C203,'NGER Emission Factors old'!$A$5:$J$18,2,FALSE)))</f>
        <v>Scope 1</v>
      </c>
      <c r="E204" s="613" t="s">
        <v>479</v>
      </c>
      <c r="F204" s="622"/>
      <c r="G204" s="623"/>
      <c r="H204" s="623"/>
      <c r="I204" s="624"/>
    </row>
    <row r="205" spans="2:11" ht="20.100000000000001" customHeight="1" thickBot="1">
      <c r="B205" s="78" t="s">
        <v>483</v>
      </c>
      <c r="C205" s="197" t="b">
        <f>'15C Building Details'!C126</f>
        <v>0</v>
      </c>
      <c r="D205" s="317"/>
      <c r="E205" s="614"/>
      <c r="F205" s="566"/>
      <c r="G205" s="567"/>
      <c r="H205" s="567"/>
      <c r="I205" s="568"/>
    </row>
    <row r="206" spans="2:11" ht="20.100000000000001" customHeight="1">
      <c r="B206" s="78" t="s">
        <v>485</v>
      </c>
      <c r="C206" s="197" t="str">
        <f>'15C Building Details'!C127</f>
        <v>MJ</v>
      </c>
    </row>
    <row r="207" spans="2:11" ht="20.100000000000001" customHeight="1">
      <c r="B207" s="78" t="s">
        <v>487</v>
      </c>
      <c r="C207" s="198">
        <f>'15C Building Details'!C128</f>
        <v>1E-3</v>
      </c>
      <c r="E207" s="11" t="s">
        <v>489</v>
      </c>
    </row>
    <row r="208" spans="2:11" ht="20.100000000000001" customHeight="1">
      <c r="G208" s="14"/>
      <c r="J208" s="11"/>
    </row>
    <row r="209" spans="2:11" ht="20.100000000000001" customHeight="1"/>
    <row r="210" spans="2:11" ht="40.200000000000003" customHeight="1" thickBot="1">
      <c r="B210" s="78" t="s">
        <v>491</v>
      </c>
      <c r="C210" s="78" t="s">
        <v>493</v>
      </c>
      <c r="D210" s="78" t="s">
        <v>495</v>
      </c>
      <c r="E210" s="78" t="s">
        <v>497</v>
      </c>
      <c r="F210" s="78" t="str">
        <f>"Billed Quantity ("&amp;C206&amp;")"</f>
        <v>Billed Quantity (MJ)</v>
      </c>
      <c r="G210" s="78" t="s">
        <v>501</v>
      </c>
      <c r="H210" s="78" t="s">
        <v>487</v>
      </c>
      <c r="I210" s="78" t="s">
        <v>1257</v>
      </c>
      <c r="J210" s="78" t="s">
        <v>1258</v>
      </c>
      <c r="K210" s="78" t="s">
        <v>1259</v>
      </c>
    </row>
    <row r="211" spans="2:11" ht="20.100000000000001" customHeight="1">
      <c r="B211" s="120"/>
      <c r="C211" s="121"/>
      <c r="D211" s="122"/>
      <c r="E211" s="122"/>
      <c r="F211" s="113"/>
      <c r="G211" s="153" t="str">
        <f>IF(ISBLANK(D211),"",E211-D211+1)</f>
        <v/>
      </c>
      <c r="H211" s="152">
        <f>$C$207</f>
        <v>1E-3</v>
      </c>
      <c r="I211" s="153">
        <f t="shared" ref="I211:I247" si="16">IF(F211&gt;0,F211*H211*IF(OR(D211&gt;$H$9,E211&lt;$H$8), 0, IF(D211&lt;$H$8,E211-$H$8,IF($H$9&lt;E211,E211-$H$9,G211)))/G211,0)</f>
        <v>0</v>
      </c>
      <c r="J211" s="153">
        <f t="shared" ref="J211:J247" si="17">IF(F211&gt;0,F211*H211*IF(OR(D211&gt;$I$9,E211&lt;$I$8), 0, IF(D211&lt;$I$8,E211-$I$8,IF($I$9&lt;E211,E211-$I$9,G211)))/G211,0)</f>
        <v>0</v>
      </c>
      <c r="K211" s="153">
        <f t="shared" ref="K211:K247" si="18">IF(F211&gt;0,F211*H211*IF(OR(D211&gt;$J$9,E211&lt;$J$8), 0, IF(D211&lt;$J$8,E211-$J$8,IF($J$9&lt;E211,E211-$J$9,G211)))/G211,0)</f>
        <v>0</v>
      </c>
    </row>
    <row r="212" spans="2:11" ht="20.100000000000001" customHeight="1">
      <c r="B212" s="123"/>
      <c r="C212" s="124"/>
      <c r="D212" s="125"/>
      <c r="E212" s="125"/>
      <c r="F212" s="116"/>
      <c r="G212" s="153" t="str">
        <f t="shared" ref="G212:G247" si="19">IF(ISBLANK(D212),"",E212-D212+1)</f>
        <v/>
      </c>
      <c r="H212" s="152">
        <f t="shared" ref="H212:H247" si="20">$C$207</f>
        <v>1E-3</v>
      </c>
      <c r="I212" s="153">
        <f t="shared" si="16"/>
        <v>0</v>
      </c>
      <c r="J212" s="153">
        <f t="shared" si="17"/>
        <v>0</v>
      </c>
      <c r="K212" s="153">
        <f t="shared" si="18"/>
        <v>0</v>
      </c>
    </row>
    <row r="213" spans="2:11" ht="20.100000000000001" customHeight="1">
      <c r="B213" s="123"/>
      <c r="C213" s="124"/>
      <c r="D213" s="125"/>
      <c r="E213" s="125"/>
      <c r="F213" s="116"/>
      <c r="G213" s="153" t="str">
        <f t="shared" si="19"/>
        <v/>
      </c>
      <c r="H213" s="152">
        <f t="shared" si="20"/>
        <v>1E-3</v>
      </c>
      <c r="I213" s="153">
        <f t="shared" si="16"/>
        <v>0</v>
      </c>
      <c r="J213" s="153">
        <f t="shared" si="17"/>
        <v>0</v>
      </c>
      <c r="K213" s="153">
        <f t="shared" si="18"/>
        <v>0</v>
      </c>
    </row>
    <row r="214" spans="2:11" ht="20.100000000000001" customHeight="1">
      <c r="B214" s="123"/>
      <c r="C214" s="124"/>
      <c r="D214" s="125"/>
      <c r="E214" s="125"/>
      <c r="F214" s="116"/>
      <c r="G214" s="153" t="str">
        <f t="shared" si="19"/>
        <v/>
      </c>
      <c r="H214" s="152">
        <f t="shared" si="20"/>
        <v>1E-3</v>
      </c>
      <c r="I214" s="153">
        <f t="shared" si="16"/>
        <v>0</v>
      </c>
      <c r="J214" s="153">
        <f t="shared" si="17"/>
        <v>0</v>
      </c>
      <c r="K214" s="153">
        <f t="shared" si="18"/>
        <v>0</v>
      </c>
    </row>
    <row r="215" spans="2:11" ht="20.100000000000001" customHeight="1">
      <c r="B215" s="123"/>
      <c r="C215" s="124"/>
      <c r="D215" s="125"/>
      <c r="E215" s="125"/>
      <c r="F215" s="116"/>
      <c r="G215" s="153" t="str">
        <f t="shared" si="19"/>
        <v/>
      </c>
      <c r="H215" s="152">
        <f t="shared" si="20"/>
        <v>1E-3</v>
      </c>
      <c r="I215" s="153">
        <f t="shared" si="16"/>
        <v>0</v>
      </c>
      <c r="J215" s="153">
        <f t="shared" si="17"/>
        <v>0</v>
      </c>
      <c r="K215" s="153">
        <f t="shared" si="18"/>
        <v>0</v>
      </c>
    </row>
    <row r="216" spans="2:11" ht="20.100000000000001" customHeight="1">
      <c r="B216" s="123"/>
      <c r="C216" s="124"/>
      <c r="D216" s="125"/>
      <c r="E216" s="125"/>
      <c r="F216" s="116"/>
      <c r="G216" s="153" t="str">
        <f t="shared" si="19"/>
        <v/>
      </c>
      <c r="H216" s="152">
        <f t="shared" si="20"/>
        <v>1E-3</v>
      </c>
      <c r="I216" s="153">
        <f t="shared" si="16"/>
        <v>0</v>
      </c>
      <c r="J216" s="153">
        <f t="shared" si="17"/>
        <v>0</v>
      </c>
      <c r="K216" s="153">
        <f t="shared" si="18"/>
        <v>0</v>
      </c>
    </row>
    <row r="217" spans="2:11" ht="20.100000000000001" customHeight="1">
      <c r="B217" s="123"/>
      <c r="C217" s="124"/>
      <c r="D217" s="125"/>
      <c r="E217" s="125"/>
      <c r="F217" s="116"/>
      <c r="G217" s="153" t="str">
        <f t="shared" si="19"/>
        <v/>
      </c>
      <c r="H217" s="152">
        <f t="shared" si="20"/>
        <v>1E-3</v>
      </c>
      <c r="I217" s="153">
        <f t="shared" si="16"/>
        <v>0</v>
      </c>
      <c r="J217" s="153">
        <f t="shared" si="17"/>
        <v>0</v>
      </c>
      <c r="K217" s="153">
        <f t="shared" si="18"/>
        <v>0</v>
      </c>
    </row>
    <row r="218" spans="2:11" ht="20.100000000000001" customHeight="1">
      <c r="B218" s="123"/>
      <c r="C218" s="124"/>
      <c r="D218" s="125"/>
      <c r="E218" s="125"/>
      <c r="F218" s="116"/>
      <c r="G218" s="153" t="str">
        <f t="shared" si="19"/>
        <v/>
      </c>
      <c r="H218" s="152">
        <f t="shared" si="20"/>
        <v>1E-3</v>
      </c>
      <c r="I218" s="153">
        <f t="shared" si="16"/>
        <v>0</v>
      </c>
      <c r="J218" s="153">
        <f t="shared" si="17"/>
        <v>0</v>
      </c>
      <c r="K218" s="153">
        <f t="shared" si="18"/>
        <v>0</v>
      </c>
    </row>
    <row r="219" spans="2:11" ht="20.100000000000001" customHeight="1">
      <c r="B219" s="123"/>
      <c r="C219" s="124"/>
      <c r="D219" s="125"/>
      <c r="E219" s="125"/>
      <c r="F219" s="116"/>
      <c r="G219" s="153" t="str">
        <f t="shared" si="19"/>
        <v/>
      </c>
      <c r="H219" s="152">
        <f t="shared" si="20"/>
        <v>1E-3</v>
      </c>
      <c r="I219" s="153">
        <f t="shared" si="16"/>
        <v>0</v>
      </c>
      <c r="J219" s="153">
        <f t="shared" si="17"/>
        <v>0</v>
      </c>
      <c r="K219" s="153">
        <f t="shared" si="18"/>
        <v>0</v>
      </c>
    </row>
    <row r="220" spans="2:11" ht="20.100000000000001" customHeight="1">
      <c r="B220" s="123"/>
      <c r="C220" s="124"/>
      <c r="D220" s="125"/>
      <c r="E220" s="125"/>
      <c r="F220" s="116"/>
      <c r="G220" s="153" t="str">
        <f t="shared" si="19"/>
        <v/>
      </c>
      <c r="H220" s="152">
        <f t="shared" si="20"/>
        <v>1E-3</v>
      </c>
      <c r="I220" s="153">
        <f t="shared" si="16"/>
        <v>0</v>
      </c>
      <c r="J220" s="153">
        <f t="shared" si="17"/>
        <v>0</v>
      </c>
      <c r="K220" s="153">
        <f t="shared" si="18"/>
        <v>0</v>
      </c>
    </row>
    <row r="221" spans="2:11" ht="20.100000000000001" customHeight="1">
      <c r="B221" s="123"/>
      <c r="C221" s="124"/>
      <c r="D221" s="125"/>
      <c r="E221" s="125"/>
      <c r="F221" s="116"/>
      <c r="G221" s="153" t="str">
        <f t="shared" si="19"/>
        <v/>
      </c>
      <c r="H221" s="152">
        <f t="shared" si="20"/>
        <v>1E-3</v>
      </c>
      <c r="I221" s="153">
        <f t="shared" si="16"/>
        <v>0</v>
      </c>
      <c r="J221" s="153">
        <f t="shared" si="17"/>
        <v>0</v>
      </c>
      <c r="K221" s="153">
        <f t="shared" si="18"/>
        <v>0</v>
      </c>
    </row>
    <row r="222" spans="2:11" ht="20.100000000000001" customHeight="1">
      <c r="B222" s="123"/>
      <c r="C222" s="124"/>
      <c r="D222" s="125"/>
      <c r="E222" s="125"/>
      <c r="F222" s="116"/>
      <c r="G222" s="153" t="str">
        <f t="shared" si="19"/>
        <v/>
      </c>
      <c r="H222" s="152">
        <f t="shared" si="20"/>
        <v>1E-3</v>
      </c>
      <c r="I222" s="153">
        <f t="shared" si="16"/>
        <v>0</v>
      </c>
      <c r="J222" s="153">
        <f t="shared" si="17"/>
        <v>0</v>
      </c>
      <c r="K222" s="153">
        <f t="shared" si="18"/>
        <v>0</v>
      </c>
    </row>
    <row r="223" spans="2:11" ht="20.100000000000001" customHeight="1">
      <c r="B223" s="123"/>
      <c r="C223" s="124"/>
      <c r="D223" s="125"/>
      <c r="E223" s="125"/>
      <c r="F223" s="116"/>
      <c r="G223" s="153" t="str">
        <f t="shared" si="19"/>
        <v/>
      </c>
      <c r="H223" s="152">
        <f t="shared" si="20"/>
        <v>1E-3</v>
      </c>
      <c r="I223" s="153">
        <f t="shared" si="16"/>
        <v>0</v>
      </c>
      <c r="J223" s="153">
        <f t="shared" si="17"/>
        <v>0</v>
      </c>
      <c r="K223" s="153">
        <f t="shared" si="18"/>
        <v>0</v>
      </c>
    </row>
    <row r="224" spans="2:11" ht="20.100000000000001" customHeight="1">
      <c r="B224" s="123"/>
      <c r="C224" s="124"/>
      <c r="D224" s="125"/>
      <c r="E224" s="125"/>
      <c r="F224" s="116"/>
      <c r="G224" s="153" t="str">
        <f t="shared" si="19"/>
        <v/>
      </c>
      <c r="H224" s="152">
        <f t="shared" si="20"/>
        <v>1E-3</v>
      </c>
      <c r="I224" s="153">
        <f t="shared" si="16"/>
        <v>0</v>
      </c>
      <c r="J224" s="153">
        <f t="shared" si="17"/>
        <v>0</v>
      </c>
      <c r="K224" s="153">
        <f t="shared" si="18"/>
        <v>0</v>
      </c>
    </row>
    <row r="225" spans="2:11" ht="20.100000000000001" customHeight="1">
      <c r="B225" s="123"/>
      <c r="C225" s="124"/>
      <c r="D225" s="125"/>
      <c r="E225" s="125"/>
      <c r="F225" s="116"/>
      <c r="G225" s="153" t="str">
        <f t="shared" si="19"/>
        <v/>
      </c>
      <c r="H225" s="152">
        <f t="shared" si="20"/>
        <v>1E-3</v>
      </c>
      <c r="I225" s="153">
        <f t="shared" si="16"/>
        <v>0</v>
      </c>
      <c r="J225" s="153">
        <f t="shared" si="17"/>
        <v>0</v>
      </c>
      <c r="K225" s="153">
        <f t="shared" si="18"/>
        <v>0</v>
      </c>
    </row>
    <row r="226" spans="2:11" ht="20.100000000000001" customHeight="1">
      <c r="B226" s="123"/>
      <c r="C226" s="124"/>
      <c r="D226" s="125"/>
      <c r="E226" s="125"/>
      <c r="F226" s="116"/>
      <c r="G226" s="153" t="str">
        <f t="shared" si="19"/>
        <v/>
      </c>
      <c r="H226" s="152">
        <f t="shared" si="20"/>
        <v>1E-3</v>
      </c>
      <c r="I226" s="153">
        <f t="shared" si="16"/>
        <v>0</v>
      </c>
      <c r="J226" s="153">
        <f t="shared" si="17"/>
        <v>0</v>
      </c>
      <c r="K226" s="153">
        <f t="shared" si="18"/>
        <v>0</v>
      </c>
    </row>
    <row r="227" spans="2:11" ht="20.100000000000001" customHeight="1">
      <c r="B227" s="123"/>
      <c r="C227" s="124"/>
      <c r="D227" s="125"/>
      <c r="E227" s="125"/>
      <c r="F227" s="116"/>
      <c r="G227" s="153" t="str">
        <f t="shared" si="19"/>
        <v/>
      </c>
      <c r="H227" s="152">
        <f t="shared" si="20"/>
        <v>1E-3</v>
      </c>
      <c r="I227" s="153">
        <f t="shared" si="16"/>
        <v>0</v>
      </c>
      <c r="J227" s="153">
        <f t="shared" si="17"/>
        <v>0</v>
      </c>
      <c r="K227" s="153">
        <f t="shared" si="18"/>
        <v>0</v>
      </c>
    </row>
    <row r="228" spans="2:11" ht="20.100000000000001" customHeight="1">
      <c r="B228" s="123"/>
      <c r="C228" s="124"/>
      <c r="D228" s="125"/>
      <c r="E228" s="125"/>
      <c r="F228" s="116"/>
      <c r="G228" s="153" t="str">
        <f t="shared" si="19"/>
        <v/>
      </c>
      <c r="H228" s="152">
        <f t="shared" si="20"/>
        <v>1E-3</v>
      </c>
      <c r="I228" s="153">
        <f t="shared" si="16"/>
        <v>0</v>
      </c>
      <c r="J228" s="153">
        <f t="shared" si="17"/>
        <v>0</v>
      </c>
      <c r="K228" s="153">
        <f t="shared" si="18"/>
        <v>0</v>
      </c>
    </row>
    <row r="229" spans="2:11" ht="20.100000000000001" customHeight="1">
      <c r="B229" s="123"/>
      <c r="C229" s="124"/>
      <c r="D229" s="125"/>
      <c r="E229" s="125"/>
      <c r="F229" s="116"/>
      <c r="G229" s="153" t="str">
        <f t="shared" si="19"/>
        <v/>
      </c>
      <c r="H229" s="152">
        <f t="shared" si="20"/>
        <v>1E-3</v>
      </c>
      <c r="I229" s="153">
        <f t="shared" si="16"/>
        <v>0</v>
      </c>
      <c r="J229" s="153">
        <f t="shared" si="17"/>
        <v>0</v>
      </c>
      <c r="K229" s="153">
        <f t="shared" si="18"/>
        <v>0</v>
      </c>
    </row>
    <row r="230" spans="2:11" ht="20.100000000000001" customHeight="1">
      <c r="B230" s="123"/>
      <c r="C230" s="124"/>
      <c r="D230" s="125"/>
      <c r="E230" s="125"/>
      <c r="F230" s="116"/>
      <c r="G230" s="153" t="str">
        <f t="shared" si="19"/>
        <v/>
      </c>
      <c r="H230" s="152">
        <f t="shared" si="20"/>
        <v>1E-3</v>
      </c>
      <c r="I230" s="153">
        <f t="shared" si="16"/>
        <v>0</v>
      </c>
      <c r="J230" s="153">
        <f t="shared" si="17"/>
        <v>0</v>
      </c>
      <c r="K230" s="153">
        <f t="shared" si="18"/>
        <v>0</v>
      </c>
    </row>
    <row r="231" spans="2:11" ht="20.100000000000001" customHeight="1">
      <c r="B231" s="123"/>
      <c r="C231" s="124"/>
      <c r="D231" s="125"/>
      <c r="E231" s="125"/>
      <c r="F231" s="116"/>
      <c r="G231" s="153" t="str">
        <f t="shared" si="19"/>
        <v/>
      </c>
      <c r="H231" s="152">
        <f t="shared" si="20"/>
        <v>1E-3</v>
      </c>
      <c r="I231" s="153">
        <f t="shared" si="16"/>
        <v>0</v>
      </c>
      <c r="J231" s="153">
        <f t="shared" si="17"/>
        <v>0</v>
      </c>
      <c r="K231" s="153">
        <f t="shared" si="18"/>
        <v>0</v>
      </c>
    </row>
    <row r="232" spans="2:11" ht="20.100000000000001" customHeight="1">
      <c r="B232" s="123"/>
      <c r="C232" s="124"/>
      <c r="D232" s="125"/>
      <c r="E232" s="125"/>
      <c r="F232" s="116"/>
      <c r="G232" s="153" t="str">
        <f t="shared" si="19"/>
        <v/>
      </c>
      <c r="H232" s="152">
        <f t="shared" si="20"/>
        <v>1E-3</v>
      </c>
      <c r="I232" s="153">
        <f t="shared" si="16"/>
        <v>0</v>
      </c>
      <c r="J232" s="153">
        <f t="shared" si="17"/>
        <v>0</v>
      </c>
      <c r="K232" s="153">
        <f t="shared" si="18"/>
        <v>0</v>
      </c>
    </row>
    <row r="233" spans="2:11" ht="20.100000000000001" customHeight="1">
      <c r="B233" s="123"/>
      <c r="C233" s="124"/>
      <c r="D233" s="125"/>
      <c r="E233" s="125"/>
      <c r="F233" s="116"/>
      <c r="G233" s="153" t="str">
        <f t="shared" si="19"/>
        <v/>
      </c>
      <c r="H233" s="152">
        <f t="shared" si="20"/>
        <v>1E-3</v>
      </c>
      <c r="I233" s="153">
        <f t="shared" si="16"/>
        <v>0</v>
      </c>
      <c r="J233" s="153">
        <f t="shared" si="17"/>
        <v>0</v>
      </c>
      <c r="K233" s="153">
        <f t="shared" si="18"/>
        <v>0</v>
      </c>
    </row>
    <row r="234" spans="2:11" ht="20.100000000000001" customHeight="1">
      <c r="B234" s="123"/>
      <c r="C234" s="124"/>
      <c r="D234" s="125"/>
      <c r="E234" s="125"/>
      <c r="F234" s="116"/>
      <c r="G234" s="153" t="str">
        <f t="shared" si="19"/>
        <v/>
      </c>
      <c r="H234" s="152">
        <f t="shared" si="20"/>
        <v>1E-3</v>
      </c>
      <c r="I234" s="153">
        <f t="shared" si="16"/>
        <v>0</v>
      </c>
      <c r="J234" s="153">
        <f t="shared" si="17"/>
        <v>0</v>
      </c>
      <c r="K234" s="153">
        <f t="shared" si="18"/>
        <v>0</v>
      </c>
    </row>
    <row r="235" spans="2:11" ht="20.100000000000001" customHeight="1">
      <c r="B235" s="123"/>
      <c r="C235" s="124"/>
      <c r="D235" s="125"/>
      <c r="E235" s="125"/>
      <c r="F235" s="116"/>
      <c r="G235" s="153" t="str">
        <f t="shared" si="19"/>
        <v/>
      </c>
      <c r="H235" s="152">
        <f t="shared" si="20"/>
        <v>1E-3</v>
      </c>
      <c r="I235" s="153">
        <f t="shared" si="16"/>
        <v>0</v>
      </c>
      <c r="J235" s="153">
        <f t="shared" si="17"/>
        <v>0</v>
      </c>
      <c r="K235" s="153">
        <f t="shared" si="18"/>
        <v>0</v>
      </c>
    </row>
    <row r="236" spans="2:11" ht="20.100000000000001" customHeight="1">
      <c r="B236" s="123"/>
      <c r="C236" s="124"/>
      <c r="D236" s="125"/>
      <c r="E236" s="125"/>
      <c r="F236" s="116"/>
      <c r="G236" s="153" t="str">
        <f t="shared" si="19"/>
        <v/>
      </c>
      <c r="H236" s="152">
        <f t="shared" si="20"/>
        <v>1E-3</v>
      </c>
      <c r="I236" s="153">
        <f t="shared" si="16"/>
        <v>0</v>
      </c>
      <c r="J236" s="153">
        <f t="shared" si="17"/>
        <v>0</v>
      </c>
      <c r="K236" s="153">
        <f t="shared" si="18"/>
        <v>0</v>
      </c>
    </row>
    <row r="237" spans="2:11" ht="20.100000000000001" customHeight="1">
      <c r="B237" s="123"/>
      <c r="C237" s="124"/>
      <c r="D237" s="125"/>
      <c r="E237" s="125"/>
      <c r="F237" s="116"/>
      <c r="G237" s="153" t="str">
        <f t="shared" si="19"/>
        <v/>
      </c>
      <c r="H237" s="152">
        <f t="shared" si="20"/>
        <v>1E-3</v>
      </c>
      <c r="I237" s="153">
        <f t="shared" si="16"/>
        <v>0</v>
      </c>
      <c r="J237" s="153">
        <f t="shared" si="17"/>
        <v>0</v>
      </c>
      <c r="K237" s="153">
        <f t="shared" si="18"/>
        <v>0</v>
      </c>
    </row>
    <row r="238" spans="2:11" ht="20.100000000000001" customHeight="1">
      <c r="B238" s="123"/>
      <c r="C238" s="124"/>
      <c r="D238" s="125"/>
      <c r="E238" s="125"/>
      <c r="F238" s="116"/>
      <c r="G238" s="153" t="str">
        <f t="shared" si="19"/>
        <v/>
      </c>
      <c r="H238" s="152">
        <f t="shared" si="20"/>
        <v>1E-3</v>
      </c>
      <c r="I238" s="153">
        <f t="shared" si="16"/>
        <v>0</v>
      </c>
      <c r="J238" s="153">
        <f t="shared" si="17"/>
        <v>0</v>
      </c>
      <c r="K238" s="153">
        <f t="shared" si="18"/>
        <v>0</v>
      </c>
    </row>
    <row r="239" spans="2:11" ht="20.100000000000001" customHeight="1">
      <c r="B239" s="123"/>
      <c r="C239" s="124"/>
      <c r="D239" s="125"/>
      <c r="E239" s="125"/>
      <c r="F239" s="116"/>
      <c r="G239" s="153" t="str">
        <f t="shared" si="19"/>
        <v/>
      </c>
      <c r="H239" s="152">
        <f t="shared" si="20"/>
        <v>1E-3</v>
      </c>
      <c r="I239" s="153">
        <f t="shared" si="16"/>
        <v>0</v>
      </c>
      <c r="J239" s="153">
        <f t="shared" si="17"/>
        <v>0</v>
      </c>
      <c r="K239" s="153">
        <f t="shared" si="18"/>
        <v>0</v>
      </c>
    </row>
    <row r="240" spans="2:11" ht="20.100000000000001" customHeight="1">
      <c r="B240" s="123"/>
      <c r="C240" s="124"/>
      <c r="D240" s="125"/>
      <c r="E240" s="125"/>
      <c r="F240" s="116"/>
      <c r="G240" s="153" t="str">
        <f t="shared" si="19"/>
        <v/>
      </c>
      <c r="H240" s="152">
        <f t="shared" si="20"/>
        <v>1E-3</v>
      </c>
      <c r="I240" s="153">
        <f t="shared" si="16"/>
        <v>0</v>
      </c>
      <c r="J240" s="153">
        <f t="shared" si="17"/>
        <v>0</v>
      </c>
      <c r="K240" s="153">
        <f t="shared" si="18"/>
        <v>0</v>
      </c>
    </row>
    <row r="241" spans="2:11" ht="20.100000000000001" customHeight="1">
      <c r="B241" s="123"/>
      <c r="C241" s="124"/>
      <c r="D241" s="125"/>
      <c r="E241" s="125"/>
      <c r="F241" s="116"/>
      <c r="G241" s="153" t="str">
        <f t="shared" si="19"/>
        <v/>
      </c>
      <c r="H241" s="152">
        <f t="shared" si="20"/>
        <v>1E-3</v>
      </c>
      <c r="I241" s="153">
        <f t="shared" si="16"/>
        <v>0</v>
      </c>
      <c r="J241" s="153">
        <f t="shared" si="17"/>
        <v>0</v>
      </c>
      <c r="K241" s="153">
        <f t="shared" si="18"/>
        <v>0</v>
      </c>
    </row>
    <row r="242" spans="2:11" ht="20.100000000000001" customHeight="1">
      <c r="B242" s="123"/>
      <c r="C242" s="124"/>
      <c r="D242" s="125"/>
      <c r="E242" s="125"/>
      <c r="F242" s="116"/>
      <c r="G242" s="153" t="str">
        <f t="shared" si="19"/>
        <v/>
      </c>
      <c r="H242" s="152">
        <f t="shared" si="20"/>
        <v>1E-3</v>
      </c>
      <c r="I242" s="153">
        <f t="shared" si="16"/>
        <v>0</v>
      </c>
      <c r="J242" s="153">
        <f t="shared" si="17"/>
        <v>0</v>
      </c>
      <c r="K242" s="153">
        <f t="shared" si="18"/>
        <v>0</v>
      </c>
    </row>
    <row r="243" spans="2:11" ht="20.100000000000001" customHeight="1">
      <c r="B243" s="123"/>
      <c r="C243" s="124"/>
      <c r="D243" s="125"/>
      <c r="E243" s="125"/>
      <c r="F243" s="116"/>
      <c r="G243" s="153" t="str">
        <f t="shared" si="19"/>
        <v/>
      </c>
      <c r="H243" s="152">
        <f t="shared" si="20"/>
        <v>1E-3</v>
      </c>
      <c r="I243" s="153">
        <f t="shared" si="16"/>
        <v>0</v>
      </c>
      <c r="J243" s="153">
        <f t="shared" si="17"/>
        <v>0</v>
      </c>
      <c r="K243" s="153">
        <f t="shared" si="18"/>
        <v>0</v>
      </c>
    </row>
    <row r="244" spans="2:11" ht="20.100000000000001" customHeight="1">
      <c r="B244" s="123"/>
      <c r="C244" s="124"/>
      <c r="D244" s="125"/>
      <c r="E244" s="125"/>
      <c r="F244" s="116"/>
      <c r="G244" s="153" t="str">
        <f t="shared" si="19"/>
        <v/>
      </c>
      <c r="H244" s="152">
        <f t="shared" si="20"/>
        <v>1E-3</v>
      </c>
      <c r="I244" s="153">
        <f t="shared" si="16"/>
        <v>0</v>
      </c>
      <c r="J244" s="153">
        <f t="shared" si="17"/>
        <v>0</v>
      </c>
      <c r="K244" s="153">
        <f t="shared" si="18"/>
        <v>0</v>
      </c>
    </row>
    <row r="245" spans="2:11" ht="20.100000000000001" customHeight="1">
      <c r="B245" s="123"/>
      <c r="C245" s="124"/>
      <c r="D245" s="125"/>
      <c r="E245" s="125"/>
      <c r="F245" s="116"/>
      <c r="G245" s="153" t="str">
        <f t="shared" si="19"/>
        <v/>
      </c>
      <c r="H245" s="152">
        <f t="shared" si="20"/>
        <v>1E-3</v>
      </c>
      <c r="I245" s="153">
        <f t="shared" si="16"/>
        <v>0</v>
      </c>
      <c r="J245" s="153">
        <f t="shared" si="17"/>
        <v>0</v>
      </c>
      <c r="K245" s="153">
        <f t="shared" si="18"/>
        <v>0</v>
      </c>
    </row>
    <row r="246" spans="2:11" ht="20.100000000000001" customHeight="1">
      <c r="B246" s="123"/>
      <c r="C246" s="124"/>
      <c r="D246" s="125"/>
      <c r="E246" s="125"/>
      <c r="F246" s="116"/>
      <c r="G246" s="153" t="str">
        <f t="shared" si="19"/>
        <v/>
      </c>
      <c r="H246" s="152">
        <f t="shared" si="20"/>
        <v>1E-3</v>
      </c>
      <c r="I246" s="153">
        <f t="shared" si="16"/>
        <v>0</v>
      </c>
      <c r="J246" s="153">
        <f t="shared" si="17"/>
        <v>0</v>
      </c>
      <c r="K246" s="153">
        <f t="shared" si="18"/>
        <v>0</v>
      </c>
    </row>
    <row r="247" spans="2:11" ht="20.100000000000001" customHeight="1" thickBot="1">
      <c r="B247" s="126"/>
      <c r="C247" s="127"/>
      <c r="D247" s="128"/>
      <c r="E247" s="128"/>
      <c r="F247" s="119"/>
      <c r="G247" s="153" t="str">
        <f t="shared" si="19"/>
        <v/>
      </c>
      <c r="H247" s="152">
        <f t="shared" si="20"/>
        <v>1E-3</v>
      </c>
      <c r="I247" s="153">
        <f t="shared" si="16"/>
        <v>0</v>
      </c>
      <c r="J247" s="153">
        <f t="shared" si="17"/>
        <v>0</v>
      </c>
      <c r="K247" s="153">
        <f t="shared" si="18"/>
        <v>0</v>
      </c>
    </row>
    <row r="248" spans="2:11" ht="20.100000000000001" customHeight="1">
      <c r="B248" s="31"/>
      <c r="C248" s="32"/>
      <c r="D248" s="33"/>
      <c r="E248" s="33"/>
      <c r="F248" s="31"/>
      <c r="G248" s="31"/>
      <c r="H248" s="31"/>
      <c r="I248" s="31"/>
      <c r="J248" s="31"/>
      <c r="K248" s="31"/>
    </row>
    <row r="249" spans="2:11" ht="20.100000000000001" customHeight="1">
      <c r="B249" s="316" t="s">
        <v>1226</v>
      </c>
      <c r="C249" s="316"/>
      <c r="D249" s="316"/>
      <c r="E249" s="316"/>
      <c r="F249" s="316"/>
      <c r="G249" s="316"/>
      <c r="H249" s="316"/>
      <c r="I249" s="316"/>
      <c r="J249" s="316"/>
      <c r="K249" s="316"/>
    </row>
    <row r="250" spans="2:11" ht="20.100000000000001" customHeight="1" thickBot="1"/>
    <row r="251" spans="2:11" ht="20.100000000000001" customHeight="1">
      <c r="B251" s="78" t="s">
        <v>471</v>
      </c>
      <c r="C251" s="154" t="s">
        <v>1260</v>
      </c>
      <c r="E251" s="78" t="s">
        <v>475</v>
      </c>
      <c r="F251" s="563"/>
      <c r="G251" s="564"/>
      <c r="H251" s="564"/>
      <c r="I251" s="565"/>
    </row>
    <row r="252" spans="2:11" ht="20.100000000000001" customHeight="1">
      <c r="B252" s="78" t="s">
        <v>477</v>
      </c>
      <c r="C252" s="154" t="str">
        <f>IF(C251="Electricity",VLOOKUP($C$12,'NGER Emission Factors old'!$A$23:$J$34,2,FALSE),IF(C251="GreenPower",VLOOKUP(C251,'NGER Emission Factors old'!$A$23:$J$35,2,FALSE),VLOOKUP(C251,'NGER Emission Factors old'!$A$5:$J$18,2,FALSE)))</f>
        <v>Scope 1</v>
      </c>
      <c r="E252" s="613" t="s">
        <v>479</v>
      </c>
      <c r="F252" s="622"/>
      <c r="G252" s="623"/>
      <c r="H252" s="623"/>
      <c r="I252" s="624"/>
    </row>
    <row r="253" spans="2:11" ht="20.100000000000001" customHeight="1" thickBot="1">
      <c r="B253" s="78" t="s">
        <v>483</v>
      </c>
      <c r="C253" s="197" t="b">
        <f>'15C Building Details'!C149</f>
        <v>0</v>
      </c>
      <c r="D253" s="317"/>
      <c r="E253" s="614"/>
      <c r="F253" s="566"/>
      <c r="G253" s="567"/>
      <c r="H253" s="567"/>
      <c r="I253" s="568"/>
    </row>
    <row r="254" spans="2:11" ht="20.100000000000001" customHeight="1">
      <c r="B254" s="78" t="s">
        <v>485</v>
      </c>
      <c r="C254" s="197" t="str">
        <f>'15C Building Details'!C150</f>
        <v>kL</v>
      </c>
    </row>
    <row r="255" spans="2:11" ht="20.100000000000001" customHeight="1">
      <c r="B255" s="78" t="s">
        <v>487</v>
      </c>
      <c r="C255" s="197">
        <f>'15C Building Details'!C151</f>
        <v>26.2</v>
      </c>
      <c r="E255" s="11" t="s">
        <v>489</v>
      </c>
    </row>
    <row r="256" spans="2:11" ht="20.100000000000001" customHeight="1">
      <c r="G256" s="14"/>
      <c r="J256" s="11"/>
    </row>
    <row r="257" spans="2:11" ht="20.100000000000001" customHeight="1"/>
    <row r="258" spans="2:11" ht="40.200000000000003" customHeight="1" thickBot="1">
      <c r="B258" s="78" t="s">
        <v>491</v>
      </c>
      <c r="C258" s="78" t="s">
        <v>493</v>
      </c>
      <c r="D258" s="78" t="s">
        <v>495</v>
      </c>
      <c r="E258" s="78" t="s">
        <v>497</v>
      </c>
      <c r="F258" s="78" t="str">
        <f>"Billed Quantity ("&amp;C254&amp;")"</f>
        <v>Billed Quantity (kL)</v>
      </c>
      <c r="G258" s="78" t="s">
        <v>501</v>
      </c>
      <c r="H258" s="78" t="s">
        <v>487</v>
      </c>
      <c r="I258" s="78" t="s">
        <v>1257</v>
      </c>
      <c r="J258" s="78" t="s">
        <v>1258</v>
      </c>
      <c r="K258" s="78" t="s">
        <v>1259</v>
      </c>
    </row>
    <row r="259" spans="2:11" ht="20.100000000000001" customHeight="1">
      <c r="B259" s="120"/>
      <c r="C259" s="121"/>
      <c r="D259" s="122"/>
      <c r="E259" s="122"/>
      <c r="F259" s="113"/>
      <c r="G259" s="153" t="str">
        <f t="shared" ref="G259:G294" si="21">IF(ISBLANK(D259),"",E259-D259+1)</f>
        <v/>
      </c>
      <c r="H259" s="152">
        <f>$C$255</f>
        <v>26.2</v>
      </c>
      <c r="I259" s="153">
        <f t="shared" ref="I259:I294" si="22">IF(F259&gt;0,F259*H259*IF(OR(D259&gt;$H$9,E259&lt;$H$8), 0, IF(D259&lt;$H$8,E259-$H$8,IF($H$9&lt;E259,E259-$H$9,G259)))/G259,0)</f>
        <v>0</v>
      </c>
      <c r="J259" s="153">
        <f t="shared" ref="J259:J294" si="23">IF(F259&gt;0,F259*H259*IF(OR(D259&gt;$I$9,E259&lt;$I$8), 0, IF(D259&lt;$I$8,E259-$I$8,IF($I$9&lt;E259,E259-$I$9,G259)))/G259,0)</f>
        <v>0</v>
      </c>
      <c r="K259" s="153">
        <f t="shared" ref="K259:K294" si="24">IF(F259&gt;0,F259*H259*IF(OR(D259&gt;$J$9,E259&lt;$J$8), 0, IF(D259&lt;$J$8,E259-$J$8,IF($J$9&lt;E259,E259-$J$9,G259)))/G259,0)</f>
        <v>0</v>
      </c>
    </row>
    <row r="260" spans="2:11" ht="20.100000000000001" customHeight="1">
      <c r="B260" s="123"/>
      <c r="C260" s="124"/>
      <c r="D260" s="125"/>
      <c r="E260" s="125"/>
      <c r="F260" s="116"/>
      <c r="G260" s="153" t="str">
        <f t="shared" si="21"/>
        <v/>
      </c>
      <c r="H260" s="152">
        <f t="shared" ref="H260:H294" si="25">$C$255</f>
        <v>26.2</v>
      </c>
      <c r="I260" s="153">
        <f t="shared" si="22"/>
        <v>0</v>
      </c>
      <c r="J260" s="153">
        <f t="shared" si="23"/>
        <v>0</v>
      </c>
      <c r="K260" s="153">
        <f t="shared" si="24"/>
        <v>0</v>
      </c>
    </row>
    <row r="261" spans="2:11" ht="20.100000000000001" customHeight="1">
      <c r="B261" s="123"/>
      <c r="C261" s="124"/>
      <c r="D261" s="125"/>
      <c r="E261" s="125"/>
      <c r="F261" s="116"/>
      <c r="G261" s="153" t="str">
        <f t="shared" si="21"/>
        <v/>
      </c>
      <c r="H261" s="152">
        <f t="shared" si="25"/>
        <v>26.2</v>
      </c>
      <c r="I261" s="153">
        <f t="shared" si="22"/>
        <v>0</v>
      </c>
      <c r="J261" s="153">
        <f t="shared" si="23"/>
        <v>0</v>
      </c>
      <c r="K261" s="153">
        <f t="shared" si="24"/>
        <v>0</v>
      </c>
    </row>
    <row r="262" spans="2:11" ht="20.100000000000001" customHeight="1">
      <c r="B262" s="123"/>
      <c r="C262" s="124"/>
      <c r="D262" s="125"/>
      <c r="E262" s="125"/>
      <c r="F262" s="116"/>
      <c r="G262" s="153" t="str">
        <f t="shared" si="21"/>
        <v/>
      </c>
      <c r="H262" s="152">
        <f t="shared" si="25"/>
        <v>26.2</v>
      </c>
      <c r="I262" s="153">
        <f t="shared" si="22"/>
        <v>0</v>
      </c>
      <c r="J262" s="153">
        <f t="shared" si="23"/>
        <v>0</v>
      </c>
      <c r="K262" s="153">
        <f t="shared" si="24"/>
        <v>0</v>
      </c>
    </row>
    <row r="263" spans="2:11" ht="20.100000000000001" customHeight="1">
      <c r="B263" s="123"/>
      <c r="C263" s="124"/>
      <c r="D263" s="125"/>
      <c r="E263" s="125"/>
      <c r="F263" s="116"/>
      <c r="G263" s="153" t="str">
        <f t="shared" si="21"/>
        <v/>
      </c>
      <c r="H263" s="152">
        <f t="shared" si="25"/>
        <v>26.2</v>
      </c>
      <c r="I263" s="153">
        <f t="shared" si="22"/>
        <v>0</v>
      </c>
      <c r="J263" s="153">
        <f t="shared" si="23"/>
        <v>0</v>
      </c>
      <c r="K263" s="153">
        <f t="shared" si="24"/>
        <v>0</v>
      </c>
    </row>
    <row r="264" spans="2:11" ht="20.100000000000001" customHeight="1">
      <c r="B264" s="123"/>
      <c r="C264" s="124"/>
      <c r="D264" s="125"/>
      <c r="E264" s="125"/>
      <c r="F264" s="116"/>
      <c r="G264" s="153" t="str">
        <f t="shared" si="21"/>
        <v/>
      </c>
      <c r="H264" s="152">
        <f t="shared" si="25"/>
        <v>26.2</v>
      </c>
      <c r="I264" s="153">
        <f t="shared" si="22"/>
        <v>0</v>
      </c>
      <c r="J264" s="153">
        <f t="shared" si="23"/>
        <v>0</v>
      </c>
      <c r="K264" s="153">
        <f t="shared" si="24"/>
        <v>0</v>
      </c>
    </row>
    <row r="265" spans="2:11" ht="20.100000000000001" customHeight="1">
      <c r="B265" s="123"/>
      <c r="C265" s="124"/>
      <c r="D265" s="125"/>
      <c r="E265" s="125"/>
      <c r="F265" s="116"/>
      <c r="G265" s="153" t="str">
        <f t="shared" si="21"/>
        <v/>
      </c>
      <c r="H265" s="152">
        <f t="shared" si="25"/>
        <v>26.2</v>
      </c>
      <c r="I265" s="153">
        <f t="shared" si="22"/>
        <v>0</v>
      </c>
      <c r="J265" s="153">
        <f t="shared" si="23"/>
        <v>0</v>
      </c>
      <c r="K265" s="153">
        <f t="shared" si="24"/>
        <v>0</v>
      </c>
    </row>
    <row r="266" spans="2:11" ht="20.100000000000001" customHeight="1">
      <c r="B266" s="123"/>
      <c r="C266" s="124"/>
      <c r="D266" s="125"/>
      <c r="E266" s="125"/>
      <c r="F266" s="116"/>
      <c r="G266" s="153" t="str">
        <f t="shared" si="21"/>
        <v/>
      </c>
      <c r="H266" s="152">
        <f t="shared" si="25"/>
        <v>26.2</v>
      </c>
      <c r="I266" s="153">
        <f t="shared" si="22"/>
        <v>0</v>
      </c>
      <c r="J266" s="153">
        <f t="shared" si="23"/>
        <v>0</v>
      </c>
      <c r="K266" s="153">
        <f t="shared" si="24"/>
        <v>0</v>
      </c>
    </row>
    <row r="267" spans="2:11" ht="20.100000000000001" customHeight="1">
      <c r="B267" s="123"/>
      <c r="C267" s="124"/>
      <c r="D267" s="125"/>
      <c r="E267" s="125"/>
      <c r="F267" s="116"/>
      <c r="G267" s="153" t="str">
        <f t="shared" si="21"/>
        <v/>
      </c>
      <c r="H267" s="152">
        <f t="shared" si="25"/>
        <v>26.2</v>
      </c>
      <c r="I267" s="153">
        <f t="shared" si="22"/>
        <v>0</v>
      </c>
      <c r="J267" s="153">
        <f t="shared" si="23"/>
        <v>0</v>
      </c>
      <c r="K267" s="153">
        <f t="shared" si="24"/>
        <v>0</v>
      </c>
    </row>
    <row r="268" spans="2:11" ht="20.100000000000001" customHeight="1">
      <c r="B268" s="123"/>
      <c r="C268" s="124"/>
      <c r="D268" s="125"/>
      <c r="E268" s="125"/>
      <c r="F268" s="116"/>
      <c r="G268" s="153" t="str">
        <f t="shared" si="21"/>
        <v/>
      </c>
      <c r="H268" s="152">
        <f t="shared" si="25"/>
        <v>26.2</v>
      </c>
      <c r="I268" s="153">
        <f t="shared" si="22"/>
        <v>0</v>
      </c>
      <c r="J268" s="153">
        <f t="shared" si="23"/>
        <v>0</v>
      </c>
      <c r="K268" s="153">
        <f t="shared" si="24"/>
        <v>0</v>
      </c>
    </row>
    <row r="269" spans="2:11" ht="20.100000000000001" customHeight="1">
      <c r="B269" s="123"/>
      <c r="C269" s="124"/>
      <c r="D269" s="125"/>
      <c r="E269" s="125"/>
      <c r="F269" s="116"/>
      <c r="G269" s="153" t="str">
        <f t="shared" si="21"/>
        <v/>
      </c>
      <c r="H269" s="152">
        <f t="shared" si="25"/>
        <v>26.2</v>
      </c>
      <c r="I269" s="153">
        <f t="shared" si="22"/>
        <v>0</v>
      </c>
      <c r="J269" s="153">
        <f t="shared" si="23"/>
        <v>0</v>
      </c>
      <c r="K269" s="153">
        <f t="shared" si="24"/>
        <v>0</v>
      </c>
    </row>
    <row r="270" spans="2:11" ht="20.100000000000001" customHeight="1">
      <c r="B270" s="123"/>
      <c r="C270" s="124"/>
      <c r="D270" s="125"/>
      <c r="E270" s="125"/>
      <c r="F270" s="116"/>
      <c r="G270" s="153" t="str">
        <f t="shared" si="21"/>
        <v/>
      </c>
      <c r="H270" s="152">
        <f t="shared" si="25"/>
        <v>26.2</v>
      </c>
      <c r="I270" s="153">
        <f t="shared" si="22"/>
        <v>0</v>
      </c>
      <c r="J270" s="153">
        <f t="shared" si="23"/>
        <v>0</v>
      </c>
      <c r="K270" s="153">
        <f t="shared" si="24"/>
        <v>0</v>
      </c>
    </row>
    <row r="271" spans="2:11" ht="20.100000000000001" customHeight="1">
      <c r="B271" s="123"/>
      <c r="C271" s="124"/>
      <c r="D271" s="125"/>
      <c r="E271" s="125"/>
      <c r="F271" s="116"/>
      <c r="G271" s="153" t="str">
        <f t="shared" si="21"/>
        <v/>
      </c>
      <c r="H271" s="152">
        <f t="shared" si="25"/>
        <v>26.2</v>
      </c>
      <c r="I271" s="153">
        <f t="shared" si="22"/>
        <v>0</v>
      </c>
      <c r="J271" s="153">
        <f t="shared" si="23"/>
        <v>0</v>
      </c>
      <c r="K271" s="153">
        <f t="shared" si="24"/>
        <v>0</v>
      </c>
    </row>
    <row r="272" spans="2:11" ht="20.100000000000001" customHeight="1">
      <c r="B272" s="123"/>
      <c r="C272" s="124"/>
      <c r="D272" s="125"/>
      <c r="E272" s="125"/>
      <c r="F272" s="116"/>
      <c r="G272" s="153" t="str">
        <f t="shared" si="21"/>
        <v/>
      </c>
      <c r="H272" s="152">
        <f t="shared" si="25"/>
        <v>26.2</v>
      </c>
      <c r="I272" s="153">
        <f t="shared" si="22"/>
        <v>0</v>
      </c>
      <c r="J272" s="153">
        <f t="shared" si="23"/>
        <v>0</v>
      </c>
      <c r="K272" s="153">
        <f t="shared" si="24"/>
        <v>0</v>
      </c>
    </row>
    <row r="273" spans="2:11" ht="20.100000000000001" customHeight="1">
      <c r="B273" s="123"/>
      <c r="C273" s="124"/>
      <c r="D273" s="125"/>
      <c r="E273" s="125"/>
      <c r="F273" s="116"/>
      <c r="G273" s="153" t="str">
        <f t="shared" si="21"/>
        <v/>
      </c>
      <c r="H273" s="152">
        <f t="shared" si="25"/>
        <v>26.2</v>
      </c>
      <c r="I273" s="153">
        <f t="shared" si="22"/>
        <v>0</v>
      </c>
      <c r="J273" s="153">
        <f t="shared" si="23"/>
        <v>0</v>
      </c>
      <c r="K273" s="153">
        <f t="shared" si="24"/>
        <v>0</v>
      </c>
    </row>
    <row r="274" spans="2:11" ht="20.100000000000001" customHeight="1">
      <c r="B274" s="123"/>
      <c r="C274" s="124"/>
      <c r="D274" s="125"/>
      <c r="E274" s="125"/>
      <c r="F274" s="116"/>
      <c r="G274" s="153" t="str">
        <f t="shared" si="21"/>
        <v/>
      </c>
      <c r="H274" s="152">
        <f t="shared" si="25"/>
        <v>26.2</v>
      </c>
      <c r="I274" s="153">
        <f t="shared" si="22"/>
        <v>0</v>
      </c>
      <c r="J274" s="153">
        <f t="shared" si="23"/>
        <v>0</v>
      </c>
      <c r="K274" s="153">
        <f t="shared" si="24"/>
        <v>0</v>
      </c>
    </row>
    <row r="275" spans="2:11" ht="20.100000000000001" customHeight="1">
      <c r="B275" s="123"/>
      <c r="C275" s="124"/>
      <c r="D275" s="125"/>
      <c r="E275" s="125"/>
      <c r="F275" s="116"/>
      <c r="G275" s="153" t="str">
        <f t="shared" si="21"/>
        <v/>
      </c>
      <c r="H275" s="152">
        <f t="shared" si="25"/>
        <v>26.2</v>
      </c>
      <c r="I275" s="153">
        <f t="shared" si="22"/>
        <v>0</v>
      </c>
      <c r="J275" s="153">
        <f t="shared" si="23"/>
        <v>0</v>
      </c>
      <c r="K275" s="153">
        <f t="shared" si="24"/>
        <v>0</v>
      </c>
    </row>
    <row r="276" spans="2:11" ht="20.100000000000001" customHeight="1">
      <c r="B276" s="123"/>
      <c r="C276" s="124"/>
      <c r="D276" s="125"/>
      <c r="E276" s="125"/>
      <c r="F276" s="116"/>
      <c r="G276" s="153" t="str">
        <f t="shared" si="21"/>
        <v/>
      </c>
      <c r="H276" s="152">
        <f t="shared" si="25"/>
        <v>26.2</v>
      </c>
      <c r="I276" s="153">
        <f t="shared" si="22"/>
        <v>0</v>
      </c>
      <c r="J276" s="153">
        <f t="shared" si="23"/>
        <v>0</v>
      </c>
      <c r="K276" s="153">
        <f t="shared" si="24"/>
        <v>0</v>
      </c>
    </row>
    <row r="277" spans="2:11" ht="20.100000000000001" customHeight="1">
      <c r="B277" s="123"/>
      <c r="C277" s="124"/>
      <c r="D277" s="125"/>
      <c r="E277" s="125"/>
      <c r="F277" s="116"/>
      <c r="G277" s="153" t="str">
        <f t="shared" si="21"/>
        <v/>
      </c>
      <c r="H277" s="152">
        <f t="shared" si="25"/>
        <v>26.2</v>
      </c>
      <c r="I277" s="153">
        <f t="shared" si="22"/>
        <v>0</v>
      </c>
      <c r="J277" s="153">
        <f t="shared" si="23"/>
        <v>0</v>
      </c>
      <c r="K277" s="153">
        <f t="shared" si="24"/>
        <v>0</v>
      </c>
    </row>
    <row r="278" spans="2:11" ht="20.100000000000001" customHeight="1">
      <c r="B278" s="123"/>
      <c r="C278" s="124"/>
      <c r="D278" s="125"/>
      <c r="E278" s="125"/>
      <c r="F278" s="116"/>
      <c r="G278" s="153" t="str">
        <f t="shared" si="21"/>
        <v/>
      </c>
      <c r="H278" s="152">
        <f t="shared" si="25"/>
        <v>26.2</v>
      </c>
      <c r="I278" s="153">
        <f t="shared" si="22"/>
        <v>0</v>
      </c>
      <c r="J278" s="153">
        <f t="shared" si="23"/>
        <v>0</v>
      </c>
      <c r="K278" s="153">
        <f t="shared" si="24"/>
        <v>0</v>
      </c>
    </row>
    <row r="279" spans="2:11" ht="20.100000000000001" customHeight="1">
      <c r="B279" s="123"/>
      <c r="C279" s="124"/>
      <c r="D279" s="125"/>
      <c r="E279" s="125"/>
      <c r="F279" s="116"/>
      <c r="G279" s="153" t="str">
        <f t="shared" si="21"/>
        <v/>
      </c>
      <c r="H279" s="152">
        <f t="shared" si="25"/>
        <v>26.2</v>
      </c>
      <c r="I279" s="153">
        <f t="shared" si="22"/>
        <v>0</v>
      </c>
      <c r="J279" s="153">
        <f t="shared" si="23"/>
        <v>0</v>
      </c>
      <c r="K279" s="153">
        <f t="shared" si="24"/>
        <v>0</v>
      </c>
    </row>
    <row r="280" spans="2:11" ht="20.100000000000001" customHeight="1">
      <c r="B280" s="123"/>
      <c r="C280" s="124"/>
      <c r="D280" s="125"/>
      <c r="E280" s="125"/>
      <c r="F280" s="116"/>
      <c r="G280" s="153" t="str">
        <f t="shared" si="21"/>
        <v/>
      </c>
      <c r="H280" s="152">
        <f t="shared" si="25"/>
        <v>26.2</v>
      </c>
      <c r="I280" s="153">
        <f t="shared" si="22"/>
        <v>0</v>
      </c>
      <c r="J280" s="153">
        <f t="shared" si="23"/>
        <v>0</v>
      </c>
      <c r="K280" s="153">
        <f t="shared" si="24"/>
        <v>0</v>
      </c>
    </row>
    <row r="281" spans="2:11" ht="20.100000000000001" customHeight="1">
      <c r="B281" s="123"/>
      <c r="C281" s="124"/>
      <c r="D281" s="125"/>
      <c r="E281" s="125"/>
      <c r="F281" s="116"/>
      <c r="G281" s="153" t="str">
        <f t="shared" si="21"/>
        <v/>
      </c>
      <c r="H281" s="152">
        <f t="shared" si="25"/>
        <v>26.2</v>
      </c>
      <c r="I281" s="153">
        <f t="shared" si="22"/>
        <v>0</v>
      </c>
      <c r="J281" s="153">
        <f t="shared" si="23"/>
        <v>0</v>
      </c>
      <c r="K281" s="153">
        <f t="shared" si="24"/>
        <v>0</v>
      </c>
    </row>
    <row r="282" spans="2:11" ht="20.100000000000001" customHeight="1">
      <c r="B282" s="123"/>
      <c r="C282" s="124"/>
      <c r="D282" s="125"/>
      <c r="E282" s="125"/>
      <c r="F282" s="116"/>
      <c r="G282" s="153" t="str">
        <f t="shared" si="21"/>
        <v/>
      </c>
      <c r="H282" s="152">
        <f t="shared" si="25"/>
        <v>26.2</v>
      </c>
      <c r="I282" s="153">
        <f t="shared" si="22"/>
        <v>0</v>
      </c>
      <c r="J282" s="153">
        <f t="shared" si="23"/>
        <v>0</v>
      </c>
      <c r="K282" s="153">
        <f t="shared" si="24"/>
        <v>0</v>
      </c>
    </row>
    <row r="283" spans="2:11" ht="20.100000000000001" customHeight="1">
      <c r="B283" s="123"/>
      <c r="C283" s="124"/>
      <c r="D283" s="125"/>
      <c r="E283" s="125"/>
      <c r="F283" s="116"/>
      <c r="G283" s="153" t="str">
        <f t="shared" si="21"/>
        <v/>
      </c>
      <c r="H283" s="152">
        <f t="shared" si="25"/>
        <v>26.2</v>
      </c>
      <c r="I283" s="153">
        <f t="shared" si="22"/>
        <v>0</v>
      </c>
      <c r="J283" s="153">
        <f t="shared" si="23"/>
        <v>0</v>
      </c>
      <c r="K283" s="153">
        <f t="shared" si="24"/>
        <v>0</v>
      </c>
    </row>
    <row r="284" spans="2:11" ht="20.100000000000001" customHeight="1">
      <c r="B284" s="123"/>
      <c r="C284" s="124"/>
      <c r="D284" s="125"/>
      <c r="E284" s="125"/>
      <c r="F284" s="116"/>
      <c r="G284" s="153" t="str">
        <f t="shared" si="21"/>
        <v/>
      </c>
      <c r="H284" s="152">
        <f t="shared" si="25"/>
        <v>26.2</v>
      </c>
      <c r="I284" s="153">
        <f t="shared" si="22"/>
        <v>0</v>
      </c>
      <c r="J284" s="153">
        <f t="shared" si="23"/>
        <v>0</v>
      </c>
      <c r="K284" s="153">
        <f t="shared" si="24"/>
        <v>0</v>
      </c>
    </row>
    <row r="285" spans="2:11" ht="20.100000000000001" customHeight="1">
      <c r="B285" s="123"/>
      <c r="C285" s="124"/>
      <c r="D285" s="125"/>
      <c r="E285" s="125"/>
      <c r="F285" s="116"/>
      <c r="G285" s="153" t="str">
        <f t="shared" si="21"/>
        <v/>
      </c>
      <c r="H285" s="152">
        <f t="shared" si="25"/>
        <v>26.2</v>
      </c>
      <c r="I285" s="153">
        <f t="shared" si="22"/>
        <v>0</v>
      </c>
      <c r="J285" s="153">
        <f t="shared" si="23"/>
        <v>0</v>
      </c>
      <c r="K285" s="153">
        <f t="shared" si="24"/>
        <v>0</v>
      </c>
    </row>
    <row r="286" spans="2:11" ht="20.100000000000001" customHeight="1">
      <c r="B286" s="123"/>
      <c r="C286" s="124"/>
      <c r="D286" s="125"/>
      <c r="E286" s="125"/>
      <c r="F286" s="116"/>
      <c r="G286" s="153" t="str">
        <f t="shared" si="21"/>
        <v/>
      </c>
      <c r="H286" s="152">
        <f t="shared" si="25"/>
        <v>26.2</v>
      </c>
      <c r="I286" s="153">
        <f t="shared" si="22"/>
        <v>0</v>
      </c>
      <c r="J286" s="153">
        <f t="shared" si="23"/>
        <v>0</v>
      </c>
      <c r="K286" s="153">
        <f t="shared" si="24"/>
        <v>0</v>
      </c>
    </row>
    <row r="287" spans="2:11" ht="20.100000000000001" customHeight="1">
      <c r="B287" s="123"/>
      <c r="C287" s="124"/>
      <c r="D287" s="125"/>
      <c r="E287" s="125"/>
      <c r="F287" s="116"/>
      <c r="G287" s="153" t="str">
        <f t="shared" si="21"/>
        <v/>
      </c>
      <c r="H287" s="152">
        <f t="shared" si="25"/>
        <v>26.2</v>
      </c>
      <c r="I287" s="153">
        <f t="shared" si="22"/>
        <v>0</v>
      </c>
      <c r="J287" s="153">
        <f t="shared" si="23"/>
        <v>0</v>
      </c>
      <c r="K287" s="153">
        <f t="shared" si="24"/>
        <v>0</v>
      </c>
    </row>
    <row r="288" spans="2:11" ht="20.100000000000001" customHeight="1">
      <c r="B288" s="123"/>
      <c r="C288" s="124"/>
      <c r="D288" s="125"/>
      <c r="E288" s="125"/>
      <c r="F288" s="116"/>
      <c r="G288" s="153" t="str">
        <f t="shared" si="21"/>
        <v/>
      </c>
      <c r="H288" s="152">
        <f t="shared" si="25"/>
        <v>26.2</v>
      </c>
      <c r="I288" s="153">
        <f t="shared" si="22"/>
        <v>0</v>
      </c>
      <c r="J288" s="153">
        <f t="shared" si="23"/>
        <v>0</v>
      </c>
      <c r="K288" s="153">
        <f t="shared" si="24"/>
        <v>0</v>
      </c>
    </row>
    <row r="289" spans="2:11" ht="20.100000000000001" customHeight="1">
      <c r="B289" s="123"/>
      <c r="C289" s="124"/>
      <c r="D289" s="125"/>
      <c r="E289" s="125"/>
      <c r="F289" s="116"/>
      <c r="G289" s="153" t="str">
        <f t="shared" si="21"/>
        <v/>
      </c>
      <c r="H289" s="152">
        <f t="shared" si="25"/>
        <v>26.2</v>
      </c>
      <c r="I289" s="153">
        <f t="shared" si="22"/>
        <v>0</v>
      </c>
      <c r="J289" s="153">
        <f t="shared" si="23"/>
        <v>0</v>
      </c>
      <c r="K289" s="153">
        <f t="shared" si="24"/>
        <v>0</v>
      </c>
    </row>
    <row r="290" spans="2:11" ht="20.100000000000001" customHeight="1">
      <c r="B290" s="123"/>
      <c r="C290" s="124"/>
      <c r="D290" s="125"/>
      <c r="E290" s="125"/>
      <c r="F290" s="116"/>
      <c r="G290" s="153" t="str">
        <f t="shared" si="21"/>
        <v/>
      </c>
      <c r="H290" s="152">
        <f t="shared" si="25"/>
        <v>26.2</v>
      </c>
      <c r="I290" s="153">
        <f t="shared" si="22"/>
        <v>0</v>
      </c>
      <c r="J290" s="153">
        <f t="shared" si="23"/>
        <v>0</v>
      </c>
      <c r="K290" s="153">
        <f t="shared" si="24"/>
        <v>0</v>
      </c>
    </row>
    <row r="291" spans="2:11" ht="20.100000000000001" customHeight="1">
      <c r="B291" s="123"/>
      <c r="C291" s="124"/>
      <c r="D291" s="125"/>
      <c r="E291" s="125"/>
      <c r="F291" s="116"/>
      <c r="G291" s="153" t="str">
        <f t="shared" si="21"/>
        <v/>
      </c>
      <c r="H291" s="152">
        <f t="shared" si="25"/>
        <v>26.2</v>
      </c>
      <c r="I291" s="153">
        <f t="shared" si="22"/>
        <v>0</v>
      </c>
      <c r="J291" s="153">
        <f t="shared" si="23"/>
        <v>0</v>
      </c>
      <c r="K291" s="153">
        <f t="shared" si="24"/>
        <v>0</v>
      </c>
    </row>
    <row r="292" spans="2:11" ht="20.100000000000001" customHeight="1">
      <c r="B292" s="123"/>
      <c r="C292" s="124"/>
      <c r="D292" s="125"/>
      <c r="E292" s="125"/>
      <c r="F292" s="116"/>
      <c r="G292" s="153" t="str">
        <f t="shared" si="21"/>
        <v/>
      </c>
      <c r="H292" s="152">
        <f t="shared" si="25"/>
        <v>26.2</v>
      </c>
      <c r="I292" s="153">
        <f t="shared" si="22"/>
        <v>0</v>
      </c>
      <c r="J292" s="153">
        <f t="shared" si="23"/>
        <v>0</v>
      </c>
      <c r="K292" s="153">
        <f t="shared" si="24"/>
        <v>0</v>
      </c>
    </row>
    <row r="293" spans="2:11" ht="20.100000000000001" customHeight="1">
      <c r="B293" s="123"/>
      <c r="C293" s="124"/>
      <c r="D293" s="125"/>
      <c r="E293" s="125"/>
      <c r="F293" s="116"/>
      <c r="G293" s="153" t="str">
        <f t="shared" si="21"/>
        <v/>
      </c>
      <c r="H293" s="152">
        <f t="shared" si="25"/>
        <v>26.2</v>
      </c>
      <c r="I293" s="153">
        <f t="shared" si="22"/>
        <v>0</v>
      </c>
      <c r="J293" s="153">
        <f t="shared" si="23"/>
        <v>0</v>
      </c>
      <c r="K293" s="153">
        <f t="shared" si="24"/>
        <v>0</v>
      </c>
    </row>
    <row r="294" spans="2:11" ht="20.100000000000001" customHeight="1" thickBot="1">
      <c r="B294" s="126"/>
      <c r="C294" s="127"/>
      <c r="D294" s="128"/>
      <c r="E294" s="128"/>
      <c r="F294" s="119"/>
      <c r="G294" s="153" t="str">
        <f t="shared" si="21"/>
        <v/>
      </c>
      <c r="H294" s="152">
        <f t="shared" si="25"/>
        <v>26.2</v>
      </c>
      <c r="I294" s="153">
        <f t="shared" si="22"/>
        <v>0</v>
      </c>
      <c r="J294" s="153">
        <f t="shared" si="23"/>
        <v>0</v>
      </c>
      <c r="K294" s="153">
        <f t="shared" si="24"/>
        <v>0</v>
      </c>
    </row>
    <row r="295" spans="2:11" ht="20.100000000000001" customHeight="1"/>
    <row r="296" spans="2:11" ht="20.100000000000001" customHeight="1">
      <c r="B296" s="316" t="s">
        <v>1228</v>
      </c>
      <c r="C296" s="316"/>
      <c r="D296" s="316"/>
      <c r="E296" s="316"/>
      <c r="F296" s="316"/>
      <c r="G296" s="316"/>
      <c r="H296" s="316"/>
      <c r="I296" s="316"/>
      <c r="J296" s="316"/>
      <c r="K296" s="316"/>
    </row>
    <row r="297" spans="2:11" ht="20.100000000000001" customHeight="1" thickBot="1"/>
    <row r="298" spans="2:11" ht="20.100000000000001" customHeight="1">
      <c r="B298" s="78" t="s">
        <v>471</v>
      </c>
      <c r="C298" s="154" t="s">
        <v>1229</v>
      </c>
      <c r="E298" s="78" t="s">
        <v>475</v>
      </c>
      <c r="F298" s="563"/>
      <c r="G298" s="564"/>
      <c r="H298" s="564"/>
      <c r="I298" s="565"/>
    </row>
    <row r="299" spans="2:11" ht="20.100000000000001" customHeight="1">
      <c r="B299" s="78" t="s">
        <v>477</v>
      </c>
      <c r="C299" s="154" t="str">
        <f>IF(C298="Electricity",VLOOKUP($C$12,'NGER Emission Factors old'!$A$23:$J$34,2,FALSE),IF(C298="GreenPower",VLOOKUP(C298,'NGER Emission Factors old'!$A$23:$J$35,2,FALSE),VLOOKUP(C298,'NGER Emission Factors old'!$A$5:$J$18,2,FALSE)))</f>
        <v>Scope 1</v>
      </c>
      <c r="E299" s="613" t="s">
        <v>479</v>
      </c>
      <c r="F299" s="622"/>
      <c r="G299" s="623"/>
      <c r="H299" s="623"/>
      <c r="I299" s="624"/>
    </row>
    <row r="300" spans="2:11" ht="20.100000000000001" customHeight="1" thickBot="1">
      <c r="B300" s="78" t="s">
        <v>483</v>
      </c>
      <c r="C300" s="197" t="b">
        <f>'15C Building Details'!C172</f>
        <v>0</v>
      </c>
      <c r="D300" s="317"/>
      <c r="E300" s="614"/>
      <c r="F300" s="566"/>
      <c r="G300" s="567"/>
      <c r="H300" s="567"/>
      <c r="I300" s="568"/>
    </row>
    <row r="301" spans="2:11" ht="20.100000000000001" customHeight="1">
      <c r="B301" s="78" t="s">
        <v>485</v>
      </c>
      <c r="C301" s="197" t="str">
        <f>'15C Building Details'!C173</f>
        <v>kL</v>
      </c>
    </row>
    <row r="302" spans="2:11" ht="20.100000000000001" customHeight="1">
      <c r="B302" s="78" t="s">
        <v>487</v>
      </c>
      <c r="C302" s="197">
        <f>'15C Building Details'!C174</f>
        <v>38.6</v>
      </c>
      <c r="E302" s="11" t="s">
        <v>489</v>
      </c>
    </row>
    <row r="303" spans="2:11" ht="20.100000000000001" customHeight="1">
      <c r="G303" s="14"/>
      <c r="J303" s="11"/>
    </row>
    <row r="304" spans="2:11" ht="20.100000000000001" customHeight="1"/>
    <row r="305" spans="2:11" ht="40.200000000000003" customHeight="1" thickBot="1">
      <c r="B305" s="78" t="s">
        <v>491</v>
      </c>
      <c r="C305" s="78" t="s">
        <v>493</v>
      </c>
      <c r="D305" s="78" t="s">
        <v>495</v>
      </c>
      <c r="E305" s="78" t="s">
        <v>497</v>
      </c>
      <c r="F305" s="78" t="str">
        <f>"Billed Quantity ("&amp;C301&amp;")"</f>
        <v>Billed Quantity (kL)</v>
      </c>
      <c r="G305" s="78" t="s">
        <v>501</v>
      </c>
      <c r="H305" s="78" t="s">
        <v>487</v>
      </c>
      <c r="I305" s="78" t="s">
        <v>1257</v>
      </c>
      <c r="J305" s="78" t="s">
        <v>1258</v>
      </c>
      <c r="K305" s="78" t="s">
        <v>1259</v>
      </c>
    </row>
    <row r="306" spans="2:11" ht="20.100000000000001" customHeight="1">
      <c r="B306" s="120"/>
      <c r="C306" s="121"/>
      <c r="D306" s="122"/>
      <c r="E306" s="122"/>
      <c r="F306" s="113"/>
      <c r="G306" s="153" t="str">
        <f t="shared" ref="G306:G341" si="26">IF(ISBLANK(D306),"",E306-D306+1)</f>
        <v/>
      </c>
      <c r="H306" s="152">
        <f>$C$302</f>
        <v>38.6</v>
      </c>
      <c r="I306" s="153">
        <f t="shared" ref="I306:I341" si="27">IF(F306&gt;0,F306*H306*IF(OR(D306&gt;$H$9,E306&lt;$H$8), 0, IF(D306&lt;$H$8,E306-$H$8,IF($H$9&lt;E306,E306-$H$9,G306)))/G306,0)</f>
        <v>0</v>
      </c>
      <c r="J306" s="153">
        <f t="shared" ref="J306:J341" si="28">IF(F306&gt;0,F306*H306*IF(OR(D306&gt;$I$9,E306&lt;$I$8), 0, IF(D306&lt;$I$8,E306-$I$8,IF($I$9&lt;E306,E306-$I$9,G306)))/G306,0)</f>
        <v>0</v>
      </c>
      <c r="K306" s="153">
        <f t="shared" ref="K306:K341" si="29">IF(F306&gt;0,F306*H306*IF(OR(D306&gt;$J$9,E306&lt;$J$8), 0, IF(D306&lt;$J$8,E306-$J$8,IF($J$9&lt;E306,E306-$J$9,G306)))/G306,0)</f>
        <v>0</v>
      </c>
    </row>
    <row r="307" spans="2:11" ht="20.100000000000001" customHeight="1">
      <c r="B307" s="123"/>
      <c r="C307" s="124"/>
      <c r="D307" s="125"/>
      <c r="E307" s="125"/>
      <c r="F307" s="116"/>
      <c r="G307" s="153" t="str">
        <f t="shared" si="26"/>
        <v/>
      </c>
      <c r="H307" s="152">
        <f t="shared" ref="H307:H341" si="30">$C$302</f>
        <v>38.6</v>
      </c>
      <c r="I307" s="153">
        <f t="shared" si="27"/>
        <v>0</v>
      </c>
      <c r="J307" s="153">
        <f t="shared" si="28"/>
        <v>0</v>
      </c>
      <c r="K307" s="153">
        <f t="shared" si="29"/>
        <v>0</v>
      </c>
    </row>
    <row r="308" spans="2:11" ht="20.100000000000001" customHeight="1">
      <c r="B308" s="123"/>
      <c r="C308" s="124"/>
      <c r="D308" s="125"/>
      <c r="E308" s="125"/>
      <c r="F308" s="116"/>
      <c r="G308" s="153" t="str">
        <f t="shared" si="26"/>
        <v/>
      </c>
      <c r="H308" s="152">
        <f t="shared" si="30"/>
        <v>38.6</v>
      </c>
      <c r="I308" s="153">
        <f t="shared" si="27"/>
        <v>0</v>
      </c>
      <c r="J308" s="153">
        <f t="shared" si="28"/>
        <v>0</v>
      </c>
      <c r="K308" s="153">
        <f t="shared" si="29"/>
        <v>0</v>
      </c>
    </row>
    <row r="309" spans="2:11" ht="20.100000000000001" customHeight="1">
      <c r="B309" s="123"/>
      <c r="C309" s="124"/>
      <c r="D309" s="125"/>
      <c r="E309" s="125"/>
      <c r="F309" s="116"/>
      <c r="G309" s="153" t="str">
        <f t="shared" si="26"/>
        <v/>
      </c>
      <c r="H309" s="152">
        <f t="shared" si="30"/>
        <v>38.6</v>
      </c>
      <c r="I309" s="153">
        <f t="shared" si="27"/>
        <v>0</v>
      </c>
      <c r="J309" s="153">
        <f t="shared" si="28"/>
        <v>0</v>
      </c>
      <c r="K309" s="153">
        <f t="shared" si="29"/>
        <v>0</v>
      </c>
    </row>
    <row r="310" spans="2:11" ht="20.100000000000001" customHeight="1">
      <c r="B310" s="123"/>
      <c r="C310" s="124"/>
      <c r="D310" s="125"/>
      <c r="E310" s="125"/>
      <c r="F310" s="116"/>
      <c r="G310" s="153" t="str">
        <f t="shared" si="26"/>
        <v/>
      </c>
      <c r="H310" s="152">
        <f t="shared" si="30"/>
        <v>38.6</v>
      </c>
      <c r="I310" s="153">
        <f t="shared" si="27"/>
        <v>0</v>
      </c>
      <c r="J310" s="153">
        <f t="shared" si="28"/>
        <v>0</v>
      </c>
      <c r="K310" s="153">
        <f t="shared" si="29"/>
        <v>0</v>
      </c>
    </row>
    <row r="311" spans="2:11" ht="20.100000000000001" customHeight="1">
      <c r="B311" s="123"/>
      <c r="C311" s="124"/>
      <c r="D311" s="125"/>
      <c r="E311" s="125"/>
      <c r="F311" s="116"/>
      <c r="G311" s="153" t="str">
        <f t="shared" si="26"/>
        <v/>
      </c>
      <c r="H311" s="152">
        <f t="shared" si="30"/>
        <v>38.6</v>
      </c>
      <c r="I311" s="153">
        <f t="shared" si="27"/>
        <v>0</v>
      </c>
      <c r="J311" s="153">
        <f t="shared" si="28"/>
        <v>0</v>
      </c>
      <c r="K311" s="153">
        <f t="shared" si="29"/>
        <v>0</v>
      </c>
    </row>
    <row r="312" spans="2:11" ht="20.100000000000001" customHeight="1">
      <c r="B312" s="123"/>
      <c r="C312" s="124"/>
      <c r="D312" s="125"/>
      <c r="E312" s="125"/>
      <c r="F312" s="116"/>
      <c r="G312" s="153" t="str">
        <f t="shared" si="26"/>
        <v/>
      </c>
      <c r="H312" s="152">
        <f t="shared" si="30"/>
        <v>38.6</v>
      </c>
      <c r="I312" s="153">
        <f t="shared" si="27"/>
        <v>0</v>
      </c>
      <c r="J312" s="153">
        <f t="shared" si="28"/>
        <v>0</v>
      </c>
      <c r="K312" s="153">
        <f t="shared" si="29"/>
        <v>0</v>
      </c>
    </row>
    <row r="313" spans="2:11" ht="20.100000000000001" customHeight="1">
      <c r="B313" s="123"/>
      <c r="C313" s="124"/>
      <c r="D313" s="125"/>
      <c r="E313" s="125"/>
      <c r="F313" s="116"/>
      <c r="G313" s="153" t="str">
        <f t="shared" si="26"/>
        <v/>
      </c>
      <c r="H313" s="152">
        <f t="shared" si="30"/>
        <v>38.6</v>
      </c>
      <c r="I313" s="153">
        <f t="shared" si="27"/>
        <v>0</v>
      </c>
      <c r="J313" s="153">
        <f t="shared" si="28"/>
        <v>0</v>
      </c>
      <c r="K313" s="153">
        <f t="shared" si="29"/>
        <v>0</v>
      </c>
    </row>
    <row r="314" spans="2:11" ht="20.100000000000001" customHeight="1">
      <c r="B314" s="123"/>
      <c r="C314" s="124"/>
      <c r="D314" s="125"/>
      <c r="E314" s="125"/>
      <c r="F314" s="116"/>
      <c r="G314" s="153" t="str">
        <f t="shared" si="26"/>
        <v/>
      </c>
      <c r="H314" s="152">
        <f t="shared" si="30"/>
        <v>38.6</v>
      </c>
      <c r="I314" s="153">
        <f t="shared" si="27"/>
        <v>0</v>
      </c>
      <c r="J314" s="153">
        <f t="shared" si="28"/>
        <v>0</v>
      </c>
      <c r="K314" s="153">
        <f t="shared" si="29"/>
        <v>0</v>
      </c>
    </row>
    <row r="315" spans="2:11" ht="20.100000000000001" customHeight="1">
      <c r="B315" s="123"/>
      <c r="C315" s="124"/>
      <c r="D315" s="125"/>
      <c r="E315" s="125"/>
      <c r="F315" s="116"/>
      <c r="G315" s="153" t="str">
        <f t="shared" si="26"/>
        <v/>
      </c>
      <c r="H315" s="152">
        <f t="shared" si="30"/>
        <v>38.6</v>
      </c>
      <c r="I315" s="153">
        <f t="shared" si="27"/>
        <v>0</v>
      </c>
      <c r="J315" s="153">
        <f t="shared" si="28"/>
        <v>0</v>
      </c>
      <c r="K315" s="153">
        <f t="shared" si="29"/>
        <v>0</v>
      </c>
    </row>
    <row r="316" spans="2:11" ht="20.100000000000001" customHeight="1">
      <c r="B316" s="123"/>
      <c r="C316" s="124"/>
      <c r="D316" s="125"/>
      <c r="E316" s="125"/>
      <c r="F316" s="116"/>
      <c r="G316" s="153" t="str">
        <f t="shared" si="26"/>
        <v/>
      </c>
      <c r="H316" s="152">
        <f t="shared" si="30"/>
        <v>38.6</v>
      </c>
      <c r="I316" s="153">
        <f t="shared" si="27"/>
        <v>0</v>
      </c>
      <c r="J316" s="153">
        <f t="shared" si="28"/>
        <v>0</v>
      </c>
      <c r="K316" s="153">
        <f t="shared" si="29"/>
        <v>0</v>
      </c>
    </row>
    <row r="317" spans="2:11" ht="20.100000000000001" customHeight="1">
      <c r="B317" s="123"/>
      <c r="C317" s="124"/>
      <c r="D317" s="125"/>
      <c r="E317" s="125"/>
      <c r="F317" s="116"/>
      <c r="G317" s="153" t="str">
        <f t="shared" si="26"/>
        <v/>
      </c>
      <c r="H317" s="152">
        <f t="shared" si="30"/>
        <v>38.6</v>
      </c>
      <c r="I317" s="153">
        <f t="shared" si="27"/>
        <v>0</v>
      </c>
      <c r="J317" s="153">
        <f t="shared" si="28"/>
        <v>0</v>
      </c>
      <c r="K317" s="153">
        <f t="shared" si="29"/>
        <v>0</v>
      </c>
    </row>
    <row r="318" spans="2:11" ht="20.100000000000001" customHeight="1">
      <c r="B318" s="123"/>
      <c r="C318" s="124"/>
      <c r="D318" s="125"/>
      <c r="E318" s="125"/>
      <c r="F318" s="116"/>
      <c r="G318" s="153" t="str">
        <f t="shared" si="26"/>
        <v/>
      </c>
      <c r="H318" s="152">
        <f t="shared" si="30"/>
        <v>38.6</v>
      </c>
      <c r="I318" s="153">
        <f t="shared" si="27"/>
        <v>0</v>
      </c>
      <c r="J318" s="153">
        <f t="shared" si="28"/>
        <v>0</v>
      </c>
      <c r="K318" s="153">
        <f t="shared" si="29"/>
        <v>0</v>
      </c>
    </row>
    <row r="319" spans="2:11" ht="20.100000000000001" customHeight="1">
      <c r="B319" s="123"/>
      <c r="C319" s="124"/>
      <c r="D319" s="125"/>
      <c r="E319" s="125"/>
      <c r="F319" s="116"/>
      <c r="G319" s="153" t="str">
        <f t="shared" si="26"/>
        <v/>
      </c>
      <c r="H319" s="152">
        <f t="shared" si="30"/>
        <v>38.6</v>
      </c>
      <c r="I319" s="153">
        <f t="shared" si="27"/>
        <v>0</v>
      </c>
      <c r="J319" s="153">
        <f t="shared" si="28"/>
        <v>0</v>
      </c>
      <c r="K319" s="153">
        <f t="shared" si="29"/>
        <v>0</v>
      </c>
    </row>
    <row r="320" spans="2:11" ht="20.100000000000001" customHeight="1">
      <c r="B320" s="123"/>
      <c r="C320" s="124"/>
      <c r="D320" s="125"/>
      <c r="E320" s="125"/>
      <c r="F320" s="116"/>
      <c r="G320" s="153" t="str">
        <f t="shared" si="26"/>
        <v/>
      </c>
      <c r="H320" s="152">
        <f t="shared" si="30"/>
        <v>38.6</v>
      </c>
      <c r="I320" s="153">
        <f t="shared" si="27"/>
        <v>0</v>
      </c>
      <c r="J320" s="153">
        <f t="shared" si="28"/>
        <v>0</v>
      </c>
      <c r="K320" s="153">
        <f t="shared" si="29"/>
        <v>0</v>
      </c>
    </row>
    <row r="321" spans="2:11" ht="20.100000000000001" customHeight="1">
      <c r="B321" s="123"/>
      <c r="C321" s="124"/>
      <c r="D321" s="125"/>
      <c r="E321" s="125"/>
      <c r="F321" s="116"/>
      <c r="G321" s="153" t="str">
        <f t="shared" si="26"/>
        <v/>
      </c>
      <c r="H321" s="152">
        <f t="shared" si="30"/>
        <v>38.6</v>
      </c>
      <c r="I321" s="153">
        <f t="shared" si="27"/>
        <v>0</v>
      </c>
      <c r="J321" s="153">
        <f t="shared" si="28"/>
        <v>0</v>
      </c>
      <c r="K321" s="153">
        <f t="shared" si="29"/>
        <v>0</v>
      </c>
    </row>
    <row r="322" spans="2:11" ht="20.100000000000001" customHeight="1">
      <c r="B322" s="123"/>
      <c r="C322" s="124"/>
      <c r="D322" s="125"/>
      <c r="E322" s="125"/>
      <c r="F322" s="116"/>
      <c r="G322" s="153" t="str">
        <f t="shared" si="26"/>
        <v/>
      </c>
      <c r="H322" s="152">
        <f t="shared" si="30"/>
        <v>38.6</v>
      </c>
      <c r="I322" s="153">
        <f t="shared" si="27"/>
        <v>0</v>
      </c>
      <c r="J322" s="153">
        <f t="shared" si="28"/>
        <v>0</v>
      </c>
      <c r="K322" s="153">
        <f t="shared" si="29"/>
        <v>0</v>
      </c>
    </row>
    <row r="323" spans="2:11" ht="20.100000000000001" customHeight="1">
      <c r="B323" s="123"/>
      <c r="C323" s="124"/>
      <c r="D323" s="125"/>
      <c r="E323" s="125"/>
      <c r="F323" s="116"/>
      <c r="G323" s="153" t="str">
        <f t="shared" si="26"/>
        <v/>
      </c>
      <c r="H323" s="152">
        <f t="shared" si="30"/>
        <v>38.6</v>
      </c>
      <c r="I323" s="153">
        <f t="shared" si="27"/>
        <v>0</v>
      </c>
      <c r="J323" s="153">
        <f t="shared" si="28"/>
        <v>0</v>
      </c>
      <c r="K323" s="153">
        <f t="shared" si="29"/>
        <v>0</v>
      </c>
    </row>
    <row r="324" spans="2:11" ht="20.100000000000001" customHeight="1">
      <c r="B324" s="123"/>
      <c r="C324" s="124"/>
      <c r="D324" s="125"/>
      <c r="E324" s="125"/>
      <c r="F324" s="116"/>
      <c r="G324" s="153" t="str">
        <f t="shared" si="26"/>
        <v/>
      </c>
      <c r="H324" s="152">
        <f t="shared" si="30"/>
        <v>38.6</v>
      </c>
      <c r="I324" s="153">
        <f t="shared" si="27"/>
        <v>0</v>
      </c>
      <c r="J324" s="153">
        <f t="shared" si="28"/>
        <v>0</v>
      </c>
      <c r="K324" s="153">
        <f t="shared" si="29"/>
        <v>0</v>
      </c>
    </row>
    <row r="325" spans="2:11" ht="20.100000000000001" customHeight="1">
      <c r="B325" s="123"/>
      <c r="C325" s="124"/>
      <c r="D325" s="125"/>
      <c r="E325" s="125"/>
      <c r="F325" s="116"/>
      <c r="G325" s="153" t="str">
        <f t="shared" si="26"/>
        <v/>
      </c>
      <c r="H325" s="152">
        <f t="shared" si="30"/>
        <v>38.6</v>
      </c>
      <c r="I325" s="153">
        <f t="shared" si="27"/>
        <v>0</v>
      </c>
      <c r="J325" s="153">
        <f t="shared" si="28"/>
        <v>0</v>
      </c>
      <c r="K325" s="153">
        <f t="shared" si="29"/>
        <v>0</v>
      </c>
    </row>
    <row r="326" spans="2:11" ht="20.100000000000001" customHeight="1">
      <c r="B326" s="123"/>
      <c r="C326" s="124"/>
      <c r="D326" s="125"/>
      <c r="E326" s="125"/>
      <c r="F326" s="116"/>
      <c r="G326" s="153" t="str">
        <f t="shared" si="26"/>
        <v/>
      </c>
      <c r="H326" s="152">
        <f t="shared" si="30"/>
        <v>38.6</v>
      </c>
      <c r="I326" s="153">
        <f t="shared" si="27"/>
        <v>0</v>
      </c>
      <c r="J326" s="153">
        <f t="shared" si="28"/>
        <v>0</v>
      </c>
      <c r="K326" s="153">
        <f t="shared" si="29"/>
        <v>0</v>
      </c>
    </row>
    <row r="327" spans="2:11" ht="20.100000000000001" customHeight="1">
      <c r="B327" s="123"/>
      <c r="C327" s="124"/>
      <c r="D327" s="125"/>
      <c r="E327" s="125"/>
      <c r="F327" s="116"/>
      <c r="G327" s="153" t="str">
        <f t="shared" si="26"/>
        <v/>
      </c>
      <c r="H327" s="152">
        <f t="shared" si="30"/>
        <v>38.6</v>
      </c>
      <c r="I327" s="153">
        <f t="shared" si="27"/>
        <v>0</v>
      </c>
      <c r="J327" s="153">
        <f t="shared" si="28"/>
        <v>0</v>
      </c>
      <c r="K327" s="153">
        <f t="shared" si="29"/>
        <v>0</v>
      </c>
    </row>
    <row r="328" spans="2:11" ht="20.100000000000001" customHeight="1">
      <c r="B328" s="123"/>
      <c r="C328" s="124"/>
      <c r="D328" s="125"/>
      <c r="E328" s="125"/>
      <c r="F328" s="116"/>
      <c r="G328" s="153" t="str">
        <f t="shared" si="26"/>
        <v/>
      </c>
      <c r="H328" s="152">
        <f t="shared" si="30"/>
        <v>38.6</v>
      </c>
      <c r="I328" s="153">
        <f t="shared" si="27"/>
        <v>0</v>
      </c>
      <c r="J328" s="153">
        <f t="shared" si="28"/>
        <v>0</v>
      </c>
      <c r="K328" s="153">
        <f t="shared" si="29"/>
        <v>0</v>
      </c>
    </row>
    <row r="329" spans="2:11" ht="20.100000000000001" customHeight="1">
      <c r="B329" s="123"/>
      <c r="C329" s="124"/>
      <c r="D329" s="125"/>
      <c r="E329" s="125"/>
      <c r="F329" s="116"/>
      <c r="G329" s="153" t="str">
        <f t="shared" si="26"/>
        <v/>
      </c>
      <c r="H329" s="152">
        <f t="shared" si="30"/>
        <v>38.6</v>
      </c>
      <c r="I329" s="153">
        <f t="shared" si="27"/>
        <v>0</v>
      </c>
      <c r="J329" s="153">
        <f t="shared" si="28"/>
        <v>0</v>
      </c>
      <c r="K329" s="153">
        <f t="shared" si="29"/>
        <v>0</v>
      </c>
    </row>
    <row r="330" spans="2:11" ht="20.100000000000001" customHeight="1">
      <c r="B330" s="123"/>
      <c r="C330" s="124"/>
      <c r="D330" s="125"/>
      <c r="E330" s="125"/>
      <c r="F330" s="116"/>
      <c r="G330" s="153" t="str">
        <f t="shared" si="26"/>
        <v/>
      </c>
      <c r="H330" s="152">
        <f t="shared" si="30"/>
        <v>38.6</v>
      </c>
      <c r="I330" s="153">
        <f t="shared" si="27"/>
        <v>0</v>
      </c>
      <c r="J330" s="153">
        <f t="shared" si="28"/>
        <v>0</v>
      </c>
      <c r="K330" s="153">
        <f t="shared" si="29"/>
        <v>0</v>
      </c>
    </row>
    <row r="331" spans="2:11" ht="20.100000000000001" customHeight="1">
      <c r="B331" s="123"/>
      <c r="C331" s="124"/>
      <c r="D331" s="125"/>
      <c r="E331" s="125"/>
      <c r="F331" s="116"/>
      <c r="G331" s="153" t="str">
        <f t="shared" si="26"/>
        <v/>
      </c>
      <c r="H331" s="152">
        <f t="shared" si="30"/>
        <v>38.6</v>
      </c>
      <c r="I331" s="153">
        <f t="shared" si="27"/>
        <v>0</v>
      </c>
      <c r="J331" s="153">
        <f t="shared" si="28"/>
        <v>0</v>
      </c>
      <c r="K331" s="153">
        <f t="shared" si="29"/>
        <v>0</v>
      </c>
    </row>
    <row r="332" spans="2:11" ht="20.100000000000001" customHeight="1">
      <c r="B332" s="123"/>
      <c r="C332" s="124"/>
      <c r="D332" s="125"/>
      <c r="E332" s="125"/>
      <c r="F332" s="116"/>
      <c r="G332" s="153" t="str">
        <f t="shared" si="26"/>
        <v/>
      </c>
      <c r="H332" s="152">
        <f t="shared" si="30"/>
        <v>38.6</v>
      </c>
      <c r="I332" s="153">
        <f t="shared" si="27"/>
        <v>0</v>
      </c>
      <c r="J332" s="153">
        <f t="shared" si="28"/>
        <v>0</v>
      </c>
      <c r="K332" s="153">
        <f t="shared" si="29"/>
        <v>0</v>
      </c>
    </row>
    <row r="333" spans="2:11" ht="20.100000000000001" customHeight="1">
      <c r="B333" s="123"/>
      <c r="C333" s="124"/>
      <c r="D333" s="125"/>
      <c r="E333" s="125"/>
      <c r="F333" s="116"/>
      <c r="G333" s="153" t="str">
        <f t="shared" si="26"/>
        <v/>
      </c>
      <c r="H333" s="152">
        <f t="shared" si="30"/>
        <v>38.6</v>
      </c>
      <c r="I333" s="153">
        <f t="shared" si="27"/>
        <v>0</v>
      </c>
      <c r="J333" s="153">
        <f t="shared" si="28"/>
        <v>0</v>
      </c>
      <c r="K333" s="153">
        <f t="shared" si="29"/>
        <v>0</v>
      </c>
    </row>
    <row r="334" spans="2:11" ht="20.100000000000001" customHeight="1">
      <c r="B334" s="123"/>
      <c r="C334" s="124"/>
      <c r="D334" s="125"/>
      <c r="E334" s="125"/>
      <c r="F334" s="116"/>
      <c r="G334" s="153" t="str">
        <f t="shared" si="26"/>
        <v/>
      </c>
      <c r="H334" s="152">
        <f t="shared" si="30"/>
        <v>38.6</v>
      </c>
      <c r="I334" s="153">
        <f t="shared" si="27"/>
        <v>0</v>
      </c>
      <c r="J334" s="153">
        <f t="shared" si="28"/>
        <v>0</v>
      </c>
      <c r="K334" s="153">
        <f t="shared" si="29"/>
        <v>0</v>
      </c>
    </row>
    <row r="335" spans="2:11" ht="20.100000000000001" customHeight="1">
      <c r="B335" s="123"/>
      <c r="C335" s="124"/>
      <c r="D335" s="125"/>
      <c r="E335" s="125"/>
      <c r="F335" s="116"/>
      <c r="G335" s="153" t="str">
        <f t="shared" si="26"/>
        <v/>
      </c>
      <c r="H335" s="152">
        <f t="shared" si="30"/>
        <v>38.6</v>
      </c>
      <c r="I335" s="153">
        <f t="shared" si="27"/>
        <v>0</v>
      </c>
      <c r="J335" s="153">
        <f t="shared" si="28"/>
        <v>0</v>
      </c>
      <c r="K335" s="153">
        <f t="shared" si="29"/>
        <v>0</v>
      </c>
    </row>
    <row r="336" spans="2:11" ht="20.100000000000001" customHeight="1">
      <c r="B336" s="123"/>
      <c r="C336" s="124"/>
      <c r="D336" s="125"/>
      <c r="E336" s="125"/>
      <c r="F336" s="116"/>
      <c r="G336" s="153" t="str">
        <f t="shared" si="26"/>
        <v/>
      </c>
      <c r="H336" s="152">
        <f t="shared" si="30"/>
        <v>38.6</v>
      </c>
      <c r="I336" s="153">
        <f t="shared" si="27"/>
        <v>0</v>
      </c>
      <c r="J336" s="153">
        <f t="shared" si="28"/>
        <v>0</v>
      </c>
      <c r="K336" s="153">
        <f t="shared" si="29"/>
        <v>0</v>
      </c>
    </row>
    <row r="337" spans="2:11" ht="20.100000000000001" customHeight="1">
      <c r="B337" s="123"/>
      <c r="C337" s="124"/>
      <c r="D337" s="125"/>
      <c r="E337" s="125"/>
      <c r="F337" s="116"/>
      <c r="G337" s="153" t="str">
        <f t="shared" si="26"/>
        <v/>
      </c>
      <c r="H337" s="152">
        <f t="shared" si="30"/>
        <v>38.6</v>
      </c>
      <c r="I337" s="153">
        <f t="shared" si="27"/>
        <v>0</v>
      </c>
      <c r="J337" s="153">
        <f t="shared" si="28"/>
        <v>0</v>
      </c>
      <c r="K337" s="153">
        <f t="shared" si="29"/>
        <v>0</v>
      </c>
    </row>
    <row r="338" spans="2:11" ht="20.100000000000001" customHeight="1">
      <c r="B338" s="123"/>
      <c r="C338" s="124"/>
      <c r="D338" s="125"/>
      <c r="E338" s="125"/>
      <c r="F338" s="116"/>
      <c r="G338" s="153" t="str">
        <f t="shared" si="26"/>
        <v/>
      </c>
      <c r="H338" s="152">
        <f t="shared" si="30"/>
        <v>38.6</v>
      </c>
      <c r="I338" s="153">
        <f t="shared" si="27"/>
        <v>0</v>
      </c>
      <c r="J338" s="153">
        <f t="shared" si="28"/>
        <v>0</v>
      </c>
      <c r="K338" s="153">
        <f t="shared" si="29"/>
        <v>0</v>
      </c>
    </row>
    <row r="339" spans="2:11" ht="20.100000000000001" customHeight="1">
      <c r="B339" s="123"/>
      <c r="C339" s="124"/>
      <c r="D339" s="125"/>
      <c r="E339" s="125"/>
      <c r="F339" s="116"/>
      <c r="G339" s="153" t="str">
        <f t="shared" si="26"/>
        <v/>
      </c>
      <c r="H339" s="152">
        <f t="shared" si="30"/>
        <v>38.6</v>
      </c>
      <c r="I339" s="153">
        <f t="shared" si="27"/>
        <v>0</v>
      </c>
      <c r="J339" s="153">
        <f t="shared" si="28"/>
        <v>0</v>
      </c>
      <c r="K339" s="153">
        <f t="shared" si="29"/>
        <v>0</v>
      </c>
    </row>
    <row r="340" spans="2:11" ht="20.100000000000001" customHeight="1">
      <c r="B340" s="123"/>
      <c r="C340" s="124"/>
      <c r="D340" s="125"/>
      <c r="E340" s="125"/>
      <c r="F340" s="116"/>
      <c r="G340" s="153" t="str">
        <f t="shared" si="26"/>
        <v/>
      </c>
      <c r="H340" s="152">
        <f t="shared" si="30"/>
        <v>38.6</v>
      </c>
      <c r="I340" s="153">
        <f t="shared" si="27"/>
        <v>0</v>
      </c>
      <c r="J340" s="153">
        <f t="shared" si="28"/>
        <v>0</v>
      </c>
      <c r="K340" s="153">
        <f t="shared" si="29"/>
        <v>0</v>
      </c>
    </row>
    <row r="341" spans="2:11" ht="20.100000000000001" customHeight="1" thickBot="1">
      <c r="B341" s="126"/>
      <c r="C341" s="127"/>
      <c r="D341" s="128"/>
      <c r="E341" s="128"/>
      <c r="F341" s="119"/>
      <c r="G341" s="153" t="str">
        <f t="shared" si="26"/>
        <v/>
      </c>
      <c r="H341" s="152">
        <f t="shared" si="30"/>
        <v>38.6</v>
      </c>
      <c r="I341" s="153">
        <f t="shared" si="27"/>
        <v>0</v>
      </c>
      <c r="J341" s="153">
        <f t="shared" si="28"/>
        <v>0</v>
      </c>
      <c r="K341" s="153">
        <f t="shared" si="29"/>
        <v>0</v>
      </c>
    </row>
    <row r="342" spans="2:11" ht="20.100000000000001" customHeight="1"/>
    <row r="343" spans="2:11" ht="20.100000000000001" customHeight="1">
      <c r="B343" s="316" t="s">
        <v>1230</v>
      </c>
      <c r="C343" s="316"/>
      <c r="D343" s="316"/>
      <c r="E343" s="316"/>
      <c r="F343" s="316"/>
      <c r="G343" s="316"/>
      <c r="H343" s="316"/>
      <c r="I343" s="316"/>
      <c r="J343" s="316"/>
      <c r="K343" s="316"/>
    </row>
    <row r="344" spans="2:11" ht="20.100000000000001" customHeight="1" thickBot="1"/>
    <row r="345" spans="2:11" ht="20.100000000000001" customHeight="1">
      <c r="B345" s="78" t="s">
        <v>471</v>
      </c>
      <c r="C345" s="154" t="s">
        <v>1261</v>
      </c>
      <c r="E345" s="78" t="s">
        <v>475</v>
      </c>
      <c r="F345" s="563"/>
      <c r="G345" s="564"/>
      <c r="H345" s="564"/>
      <c r="I345" s="565"/>
    </row>
    <row r="346" spans="2:11" ht="20.100000000000001" customHeight="1">
      <c r="B346" s="78" t="s">
        <v>477</v>
      </c>
      <c r="C346" s="154" t="str">
        <f>IF(C345="Electricity",VLOOKUP($C$12,'NGER Emission Factors old'!$A$23:$J$34,2,FALSE),IF(C345="GreenPower",VLOOKUP(C345,'NGER Emission Factors old'!$A$23:$J$35,2,FALSE),VLOOKUP(C345,'NGER Emission Factors old'!$A$5:$J$18,2,FALSE)))</f>
        <v>Scope 1</v>
      </c>
      <c r="E346" s="613" t="s">
        <v>479</v>
      </c>
      <c r="F346" s="622"/>
      <c r="G346" s="623"/>
      <c r="H346" s="623"/>
      <c r="I346" s="624"/>
    </row>
    <row r="347" spans="2:11" ht="20.100000000000001" customHeight="1" thickBot="1">
      <c r="B347" s="78" t="s">
        <v>483</v>
      </c>
      <c r="C347" s="197" t="b">
        <f>'15C Building Details'!C195</f>
        <v>0</v>
      </c>
      <c r="D347" s="317"/>
      <c r="E347" s="614"/>
      <c r="F347" s="566"/>
      <c r="G347" s="567"/>
      <c r="H347" s="567"/>
      <c r="I347" s="568"/>
    </row>
    <row r="348" spans="2:11" ht="20.100000000000001" customHeight="1">
      <c r="B348" s="78" t="s">
        <v>485</v>
      </c>
      <c r="C348" s="197" t="str">
        <f>'15C Building Details'!C196</f>
        <v>Tonnes</v>
      </c>
    </row>
    <row r="349" spans="2:11" ht="20.100000000000001" customHeight="1">
      <c r="B349" s="78" t="s">
        <v>487</v>
      </c>
      <c r="C349" s="197">
        <f>'15C Building Details'!C197</f>
        <v>27</v>
      </c>
      <c r="E349" s="11" t="s">
        <v>489</v>
      </c>
    </row>
    <row r="350" spans="2:11" ht="20.100000000000001" customHeight="1">
      <c r="G350" s="14"/>
      <c r="J350" s="11"/>
    </row>
    <row r="351" spans="2:11" ht="20.100000000000001" customHeight="1"/>
    <row r="352" spans="2:11" ht="40.200000000000003" customHeight="1" thickBot="1">
      <c r="B352" s="78" t="s">
        <v>491</v>
      </c>
      <c r="C352" s="78" t="s">
        <v>493</v>
      </c>
      <c r="D352" s="78" t="s">
        <v>495</v>
      </c>
      <c r="E352" s="78" t="s">
        <v>497</v>
      </c>
      <c r="F352" s="78" t="str">
        <f>"Billed Quantity ("&amp;C348&amp;")"</f>
        <v>Billed Quantity (Tonnes)</v>
      </c>
      <c r="G352" s="78" t="s">
        <v>501</v>
      </c>
      <c r="H352" s="78" t="s">
        <v>487</v>
      </c>
      <c r="I352" s="78" t="s">
        <v>1257</v>
      </c>
      <c r="J352" s="78" t="s">
        <v>1258</v>
      </c>
      <c r="K352" s="78" t="s">
        <v>1259</v>
      </c>
    </row>
    <row r="353" spans="2:11" ht="20.100000000000001" customHeight="1">
      <c r="B353" s="120"/>
      <c r="C353" s="121"/>
      <c r="D353" s="122"/>
      <c r="E353" s="122"/>
      <c r="F353" s="113"/>
      <c r="G353" s="153" t="str">
        <f t="shared" ref="G353:G388" si="31">IF(ISBLANK(D353),"",E353-D353+1)</f>
        <v/>
      </c>
      <c r="H353" s="152">
        <f>$C$349</f>
        <v>27</v>
      </c>
      <c r="I353" s="153">
        <f t="shared" ref="I353:I388" si="32">IF(F353&gt;0,F353*H353*IF(OR(D353&gt;$H$9,E353&lt;$H$8), 0, IF(D353&lt;$H$8,E353-$H$8,IF($H$9&lt;E353,E353-$H$9,G353)))/G353,0)</f>
        <v>0</v>
      </c>
      <c r="J353" s="153">
        <f t="shared" ref="J353:J388" si="33">IF(F353&gt;0,F353*H353*IF(OR(D353&gt;$I$9,E353&lt;$I$8), 0, IF(D353&lt;$I$8,E353-$I$8,IF($I$9&lt;E353,E353-$I$9,G353)))/G353,0)</f>
        <v>0</v>
      </c>
      <c r="K353" s="153">
        <f t="shared" ref="K353:K388" si="34">IF(F353&gt;0,F353*H353*IF(OR(D353&gt;$J$9,E353&lt;$J$8), 0, IF(D353&lt;$J$8,E353-$J$8,IF($J$9&lt;E353,E353-$J$9,G353)))/G353,0)</f>
        <v>0</v>
      </c>
    </row>
    <row r="354" spans="2:11" ht="20.100000000000001" customHeight="1">
      <c r="B354" s="123"/>
      <c r="C354" s="124"/>
      <c r="D354" s="125"/>
      <c r="E354" s="125"/>
      <c r="F354" s="116"/>
      <c r="G354" s="153" t="str">
        <f t="shared" si="31"/>
        <v/>
      </c>
      <c r="H354" s="152">
        <f t="shared" ref="H354:H388" si="35">$C$349</f>
        <v>27</v>
      </c>
      <c r="I354" s="153">
        <f t="shared" si="32"/>
        <v>0</v>
      </c>
      <c r="J354" s="153">
        <f t="shared" si="33"/>
        <v>0</v>
      </c>
      <c r="K354" s="153">
        <f t="shared" si="34"/>
        <v>0</v>
      </c>
    </row>
    <row r="355" spans="2:11" ht="20.100000000000001" customHeight="1">
      <c r="B355" s="123"/>
      <c r="C355" s="124"/>
      <c r="D355" s="125"/>
      <c r="E355" s="125"/>
      <c r="F355" s="116"/>
      <c r="G355" s="153" t="str">
        <f t="shared" si="31"/>
        <v/>
      </c>
      <c r="H355" s="152">
        <f t="shared" si="35"/>
        <v>27</v>
      </c>
      <c r="I355" s="153">
        <f t="shared" si="32"/>
        <v>0</v>
      </c>
      <c r="J355" s="153">
        <f t="shared" si="33"/>
        <v>0</v>
      </c>
      <c r="K355" s="153">
        <f t="shared" si="34"/>
        <v>0</v>
      </c>
    </row>
    <row r="356" spans="2:11" ht="20.100000000000001" customHeight="1">
      <c r="B356" s="123"/>
      <c r="C356" s="124"/>
      <c r="D356" s="125"/>
      <c r="E356" s="125"/>
      <c r="F356" s="116"/>
      <c r="G356" s="153" t="str">
        <f t="shared" si="31"/>
        <v/>
      </c>
      <c r="H356" s="152">
        <f t="shared" si="35"/>
        <v>27</v>
      </c>
      <c r="I356" s="153">
        <f t="shared" si="32"/>
        <v>0</v>
      </c>
      <c r="J356" s="153">
        <f t="shared" si="33"/>
        <v>0</v>
      </c>
      <c r="K356" s="153">
        <f t="shared" si="34"/>
        <v>0</v>
      </c>
    </row>
    <row r="357" spans="2:11" ht="20.100000000000001" customHeight="1">
      <c r="B357" s="123"/>
      <c r="C357" s="124"/>
      <c r="D357" s="125"/>
      <c r="E357" s="125"/>
      <c r="F357" s="116"/>
      <c r="G357" s="153" t="str">
        <f t="shared" si="31"/>
        <v/>
      </c>
      <c r="H357" s="152">
        <f t="shared" si="35"/>
        <v>27</v>
      </c>
      <c r="I357" s="153">
        <f t="shared" si="32"/>
        <v>0</v>
      </c>
      <c r="J357" s="153">
        <f t="shared" si="33"/>
        <v>0</v>
      </c>
      <c r="K357" s="153">
        <f t="shared" si="34"/>
        <v>0</v>
      </c>
    </row>
    <row r="358" spans="2:11" ht="20.100000000000001" customHeight="1">
      <c r="B358" s="123"/>
      <c r="C358" s="124"/>
      <c r="D358" s="125"/>
      <c r="E358" s="125"/>
      <c r="F358" s="116"/>
      <c r="G358" s="153" t="str">
        <f t="shared" si="31"/>
        <v/>
      </c>
      <c r="H358" s="152">
        <f t="shared" si="35"/>
        <v>27</v>
      </c>
      <c r="I358" s="153">
        <f t="shared" si="32"/>
        <v>0</v>
      </c>
      <c r="J358" s="153">
        <f t="shared" si="33"/>
        <v>0</v>
      </c>
      <c r="K358" s="153">
        <f t="shared" si="34"/>
        <v>0</v>
      </c>
    </row>
    <row r="359" spans="2:11" ht="20.100000000000001" customHeight="1">
      <c r="B359" s="123"/>
      <c r="C359" s="124"/>
      <c r="D359" s="125"/>
      <c r="E359" s="125"/>
      <c r="F359" s="116"/>
      <c r="G359" s="153" t="str">
        <f t="shared" si="31"/>
        <v/>
      </c>
      <c r="H359" s="152">
        <f t="shared" si="35"/>
        <v>27</v>
      </c>
      <c r="I359" s="153">
        <f t="shared" si="32"/>
        <v>0</v>
      </c>
      <c r="J359" s="153">
        <f t="shared" si="33"/>
        <v>0</v>
      </c>
      <c r="K359" s="153">
        <f t="shared" si="34"/>
        <v>0</v>
      </c>
    </row>
    <row r="360" spans="2:11" ht="20.100000000000001" customHeight="1">
      <c r="B360" s="123"/>
      <c r="C360" s="124"/>
      <c r="D360" s="125"/>
      <c r="E360" s="125"/>
      <c r="F360" s="116"/>
      <c r="G360" s="153" t="str">
        <f t="shared" si="31"/>
        <v/>
      </c>
      <c r="H360" s="152">
        <f t="shared" si="35"/>
        <v>27</v>
      </c>
      <c r="I360" s="153">
        <f t="shared" si="32"/>
        <v>0</v>
      </c>
      <c r="J360" s="153">
        <f t="shared" si="33"/>
        <v>0</v>
      </c>
      <c r="K360" s="153">
        <f t="shared" si="34"/>
        <v>0</v>
      </c>
    </row>
    <row r="361" spans="2:11" ht="20.100000000000001" customHeight="1">
      <c r="B361" s="123"/>
      <c r="C361" s="124"/>
      <c r="D361" s="125"/>
      <c r="E361" s="125"/>
      <c r="F361" s="116"/>
      <c r="G361" s="153" t="str">
        <f t="shared" si="31"/>
        <v/>
      </c>
      <c r="H361" s="152">
        <f t="shared" si="35"/>
        <v>27</v>
      </c>
      <c r="I361" s="153">
        <f t="shared" si="32"/>
        <v>0</v>
      </c>
      <c r="J361" s="153">
        <f t="shared" si="33"/>
        <v>0</v>
      </c>
      <c r="K361" s="153">
        <f t="shared" si="34"/>
        <v>0</v>
      </c>
    </row>
    <row r="362" spans="2:11" ht="20.100000000000001" customHeight="1">
      <c r="B362" s="123"/>
      <c r="C362" s="124"/>
      <c r="D362" s="125"/>
      <c r="E362" s="125"/>
      <c r="F362" s="116"/>
      <c r="G362" s="153" t="str">
        <f t="shared" si="31"/>
        <v/>
      </c>
      <c r="H362" s="152">
        <f t="shared" si="35"/>
        <v>27</v>
      </c>
      <c r="I362" s="153">
        <f t="shared" si="32"/>
        <v>0</v>
      </c>
      <c r="J362" s="153">
        <f t="shared" si="33"/>
        <v>0</v>
      </c>
      <c r="K362" s="153">
        <f t="shared" si="34"/>
        <v>0</v>
      </c>
    </row>
    <row r="363" spans="2:11" ht="20.100000000000001" customHeight="1">
      <c r="B363" s="123"/>
      <c r="C363" s="124"/>
      <c r="D363" s="125"/>
      <c r="E363" s="125"/>
      <c r="F363" s="116"/>
      <c r="G363" s="153" t="str">
        <f t="shared" si="31"/>
        <v/>
      </c>
      <c r="H363" s="152">
        <f t="shared" si="35"/>
        <v>27</v>
      </c>
      <c r="I363" s="153">
        <f t="shared" si="32"/>
        <v>0</v>
      </c>
      <c r="J363" s="153">
        <f t="shared" si="33"/>
        <v>0</v>
      </c>
      <c r="K363" s="153">
        <f t="shared" si="34"/>
        <v>0</v>
      </c>
    </row>
    <row r="364" spans="2:11" ht="20.100000000000001" customHeight="1">
      <c r="B364" s="123"/>
      <c r="C364" s="124"/>
      <c r="D364" s="125"/>
      <c r="E364" s="125"/>
      <c r="F364" s="116"/>
      <c r="G364" s="153" t="str">
        <f t="shared" si="31"/>
        <v/>
      </c>
      <c r="H364" s="152">
        <f t="shared" si="35"/>
        <v>27</v>
      </c>
      <c r="I364" s="153">
        <f t="shared" si="32"/>
        <v>0</v>
      </c>
      <c r="J364" s="153">
        <f t="shared" si="33"/>
        <v>0</v>
      </c>
      <c r="K364" s="153">
        <f t="shared" si="34"/>
        <v>0</v>
      </c>
    </row>
    <row r="365" spans="2:11" ht="20.100000000000001" customHeight="1">
      <c r="B365" s="123"/>
      <c r="C365" s="124"/>
      <c r="D365" s="125"/>
      <c r="E365" s="125"/>
      <c r="F365" s="116"/>
      <c r="G365" s="153" t="str">
        <f t="shared" si="31"/>
        <v/>
      </c>
      <c r="H365" s="152">
        <f t="shared" si="35"/>
        <v>27</v>
      </c>
      <c r="I365" s="153">
        <f t="shared" si="32"/>
        <v>0</v>
      </c>
      <c r="J365" s="153">
        <f t="shared" si="33"/>
        <v>0</v>
      </c>
      <c r="K365" s="153">
        <f t="shared" si="34"/>
        <v>0</v>
      </c>
    </row>
    <row r="366" spans="2:11" ht="20.100000000000001" customHeight="1">
      <c r="B366" s="123"/>
      <c r="C366" s="124"/>
      <c r="D366" s="125"/>
      <c r="E366" s="125"/>
      <c r="F366" s="116"/>
      <c r="G366" s="153" t="str">
        <f t="shared" si="31"/>
        <v/>
      </c>
      <c r="H366" s="152">
        <f t="shared" si="35"/>
        <v>27</v>
      </c>
      <c r="I366" s="153">
        <f t="shared" si="32"/>
        <v>0</v>
      </c>
      <c r="J366" s="153">
        <f t="shared" si="33"/>
        <v>0</v>
      </c>
      <c r="K366" s="153">
        <f t="shared" si="34"/>
        <v>0</v>
      </c>
    </row>
    <row r="367" spans="2:11" ht="20.100000000000001" customHeight="1">
      <c r="B367" s="123"/>
      <c r="C367" s="124"/>
      <c r="D367" s="125"/>
      <c r="E367" s="125"/>
      <c r="F367" s="116"/>
      <c r="G367" s="153" t="str">
        <f t="shared" si="31"/>
        <v/>
      </c>
      <c r="H367" s="152">
        <f t="shared" si="35"/>
        <v>27</v>
      </c>
      <c r="I367" s="153">
        <f t="shared" si="32"/>
        <v>0</v>
      </c>
      <c r="J367" s="153">
        <f t="shared" si="33"/>
        <v>0</v>
      </c>
      <c r="K367" s="153">
        <f t="shared" si="34"/>
        <v>0</v>
      </c>
    </row>
    <row r="368" spans="2:11" ht="20.100000000000001" customHeight="1">
      <c r="B368" s="123"/>
      <c r="C368" s="124"/>
      <c r="D368" s="125"/>
      <c r="E368" s="125"/>
      <c r="F368" s="116"/>
      <c r="G368" s="153" t="str">
        <f t="shared" si="31"/>
        <v/>
      </c>
      <c r="H368" s="152">
        <f t="shared" si="35"/>
        <v>27</v>
      </c>
      <c r="I368" s="153">
        <f t="shared" si="32"/>
        <v>0</v>
      </c>
      <c r="J368" s="153">
        <f t="shared" si="33"/>
        <v>0</v>
      </c>
      <c r="K368" s="153">
        <f t="shared" si="34"/>
        <v>0</v>
      </c>
    </row>
    <row r="369" spans="2:11" ht="20.100000000000001" customHeight="1">
      <c r="B369" s="123"/>
      <c r="C369" s="124"/>
      <c r="D369" s="125"/>
      <c r="E369" s="125"/>
      <c r="F369" s="116"/>
      <c r="G369" s="153" t="str">
        <f t="shared" si="31"/>
        <v/>
      </c>
      <c r="H369" s="152">
        <f t="shared" si="35"/>
        <v>27</v>
      </c>
      <c r="I369" s="153">
        <f t="shared" si="32"/>
        <v>0</v>
      </c>
      <c r="J369" s="153">
        <f t="shared" si="33"/>
        <v>0</v>
      </c>
      <c r="K369" s="153">
        <f t="shared" si="34"/>
        <v>0</v>
      </c>
    </row>
    <row r="370" spans="2:11" ht="20.100000000000001" customHeight="1">
      <c r="B370" s="123"/>
      <c r="C370" s="124"/>
      <c r="D370" s="125"/>
      <c r="E370" s="125"/>
      <c r="F370" s="116"/>
      <c r="G370" s="153" t="str">
        <f t="shared" si="31"/>
        <v/>
      </c>
      <c r="H370" s="152">
        <f t="shared" si="35"/>
        <v>27</v>
      </c>
      <c r="I370" s="153">
        <f t="shared" si="32"/>
        <v>0</v>
      </c>
      <c r="J370" s="153">
        <f t="shared" si="33"/>
        <v>0</v>
      </c>
      <c r="K370" s="153">
        <f t="shared" si="34"/>
        <v>0</v>
      </c>
    </row>
    <row r="371" spans="2:11" ht="20.100000000000001" customHeight="1">
      <c r="B371" s="123"/>
      <c r="C371" s="124"/>
      <c r="D371" s="125"/>
      <c r="E371" s="125"/>
      <c r="F371" s="116"/>
      <c r="G371" s="153" t="str">
        <f t="shared" si="31"/>
        <v/>
      </c>
      <c r="H371" s="152">
        <f t="shared" si="35"/>
        <v>27</v>
      </c>
      <c r="I371" s="153">
        <f t="shared" si="32"/>
        <v>0</v>
      </c>
      <c r="J371" s="153">
        <f t="shared" si="33"/>
        <v>0</v>
      </c>
      <c r="K371" s="153">
        <f t="shared" si="34"/>
        <v>0</v>
      </c>
    </row>
    <row r="372" spans="2:11" ht="20.100000000000001" customHeight="1">
      <c r="B372" s="123"/>
      <c r="C372" s="124"/>
      <c r="D372" s="125"/>
      <c r="E372" s="125"/>
      <c r="F372" s="116"/>
      <c r="G372" s="153" t="str">
        <f t="shared" si="31"/>
        <v/>
      </c>
      <c r="H372" s="152">
        <f t="shared" si="35"/>
        <v>27</v>
      </c>
      <c r="I372" s="153">
        <f t="shared" si="32"/>
        <v>0</v>
      </c>
      <c r="J372" s="153">
        <f t="shared" si="33"/>
        <v>0</v>
      </c>
      <c r="K372" s="153">
        <f t="shared" si="34"/>
        <v>0</v>
      </c>
    </row>
    <row r="373" spans="2:11" ht="20.100000000000001" customHeight="1">
      <c r="B373" s="123"/>
      <c r="C373" s="124"/>
      <c r="D373" s="125"/>
      <c r="E373" s="125"/>
      <c r="F373" s="116"/>
      <c r="G373" s="153" t="str">
        <f t="shared" si="31"/>
        <v/>
      </c>
      <c r="H373" s="152">
        <f t="shared" si="35"/>
        <v>27</v>
      </c>
      <c r="I373" s="153">
        <f t="shared" si="32"/>
        <v>0</v>
      </c>
      <c r="J373" s="153">
        <f t="shared" si="33"/>
        <v>0</v>
      </c>
      <c r="K373" s="153">
        <f t="shared" si="34"/>
        <v>0</v>
      </c>
    </row>
    <row r="374" spans="2:11" ht="20.100000000000001" customHeight="1">
      <c r="B374" s="123"/>
      <c r="C374" s="124"/>
      <c r="D374" s="125"/>
      <c r="E374" s="125"/>
      <c r="F374" s="116"/>
      <c r="G374" s="153" t="str">
        <f t="shared" si="31"/>
        <v/>
      </c>
      <c r="H374" s="152">
        <f t="shared" si="35"/>
        <v>27</v>
      </c>
      <c r="I374" s="153">
        <f t="shared" si="32"/>
        <v>0</v>
      </c>
      <c r="J374" s="153">
        <f t="shared" si="33"/>
        <v>0</v>
      </c>
      <c r="K374" s="153">
        <f t="shared" si="34"/>
        <v>0</v>
      </c>
    </row>
    <row r="375" spans="2:11" ht="20.100000000000001" customHeight="1">
      <c r="B375" s="123"/>
      <c r="C375" s="124"/>
      <c r="D375" s="125"/>
      <c r="E375" s="125"/>
      <c r="F375" s="116"/>
      <c r="G375" s="153" t="str">
        <f t="shared" si="31"/>
        <v/>
      </c>
      <c r="H375" s="152">
        <f t="shared" si="35"/>
        <v>27</v>
      </c>
      <c r="I375" s="153">
        <f t="shared" si="32"/>
        <v>0</v>
      </c>
      <c r="J375" s="153">
        <f t="shared" si="33"/>
        <v>0</v>
      </c>
      <c r="K375" s="153">
        <f t="shared" si="34"/>
        <v>0</v>
      </c>
    </row>
    <row r="376" spans="2:11" ht="20.100000000000001" customHeight="1">
      <c r="B376" s="123"/>
      <c r="C376" s="124"/>
      <c r="D376" s="125"/>
      <c r="E376" s="125"/>
      <c r="F376" s="116"/>
      <c r="G376" s="153" t="str">
        <f t="shared" si="31"/>
        <v/>
      </c>
      <c r="H376" s="152">
        <f t="shared" si="35"/>
        <v>27</v>
      </c>
      <c r="I376" s="153">
        <f t="shared" si="32"/>
        <v>0</v>
      </c>
      <c r="J376" s="153">
        <f t="shared" si="33"/>
        <v>0</v>
      </c>
      <c r="K376" s="153">
        <f t="shared" si="34"/>
        <v>0</v>
      </c>
    </row>
    <row r="377" spans="2:11" ht="20.100000000000001" customHeight="1">
      <c r="B377" s="123"/>
      <c r="C377" s="124"/>
      <c r="D377" s="125"/>
      <c r="E377" s="125"/>
      <c r="F377" s="116"/>
      <c r="G377" s="153" t="str">
        <f t="shared" si="31"/>
        <v/>
      </c>
      <c r="H377" s="152">
        <f t="shared" si="35"/>
        <v>27</v>
      </c>
      <c r="I377" s="153">
        <f t="shared" si="32"/>
        <v>0</v>
      </c>
      <c r="J377" s="153">
        <f t="shared" si="33"/>
        <v>0</v>
      </c>
      <c r="K377" s="153">
        <f t="shared" si="34"/>
        <v>0</v>
      </c>
    </row>
    <row r="378" spans="2:11" ht="20.100000000000001" customHeight="1">
      <c r="B378" s="123"/>
      <c r="C378" s="124"/>
      <c r="D378" s="125"/>
      <c r="E378" s="125"/>
      <c r="F378" s="116"/>
      <c r="G378" s="153" t="str">
        <f t="shared" si="31"/>
        <v/>
      </c>
      <c r="H378" s="152">
        <f t="shared" si="35"/>
        <v>27</v>
      </c>
      <c r="I378" s="153">
        <f t="shared" si="32"/>
        <v>0</v>
      </c>
      <c r="J378" s="153">
        <f t="shared" si="33"/>
        <v>0</v>
      </c>
      <c r="K378" s="153">
        <f t="shared" si="34"/>
        <v>0</v>
      </c>
    </row>
    <row r="379" spans="2:11" ht="20.100000000000001" customHeight="1">
      <c r="B379" s="123"/>
      <c r="C379" s="124"/>
      <c r="D379" s="125"/>
      <c r="E379" s="125"/>
      <c r="F379" s="116"/>
      <c r="G379" s="153" t="str">
        <f t="shared" si="31"/>
        <v/>
      </c>
      <c r="H379" s="152">
        <f t="shared" si="35"/>
        <v>27</v>
      </c>
      <c r="I379" s="153">
        <f t="shared" si="32"/>
        <v>0</v>
      </c>
      <c r="J379" s="153">
        <f t="shared" si="33"/>
        <v>0</v>
      </c>
      <c r="K379" s="153">
        <f t="shared" si="34"/>
        <v>0</v>
      </c>
    </row>
    <row r="380" spans="2:11" ht="20.100000000000001" customHeight="1">
      <c r="B380" s="123"/>
      <c r="C380" s="124"/>
      <c r="D380" s="125"/>
      <c r="E380" s="125"/>
      <c r="F380" s="116"/>
      <c r="G380" s="153" t="str">
        <f t="shared" si="31"/>
        <v/>
      </c>
      <c r="H380" s="152">
        <f t="shared" si="35"/>
        <v>27</v>
      </c>
      <c r="I380" s="153">
        <f t="shared" si="32"/>
        <v>0</v>
      </c>
      <c r="J380" s="153">
        <f t="shared" si="33"/>
        <v>0</v>
      </c>
      <c r="K380" s="153">
        <f t="shared" si="34"/>
        <v>0</v>
      </c>
    </row>
    <row r="381" spans="2:11" ht="20.100000000000001" customHeight="1">
      <c r="B381" s="123"/>
      <c r="C381" s="124"/>
      <c r="D381" s="125"/>
      <c r="E381" s="125"/>
      <c r="F381" s="116"/>
      <c r="G381" s="153" t="str">
        <f t="shared" si="31"/>
        <v/>
      </c>
      <c r="H381" s="152">
        <f t="shared" si="35"/>
        <v>27</v>
      </c>
      <c r="I381" s="153">
        <f t="shared" si="32"/>
        <v>0</v>
      </c>
      <c r="J381" s="153">
        <f t="shared" si="33"/>
        <v>0</v>
      </c>
      <c r="K381" s="153">
        <f t="shared" si="34"/>
        <v>0</v>
      </c>
    </row>
    <row r="382" spans="2:11" ht="20.100000000000001" customHeight="1">
      <c r="B382" s="123"/>
      <c r="C382" s="124"/>
      <c r="D382" s="125"/>
      <c r="E382" s="125"/>
      <c r="F382" s="116"/>
      <c r="G382" s="153" t="str">
        <f t="shared" si="31"/>
        <v/>
      </c>
      <c r="H382" s="152">
        <f t="shared" si="35"/>
        <v>27</v>
      </c>
      <c r="I382" s="153">
        <f t="shared" si="32"/>
        <v>0</v>
      </c>
      <c r="J382" s="153">
        <f t="shared" si="33"/>
        <v>0</v>
      </c>
      <c r="K382" s="153">
        <f t="shared" si="34"/>
        <v>0</v>
      </c>
    </row>
    <row r="383" spans="2:11" ht="20.100000000000001" customHeight="1">
      <c r="B383" s="123"/>
      <c r="C383" s="124"/>
      <c r="D383" s="125"/>
      <c r="E383" s="125"/>
      <c r="F383" s="116"/>
      <c r="G383" s="153" t="str">
        <f t="shared" si="31"/>
        <v/>
      </c>
      <c r="H383" s="152">
        <f t="shared" si="35"/>
        <v>27</v>
      </c>
      <c r="I383" s="153">
        <f t="shared" si="32"/>
        <v>0</v>
      </c>
      <c r="J383" s="153">
        <f t="shared" si="33"/>
        <v>0</v>
      </c>
      <c r="K383" s="153">
        <f t="shared" si="34"/>
        <v>0</v>
      </c>
    </row>
    <row r="384" spans="2:11" ht="20.100000000000001" customHeight="1">
      <c r="B384" s="123"/>
      <c r="C384" s="124"/>
      <c r="D384" s="125"/>
      <c r="E384" s="125"/>
      <c r="F384" s="116"/>
      <c r="G384" s="153" t="str">
        <f t="shared" si="31"/>
        <v/>
      </c>
      <c r="H384" s="152">
        <f t="shared" si="35"/>
        <v>27</v>
      </c>
      <c r="I384" s="153">
        <f t="shared" si="32"/>
        <v>0</v>
      </c>
      <c r="J384" s="153">
        <f t="shared" si="33"/>
        <v>0</v>
      </c>
      <c r="K384" s="153">
        <f t="shared" si="34"/>
        <v>0</v>
      </c>
    </row>
    <row r="385" spans="2:11" ht="20.100000000000001" customHeight="1">
      <c r="B385" s="123"/>
      <c r="C385" s="124"/>
      <c r="D385" s="125"/>
      <c r="E385" s="125"/>
      <c r="F385" s="116"/>
      <c r="G385" s="153" t="str">
        <f t="shared" si="31"/>
        <v/>
      </c>
      <c r="H385" s="152">
        <f t="shared" si="35"/>
        <v>27</v>
      </c>
      <c r="I385" s="153">
        <f t="shared" si="32"/>
        <v>0</v>
      </c>
      <c r="J385" s="153">
        <f t="shared" si="33"/>
        <v>0</v>
      </c>
      <c r="K385" s="153">
        <f t="shared" si="34"/>
        <v>0</v>
      </c>
    </row>
    <row r="386" spans="2:11" ht="20.100000000000001" customHeight="1">
      <c r="B386" s="123"/>
      <c r="C386" s="124"/>
      <c r="D386" s="125"/>
      <c r="E386" s="125"/>
      <c r="F386" s="116"/>
      <c r="G386" s="153" t="str">
        <f t="shared" si="31"/>
        <v/>
      </c>
      <c r="H386" s="152">
        <f t="shared" si="35"/>
        <v>27</v>
      </c>
      <c r="I386" s="153">
        <f t="shared" si="32"/>
        <v>0</v>
      </c>
      <c r="J386" s="153">
        <f t="shared" si="33"/>
        <v>0</v>
      </c>
      <c r="K386" s="153">
        <f t="shared" si="34"/>
        <v>0</v>
      </c>
    </row>
    <row r="387" spans="2:11" ht="20.100000000000001" customHeight="1">
      <c r="B387" s="123"/>
      <c r="C387" s="124"/>
      <c r="D387" s="125"/>
      <c r="E387" s="125"/>
      <c r="F387" s="116"/>
      <c r="G387" s="153" t="str">
        <f t="shared" si="31"/>
        <v/>
      </c>
      <c r="H387" s="152">
        <f t="shared" si="35"/>
        <v>27</v>
      </c>
      <c r="I387" s="153">
        <f t="shared" si="32"/>
        <v>0</v>
      </c>
      <c r="J387" s="153">
        <f t="shared" si="33"/>
        <v>0</v>
      </c>
      <c r="K387" s="153">
        <f t="shared" si="34"/>
        <v>0</v>
      </c>
    </row>
    <row r="388" spans="2:11" ht="20.100000000000001" customHeight="1" thickBot="1">
      <c r="B388" s="126"/>
      <c r="C388" s="127"/>
      <c r="D388" s="128"/>
      <c r="E388" s="128"/>
      <c r="F388" s="119"/>
      <c r="G388" s="153" t="str">
        <f t="shared" si="31"/>
        <v/>
      </c>
      <c r="H388" s="152">
        <f t="shared" si="35"/>
        <v>27</v>
      </c>
      <c r="I388" s="153">
        <f t="shared" si="32"/>
        <v>0</v>
      </c>
      <c r="J388" s="153">
        <f t="shared" si="33"/>
        <v>0</v>
      </c>
      <c r="K388" s="153">
        <f t="shared" si="34"/>
        <v>0</v>
      </c>
    </row>
    <row r="389" spans="2:11" ht="20.100000000000001" customHeight="1"/>
    <row r="390" spans="2:11" ht="20.100000000000001" customHeight="1">
      <c r="B390" s="316" t="s">
        <v>1232</v>
      </c>
      <c r="C390" s="316"/>
      <c r="D390" s="316"/>
      <c r="E390" s="316"/>
      <c r="F390" s="316"/>
      <c r="G390" s="316"/>
      <c r="H390" s="316"/>
      <c r="I390" s="316"/>
      <c r="J390" s="316"/>
      <c r="K390" s="316"/>
    </row>
    <row r="391" spans="2:11" ht="20.100000000000001" customHeight="1" thickBot="1"/>
    <row r="392" spans="2:11" ht="20.100000000000001" customHeight="1">
      <c r="B392" s="78" t="s">
        <v>471</v>
      </c>
      <c r="C392" s="154" t="str">
        <f>'15C Building Details'!C216</f>
        <v>Other</v>
      </c>
      <c r="E392" s="78" t="s">
        <v>475</v>
      </c>
      <c r="F392" s="563"/>
      <c r="G392" s="564"/>
      <c r="H392" s="564"/>
      <c r="I392" s="565"/>
    </row>
    <row r="393" spans="2:11" ht="20.100000000000001" customHeight="1">
      <c r="B393" s="78" t="s">
        <v>477</v>
      </c>
      <c r="C393" s="154">
        <f>'15C Building Details'!C217</f>
        <v>0</v>
      </c>
      <c r="E393" s="613" t="s">
        <v>479</v>
      </c>
      <c r="F393" s="622"/>
      <c r="G393" s="623"/>
      <c r="H393" s="623"/>
      <c r="I393" s="624"/>
    </row>
    <row r="394" spans="2:11" ht="20.100000000000001" customHeight="1" thickBot="1">
      <c r="B394" s="78" t="s">
        <v>483</v>
      </c>
      <c r="C394" s="154">
        <f>'15C Building Details'!C218</f>
        <v>0</v>
      </c>
      <c r="D394" s="317"/>
      <c r="E394" s="614"/>
      <c r="F394" s="566"/>
      <c r="G394" s="567"/>
      <c r="H394" s="567"/>
      <c r="I394" s="568"/>
    </row>
    <row r="395" spans="2:11" ht="20.100000000000001" customHeight="1">
      <c r="B395" s="78" t="s">
        <v>485</v>
      </c>
      <c r="C395" s="154">
        <f>'15C Building Details'!C219</f>
        <v>0</v>
      </c>
    </row>
    <row r="396" spans="2:11" ht="20.100000000000001" customHeight="1">
      <c r="B396" s="78" t="s">
        <v>487</v>
      </c>
      <c r="C396" s="154">
        <f>'15C Building Details'!C220</f>
        <v>0</v>
      </c>
      <c r="E396" s="11" t="s">
        <v>489</v>
      </c>
    </row>
    <row r="397" spans="2:11" ht="20.100000000000001" customHeight="1">
      <c r="G397" s="14"/>
      <c r="J397" s="11"/>
    </row>
    <row r="398" spans="2:11" ht="20.100000000000001" customHeight="1"/>
    <row r="399" spans="2:11" ht="40.200000000000003" customHeight="1" thickBot="1">
      <c r="B399" s="175" t="s">
        <v>491</v>
      </c>
      <c r="C399" s="175" t="s">
        <v>493</v>
      </c>
      <c r="D399" s="175" t="s">
        <v>495</v>
      </c>
      <c r="E399" s="175" t="s">
        <v>497</v>
      </c>
      <c r="F399" s="175" t="str">
        <f>"Billed Quantity ("&amp;C395&amp;")"</f>
        <v>Billed Quantity (0)</v>
      </c>
      <c r="G399" s="78" t="s">
        <v>501</v>
      </c>
      <c r="H399" s="78" t="s">
        <v>487</v>
      </c>
      <c r="I399" s="78" t="s">
        <v>1257</v>
      </c>
      <c r="J399" s="78" t="s">
        <v>1258</v>
      </c>
      <c r="K399" s="78" t="s">
        <v>1259</v>
      </c>
    </row>
    <row r="400" spans="2:11" ht="20.100000000000001" customHeight="1">
      <c r="B400" s="120"/>
      <c r="C400" s="121"/>
      <c r="D400" s="122"/>
      <c r="E400" s="122"/>
      <c r="F400" s="113"/>
      <c r="G400" s="151" t="str">
        <f t="shared" ref="G400:G435" si="36">IF(ISBLANK(D400),"",E400-D400+1)</f>
        <v/>
      </c>
      <c r="H400" s="152">
        <f>$C$396</f>
        <v>0</v>
      </c>
      <c r="I400" s="153">
        <f t="shared" ref="I400:I435" si="37">IF(F400&gt;0,F400*H400*IF(OR(D400&gt;$H$9,E400&lt;$H$8), 0, IF(D400&lt;$H$8,E400-$H$8,IF($H$9&lt;E400,E400-$H$9,G400)))/G400,0)</f>
        <v>0</v>
      </c>
      <c r="J400" s="153">
        <f t="shared" ref="J400:J435" si="38">IF(F400&gt;0,F400*H400*IF(OR(D400&gt;$I$9,E400&lt;$I$8), 0, IF(D400&lt;$I$8,E400-$I$8,IF($I$9&lt;E400,E400-$I$9,G400)))/G400,0)</f>
        <v>0</v>
      </c>
      <c r="K400" s="153">
        <f t="shared" ref="K400:K435" si="39">IF(F400&gt;0,F400*H400*IF(OR(D400&gt;$J$9,E400&lt;$J$8), 0, IF(D400&lt;$J$8,E400-$J$8,IF($J$9&lt;E400,E400-$J$9,G400)))/G400,0)</f>
        <v>0</v>
      </c>
    </row>
    <row r="401" spans="2:11" ht="20.100000000000001" customHeight="1">
      <c r="B401" s="123"/>
      <c r="C401" s="124"/>
      <c r="D401" s="125"/>
      <c r="E401" s="125"/>
      <c r="F401" s="116"/>
      <c r="G401" s="151" t="str">
        <f t="shared" si="36"/>
        <v/>
      </c>
      <c r="H401" s="152">
        <f t="shared" ref="H401:H435" si="40">$C$396</f>
        <v>0</v>
      </c>
      <c r="I401" s="153">
        <f t="shared" si="37"/>
        <v>0</v>
      </c>
      <c r="J401" s="153">
        <f t="shared" si="38"/>
        <v>0</v>
      </c>
      <c r="K401" s="153">
        <f t="shared" si="39"/>
        <v>0</v>
      </c>
    </row>
    <row r="402" spans="2:11" ht="20.100000000000001" customHeight="1">
      <c r="B402" s="123"/>
      <c r="C402" s="124"/>
      <c r="D402" s="125"/>
      <c r="E402" s="125"/>
      <c r="F402" s="116"/>
      <c r="G402" s="151" t="str">
        <f t="shared" si="36"/>
        <v/>
      </c>
      <c r="H402" s="152">
        <f t="shared" si="40"/>
        <v>0</v>
      </c>
      <c r="I402" s="153">
        <f t="shared" si="37"/>
        <v>0</v>
      </c>
      <c r="J402" s="153">
        <f t="shared" si="38"/>
        <v>0</v>
      </c>
      <c r="K402" s="153">
        <f t="shared" si="39"/>
        <v>0</v>
      </c>
    </row>
    <row r="403" spans="2:11" ht="20.100000000000001" customHeight="1">
      <c r="B403" s="123"/>
      <c r="C403" s="124"/>
      <c r="D403" s="125"/>
      <c r="E403" s="125"/>
      <c r="F403" s="116"/>
      <c r="G403" s="151" t="str">
        <f t="shared" si="36"/>
        <v/>
      </c>
      <c r="H403" s="152">
        <f t="shared" si="40"/>
        <v>0</v>
      </c>
      <c r="I403" s="153">
        <f t="shared" si="37"/>
        <v>0</v>
      </c>
      <c r="J403" s="153">
        <f t="shared" si="38"/>
        <v>0</v>
      </c>
      <c r="K403" s="153">
        <f t="shared" si="39"/>
        <v>0</v>
      </c>
    </row>
    <row r="404" spans="2:11" ht="20.100000000000001" customHeight="1">
      <c r="B404" s="123"/>
      <c r="C404" s="124"/>
      <c r="D404" s="125"/>
      <c r="E404" s="125"/>
      <c r="F404" s="116"/>
      <c r="G404" s="151" t="str">
        <f t="shared" si="36"/>
        <v/>
      </c>
      <c r="H404" s="152">
        <f t="shared" si="40"/>
        <v>0</v>
      </c>
      <c r="I404" s="153">
        <f t="shared" si="37"/>
        <v>0</v>
      </c>
      <c r="J404" s="153">
        <f t="shared" si="38"/>
        <v>0</v>
      </c>
      <c r="K404" s="153">
        <f t="shared" si="39"/>
        <v>0</v>
      </c>
    </row>
    <row r="405" spans="2:11" ht="20.100000000000001" customHeight="1">
      <c r="B405" s="123"/>
      <c r="C405" s="124"/>
      <c r="D405" s="125"/>
      <c r="E405" s="125"/>
      <c r="F405" s="116"/>
      <c r="G405" s="151" t="str">
        <f t="shared" si="36"/>
        <v/>
      </c>
      <c r="H405" s="152">
        <f t="shared" si="40"/>
        <v>0</v>
      </c>
      <c r="I405" s="153">
        <f t="shared" si="37"/>
        <v>0</v>
      </c>
      <c r="J405" s="153">
        <f t="shared" si="38"/>
        <v>0</v>
      </c>
      <c r="K405" s="153">
        <f t="shared" si="39"/>
        <v>0</v>
      </c>
    </row>
    <row r="406" spans="2:11" ht="20.100000000000001" customHeight="1">
      <c r="B406" s="123"/>
      <c r="C406" s="124"/>
      <c r="D406" s="125"/>
      <c r="E406" s="125"/>
      <c r="F406" s="116"/>
      <c r="G406" s="151" t="str">
        <f t="shared" si="36"/>
        <v/>
      </c>
      <c r="H406" s="152">
        <f t="shared" si="40"/>
        <v>0</v>
      </c>
      <c r="I406" s="153">
        <f t="shared" si="37"/>
        <v>0</v>
      </c>
      <c r="J406" s="153">
        <f t="shared" si="38"/>
        <v>0</v>
      </c>
      <c r="K406" s="153">
        <f t="shared" si="39"/>
        <v>0</v>
      </c>
    </row>
    <row r="407" spans="2:11" ht="20.100000000000001" customHeight="1">
      <c r="B407" s="123"/>
      <c r="C407" s="124"/>
      <c r="D407" s="125"/>
      <c r="E407" s="125"/>
      <c r="F407" s="116"/>
      <c r="G407" s="151" t="str">
        <f t="shared" si="36"/>
        <v/>
      </c>
      <c r="H407" s="152">
        <f t="shared" si="40"/>
        <v>0</v>
      </c>
      <c r="I407" s="153">
        <f t="shared" si="37"/>
        <v>0</v>
      </c>
      <c r="J407" s="153">
        <f t="shared" si="38"/>
        <v>0</v>
      </c>
      <c r="K407" s="153">
        <f t="shared" si="39"/>
        <v>0</v>
      </c>
    </row>
    <row r="408" spans="2:11" ht="20.100000000000001" customHeight="1">
      <c r="B408" s="123"/>
      <c r="C408" s="124"/>
      <c r="D408" s="125"/>
      <c r="E408" s="125"/>
      <c r="F408" s="116"/>
      <c r="G408" s="151" t="str">
        <f t="shared" si="36"/>
        <v/>
      </c>
      <c r="H408" s="152">
        <f t="shared" si="40"/>
        <v>0</v>
      </c>
      <c r="I408" s="153">
        <f t="shared" si="37"/>
        <v>0</v>
      </c>
      <c r="J408" s="153">
        <f t="shared" si="38"/>
        <v>0</v>
      </c>
      <c r="K408" s="153">
        <f t="shared" si="39"/>
        <v>0</v>
      </c>
    </row>
    <row r="409" spans="2:11" ht="20.100000000000001" customHeight="1">
      <c r="B409" s="123"/>
      <c r="C409" s="124"/>
      <c r="D409" s="125"/>
      <c r="E409" s="125"/>
      <c r="F409" s="116"/>
      <c r="G409" s="151" t="str">
        <f t="shared" si="36"/>
        <v/>
      </c>
      <c r="H409" s="152">
        <f t="shared" si="40"/>
        <v>0</v>
      </c>
      <c r="I409" s="153">
        <f t="shared" si="37"/>
        <v>0</v>
      </c>
      <c r="J409" s="153">
        <f t="shared" si="38"/>
        <v>0</v>
      </c>
      <c r="K409" s="153">
        <f t="shared" si="39"/>
        <v>0</v>
      </c>
    </row>
    <row r="410" spans="2:11" ht="20.100000000000001" customHeight="1">
      <c r="B410" s="123"/>
      <c r="C410" s="124"/>
      <c r="D410" s="125"/>
      <c r="E410" s="125"/>
      <c r="F410" s="116"/>
      <c r="G410" s="151" t="str">
        <f t="shared" si="36"/>
        <v/>
      </c>
      <c r="H410" s="152">
        <f t="shared" si="40"/>
        <v>0</v>
      </c>
      <c r="I410" s="153">
        <f t="shared" si="37"/>
        <v>0</v>
      </c>
      <c r="J410" s="153">
        <f t="shared" si="38"/>
        <v>0</v>
      </c>
      <c r="K410" s="153">
        <f t="shared" si="39"/>
        <v>0</v>
      </c>
    </row>
    <row r="411" spans="2:11" ht="20.100000000000001" customHeight="1">
      <c r="B411" s="123"/>
      <c r="C411" s="124"/>
      <c r="D411" s="125"/>
      <c r="E411" s="125"/>
      <c r="F411" s="116"/>
      <c r="G411" s="151" t="str">
        <f t="shared" si="36"/>
        <v/>
      </c>
      <c r="H411" s="152">
        <f t="shared" si="40"/>
        <v>0</v>
      </c>
      <c r="I411" s="153">
        <f t="shared" si="37"/>
        <v>0</v>
      </c>
      <c r="J411" s="153">
        <f t="shared" si="38"/>
        <v>0</v>
      </c>
      <c r="K411" s="153">
        <f t="shared" si="39"/>
        <v>0</v>
      </c>
    </row>
    <row r="412" spans="2:11" ht="20.100000000000001" customHeight="1">
      <c r="B412" s="123"/>
      <c r="C412" s="124"/>
      <c r="D412" s="125"/>
      <c r="E412" s="125"/>
      <c r="F412" s="116"/>
      <c r="G412" s="151" t="str">
        <f t="shared" si="36"/>
        <v/>
      </c>
      <c r="H412" s="152">
        <f t="shared" si="40"/>
        <v>0</v>
      </c>
      <c r="I412" s="153">
        <f t="shared" si="37"/>
        <v>0</v>
      </c>
      <c r="J412" s="153">
        <f t="shared" si="38"/>
        <v>0</v>
      </c>
      <c r="K412" s="153">
        <f t="shared" si="39"/>
        <v>0</v>
      </c>
    </row>
    <row r="413" spans="2:11" ht="20.100000000000001" customHeight="1">
      <c r="B413" s="123"/>
      <c r="C413" s="124"/>
      <c r="D413" s="125"/>
      <c r="E413" s="125"/>
      <c r="F413" s="116"/>
      <c r="G413" s="151" t="str">
        <f t="shared" si="36"/>
        <v/>
      </c>
      <c r="H413" s="152">
        <f t="shared" si="40"/>
        <v>0</v>
      </c>
      <c r="I413" s="153">
        <f t="shared" si="37"/>
        <v>0</v>
      </c>
      <c r="J413" s="153">
        <f t="shared" si="38"/>
        <v>0</v>
      </c>
      <c r="K413" s="153">
        <f t="shared" si="39"/>
        <v>0</v>
      </c>
    </row>
    <row r="414" spans="2:11" ht="20.100000000000001" customHeight="1">
      <c r="B414" s="123"/>
      <c r="C414" s="124"/>
      <c r="D414" s="125"/>
      <c r="E414" s="125"/>
      <c r="F414" s="116"/>
      <c r="G414" s="151" t="str">
        <f t="shared" si="36"/>
        <v/>
      </c>
      <c r="H414" s="152">
        <f t="shared" si="40"/>
        <v>0</v>
      </c>
      <c r="I414" s="153">
        <f t="shared" si="37"/>
        <v>0</v>
      </c>
      <c r="J414" s="153">
        <f t="shared" si="38"/>
        <v>0</v>
      </c>
      <c r="K414" s="153">
        <f t="shared" si="39"/>
        <v>0</v>
      </c>
    </row>
    <row r="415" spans="2:11" ht="20.100000000000001" customHeight="1">
      <c r="B415" s="123"/>
      <c r="C415" s="124"/>
      <c r="D415" s="125"/>
      <c r="E415" s="125"/>
      <c r="F415" s="116"/>
      <c r="G415" s="151" t="str">
        <f t="shared" si="36"/>
        <v/>
      </c>
      <c r="H415" s="152">
        <f t="shared" si="40"/>
        <v>0</v>
      </c>
      <c r="I415" s="153">
        <f t="shared" si="37"/>
        <v>0</v>
      </c>
      <c r="J415" s="153">
        <f t="shared" si="38"/>
        <v>0</v>
      </c>
      <c r="K415" s="153">
        <f t="shared" si="39"/>
        <v>0</v>
      </c>
    </row>
    <row r="416" spans="2:11" ht="20.100000000000001" customHeight="1">
      <c r="B416" s="123"/>
      <c r="C416" s="124"/>
      <c r="D416" s="125"/>
      <c r="E416" s="125"/>
      <c r="F416" s="116"/>
      <c r="G416" s="151" t="str">
        <f t="shared" si="36"/>
        <v/>
      </c>
      <c r="H416" s="152">
        <f t="shared" si="40"/>
        <v>0</v>
      </c>
      <c r="I416" s="153">
        <f t="shared" si="37"/>
        <v>0</v>
      </c>
      <c r="J416" s="153">
        <f t="shared" si="38"/>
        <v>0</v>
      </c>
      <c r="K416" s="153">
        <f t="shared" si="39"/>
        <v>0</v>
      </c>
    </row>
    <row r="417" spans="2:11" ht="20.100000000000001" customHeight="1">
      <c r="B417" s="123"/>
      <c r="C417" s="124"/>
      <c r="D417" s="125"/>
      <c r="E417" s="125"/>
      <c r="F417" s="116"/>
      <c r="G417" s="151" t="str">
        <f t="shared" si="36"/>
        <v/>
      </c>
      <c r="H417" s="152">
        <f t="shared" si="40"/>
        <v>0</v>
      </c>
      <c r="I417" s="153">
        <f t="shared" si="37"/>
        <v>0</v>
      </c>
      <c r="J417" s="153">
        <f t="shared" si="38"/>
        <v>0</v>
      </c>
      <c r="K417" s="153">
        <f t="shared" si="39"/>
        <v>0</v>
      </c>
    </row>
    <row r="418" spans="2:11" ht="20.100000000000001" customHeight="1">
      <c r="B418" s="123"/>
      <c r="C418" s="124"/>
      <c r="D418" s="125"/>
      <c r="E418" s="125"/>
      <c r="F418" s="116"/>
      <c r="G418" s="151" t="str">
        <f t="shared" si="36"/>
        <v/>
      </c>
      <c r="H418" s="152">
        <f t="shared" si="40"/>
        <v>0</v>
      </c>
      <c r="I418" s="153">
        <f t="shared" si="37"/>
        <v>0</v>
      </c>
      <c r="J418" s="153">
        <f t="shared" si="38"/>
        <v>0</v>
      </c>
      <c r="K418" s="153">
        <f t="shared" si="39"/>
        <v>0</v>
      </c>
    </row>
    <row r="419" spans="2:11" ht="20.100000000000001" customHeight="1">
      <c r="B419" s="123"/>
      <c r="C419" s="124"/>
      <c r="D419" s="125"/>
      <c r="E419" s="125"/>
      <c r="F419" s="116"/>
      <c r="G419" s="151" t="str">
        <f t="shared" si="36"/>
        <v/>
      </c>
      <c r="H419" s="152">
        <f t="shared" si="40"/>
        <v>0</v>
      </c>
      <c r="I419" s="153">
        <f t="shared" si="37"/>
        <v>0</v>
      </c>
      <c r="J419" s="153">
        <f t="shared" si="38"/>
        <v>0</v>
      </c>
      <c r="K419" s="153">
        <f t="shared" si="39"/>
        <v>0</v>
      </c>
    </row>
    <row r="420" spans="2:11" ht="20.100000000000001" customHeight="1">
      <c r="B420" s="123"/>
      <c r="C420" s="124"/>
      <c r="D420" s="125"/>
      <c r="E420" s="125"/>
      <c r="F420" s="116"/>
      <c r="G420" s="151" t="str">
        <f t="shared" si="36"/>
        <v/>
      </c>
      <c r="H420" s="152">
        <f t="shared" si="40"/>
        <v>0</v>
      </c>
      <c r="I420" s="153">
        <f t="shared" si="37"/>
        <v>0</v>
      </c>
      <c r="J420" s="153">
        <f t="shared" si="38"/>
        <v>0</v>
      </c>
      <c r="K420" s="153">
        <f t="shared" si="39"/>
        <v>0</v>
      </c>
    </row>
    <row r="421" spans="2:11" ht="20.100000000000001" customHeight="1">
      <c r="B421" s="123"/>
      <c r="C421" s="124"/>
      <c r="D421" s="125"/>
      <c r="E421" s="125"/>
      <c r="F421" s="116"/>
      <c r="G421" s="151" t="str">
        <f t="shared" si="36"/>
        <v/>
      </c>
      <c r="H421" s="152">
        <f t="shared" si="40"/>
        <v>0</v>
      </c>
      <c r="I421" s="153">
        <f t="shared" si="37"/>
        <v>0</v>
      </c>
      <c r="J421" s="153">
        <f t="shared" si="38"/>
        <v>0</v>
      </c>
      <c r="K421" s="153">
        <f t="shared" si="39"/>
        <v>0</v>
      </c>
    </row>
    <row r="422" spans="2:11" ht="20.100000000000001" customHeight="1">
      <c r="B422" s="123"/>
      <c r="C422" s="124"/>
      <c r="D422" s="125"/>
      <c r="E422" s="125"/>
      <c r="F422" s="116"/>
      <c r="G422" s="151" t="str">
        <f t="shared" si="36"/>
        <v/>
      </c>
      <c r="H422" s="152">
        <f t="shared" si="40"/>
        <v>0</v>
      </c>
      <c r="I422" s="153">
        <f t="shared" si="37"/>
        <v>0</v>
      </c>
      <c r="J422" s="153">
        <f t="shared" si="38"/>
        <v>0</v>
      </c>
      <c r="K422" s="153">
        <f t="shared" si="39"/>
        <v>0</v>
      </c>
    </row>
    <row r="423" spans="2:11" ht="20.100000000000001" customHeight="1">
      <c r="B423" s="123"/>
      <c r="C423" s="124"/>
      <c r="D423" s="125"/>
      <c r="E423" s="125"/>
      <c r="F423" s="116"/>
      <c r="G423" s="151" t="str">
        <f t="shared" si="36"/>
        <v/>
      </c>
      <c r="H423" s="152">
        <f t="shared" si="40"/>
        <v>0</v>
      </c>
      <c r="I423" s="153">
        <f t="shared" si="37"/>
        <v>0</v>
      </c>
      <c r="J423" s="153">
        <f t="shared" si="38"/>
        <v>0</v>
      </c>
      <c r="K423" s="153">
        <f t="shared" si="39"/>
        <v>0</v>
      </c>
    </row>
    <row r="424" spans="2:11" ht="20.100000000000001" customHeight="1">
      <c r="B424" s="123"/>
      <c r="C424" s="124"/>
      <c r="D424" s="125"/>
      <c r="E424" s="125"/>
      <c r="F424" s="116"/>
      <c r="G424" s="151" t="str">
        <f t="shared" si="36"/>
        <v/>
      </c>
      <c r="H424" s="152">
        <f t="shared" si="40"/>
        <v>0</v>
      </c>
      <c r="I424" s="153">
        <f t="shared" si="37"/>
        <v>0</v>
      </c>
      <c r="J424" s="153">
        <f t="shared" si="38"/>
        <v>0</v>
      </c>
      <c r="K424" s="153">
        <f t="shared" si="39"/>
        <v>0</v>
      </c>
    </row>
    <row r="425" spans="2:11" ht="20.100000000000001" customHeight="1">
      <c r="B425" s="123"/>
      <c r="C425" s="124"/>
      <c r="D425" s="125"/>
      <c r="E425" s="125"/>
      <c r="F425" s="116"/>
      <c r="G425" s="151" t="str">
        <f t="shared" si="36"/>
        <v/>
      </c>
      <c r="H425" s="152">
        <f t="shared" si="40"/>
        <v>0</v>
      </c>
      <c r="I425" s="153">
        <f t="shared" si="37"/>
        <v>0</v>
      </c>
      <c r="J425" s="153">
        <f t="shared" si="38"/>
        <v>0</v>
      </c>
      <c r="K425" s="153">
        <f t="shared" si="39"/>
        <v>0</v>
      </c>
    </row>
    <row r="426" spans="2:11" ht="20.100000000000001" customHeight="1">
      <c r="B426" s="123"/>
      <c r="C426" s="124"/>
      <c r="D426" s="125"/>
      <c r="E426" s="125"/>
      <c r="F426" s="116"/>
      <c r="G426" s="151" t="str">
        <f t="shared" si="36"/>
        <v/>
      </c>
      <c r="H426" s="152">
        <f t="shared" si="40"/>
        <v>0</v>
      </c>
      <c r="I426" s="153">
        <f t="shared" si="37"/>
        <v>0</v>
      </c>
      <c r="J426" s="153">
        <f t="shared" si="38"/>
        <v>0</v>
      </c>
      <c r="K426" s="153">
        <f t="shared" si="39"/>
        <v>0</v>
      </c>
    </row>
    <row r="427" spans="2:11" ht="20.100000000000001" customHeight="1">
      <c r="B427" s="123"/>
      <c r="C427" s="124"/>
      <c r="D427" s="125"/>
      <c r="E427" s="125"/>
      <c r="F427" s="116"/>
      <c r="G427" s="151" t="str">
        <f t="shared" si="36"/>
        <v/>
      </c>
      <c r="H427" s="152">
        <f t="shared" si="40"/>
        <v>0</v>
      </c>
      <c r="I427" s="153">
        <f t="shared" si="37"/>
        <v>0</v>
      </c>
      <c r="J427" s="153">
        <f t="shared" si="38"/>
        <v>0</v>
      </c>
      <c r="K427" s="153">
        <f t="shared" si="39"/>
        <v>0</v>
      </c>
    </row>
    <row r="428" spans="2:11" ht="20.100000000000001" customHeight="1">
      <c r="B428" s="123"/>
      <c r="C428" s="124"/>
      <c r="D428" s="125"/>
      <c r="E428" s="125"/>
      <c r="F428" s="116"/>
      <c r="G428" s="151" t="str">
        <f t="shared" si="36"/>
        <v/>
      </c>
      <c r="H428" s="152">
        <f t="shared" si="40"/>
        <v>0</v>
      </c>
      <c r="I428" s="153">
        <f t="shared" si="37"/>
        <v>0</v>
      </c>
      <c r="J428" s="153">
        <f t="shared" si="38"/>
        <v>0</v>
      </c>
      <c r="K428" s="153">
        <f t="shared" si="39"/>
        <v>0</v>
      </c>
    </row>
    <row r="429" spans="2:11" ht="20.100000000000001" customHeight="1">
      <c r="B429" s="123"/>
      <c r="C429" s="124"/>
      <c r="D429" s="125"/>
      <c r="E429" s="125"/>
      <c r="F429" s="116"/>
      <c r="G429" s="151" t="str">
        <f t="shared" si="36"/>
        <v/>
      </c>
      <c r="H429" s="152">
        <f t="shared" si="40"/>
        <v>0</v>
      </c>
      <c r="I429" s="153">
        <f t="shared" si="37"/>
        <v>0</v>
      </c>
      <c r="J429" s="153">
        <f t="shared" si="38"/>
        <v>0</v>
      </c>
      <c r="K429" s="153">
        <f t="shared" si="39"/>
        <v>0</v>
      </c>
    </row>
    <row r="430" spans="2:11" ht="20.100000000000001" customHeight="1">
      <c r="B430" s="123"/>
      <c r="C430" s="124"/>
      <c r="D430" s="125"/>
      <c r="E430" s="125"/>
      <c r="F430" s="116"/>
      <c r="G430" s="151" t="str">
        <f t="shared" si="36"/>
        <v/>
      </c>
      <c r="H430" s="152">
        <f t="shared" si="40"/>
        <v>0</v>
      </c>
      <c r="I430" s="153">
        <f t="shared" si="37"/>
        <v>0</v>
      </c>
      <c r="J430" s="153">
        <f t="shared" si="38"/>
        <v>0</v>
      </c>
      <c r="K430" s="153">
        <f t="shared" si="39"/>
        <v>0</v>
      </c>
    </row>
    <row r="431" spans="2:11" ht="20.100000000000001" customHeight="1">
      <c r="B431" s="123"/>
      <c r="C431" s="124"/>
      <c r="D431" s="125"/>
      <c r="E431" s="125"/>
      <c r="F431" s="116"/>
      <c r="G431" s="151" t="str">
        <f t="shared" si="36"/>
        <v/>
      </c>
      <c r="H431" s="152">
        <f t="shared" si="40"/>
        <v>0</v>
      </c>
      <c r="I431" s="153">
        <f t="shared" si="37"/>
        <v>0</v>
      </c>
      <c r="J431" s="153">
        <f t="shared" si="38"/>
        <v>0</v>
      </c>
      <c r="K431" s="153">
        <f t="shared" si="39"/>
        <v>0</v>
      </c>
    </row>
    <row r="432" spans="2:11" ht="20.100000000000001" customHeight="1">
      <c r="B432" s="123"/>
      <c r="C432" s="124"/>
      <c r="D432" s="125"/>
      <c r="E432" s="125"/>
      <c r="F432" s="116"/>
      <c r="G432" s="151" t="str">
        <f t="shared" si="36"/>
        <v/>
      </c>
      <c r="H432" s="152">
        <f t="shared" si="40"/>
        <v>0</v>
      </c>
      <c r="I432" s="153">
        <f t="shared" si="37"/>
        <v>0</v>
      </c>
      <c r="J432" s="153">
        <f t="shared" si="38"/>
        <v>0</v>
      </c>
      <c r="K432" s="153">
        <f t="shared" si="39"/>
        <v>0</v>
      </c>
    </row>
    <row r="433" spans="2:11" ht="20.100000000000001" customHeight="1">
      <c r="B433" s="123"/>
      <c r="C433" s="124"/>
      <c r="D433" s="125"/>
      <c r="E433" s="125"/>
      <c r="F433" s="116"/>
      <c r="G433" s="151" t="str">
        <f t="shared" si="36"/>
        <v/>
      </c>
      <c r="H433" s="152">
        <f t="shared" si="40"/>
        <v>0</v>
      </c>
      <c r="I433" s="153">
        <f t="shared" si="37"/>
        <v>0</v>
      </c>
      <c r="J433" s="153">
        <f t="shared" si="38"/>
        <v>0</v>
      </c>
      <c r="K433" s="153">
        <f t="shared" si="39"/>
        <v>0</v>
      </c>
    </row>
    <row r="434" spans="2:11" ht="20.100000000000001" customHeight="1">
      <c r="B434" s="123"/>
      <c r="C434" s="124"/>
      <c r="D434" s="125"/>
      <c r="E434" s="125"/>
      <c r="F434" s="116"/>
      <c r="G434" s="151" t="str">
        <f t="shared" si="36"/>
        <v/>
      </c>
      <c r="H434" s="152">
        <f t="shared" si="40"/>
        <v>0</v>
      </c>
      <c r="I434" s="153">
        <f t="shared" si="37"/>
        <v>0</v>
      </c>
      <c r="J434" s="153">
        <f t="shared" si="38"/>
        <v>0</v>
      </c>
      <c r="K434" s="153">
        <f t="shared" si="39"/>
        <v>0</v>
      </c>
    </row>
    <row r="435" spans="2:11" ht="20.100000000000001" customHeight="1" thickBot="1">
      <c r="B435" s="126"/>
      <c r="C435" s="127"/>
      <c r="D435" s="128"/>
      <c r="E435" s="128"/>
      <c r="F435" s="119"/>
      <c r="G435" s="151" t="str">
        <f t="shared" si="36"/>
        <v/>
      </c>
      <c r="H435" s="152">
        <f t="shared" si="40"/>
        <v>0</v>
      </c>
      <c r="I435" s="153">
        <f t="shared" si="37"/>
        <v>0</v>
      </c>
      <c r="J435" s="153">
        <f t="shared" si="38"/>
        <v>0</v>
      </c>
      <c r="K435" s="153">
        <f t="shared" si="39"/>
        <v>0</v>
      </c>
    </row>
  </sheetData>
  <sheetProtection algorithmName="SHA-512" hashValue="WOUcM5eBj9F6MiFKVaplSv2jLN/tc3wvELwxyg99fLCQ3r2fpE76O+2v2tS8VI81Uz9r1Q/J6KVOZu1tHDJd6w==" saltValue="uECjHub/rd4e3BKG9irYMA==" spinCount="100000" sheet="1" objects="1" scenarios="1"/>
  <customSheetViews>
    <customSheetView guid="{BA12A2B5-8B2E-47CE-85C5-00A71CD7042B}" scale="85" showGridLines="0" showRowCol="0" fitToPage="1" hiddenColumns="1">
      <selection activeCell="B8" sqref="B8:C8"/>
      <pageMargins left="0" right="0" top="0" bottom="0" header="0" footer="0"/>
      <pageSetup paperSize="9" scale="12" orientation="portrait" r:id="rId1"/>
    </customSheetView>
    <customSheetView guid="{6E4579C3-98CA-4325-AF39-19A629870080}" scale="85" showGridLines="0" showRowCol="0" fitToPage="1" hiddenColumns="1">
      <selection activeCell="B3" sqref="B3"/>
      <pageMargins left="0" right="0" top="0" bottom="0" header="0" footer="0"/>
      <pageSetup paperSize="9" scale="12" orientation="portrait" r:id="rId2"/>
    </customSheetView>
    <customSheetView guid="{BC75B7F8-7A05-4F92-B953-0DB7EDA000F8}" scale="85" showGridLines="0" showRowCol="0" fitToPage="1" hiddenColumns="1">
      <selection activeCell="B11" sqref="B11:C13"/>
      <pageMargins left="0" right="0" top="0" bottom="0" header="0" footer="0"/>
      <pageSetup paperSize="9" scale="12" orientation="portrait" r:id="rId3"/>
    </customSheetView>
    <customSheetView guid="{BF159B5C-C230-4B3A-8DDE-333808894C93}" scale="85" showGridLines="0" showRowCol="0" fitToPage="1" hiddenColumns="1" topLeftCell="A415">
      <selection activeCell="A8" sqref="A8"/>
      <pageMargins left="0" right="0" top="0" bottom="0" header="0" footer="0"/>
      <pageSetup paperSize="9" scale="12" orientation="portrait" r:id="rId4"/>
    </customSheetView>
  </customSheetViews>
  <mergeCells count="38">
    <mergeCell ref="H21:J21"/>
    <mergeCell ref="B30:D30"/>
    <mergeCell ref="B34:B35"/>
    <mergeCell ref="C34:E34"/>
    <mergeCell ref="B21:B22"/>
    <mergeCell ref="C21:C22"/>
    <mergeCell ref="D21:D22"/>
    <mergeCell ref="E21:G21"/>
    <mergeCell ref="F392:I392"/>
    <mergeCell ref="E393:E394"/>
    <mergeCell ref="F393:I394"/>
    <mergeCell ref="F109:I109"/>
    <mergeCell ref="E110:E111"/>
    <mergeCell ref="F110:I111"/>
    <mergeCell ref="F156:I156"/>
    <mergeCell ref="E157:E158"/>
    <mergeCell ref="F157:I158"/>
    <mergeCell ref="F203:I203"/>
    <mergeCell ref="E204:E205"/>
    <mergeCell ref="F204:I205"/>
    <mergeCell ref="E346:E347"/>
    <mergeCell ref="F346:I347"/>
    <mergeCell ref="F251:I251"/>
    <mergeCell ref="E252:E253"/>
    <mergeCell ref="F252:I253"/>
    <mergeCell ref="F298:I298"/>
    <mergeCell ref="E299:E300"/>
    <mergeCell ref="F299:I300"/>
    <mergeCell ref="F345:I345"/>
    <mergeCell ref="D15:F15"/>
    <mergeCell ref="D16:F16"/>
    <mergeCell ref="D17:F17"/>
    <mergeCell ref="C8:D8"/>
    <mergeCell ref="C9:D9"/>
    <mergeCell ref="C10:D10"/>
    <mergeCell ref="C11:D11"/>
    <mergeCell ref="C12:D12"/>
    <mergeCell ref="C13:D13"/>
  </mergeCells>
  <dataValidations count="4">
    <dataValidation type="list" allowBlank="1" showInputMessage="1" showErrorMessage="1" sqref="C16" xr:uid="{00000000-0002-0000-0600-000000000000}">
      <formula1>ANZSIC</formula1>
    </dataValidation>
    <dataValidation type="list" allowBlank="1" showInputMessage="1" showErrorMessage="1" sqref="C15" xr:uid="{00000000-0002-0000-0600-000001000000}">
      <formula1>BldUse</formula1>
    </dataValidation>
    <dataValidation type="list" allowBlank="1" showInputMessage="1" showErrorMessage="1" sqref="C13" xr:uid="{00000000-0002-0000-0600-000002000000}">
      <formula1>Metro</formula1>
    </dataValidation>
    <dataValidation type="list" allowBlank="1" showInputMessage="1" showErrorMessage="1" sqref="C12" xr:uid="{00000000-0002-0000-0600-000003000000}">
      <formula1>STATES</formula1>
    </dataValidation>
  </dataValidations>
  <pageMargins left="0.70866141732283472" right="0.70866141732283472" top="0.74803149606299213" bottom="0.74803149606299213" header="0.31496062992125984" footer="0.31496062992125984"/>
  <pageSetup paperSize="9" scale="12" orientation="portrait" r:id="rId5"/>
  <drawing r:id="rId6"/>
  <legacyDrawingHF r:id="rId7"/>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tabColor theme="0"/>
    <pageSetUpPr fitToPage="1"/>
  </sheetPr>
  <dimension ref="A1:T370"/>
  <sheetViews>
    <sheetView showGridLines="0" zoomScale="90" zoomScaleNormal="90" zoomScaleSheetLayoutView="85" workbookViewId="0">
      <selection activeCell="A3" sqref="A3"/>
    </sheetView>
  </sheetViews>
  <sheetFormatPr defaultColWidth="10.6640625" defaultRowHeight="13.2"/>
  <cols>
    <col min="1" max="1" width="5.6640625" style="11" customWidth="1"/>
    <col min="2" max="2" width="38.33203125" style="11" customWidth="1"/>
    <col min="3" max="4" width="15.6640625" style="11" customWidth="1"/>
    <col min="5" max="5" width="15.6640625" style="14" customWidth="1"/>
    <col min="6" max="12" width="15.6640625" style="11" customWidth="1"/>
    <col min="13" max="13" width="14.6640625" style="11" customWidth="1"/>
    <col min="14" max="16" width="10.6640625" style="11" customWidth="1"/>
    <col min="17" max="17" width="51.33203125" style="11" bestFit="1" customWidth="1"/>
    <col min="18" max="18" width="20.6640625" style="11" customWidth="1"/>
    <col min="19" max="19" width="10.6640625" style="11" customWidth="1"/>
    <col min="20" max="20" width="56.33203125" style="11" bestFit="1" customWidth="1"/>
    <col min="21" max="23" width="10.6640625" style="11" customWidth="1"/>
    <col min="24" max="16384" width="10.6640625" style="11"/>
  </cols>
  <sheetData>
    <row r="1" spans="2:20" ht="72" customHeight="1">
      <c r="E1" s="11"/>
      <c r="Q1" s="11" t="s">
        <v>44</v>
      </c>
      <c r="R1" s="11" t="s">
        <v>44</v>
      </c>
      <c r="S1" s="11" t="s">
        <v>44</v>
      </c>
      <c r="T1" s="11" t="s">
        <v>44</v>
      </c>
    </row>
    <row r="2" spans="2:20" ht="12.75" customHeight="1">
      <c r="E2" s="11"/>
    </row>
    <row r="3" spans="2:20" s="315" customFormat="1" ht="33.75" customHeight="1">
      <c r="B3" s="180" t="s">
        <v>1265</v>
      </c>
      <c r="C3" s="180"/>
      <c r="D3" s="180"/>
      <c r="E3" s="180"/>
      <c r="F3" s="180"/>
      <c r="G3" s="180"/>
      <c r="H3" s="180"/>
      <c r="I3" s="180"/>
      <c r="J3" s="180"/>
      <c r="K3" s="180"/>
      <c r="L3" s="180"/>
      <c r="M3" s="180"/>
    </row>
    <row r="4" spans="2:20" ht="16.5" customHeight="1">
      <c r="E4" s="11"/>
      <c r="H4" s="14"/>
      <c r="I4" s="14"/>
      <c r="J4" s="14"/>
      <c r="K4" s="14"/>
      <c r="L4" s="14"/>
      <c r="M4" s="14"/>
    </row>
    <row r="5" spans="2:20" ht="15.6">
      <c r="B5" s="316" t="s">
        <v>1266</v>
      </c>
      <c r="C5" s="316"/>
      <c r="D5" s="316"/>
      <c r="E5" s="316"/>
      <c r="F5" s="316"/>
      <c r="G5" s="316"/>
      <c r="H5" s="316"/>
      <c r="I5" s="316"/>
      <c r="J5" s="316"/>
      <c r="K5" s="316"/>
      <c r="L5" s="316"/>
      <c r="M5" s="316"/>
    </row>
    <row r="6" spans="2:20">
      <c r="E6" s="11"/>
    </row>
    <row r="7" spans="2:20" ht="15.6">
      <c r="B7" s="316" t="s">
        <v>1267</v>
      </c>
      <c r="C7" s="316"/>
      <c r="D7" s="316"/>
      <c r="E7" s="316"/>
      <c r="F7" s="316"/>
      <c r="G7" s="316"/>
      <c r="H7" s="316"/>
      <c r="I7" s="316"/>
      <c r="J7" s="316"/>
      <c r="K7" s="316"/>
      <c r="L7" s="316"/>
      <c r="M7" s="316"/>
    </row>
    <row r="8" spans="2:20">
      <c r="E8" s="11"/>
    </row>
    <row r="9" spans="2:20" ht="12.75" customHeight="1">
      <c r="B9" s="639" t="s">
        <v>1268</v>
      </c>
      <c r="C9" s="78" t="s">
        <v>1269</v>
      </c>
      <c r="D9" s="639" t="s">
        <v>1270</v>
      </c>
      <c r="E9" s="639"/>
      <c r="F9" s="639"/>
      <c r="G9" s="639" t="s">
        <v>1271</v>
      </c>
      <c r="H9" s="639"/>
      <c r="I9" s="639"/>
      <c r="J9" s="639" t="s">
        <v>1272</v>
      </c>
      <c r="K9" s="639"/>
      <c r="L9" s="639"/>
    </row>
    <row r="10" spans="2:20">
      <c r="B10" s="639"/>
      <c r="C10" s="245">
        <f>'15C Building Details'!C8</f>
        <v>0</v>
      </c>
      <c r="D10" s="245" t="s">
        <v>1243</v>
      </c>
      <c r="E10" s="245" t="s">
        <v>1244</v>
      </c>
      <c r="F10" s="245" t="s">
        <v>1245</v>
      </c>
      <c r="G10" s="373" t="s">
        <v>1243</v>
      </c>
      <c r="H10" s="373" t="s">
        <v>1244</v>
      </c>
      <c r="I10" s="373" t="s">
        <v>1245</v>
      </c>
      <c r="J10" s="373" t="s">
        <v>1243</v>
      </c>
      <c r="K10" s="373" t="s">
        <v>1244</v>
      </c>
      <c r="L10" s="373" t="s">
        <v>1245</v>
      </c>
    </row>
    <row r="11" spans="2:20">
      <c r="B11" s="96" t="s">
        <v>1273</v>
      </c>
      <c r="C11" s="98">
        <f>'15C Building Details'!H13</f>
        <v>0</v>
      </c>
      <c r="D11" s="372">
        <f>'15C Baseline Bldg 1'!H11</f>
        <v>0</v>
      </c>
      <c r="E11" s="372">
        <f>'15C Baseline Bldg 1'!I11</f>
        <v>0</v>
      </c>
      <c r="F11" s="372">
        <f>'15C Baseline Bldg 1'!J11</f>
        <v>0</v>
      </c>
      <c r="G11" s="372">
        <f>'15C Baseline Bldg 2'!H11</f>
        <v>0</v>
      </c>
      <c r="H11" s="372">
        <f>'15C Baseline Bldg 2'!I11</f>
        <v>0</v>
      </c>
      <c r="I11" s="372">
        <f>'15C Baseline Bldg 2'!J11</f>
        <v>0</v>
      </c>
      <c r="J11" s="372">
        <f>'15C Baseline Bldg 3'!H11</f>
        <v>0</v>
      </c>
      <c r="K11" s="372">
        <f>'15C Baseline Bldg 3'!I11</f>
        <v>0</v>
      </c>
      <c r="L11" s="372">
        <f>'15C Baseline Bldg 3'!J11</f>
        <v>0</v>
      </c>
    </row>
    <row r="12" spans="2:20">
      <c r="B12" s="96" t="s">
        <v>1274</v>
      </c>
      <c r="C12" s="98">
        <f>'15C Building Details'!C13</f>
        <v>0</v>
      </c>
      <c r="D12" s="83">
        <f>'15C Baseline Bldg 1'!$C$12</f>
        <v>0</v>
      </c>
      <c r="E12" s="83">
        <f>'15C Baseline Bldg 1'!$C$12</f>
        <v>0</v>
      </c>
      <c r="F12" s="83">
        <f>'15C Baseline Bldg 1'!$C$12</f>
        <v>0</v>
      </c>
      <c r="G12" s="98">
        <f>'15C Baseline Bldg 2'!$C$12</f>
        <v>0</v>
      </c>
      <c r="H12" s="98">
        <f>'15C Baseline Bldg 2'!$C$12</f>
        <v>0</v>
      </c>
      <c r="I12" s="98">
        <f>'15C Baseline Bldg 2'!$C$12</f>
        <v>0</v>
      </c>
      <c r="J12" s="98">
        <f>'15C Baseline Bldg 3'!$C$12</f>
        <v>0</v>
      </c>
      <c r="K12" s="98">
        <f>'15C Baseline Bldg 3'!$C$12</f>
        <v>0</v>
      </c>
      <c r="L12" s="98">
        <f>'15C Baseline Bldg 3'!$C$12</f>
        <v>0</v>
      </c>
    </row>
    <row r="13" spans="2:20">
      <c r="B13" s="96" t="s">
        <v>1275</v>
      </c>
      <c r="C13" s="98">
        <f>'15C Building Details'!C14</f>
        <v>0</v>
      </c>
      <c r="D13" s="83">
        <f>'15C Baseline Bldg 1'!$C$13</f>
        <v>0</v>
      </c>
      <c r="E13" s="83">
        <f>'15C Baseline Bldg 1'!$C$13</f>
        <v>0</v>
      </c>
      <c r="F13" s="83">
        <f>'15C Baseline Bldg 1'!$C$13</f>
        <v>0</v>
      </c>
      <c r="G13" s="98">
        <f>'15C Baseline Bldg 2'!$C$13</f>
        <v>0</v>
      </c>
      <c r="H13" s="98">
        <f>'15C Baseline Bldg 2'!$C$13</f>
        <v>0</v>
      </c>
      <c r="I13" s="98">
        <f>'15C Baseline Bldg 2'!$C$13</f>
        <v>0</v>
      </c>
      <c r="J13" s="98">
        <f>'15C Baseline Bldg 3'!$C$13</f>
        <v>0</v>
      </c>
      <c r="K13" s="98">
        <f>'15C Baseline Bldg 3'!$C$13</f>
        <v>0</v>
      </c>
      <c r="L13" s="98">
        <f>'15C Baseline Bldg 3'!$C$13</f>
        <v>0</v>
      </c>
    </row>
    <row r="14" spans="2:20">
      <c r="B14" s="96" t="s">
        <v>1276</v>
      </c>
      <c r="C14" s="98">
        <f>'15C Building Details'!C16</f>
        <v>0</v>
      </c>
      <c r="D14" s="372">
        <f>'15C Baseline Bldg 1'!$C$15</f>
        <v>0</v>
      </c>
      <c r="E14" s="372">
        <f>'15C Baseline Bldg 1'!$C$15</f>
        <v>0</v>
      </c>
      <c r="F14" s="372">
        <f>'15C Baseline Bldg 1'!$C$15</f>
        <v>0</v>
      </c>
      <c r="G14" s="98">
        <f>'15C Baseline Bldg 2'!$C$15</f>
        <v>0</v>
      </c>
      <c r="H14" s="98">
        <f>'15C Baseline Bldg 2'!$C$15</f>
        <v>0</v>
      </c>
      <c r="I14" s="98">
        <f>'15C Baseline Bldg 2'!$C$15</f>
        <v>0</v>
      </c>
      <c r="J14" s="98">
        <f>'15C Baseline Bldg 3'!$C$15</f>
        <v>0</v>
      </c>
      <c r="K14" s="98">
        <f>'15C Baseline Bldg 3'!$C$15</f>
        <v>0</v>
      </c>
      <c r="L14" s="98">
        <f>'15C Baseline Bldg 3'!$C$15</f>
        <v>0</v>
      </c>
    </row>
    <row r="15" spans="2:20">
      <c r="B15" s="30"/>
      <c r="C15" s="30"/>
      <c r="D15" s="30"/>
      <c r="E15" s="30"/>
      <c r="F15" s="30"/>
      <c r="G15" s="30"/>
      <c r="H15" s="30"/>
      <c r="I15" s="30"/>
    </row>
    <row r="16" spans="2:20" ht="12.75" customHeight="1">
      <c r="B16" s="613" t="s">
        <v>1277</v>
      </c>
      <c r="C16" s="610" t="s">
        <v>1278</v>
      </c>
      <c r="D16" s="611"/>
      <c r="E16" s="611"/>
      <c r="F16" s="611"/>
      <c r="G16" s="611"/>
      <c r="H16" s="611"/>
      <c r="I16" s="611"/>
      <c r="J16" s="611"/>
      <c r="K16" s="611"/>
      <c r="L16" s="612"/>
    </row>
    <row r="17" spans="2:13" ht="13.8" thickBot="1">
      <c r="B17" s="634"/>
      <c r="C17" s="175" t="str">
        <f>C9</f>
        <v>Rated Building</v>
      </c>
      <c r="D17" s="175" t="s">
        <v>1243</v>
      </c>
      <c r="E17" s="175" t="s">
        <v>1244</v>
      </c>
      <c r="F17" s="175" t="s">
        <v>1245</v>
      </c>
      <c r="G17" s="175" t="s">
        <v>1243</v>
      </c>
      <c r="H17" s="175" t="s">
        <v>1244</v>
      </c>
      <c r="I17" s="175" t="s">
        <v>1245</v>
      </c>
      <c r="J17" s="175" t="s">
        <v>1243</v>
      </c>
      <c r="K17" s="175" t="s">
        <v>1244</v>
      </c>
      <c r="L17" s="175" t="s">
        <v>1245</v>
      </c>
    </row>
    <row r="18" spans="2:13">
      <c r="B18" s="375" t="s">
        <v>1279</v>
      </c>
      <c r="C18" s="434"/>
      <c r="D18" s="376"/>
      <c r="E18" s="376"/>
      <c r="F18" s="376"/>
      <c r="G18" s="376"/>
      <c r="H18" s="376"/>
      <c r="I18" s="376"/>
      <c r="J18" s="376"/>
      <c r="K18" s="376"/>
      <c r="L18" s="377"/>
    </row>
    <row r="19" spans="2:13">
      <c r="B19" s="378" t="s">
        <v>1280</v>
      </c>
      <c r="C19" s="435"/>
      <c r="D19" s="374"/>
      <c r="E19" s="374"/>
      <c r="F19" s="374"/>
      <c r="G19" s="374"/>
      <c r="H19" s="374"/>
      <c r="I19" s="374"/>
      <c r="J19" s="374"/>
      <c r="K19" s="374"/>
      <c r="L19" s="379"/>
    </row>
    <row r="20" spans="2:13">
      <c r="B20" s="378" t="s">
        <v>1281</v>
      </c>
      <c r="C20" s="435"/>
      <c r="D20" s="374"/>
      <c r="E20" s="374"/>
      <c r="F20" s="374"/>
      <c r="G20" s="374"/>
      <c r="H20" s="374"/>
      <c r="I20" s="374"/>
      <c r="J20" s="374"/>
      <c r="K20" s="374"/>
      <c r="L20" s="379"/>
    </row>
    <row r="21" spans="2:13">
      <c r="B21" s="378" t="s">
        <v>1282</v>
      </c>
      <c r="C21" s="435"/>
      <c r="D21" s="374"/>
      <c r="E21" s="374"/>
      <c r="F21" s="374"/>
      <c r="G21" s="374"/>
      <c r="H21" s="374"/>
      <c r="I21" s="374"/>
      <c r="J21" s="374"/>
      <c r="K21" s="374"/>
      <c r="L21" s="379"/>
    </row>
    <row r="22" spans="2:13">
      <c r="B22" s="378" t="s">
        <v>1283</v>
      </c>
      <c r="C22" s="435"/>
      <c r="D22" s="374"/>
      <c r="E22" s="374"/>
      <c r="F22" s="374"/>
      <c r="G22" s="374"/>
      <c r="H22" s="374"/>
      <c r="I22" s="374"/>
      <c r="J22" s="374"/>
      <c r="K22" s="374"/>
      <c r="L22" s="379"/>
    </row>
    <row r="23" spans="2:13">
      <c r="B23" s="378" t="s">
        <v>1284</v>
      </c>
      <c r="C23" s="435"/>
      <c r="D23" s="374"/>
      <c r="E23" s="374"/>
      <c r="F23" s="374"/>
      <c r="G23" s="374"/>
      <c r="H23" s="374"/>
      <c r="I23" s="374"/>
      <c r="J23" s="374"/>
      <c r="K23" s="374"/>
      <c r="L23" s="379"/>
    </row>
    <row r="24" spans="2:13">
      <c r="B24" s="378"/>
      <c r="C24" s="435"/>
      <c r="D24" s="374"/>
      <c r="E24" s="374"/>
      <c r="F24" s="374"/>
      <c r="G24" s="374"/>
      <c r="H24" s="374"/>
      <c r="I24" s="374"/>
      <c r="J24" s="374"/>
      <c r="K24" s="374"/>
      <c r="L24" s="379"/>
    </row>
    <row r="25" spans="2:13">
      <c r="B25" s="378"/>
      <c r="C25" s="435"/>
      <c r="D25" s="374"/>
      <c r="E25" s="374"/>
      <c r="F25" s="374"/>
      <c r="G25" s="374"/>
      <c r="H25" s="374"/>
      <c r="I25" s="374"/>
      <c r="J25" s="374"/>
      <c r="K25" s="374"/>
      <c r="L25" s="379"/>
    </row>
    <row r="26" spans="2:13">
      <c r="B26" s="378"/>
      <c r="C26" s="435"/>
      <c r="D26" s="374"/>
      <c r="E26" s="374"/>
      <c r="F26" s="374"/>
      <c r="G26" s="374"/>
      <c r="H26" s="374"/>
      <c r="I26" s="374"/>
      <c r="J26" s="374"/>
      <c r="K26" s="374"/>
      <c r="L26" s="379"/>
    </row>
    <row r="27" spans="2:13">
      <c r="B27" s="378"/>
      <c r="C27" s="435"/>
      <c r="D27" s="374"/>
      <c r="E27" s="374"/>
      <c r="F27" s="374"/>
      <c r="G27" s="374"/>
      <c r="H27" s="374"/>
      <c r="I27" s="374"/>
      <c r="J27" s="374"/>
      <c r="K27" s="374"/>
      <c r="L27" s="379"/>
    </row>
    <row r="28" spans="2:13">
      <c r="B28" s="378"/>
      <c r="C28" s="435"/>
      <c r="D28" s="374"/>
      <c r="E28" s="374"/>
      <c r="F28" s="374"/>
      <c r="G28" s="374"/>
      <c r="H28" s="374"/>
      <c r="I28" s="374"/>
      <c r="J28" s="374"/>
      <c r="K28" s="374"/>
      <c r="L28" s="379"/>
    </row>
    <row r="29" spans="2:13">
      <c r="B29" s="378"/>
      <c r="C29" s="435"/>
      <c r="D29" s="374"/>
      <c r="E29" s="374"/>
      <c r="F29" s="374"/>
      <c r="G29" s="374"/>
      <c r="H29" s="374"/>
      <c r="I29" s="374"/>
      <c r="J29" s="374"/>
      <c r="K29" s="374"/>
      <c r="L29" s="379"/>
      <c r="M29" s="14"/>
    </row>
    <row r="30" spans="2:13">
      <c r="B30" s="378"/>
      <c r="C30" s="435"/>
      <c r="D30" s="374"/>
      <c r="E30" s="374"/>
      <c r="F30" s="374"/>
      <c r="G30" s="374"/>
      <c r="H30" s="374"/>
      <c r="I30" s="374"/>
      <c r="J30" s="374"/>
      <c r="K30" s="374"/>
      <c r="L30" s="379"/>
      <c r="M30" s="14"/>
    </row>
    <row r="31" spans="2:13">
      <c r="B31" s="378"/>
      <c r="C31" s="435"/>
      <c r="D31" s="374"/>
      <c r="E31" s="374"/>
      <c r="F31" s="374"/>
      <c r="G31" s="374"/>
      <c r="H31" s="374"/>
      <c r="I31" s="374"/>
      <c r="J31" s="374"/>
      <c r="K31" s="374"/>
      <c r="L31" s="379"/>
      <c r="M31" s="14"/>
    </row>
    <row r="32" spans="2:13">
      <c r="B32" s="378"/>
      <c r="C32" s="435"/>
      <c r="D32" s="374"/>
      <c r="E32" s="374"/>
      <c r="F32" s="374"/>
      <c r="G32" s="374"/>
      <c r="H32" s="374"/>
      <c r="I32" s="374"/>
      <c r="J32" s="374"/>
      <c r="K32" s="374"/>
      <c r="L32" s="379"/>
      <c r="M32" s="14"/>
    </row>
    <row r="33" spans="2:13">
      <c r="B33" s="378"/>
      <c r="C33" s="435"/>
      <c r="D33" s="374"/>
      <c r="E33" s="374"/>
      <c r="F33" s="374"/>
      <c r="G33" s="374"/>
      <c r="H33" s="374"/>
      <c r="I33" s="374"/>
      <c r="J33" s="374"/>
      <c r="K33" s="374"/>
      <c r="L33" s="379"/>
      <c r="M33" s="14"/>
    </row>
    <row r="34" spans="2:13" ht="13.8" thickBot="1">
      <c r="B34" s="380"/>
      <c r="C34" s="436"/>
      <c r="D34" s="381"/>
      <c r="E34" s="381"/>
      <c r="F34" s="381"/>
      <c r="G34" s="381"/>
      <c r="H34" s="381"/>
      <c r="I34" s="381"/>
      <c r="J34" s="381"/>
      <c r="K34" s="381"/>
      <c r="L34" s="382"/>
      <c r="M34" s="14"/>
    </row>
    <row r="35" spans="2:13" ht="13.8" thickBot="1">
      <c r="E35" s="11"/>
      <c r="J35" s="14"/>
      <c r="K35" s="14"/>
      <c r="L35" s="14"/>
      <c r="M35" s="14"/>
    </row>
    <row r="36" spans="2:13" ht="13.8" thickBot="1">
      <c r="B36" s="289" t="s">
        <v>1285</v>
      </c>
      <c r="C36" s="383" t="s">
        <v>1286</v>
      </c>
      <c r="D36" s="384" t="s">
        <v>1286</v>
      </c>
      <c r="E36" s="384" t="s">
        <v>1286</v>
      </c>
      <c r="F36" s="384" t="s">
        <v>1286</v>
      </c>
      <c r="G36" s="384" t="s">
        <v>1286</v>
      </c>
      <c r="H36" s="384" t="s">
        <v>1286</v>
      </c>
      <c r="I36" s="384" t="s">
        <v>1286</v>
      </c>
      <c r="J36" s="384" t="s">
        <v>1286</v>
      </c>
      <c r="K36" s="384" t="s">
        <v>1286</v>
      </c>
      <c r="L36" s="385" t="s">
        <v>1286</v>
      </c>
    </row>
    <row r="37" spans="2:13" ht="13.8" thickBot="1">
      <c r="E37" s="11"/>
    </row>
    <row r="38" spans="2:13" ht="13.8" thickBot="1">
      <c r="B38" s="289" t="s">
        <v>1287</v>
      </c>
      <c r="C38" s="383" t="s">
        <v>1286</v>
      </c>
      <c r="D38" s="384" t="s">
        <v>1286</v>
      </c>
      <c r="E38" s="384" t="s">
        <v>1286</v>
      </c>
      <c r="F38" s="384" t="s">
        <v>1286</v>
      </c>
      <c r="G38" s="384" t="s">
        <v>1286</v>
      </c>
      <c r="H38" s="384" t="s">
        <v>1286</v>
      </c>
      <c r="I38" s="384" t="s">
        <v>1286</v>
      </c>
      <c r="J38" s="384" t="s">
        <v>1286</v>
      </c>
      <c r="K38" s="384" t="s">
        <v>1286</v>
      </c>
      <c r="L38" s="385" t="s">
        <v>1286</v>
      </c>
    </row>
    <row r="39" spans="2:13">
      <c r="E39" s="11"/>
    </row>
    <row r="41" spans="2:13" ht="15.6">
      <c r="B41" s="316" t="s">
        <v>1288</v>
      </c>
      <c r="C41" s="316"/>
      <c r="D41" s="316"/>
      <c r="E41" s="316"/>
      <c r="F41" s="316"/>
      <c r="G41" s="316"/>
      <c r="H41" s="316"/>
      <c r="I41" s="316"/>
      <c r="J41" s="316"/>
      <c r="K41" s="316"/>
      <c r="L41" s="316"/>
      <c r="M41" s="316"/>
    </row>
    <row r="43" spans="2:13">
      <c r="B43" s="11" t="s">
        <v>1289</v>
      </c>
    </row>
    <row r="44" spans="2:13">
      <c r="E44" s="11"/>
    </row>
    <row r="45" spans="2:13" ht="12.75" customHeight="1">
      <c r="C45" s="610" t="s">
        <v>1290</v>
      </c>
      <c r="D45" s="611"/>
      <c r="E45" s="611"/>
      <c r="F45" s="611"/>
      <c r="G45" s="611"/>
      <c r="H45" s="611"/>
      <c r="I45" s="611"/>
      <c r="J45" s="611"/>
      <c r="K45" s="611"/>
      <c r="L45" s="611"/>
    </row>
    <row r="46" spans="2:13" ht="12.75" customHeight="1">
      <c r="B46" s="613" t="s">
        <v>360</v>
      </c>
      <c r="C46" s="613" t="s">
        <v>1269</v>
      </c>
      <c r="D46" s="635" t="str">
        <f>D9</f>
        <v>Comparable Building 1</v>
      </c>
      <c r="E46" s="611"/>
      <c r="F46" s="612"/>
      <c r="G46" s="635" t="str">
        <f>G9</f>
        <v>Comparable Building 2</v>
      </c>
      <c r="H46" s="611"/>
      <c r="I46" s="612"/>
      <c r="J46" s="635" t="str">
        <f>J9</f>
        <v>Comparable Building 3</v>
      </c>
      <c r="K46" s="611"/>
      <c r="L46" s="612"/>
    </row>
    <row r="47" spans="2:13">
      <c r="B47" s="614"/>
      <c r="C47" s="614"/>
      <c r="D47" s="78" t="s">
        <v>1243</v>
      </c>
      <c r="E47" s="78" t="s">
        <v>1244</v>
      </c>
      <c r="F47" s="78" t="s">
        <v>1245</v>
      </c>
      <c r="G47" s="78" t="s">
        <v>1243</v>
      </c>
      <c r="H47" s="78" t="s">
        <v>1244</v>
      </c>
      <c r="I47" s="78" t="s">
        <v>1245</v>
      </c>
      <c r="J47" s="78" t="s">
        <v>1243</v>
      </c>
      <c r="K47" s="78" t="s">
        <v>1244</v>
      </c>
      <c r="L47" s="78" t="s">
        <v>1245</v>
      </c>
    </row>
    <row r="48" spans="2:13">
      <c r="B48" s="96" t="str">
        <f>'15C Building Details'!C26</f>
        <v>Electricity</v>
      </c>
      <c r="C48" s="98">
        <f ca="1">SUMIF('15C Building Details'!$B$26:$D$36,$B48,'15C Building Details'!$D$26:$D$35)</f>
        <v>0</v>
      </c>
      <c r="D48" s="98">
        <f>SUMIF('15C Baseline Bldg 1'!$C$23:$C$29,$B48,'15C Baseline Bldg 1'!E$23:E$29)</f>
        <v>0</v>
      </c>
      <c r="E48" s="98">
        <f>SUMIF('15C Baseline Bldg 1'!$C$23:$C$29,$B48,'15C Baseline Bldg 1'!F$23:F$29)</f>
        <v>0</v>
      </c>
      <c r="F48" s="98">
        <f>SUMIF('15C Baseline Bldg 1'!$C$23:$C$29,$B48,'15C Baseline Bldg 1'!G$23:G$29)</f>
        <v>0</v>
      </c>
      <c r="G48" s="98">
        <f>SUMIF('15C Baseline Bldg 2'!$C$23:$C$29,$B48,'15C Baseline Bldg 2'!E$23:E$29)</f>
        <v>0</v>
      </c>
      <c r="H48" s="98">
        <f>SUMIF('15C Baseline Bldg 2'!$C$23:$C$29,$B48,'15C Baseline Bldg 2'!F$23:F$29)</f>
        <v>0</v>
      </c>
      <c r="I48" s="98">
        <f>SUMIF('15C Baseline Bldg 2'!$C$23:$C$29,$B48,'15C Baseline Bldg 2'!G$23:G$29)</f>
        <v>0</v>
      </c>
      <c r="J48" s="98">
        <f>SUMIF('15C Baseline Bldg 3'!$C$23:$C$29,$B48,'15C Baseline Bldg 3'!E$23:E$29)</f>
        <v>0</v>
      </c>
      <c r="K48" s="98">
        <f>SUMIF('15C Baseline Bldg 3'!$C$23:$C$29,$B48,'15C Baseline Bldg 3'!F$23:F$29)</f>
        <v>0</v>
      </c>
      <c r="L48" s="98">
        <f>SUMIF('15C Baseline Bldg 3'!$C$23:$C$29,$B48,'15C Baseline Bldg 3'!G$23:G$29)</f>
        <v>0</v>
      </c>
    </row>
    <row r="49" spans="2:12">
      <c r="B49" s="96" t="str">
        <f>'15C Building Details'!C27</f>
        <v>GreenPower</v>
      </c>
      <c r="C49" s="98">
        <f ca="1">SUMIF('15C Building Details'!$B$26:$D$36,$B49,'15C Building Details'!$D$26:$D$35)</f>
        <v>0</v>
      </c>
      <c r="D49" s="98">
        <f>SUMIF('15C Baseline Bldg 1'!$C$23:$C$29,$B49,'15C Baseline Bldg 1'!E$23:E$29)</f>
        <v>0</v>
      </c>
      <c r="E49" s="98">
        <f>SUMIF('15C Baseline Bldg 1'!$C$23:$C$29,$B49,'15C Baseline Bldg 1'!F$23:F$29)</f>
        <v>0</v>
      </c>
      <c r="F49" s="98">
        <f>SUMIF('15C Baseline Bldg 1'!$C$23:$C$29,$B49,'15C Baseline Bldg 1'!G$23:G$29)</f>
        <v>0</v>
      </c>
      <c r="G49" s="98">
        <f>SUMIF('15C Baseline Bldg 2'!$C$23:$C$29,$B49,'15C Baseline Bldg 2'!E$23:E$29)</f>
        <v>0</v>
      </c>
      <c r="H49" s="98">
        <f>SUMIF('15C Baseline Bldg 2'!$C$23:$C$29,$B49,'15C Baseline Bldg 2'!F$23:F$29)</f>
        <v>0</v>
      </c>
      <c r="I49" s="98">
        <f>SUMIF('15C Baseline Bldg 2'!$C$23:$C$29,$B49,'15C Baseline Bldg 2'!G$23:G$29)</f>
        <v>0</v>
      </c>
      <c r="J49" s="98">
        <f>SUMIF('15C Baseline Bldg 3'!$C$23:$C$29,$B49,'15C Baseline Bldg 3'!E$23:E$29)</f>
        <v>0</v>
      </c>
      <c r="K49" s="98">
        <f>SUMIF('15C Baseline Bldg 3'!$C$23:$C$29,$B49,'15C Baseline Bldg 3'!F$23:F$29)</f>
        <v>0</v>
      </c>
      <c r="L49" s="98">
        <f>SUMIF('15C Baseline Bldg 3'!$C$23:$C$29,$B49,'15C Baseline Bldg 3'!G$23:G$29)</f>
        <v>0</v>
      </c>
    </row>
    <row r="50" spans="2:12">
      <c r="B50" s="96" t="str">
        <f>'15C Building Details'!C28</f>
        <v>Natural gas distributed in a pipeline</v>
      </c>
      <c r="C50" s="98">
        <f ca="1">SUMIF('15C Building Details'!$B$26:$D$36,$B50,'15C Building Details'!$D$26:$D$35)</f>
        <v>0</v>
      </c>
      <c r="D50" s="98">
        <f>SUMIF('15C Baseline Bldg 1'!$C$23:$C$29,$B50,'15C Baseline Bldg 1'!E$23:E$29)</f>
        <v>0</v>
      </c>
      <c r="E50" s="98">
        <f>SUMIF('15C Baseline Bldg 1'!$C$23:$C$29,$B50,'15C Baseline Bldg 1'!F$23:F$29)</f>
        <v>0</v>
      </c>
      <c r="F50" s="98">
        <f>SUMIF('15C Baseline Bldg 1'!$C$23:$C$29,$B50,'15C Baseline Bldg 1'!G$23:G$29)</f>
        <v>0</v>
      </c>
      <c r="G50" s="98">
        <f>SUMIF('15C Baseline Bldg 2'!$C$23:$C$29,$B50,'15C Baseline Bldg 2'!E$23:E$29)</f>
        <v>0</v>
      </c>
      <c r="H50" s="98">
        <f>SUMIF('15C Baseline Bldg 2'!$C$23:$C$29,$B50,'15C Baseline Bldg 2'!F$23:F$29)</f>
        <v>0</v>
      </c>
      <c r="I50" s="98">
        <f>SUMIF('15C Baseline Bldg 2'!$C$23:$C$29,$B50,'15C Baseline Bldg 2'!G$23:G$29)</f>
        <v>0</v>
      </c>
      <c r="J50" s="98">
        <f>SUMIF('15C Baseline Bldg 3'!$C$23:$C$29,$B50,'15C Baseline Bldg 3'!E$23:E$29)</f>
        <v>0</v>
      </c>
      <c r="K50" s="98">
        <f>SUMIF('15C Baseline Bldg 3'!$C$23:$C$29,$B50,'15C Baseline Bldg 3'!F$23:F$29)</f>
        <v>0</v>
      </c>
      <c r="L50" s="98">
        <f>SUMIF('15C Baseline Bldg 3'!$C$23:$C$29,$B50,'15C Baseline Bldg 3'!G$23:G$29)</f>
        <v>0</v>
      </c>
    </row>
    <row r="51" spans="2:12">
      <c r="B51" s="96" t="str">
        <f>'15C Building Details'!C29</f>
        <v>Liquefied petroleum gas</v>
      </c>
      <c r="C51" s="98">
        <f ca="1">SUMIF('15C Building Details'!$B$26:$D$36,$B51,'15C Building Details'!$D$26:$D$35)</f>
        <v>0</v>
      </c>
      <c r="D51" s="98">
        <f>SUMIF('15C Baseline Bldg 1'!$C$23:$C$29,$B51,'15C Baseline Bldg 1'!E$23:E$29)</f>
        <v>0</v>
      </c>
      <c r="E51" s="98">
        <f>SUMIF('15C Baseline Bldg 1'!$C$23:$C$29,$B51,'15C Baseline Bldg 1'!F$23:F$29)</f>
        <v>0</v>
      </c>
      <c r="F51" s="98">
        <f>SUMIF('15C Baseline Bldg 1'!$C$23:$C$29,$B51,'15C Baseline Bldg 1'!G$23:G$29)</f>
        <v>0</v>
      </c>
      <c r="G51" s="98">
        <f>SUMIF('15C Baseline Bldg 2'!$C$23:$C$29,$B51,'15C Baseline Bldg 2'!E$23:E$29)</f>
        <v>0</v>
      </c>
      <c r="H51" s="98">
        <f>SUMIF('15C Baseline Bldg 2'!$C$23:$C$29,$B51,'15C Baseline Bldg 2'!F$23:F$29)</f>
        <v>0</v>
      </c>
      <c r="I51" s="98">
        <f>SUMIF('15C Baseline Bldg 2'!$C$23:$C$29,$B51,'15C Baseline Bldg 2'!G$23:G$29)</f>
        <v>0</v>
      </c>
      <c r="J51" s="98">
        <f>SUMIF('15C Baseline Bldg 3'!$C$23:$C$29,$B51,'15C Baseline Bldg 3'!E$23:E$29)</f>
        <v>0</v>
      </c>
      <c r="K51" s="98">
        <f>SUMIF('15C Baseline Bldg 3'!$C$23:$C$29,$B51,'15C Baseline Bldg 3'!F$23:F$29)</f>
        <v>0</v>
      </c>
      <c r="L51" s="98">
        <f>SUMIF('15C Baseline Bldg 3'!$C$23:$C$29,$B51,'15C Baseline Bldg 3'!G$23:G$29)</f>
        <v>0</v>
      </c>
    </row>
    <row r="52" spans="2:12">
      <c r="B52" s="96" t="str">
        <f>'15C Building Details'!C30</f>
        <v>Diesel Oil</v>
      </c>
      <c r="C52" s="98">
        <f ca="1">SUMIF('15C Building Details'!$B$26:$D$36,$B52,'15C Building Details'!$D$26:$D$35)</f>
        <v>0</v>
      </c>
      <c r="D52" s="98">
        <f>SUMIF('15C Baseline Bldg 1'!$C$23:$C$29,$B52,'15C Baseline Bldg 1'!E$23:E$29)</f>
        <v>0</v>
      </c>
      <c r="E52" s="98">
        <f>SUMIF('15C Baseline Bldg 1'!$C$23:$C$29,$B52,'15C Baseline Bldg 1'!F$23:F$29)</f>
        <v>0</v>
      </c>
      <c r="F52" s="98">
        <f>SUMIF('15C Baseline Bldg 1'!$C$23:$C$29,$B52,'15C Baseline Bldg 1'!G$23:G$29)</f>
        <v>0</v>
      </c>
      <c r="G52" s="98">
        <f>SUMIF('15C Baseline Bldg 2'!$C$23:$C$29,$B52,'15C Baseline Bldg 2'!E$23:E$29)</f>
        <v>0</v>
      </c>
      <c r="H52" s="98">
        <f>SUMIF('15C Baseline Bldg 2'!$C$23:$C$29,$B52,'15C Baseline Bldg 2'!F$23:F$29)</f>
        <v>0</v>
      </c>
      <c r="I52" s="98">
        <f>SUMIF('15C Baseline Bldg 2'!$C$23:$C$29,$B52,'15C Baseline Bldg 2'!G$23:G$29)</f>
        <v>0</v>
      </c>
      <c r="J52" s="98">
        <f>SUMIF('15C Baseline Bldg 3'!$C$23:$C$29,$B52,'15C Baseline Bldg 3'!E$23:E$29)</f>
        <v>0</v>
      </c>
      <c r="K52" s="98">
        <f>SUMIF('15C Baseline Bldg 3'!$C$23:$C$29,$B52,'15C Baseline Bldg 3'!F$23:F$29)</f>
        <v>0</v>
      </c>
      <c r="L52" s="98">
        <f>SUMIF('15C Baseline Bldg 3'!$C$23:$C$29,$B52,'15C Baseline Bldg 3'!G$23:G$29)</f>
        <v>0</v>
      </c>
    </row>
    <row r="53" spans="2:12">
      <c r="B53" s="96" t="str">
        <f>'15C Building Details'!C31</f>
        <v>Bituminous coal</v>
      </c>
      <c r="C53" s="98">
        <f ca="1">SUMIF('15C Building Details'!$B$26:$D$36,$B53,'15C Building Details'!$D$26:$D$35)</f>
        <v>0</v>
      </c>
      <c r="D53" s="98">
        <f>SUMIF('15C Baseline Bldg 1'!$C$23:$C$29,$B53,'15C Baseline Bldg 1'!E$23:E$29)</f>
        <v>0</v>
      </c>
      <c r="E53" s="98">
        <f>SUMIF('15C Baseline Bldg 1'!$C$23:$C$29,$B53,'15C Baseline Bldg 1'!F$23:F$29)</f>
        <v>0</v>
      </c>
      <c r="F53" s="98">
        <f>SUMIF('15C Baseline Bldg 1'!$C$23:$C$29,$B53,'15C Baseline Bldg 1'!G$23:G$29)</f>
        <v>0</v>
      </c>
      <c r="G53" s="98">
        <f>SUMIF('15C Baseline Bldg 2'!$C$23:$C$29,$B53,'15C Baseline Bldg 2'!E$23:E$29)</f>
        <v>0</v>
      </c>
      <c r="H53" s="98">
        <f>SUMIF('15C Baseline Bldg 2'!$C$23:$C$29,$B53,'15C Baseline Bldg 2'!F$23:F$29)</f>
        <v>0</v>
      </c>
      <c r="I53" s="98">
        <f>SUMIF('15C Baseline Bldg 2'!$C$23:$C$29,$B53,'15C Baseline Bldg 2'!G$23:G$29)</f>
        <v>0</v>
      </c>
      <c r="J53" s="98">
        <f>SUMIF('15C Baseline Bldg 3'!$C$23:$C$29,$B53,'15C Baseline Bldg 3'!E$23:E$29)</f>
        <v>0</v>
      </c>
      <c r="K53" s="98">
        <f>SUMIF('15C Baseline Bldg 3'!$C$23:$C$29,$B53,'15C Baseline Bldg 3'!F$23:F$29)</f>
        <v>0</v>
      </c>
      <c r="L53" s="98">
        <f>SUMIF('15C Baseline Bldg 3'!$C$23:$C$29,$B53,'15C Baseline Bldg 3'!G$23:G$29)</f>
        <v>0</v>
      </c>
    </row>
    <row r="54" spans="2:12">
      <c r="B54" s="96" t="str">
        <f>'15C Building Details'!C32</f>
        <v>Other</v>
      </c>
      <c r="C54" s="98">
        <f ca="1">SUMIF('15C Building Details'!$B$26:$D$36,$B54,'15C Building Details'!$D$26:$D$35)</f>
        <v>0</v>
      </c>
      <c r="D54" s="98">
        <f>SUMIF('15C Baseline Bldg 1'!$C$23:$C$29,$B54,'15C Baseline Bldg 1'!E$23:E$29)</f>
        <v>0</v>
      </c>
      <c r="E54" s="98">
        <f>SUMIF('15C Baseline Bldg 1'!$C$23:$C$29,$B54,'15C Baseline Bldg 1'!F$23:F$29)</f>
        <v>0</v>
      </c>
      <c r="F54" s="98">
        <f>SUMIF('15C Baseline Bldg 1'!$C$23:$C$29,$B54,'15C Baseline Bldg 1'!G$23:G$29)</f>
        <v>0</v>
      </c>
      <c r="G54" s="98">
        <f>SUMIF('15C Baseline Bldg 2'!$C$23:$C$29,$B54,'15C Baseline Bldg 2'!E$23:E$29)</f>
        <v>0</v>
      </c>
      <c r="H54" s="98">
        <f>SUMIF('15C Baseline Bldg 2'!$C$23:$C$29,$B54,'15C Baseline Bldg 2'!F$23:F$29)</f>
        <v>0</v>
      </c>
      <c r="I54" s="98">
        <f>SUMIF('15C Baseline Bldg 2'!$C$23:$C$29,$B54,'15C Baseline Bldg 2'!G$23:G$29)</f>
        <v>0</v>
      </c>
      <c r="J54" s="98">
        <f>SUMIF('15C Baseline Bldg 3'!$C$23:$C$29,$B54,'15C Baseline Bldg 3'!E$23:E$29)</f>
        <v>0</v>
      </c>
      <c r="K54" s="98">
        <f>SUMIF('15C Baseline Bldg 3'!$C$23:$C$29,$B54,'15C Baseline Bldg 3'!F$23:F$29)</f>
        <v>0</v>
      </c>
      <c r="L54" s="98">
        <f>SUMIF('15C Baseline Bldg 3'!$C$23:$C$29,$B54,'15C Baseline Bldg 3'!G$23:G$29)</f>
        <v>0</v>
      </c>
    </row>
    <row r="55" spans="2:12">
      <c r="B55" s="96" t="s">
        <v>587</v>
      </c>
      <c r="C55" s="98">
        <f ca="1">SUMIF('15C Building Details'!$B$26:$D$36,$B55,'15C Building Details'!$D$26:$D$35)</f>
        <v>0</v>
      </c>
      <c r="D55" s="98">
        <v>0</v>
      </c>
      <c r="E55" s="98">
        <v>0</v>
      </c>
      <c r="F55" s="98">
        <v>0</v>
      </c>
      <c r="G55" s="98">
        <v>0</v>
      </c>
      <c r="H55" s="98">
        <v>0</v>
      </c>
      <c r="I55" s="98">
        <v>0</v>
      </c>
      <c r="J55" s="98">
        <v>0</v>
      </c>
      <c r="K55" s="98">
        <v>0</v>
      </c>
      <c r="L55" s="98">
        <v>0</v>
      </c>
    </row>
    <row r="56" spans="2:12">
      <c r="B56" s="96" t="s">
        <v>589</v>
      </c>
      <c r="C56" s="98">
        <f ca="1">SUMIF('15C Building Details'!$B$26:$D$36,$B56,'15C Building Details'!$D$26:$D$35)</f>
        <v>0</v>
      </c>
      <c r="D56" s="98">
        <v>0</v>
      </c>
      <c r="E56" s="98">
        <v>0</v>
      </c>
      <c r="F56" s="98">
        <v>0</v>
      </c>
      <c r="G56" s="98">
        <v>0</v>
      </c>
      <c r="H56" s="98">
        <v>0</v>
      </c>
      <c r="I56" s="98">
        <v>0</v>
      </c>
      <c r="J56" s="98">
        <v>0</v>
      </c>
      <c r="K56" s="98">
        <v>0</v>
      </c>
      <c r="L56" s="98">
        <v>0</v>
      </c>
    </row>
    <row r="57" spans="2:12">
      <c r="B57" s="96" t="s">
        <v>458</v>
      </c>
      <c r="C57" s="98">
        <f ca="1">SUMIF('15C Building Details'!$B$26:$D$36,$B57,'15C Building Details'!$D$26:$D$35)</f>
        <v>0</v>
      </c>
      <c r="D57" s="98">
        <v>0</v>
      </c>
      <c r="E57" s="98">
        <v>0</v>
      </c>
      <c r="F57" s="98">
        <v>0</v>
      </c>
      <c r="G57" s="98">
        <v>0</v>
      </c>
      <c r="H57" s="98">
        <v>0</v>
      </c>
      <c r="I57" s="98">
        <v>0</v>
      </c>
      <c r="J57" s="98">
        <v>0</v>
      </c>
      <c r="K57" s="98">
        <v>0</v>
      </c>
      <c r="L57" s="98">
        <v>0</v>
      </c>
    </row>
    <row r="58" spans="2:12">
      <c r="B58" s="290" t="s">
        <v>1187</v>
      </c>
      <c r="C58" s="103">
        <f t="shared" ref="C58:L58" ca="1" si="0">SUM(C48:C57)</f>
        <v>0</v>
      </c>
      <c r="D58" s="103">
        <f t="shared" si="0"/>
        <v>0</v>
      </c>
      <c r="E58" s="103">
        <f t="shared" si="0"/>
        <v>0</v>
      </c>
      <c r="F58" s="103">
        <f t="shared" si="0"/>
        <v>0</v>
      </c>
      <c r="G58" s="103">
        <f t="shared" si="0"/>
        <v>0</v>
      </c>
      <c r="H58" s="103">
        <f t="shared" si="0"/>
        <v>0</v>
      </c>
      <c r="I58" s="103">
        <f t="shared" si="0"/>
        <v>0</v>
      </c>
      <c r="J58" s="103">
        <f t="shared" si="0"/>
        <v>0</v>
      </c>
      <c r="K58" s="103">
        <f t="shared" si="0"/>
        <v>0</v>
      </c>
      <c r="L58" s="103">
        <f t="shared" si="0"/>
        <v>0</v>
      </c>
    </row>
    <row r="59" spans="2:12">
      <c r="B59" s="290" t="s">
        <v>1291</v>
      </c>
      <c r="C59" s="103" t="e">
        <f ca="1">C58*1000/C$67</f>
        <v>#DIV/0!</v>
      </c>
      <c r="D59" s="103" t="e">
        <f t="shared" ref="D59:L59" si="1">D58*1000/D$67</f>
        <v>#DIV/0!</v>
      </c>
      <c r="E59" s="103" t="e">
        <f t="shared" si="1"/>
        <v>#DIV/0!</v>
      </c>
      <c r="F59" s="103" t="e">
        <f t="shared" si="1"/>
        <v>#DIV/0!</v>
      </c>
      <c r="G59" s="103" t="e">
        <f t="shared" si="1"/>
        <v>#DIV/0!</v>
      </c>
      <c r="H59" s="103" t="e">
        <f t="shared" si="1"/>
        <v>#DIV/0!</v>
      </c>
      <c r="I59" s="103" t="e">
        <f t="shared" si="1"/>
        <v>#DIV/0!</v>
      </c>
      <c r="J59" s="103" t="e">
        <f t="shared" si="1"/>
        <v>#DIV/0!</v>
      </c>
      <c r="K59" s="103" t="e">
        <f t="shared" si="1"/>
        <v>#DIV/0!</v>
      </c>
      <c r="L59" s="103" t="e">
        <f t="shared" si="1"/>
        <v>#DIV/0!</v>
      </c>
    </row>
    <row r="60" spans="2:12">
      <c r="B60" s="290" t="s">
        <v>1292</v>
      </c>
      <c r="C60" s="103" t="e">
        <f t="shared" ref="C60:L60" ca="1" si="2">C49/C58</f>
        <v>#DIV/0!</v>
      </c>
      <c r="D60" s="103" t="e">
        <f t="shared" si="2"/>
        <v>#DIV/0!</v>
      </c>
      <c r="E60" s="103" t="e">
        <f t="shared" si="2"/>
        <v>#DIV/0!</v>
      </c>
      <c r="F60" s="103" t="e">
        <f t="shared" si="2"/>
        <v>#DIV/0!</v>
      </c>
      <c r="G60" s="103" t="e">
        <f t="shared" si="2"/>
        <v>#DIV/0!</v>
      </c>
      <c r="H60" s="103" t="e">
        <f t="shared" si="2"/>
        <v>#DIV/0!</v>
      </c>
      <c r="I60" s="103" t="e">
        <f t="shared" si="2"/>
        <v>#DIV/0!</v>
      </c>
      <c r="J60" s="103" t="e">
        <f t="shared" si="2"/>
        <v>#DIV/0!</v>
      </c>
      <c r="K60" s="103" t="e">
        <f t="shared" si="2"/>
        <v>#DIV/0!</v>
      </c>
      <c r="L60" s="103" t="e">
        <f t="shared" si="2"/>
        <v>#DIV/0!</v>
      </c>
    </row>
    <row r="61" spans="2:12">
      <c r="E61" s="11"/>
    </row>
    <row r="62" spans="2:12" ht="12.75" customHeight="1">
      <c r="C62" s="631" t="s">
        <v>1293</v>
      </c>
      <c r="D62" s="632"/>
      <c r="E62" s="632"/>
      <c r="F62" s="632"/>
      <c r="G62" s="632"/>
      <c r="H62" s="632"/>
      <c r="I62" s="632"/>
      <c r="J62" s="632"/>
      <c r="K62" s="632"/>
      <c r="L62" s="632"/>
    </row>
    <row r="63" spans="2:12" ht="12.75" customHeight="1">
      <c r="B63" s="613" t="s">
        <v>1189</v>
      </c>
      <c r="C63" s="613" t="s">
        <v>1269</v>
      </c>
      <c r="D63" s="635" t="str">
        <f>D$46</f>
        <v>Comparable Building 1</v>
      </c>
      <c r="E63" s="611"/>
      <c r="F63" s="612"/>
      <c r="G63" s="635" t="str">
        <f>G$46</f>
        <v>Comparable Building 2</v>
      </c>
      <c r="H63" s="611"/>
      <c r="I63" s="612"/>
      <c r="J63" s="635" t="str">
        <f>J$46</f>
        <v>Comparable Building 3</v>
      </c>
      <c r="K63" s="611"/>
      <c r="L63" s="612"/>
    </row>
    <row r="64" spans="2:12">
      <c r="B64" s="614"/>
      <c r="C64" s="614"/>
      <c r="D64" s="78" t="s">
        <v>1243</v>
      </c>
      <c r="E64" s="78" t="s">
        <v>1244</v>
      </c>
      <c r="F64" s="78" t="s">
        <v>1245</v>
      </c>
      <c r="G64" s="78" t="s">
        <v>1243</v>
      </c>
      <c r="H64" s="78" t="s">
        <v>1244</v>
      </c>
      <c r="I64" s="78" t="s">
        <v>1245</v>
      </c>
      <c r="J64" s="78" t="s">
        <v>1243</v>
      </c>
      <c r="K64" s="78" t="s">
        <v>1244</v>
      </c>
      <c r="L64" s="78" t="s">
        <v>1245</v>
      </c>
    </row>
    <row r="65" spans="2:13">
      <c r="B65" s="96" t="str">
        <f>'15C Building Details'!B43</f>
        <v>Cooling degree days</v>
      </c>
      <c r="C65" s="98" t="str">
        <f>'15C Building Details'!C43</f>
        <v/>
      </c>
      <c r="D65" s="98" t="str">
        <f>'15C Baseline Bldg 1'!C36</f>
        <v/>
      </c>
      <c r="E65" s="98" t="str">
        <f>'15C Baseline Bldg 1'!D36</f>
        <v/>
      </c>
      <c r="F65" s="98" t="str">
        <f>'15C Baseline Bldg 1'!E36</f>
        <v/>
      </c>
      <c r="G65" s="98" t="str">
        <f>'15C Baseline Bldg 2'!C36</f>
        <v/>
      </c>
      <c r="H65" s="98" t="str">
        <f>'15C Baseline Bldg 2'!D36</f>
        <v/>
      </c>
      <c r="I65" s="98" t="str">
        <f>'15C Baseline Bldg 2'!E36</f>
        <v/>
      </c>
      <c r="J65" s="98" t="str">
        <f>'15C Baseline Bldg 3'!C36</f>
        <v/>
      </c>
      <c r="K65" s="98" t="str">
        <f>'15C Baseline Bldg 3'!D36</f>
        <v/>
      </c>
      <c r="L65" s="98" t="str">
        <f>'15C Baseline Bldg 3'!E36</f>
        <v/>
      </c>
    </row>
    <row r="66" spans="2:13">
      <c r="B66" s="96" t="str">
        <f>'15C Building Details'!B44</f>
        <v>Heating degree days</v>
      </c>
      <c r="C66" s="98" t="str">
        <f>'15C Building Details'!C44</f>
        <v/>
      </c>
      <c r="D66" s="98" t="str">
        <f>'15C Baseline Bldg 1'!C37</f>
        <v/>
      </c>
      <c r="E66" s="98" t="str">
        <f>'15C Baseline Bldg 1'!D37</f>
        <v/>
      </c>
      <c r="F66" s="98" t="str">
        <f>'15C Baseline Bldg 1'!E37</f>
        <v/>
      </c>
      <c r="G66" s="98" t="str">
        <f>'15C Baseline Bldg 2'!C37</f>
        <v/>
      </c>
      <c r="H66" s="98" t="str">
        <f>'15C Baseline Bldg 2'!D37</f>
        <v/>
      </c>
      <c r="I66" s="98" t="str">
        <f>'15C Baseline Bldg 2'!E37</f>
        <v/>
      </c>
      <c r="J66" s="98" t="str">
        <f>'15C Baseline Bldg 3'!C37</f>
        <v/>
      </c>
      <c r="K66" s="98" t="str">
        <f>'15C Baseline Bldg 3'!D37</f>
        <v/>
      </c>
      <c r="L66" s="98" t="str">
        <f>'15C Baseline Bldg 3'!E37</f>
        <v/>
      </c>
    </row>
    <row r="67" spans="2:13">
      <c r="B67" s="96" t="str">
        <f>'15C Building Details'!B45</f>
        <v>Adjusted Area</v>
      </c>
      <c r="C67" s="98">
        <f>'15C Building Details'!C45</f>
        <v>0</v>
      </c>
      <c r="D67" s="98">
        <f>'15C Baseline Bldg 1'!C38</f>
        <v>0</v>
      </c>
      <c r="E67" s="98">
        <f>'15C Baseline Bldg 1'!D38</f>
        <v>0</v>
      </c>
      <c r="F67" s="98">
        <f>'15C Baseline Bldg 1'!E38</f>
        <v>0</v>
      </c>
      <c r="G67" s="98">
        <f>'15C Baseline Bldg 2'!C38</f>
        <v>0</v>
      </c>
      <c r="H67" s="98">
        <f>'15C Baseline Bldg 2'!D38</f>
        <v>0</v>
      </c>
      <c r="I67" s="98">
        <f>'15C Baseline Bldg 2'!E38</f>
        <v>0</v>
      </c>
      <c r="J67" s="98">
        <f>'15C Baseline Bldg 3'!C38</f>
        <v>0</v>
      </c>
      <c r="K67" s="98">
        <f>'15C Baseline Bldg 3'!D38</f>
        <v>0</v>
      </c>
      <c r="L67" s="98">
        <f>'15C Baseline Bldg 3'!E38</f>
        <v>0</v>
      </c>
    </row>
    <row r="68" spans="2:13">
      <c r="B68" s="96" t="str">
        <f>'15C Building Details'!B46</f>
        <v>Adjusted Hours</v>
      </c>
      <c r="C68" s="98" t="e">
        <f>'15C Building Details'!C46</f>
        <v>#DIV/0!</v>
      </c>
      <c r="D68" s="98" t="e">
        <f>'15C Baseline Bldg 1'!C39</f>
        <v>#DIV/0!</v>
      </c>
      <c r="E68" s="98" t="e">
        <f>'15C Baseline Bldg 1'!D39</f>
        <v>#DIV/0!</v>
      </c>
      <c r="F68" s="98" t="e">
        <f>'15C Baseline Bldg 1'!E39</f>
        <v>#DIV/0!</v>
      </c>
      <c r="G68" s="98" t="e">
        <f>'15C Baseline Bldg 2'!C39</f>
        <v>#DIV/0!</v>
      </c>
      <c r="H68" s="98" t="e">
        <f>'15C Baseline Bldg 2'!D39</f>
        <v>#DIV/0!</v>
      </c>
      <c r="I68" s="98" t="e">
        <f>'15C Baseline Bldg 2'!E39</f>
        <v>#DIV/0!</v>
      </c>
      <c r="J68" s="98" t="e">
        <f>'15C Baseline Bldg 3'!C39</f>
        <v>#DIV/0!</v>
      </c>
      <c r="K68" s="98" t="e">
        <f>'15C Baseline Bldg 3'!D39</f>
        <v>#DIV/0!</v>
      </c>
      <c r="L68" s="98" t="e">
        <f>'15C Baseline Bldg 3'!E39</f>
        <v>#DIV/0!</v>
      </c>
    </row>
    <row r="69" spans="2:13">
      <c r="B69" s="96" t="str">
        <f>'15C Building Details'!B47</f>
        <v>Adjusted Operational Variable 1</v>
      </c>
      <c r="C69" s="98">
        <f>'15C Building Details'!C47</f>
        <v>1</v>
      </c>
      <c r="D69" s="98" t="e">
        <f>'15C Baseline Bldg 1'!C40</f>
        <v>#DIV/0!</v>
      </c>
      <c r="E69" s="98" t="e">
        <f>'15C Baseline Bldg 1'!D40</f>
        <v>#DIV/0!</v>
      </c>
      <c r="F69" s="98" t="e">
        <f>'15C Baseline Bldg 1'!E40</f>
        <v>#DIV/0!</v>
      </c>
      <c r="G69" s="98" t="e">
        <f>'15C Baseline Bldg 2'!C40</f>
        <v>#DIV/0!</v>
      </c>
      <c r="H69" s="98" t="e">
        <f>'15C Baseline Bldg 2'!D40</f>
        <v>#DIV/0!</v>
      </c>
      <c r="I69" s="98" t="e">
        <f>'15C Baseline Bldg 2'!E40</f>
        <v>#DIV/0!</v>
      </c>
      <c r="J69" s="98" t="e">
        <f>'15C Baseline Bldg 3'!C40</f>
        <v>#DIV/0!</v>
      </c>
      <c r="K69" s="98" t="e">
        <f>'15C Baseline Bldg 3'!D40</f>
        <v>#DIV/0!</v>
      </c>
      <c r="L69" s="98" t="e">
        <f>'15C Baseline Bldg 3'!E40</f>
        <v>#DIV/0!</v>
      </c>
    </row>
    <row r="70" spans="2:13">
      <c r="B70" s="96" t="str">
        <f>'15C Building Details'!B48</f>
        <v>Adjusted Operational Variable 2</v>
      </c>
      <c r="C70" s="98">
        <f>'15C Building Details'!C48</f>
        <v>1</v>
      </c>
      <c r="D70" s="164" t="e">
        <f>'15C Baseline Bldg 1'!C41</f>
        <v>#DIV/0!</v>
      </c>
      <c r="E70" s="164" t="e">
        <f>'15C Baseline Bldg 1'!D41</f>
        <v>#DIV/0!</v>
      </c>
      <c r="F70" s="164" t="e">
        <f>'15C Baseline Bldg 1'!E41</f>
        <v>#DIV/0!</v>
      </c>
      <c r="G70" s="164" t="e">
        <f>'15C Baseline Bldg 2'!C41</f>
        <v>#DIV/0!</v>
      </c>
      <c r="H70" s="164" t="e">
        <f>'15C Baseline Bldg 2'!D41</f>
        <v>#DIV/0!</v>
      </c>
      <c r="I70" s="164" t="e">
        <f>'15C Baseline Bldg 2'!E41</f>
        <v>#DIV/0!</v>
      </c>
      <c r="J70" s="164" t="e">
        <f>'15C Baseline Bldg 3'!C41</f>
        <v>#DIV/0!</v>
      </c>
      <c r="K70" s="164" t="e">
        <f>'15C Baseline Bldg 3'!D41</f>
        <v>#DIV/0!</v>
      </c>
      <c r="L70" s="164" t="e">
        <f>'15C Baseline Bldg 3'!E41</f>
        <v>#DIV/0!</v>
      </c>
    </row>
    <row r="71" spans="2:13">
      <c r="B71" s="96" t="str">
        <f>'15C Building Details'!B49</f>
        <v>Adjusted Operational Variable 3</v>
      </c>
      <c r="C71" s="98">
        <f>'15C Building Details'!C49</f>
        <v>1</v>
      </c>
      <c r="D71" s="98" t="e">
        <f>'15C Baseline Bldg 1'!C42</f>
        <v>#DIV/0!</v>
      </c>
      <c r="E71" s="98" t="e">
        <f>'15C Baseline Bldg 1'!D42</f>
        <v>#DIV/0!</v>
      </c>
      <c r="F71" s="98" t="e">
        <f>'15C Baseline Bldg 1'!E42</f>
        <v>#DIV/0!</v>
      </c>
      <c r="G71" s="98" t="e">
        <f>'15C Baseline Bldg 2'!C42</f>
        <v>#DIV/0!</v>
      </c>
      <c r="H71" s="98" t="e">
        <f>'15C Baseline Bldg 2'!D42</f>
        <v>#DIV/0!</v>
      </c>
      <c r="I71" s="98" t="e">
        <f>'15C Baseline Bldg 2'!E42</f>
        <v>#DIV/0!</v>
      </c>
      <c r="J71" s="98" t="e">
        <f>'15C Baseline Bldg 3'!C42</f>
        <v>#DIV/0!</v>
      </c>
      <c r="K71" s="98" t="e">
        <f>'15C Baseline Bldg 3'!D42</f>
        <v>#DIV/0!</v>
      </c>
      <c r="L71" s="98" t="e">
        <f>'15C Baseline Bldg 3'!E42</f>
        <v>#DIV/0!</v>
      </c>
    </row>
    <row r="73" spans="2:13" ht="12.75" customHeight="1">
      <c r="C73" s="631" t="s">
        <v>1294</v>
      </c>
      <c r="D73" s="632"/>
      <c r="E73" s="632"/>
      <c r="F73" s="632"/>
      <c r="G73" s="632"/>
      <c r="H73" s="632"/>
      <c r="I73" s="632"/>
      <c r="J73" s="632"/>
      <c r="K73" s="632"/>
      <c r="L73" s="632"/>
    </row>
    <row r="74" spans="2:13" ht="12.75" customHeight="1">
      <c r="B74" s="613" t="s">
        <v>1189</v>
      </c>
      <c r="C74" s="613" t="s">
        <v>1269</v>
      </c>
      <c r="D74" s="635" t="str">
        <f>D$46</f>
        <v>Comparable Building 1</v>
      </c>
      <c r="E74" s="611"/>
      <c r="F74" s="612"/>
      <c r="G74" s="635" t="str">
        <f>G$46</f>
        <v>Comparable Building 2</v>
      </c>
      <c r="H74" s="611"/>
      <c r="I74" s="612"/>
      <c r="J74" s="635" t="str">
        <f>J$46</f>
        <v>Comparable Building 3</v>
      </c>
      <c r="K74" s="611"/>
      <c r="L74" s="612"/>
    </row>
    <row r="75" spans="2:13">
      <c r="B75" s="614"/>
      <c r="C75" s="614"/>
      <c r="D75" s="78" t="s">
        <v>1243</v>
      </c>
      <c r="E75" s="78" t="s">
        <v>1244</v>
      </c>
      <c r="F75" s="78" t="s">
        <v>1245</v>
      </c>
      <c r="G75" s="78" t="s">
        <v>1243</v>
      </c>
      <c r="H75" s="78" t="s">
        <v>1244</v>
      </c>
      <c r="I75" s="78" t="s">
        <v>1245</v>
      </c>
      <c r="J75" s="78" t="s">
        <v>1243</v>
      </c>
      <c r="K75" s="78" t="s">
        <v>1244</v>
      </c>
      <c r="L75" s="78" t="s">
        <v>1245</v>
      </c>
    </row>
    <row r="76" spans="2:13">
      <c r="B76" s="96" t="str">
        <f>B65</f>
        <v>Cooling degree days</v>
      </c>
      <c r="C76" s="165" t="e">
        <f>$C65/C65</f>
        <v>#VALUE!</v>
      </c>
      <c r="D76" s="165" t="e">
        <f>$C65/D65</f>
        <v>#VALUE!</v>
      </c>
      <c r="E76" s="165" t="e">
        <f t="shared" ref="E76:L76" si="3">$C65/E65</f>
        <v>#VALUE!</v>
      </c>
      <c r="F76" s="165" t="e">
        <f t="shared" si="3"/>
        <v>#VALUE!</v>
      </c>
      <c r="G76" s="165" t="e">
        <f t="shared" si="3"/>
        <v>#VALUE!</v>
      </c>
      <c r="H76" s="165" t="e">
        <f t="shared" si="3"/>
        <v>#VALUE!</v>
      </c>
      <c r="I76" s="165" t="e">
        <f t="shared" si="3"/>
        <v>#VALUE!</v>
      </c>
      <c r="J76" s="165" t="e">
        <f t="shared" si="3"/>
        <v>#VALUE!</v>
      </c>
      <c r="K76" s="165" t="e">
        <f t="shared" si="3"/>
        <v>#VALUE!</v>
      </c>
      <c r="L76" s="165" t="e">
        <f t="shared" si="3"/>
        <v>#VALUE!</v>
      </c>
      <c r="M76" s="318"/>
    </row>
    <row r="77" spans="2:13">
      <c r="B77" s="96" t="str">
        <f t="shared" ref="B77:B82" si="4">B66</f>
        <v>Heating degree days</v>
      </c>
      <c r="C77" s="165" t="e">
        <f>$C66/C66</f>
        <v>#VALUE!</v>
      </c>
      <c r="D77" s="165" t="e">
        <f t="shared" ref="D77:L77" si="5">$C66/D66</f>
        <v>#VALUE!</v>
      </c>
      <c r="E77" s="165" t="e">
        <f t="shared" si="5"/>
        <v>#VALUE!</v>
      </c>
      <c r="F77" s="165" t="e">
        <f t="shared" si="5"/>
        <v>#VALUE!</v>
      </c>
      <c r="G77" s="165" t="e">
        <f t="shared" si="5"/>
        <v>#VALUE!</v>
      </c>
      <c r="H77" s="165" t="e">
        <f t="shared" si="5"/>
        <v>#VALUE!</v>
      </c>
      <c r="I77" s="165" t="e">
        <f t="shared" si="5"/>
        <v>#VALUE!</v>
      </c>
      <c r="J77" s="165" t="e">
        <f t="shared" si="5"/>
        <v>#VALUE!</v>
      </c>
      <c r="K77" s="165" t="e">
        <f t="shared" si="5"/>
        <v>#VALUE!</v>
      </c>
      <c r="L77" s="165" t="e">
        <f t="shared" si="5"/>
        <v>#VALUE!</v>
      </c>
      <c r="M77" s="318"/>
    </row>
    <row r="78" spans="2:13">
      <c r="B78" s="96" t="str">
        <f t="shared" si="4"/>
        <v>Adjusted Area</v>
      </c>
      <c r="C78" s="165" t="e">
        <f>$C67/C67</f>
        <v>#DIV/0!</v>
      </c>
      <c r="D78" s="165" t="e">
        <f t="shared" ref="D78:L78" si="6">$C67/D67</f>
        <v>#DIV/0!</v>
      </c>
      <c r="E78" s="165" t="e">
        <f t="shared" si="6"/>
        <v>#DIV/0!</v>
      </c>
      <c r="F78" s="165" t="e">
        <f t="shared" si="6"/>
        <v>#DIV/0!</v>
      </c>
      <c r="G78" s="165" t="e">
        <f t="shared" si="6"/>
        <v>#DIV/0!</v>
      </c>
      <c r="H78" s="165" t="e">
        <f t="shared" si="6"/>
        <v>#DIV/0!</v>
      </c>
      <c r="I78" s="165" t="e">
        <f t="shared" si="6"/>
        <v>#DIV/0!</v>
      </c>
      <c r="J78" s="165" t="e">
        <f t="shared" si="6"/>
        <v>#DIV/0!</v>
      </c>
      <c r="K78" s="165" t="e">
        <f t="shared" si="6"/>
        <v>#DIV/0!</v>
      </c>
      <c r="L78" s="165" t="e">
        <f t="shared" si="6"/>
        <v>#DIV/0!</v>
      </c>
      <c r="M78" s="318"/>
    </row>
    <row r="79" spans="2:13">
      <c r="B79" s="96" t="str">
        <f t="shared" si="4"/>
        <v>Adjusted Hours</v>
      </c>
      <c r="C79" s="165" t="e">
        <f>$C68/C68</f>
        <v>#DIV/0!</v>
      </c>
      <c r="D79" s="165" t="e">
        <f t="shared" ref="D79:L79" si="7">$C68/D68</f>
        <v>#DIV/0!</v>
      </c>
      <c r="E79" s="165" t="e">
        <f t="shared" si="7"/>
        <v>#DIV/0!</v>
      </c>
      <c r="F79" s="165" t="e">
        <f t="shared" si="7"/>
        <v>#DIV/0!</v>
      </c>
      <c r="G79" s="165" t="e">
        <f t="shared" si="7"/>
        <v>#DIV/0!</v>
      </c>
      <c r="H79" s="165" t="e">
        <f t="shared" si="7"/>
        <v>#DIV/0!</v>
      </c>
      <c r="I79" s="165" t="e">
        <f t="shared" si="7"/>
        <v>#DIV/0!</v>
      </c>
      <c r="J79" s="165" t="e">
        <f t="shared" si="7"/>
        <v>#DIV/0!</v>
      </c>
      <c r="K79" s="165" t="e">
        <f t="shared" si="7"/>
        <v>#DIV/0!</v>
      </c>
      <c r="L79" s="165" t="e">
        <f t="shared" si="7"/>
        <v>#DIV/0!</v>
      </c>
      <c r="M79" s="318"/>
    </row>
    <row r="80" spans="2:13">
      <c r="B80" s="96" t="str">
        <f t="shared" si="4"/>
        <v>Adjusted Operational Variable 1</v>
      </c>
      <c r="C80" s="164">
        <f>IFERROR($C69/C69,1)</f>
        <v>1</v>
      </c>
      <c r="D80" s="164">
        <f t="shared" ref="D80:L80" si="8">IFERROR($C69/D69,1)</f>
        <v>1</v>
      </c>
      <c r="E80" s="164">
        <f t="shared" si="8"/>
        <v>1</v>
      </c>
      <c r="F80" s="164">
        <f t="shared" si="8"/>
        <v>1</v>
      </c>
      <c r="G80" s="164">
        <f t="shared" si="8"/>
        <v>1</v>
      </c>
      <c r="H80" s="164">
        <f t="shared" si="8"/>
        <v>1</v>
      </c>
      <c r="I80" s="164">
        <f t="shared" si="8"/>
        <v>1</v>
      </c>
      <c r="J80" s="164">
        <f t="shared" si="8"/>
        <v>1</v>
      </c>
      <c r="K80" s="164">
        <f t="shared" si="8"/>
        <v>1</v>
      </c>
      <c r="L80" s="164">
        <f t="shared" si="8"/>
        <v>1</v>
      </c>
      <c r="M80" s="318"/>
    </row>
    <row r="81" spans="2:13">
      <c r="B81" s="96" t="str">
        <f t="shared" si="4"/>
        <v>Adjusted Operational Variable 2</v>
      </c>
      <c r="C81" s="164">
        <f t="shared" ref="C81:L81" si="9">IFERROR($C70/C70,1)</f>
        <v>1</v>
      </c>
      <c r="D81" s="164">
        <f t="shared" si="9"/>
        <v>1</v>
      </c>
      <c r="E81" s="164">
        <f t="shared" si="9"/>
        <v>1</v>
      </c>
      <c r="F81" s="164">
        <f t="shared" si="9"/>
        <v>1</v>
      </c>
      <c r="G81" s="164">
        <f t="shared" si="9"/>
        <v>1</v>
      </c>
      <c r="H81" s="164">
        <f t="shared" si="9"/>
        <v>1</v>
      </c>
      <c r="I81" s="164">
        <f t="shared" si="9"/>
        <v>1</v>
      </c>
      <c r="J81" s="164">
        <f t="shared" si="9"/>
        <v>1</v>
      </c>
      <c r="K81" s="164">
        <f t="shared" si="9"/>
        <v>1</v>
      </c>
      <c r="L81" s="164">
        <f t="shared" si="9"/>
        <v>1</v>
      </c>
      <c r="M81" s="318"/>
    </row>
    <row r="82" spans="2:13">
      <c r="B82" s="96" t="str">
        <f t="shared" si="4"/>
        <v>Adjusted Operational Variable 3</v>
      </c>
      <c r="C82" s="164">
        <f t="shared" ref="C82:L82" si="10">IFERROR($C71/C71,1)</f>
        <v>1</v>
      </c>
      <c r="D82" s="164">
        <f t="shared" si="10"/>
        <v>1</v>
      </c>
      <c r="E82" s="164">
        <f t="shared" si="10"/>
        <v>1</v>
      </c>
      <c r="F82" s="164">
        <f t="shared" si="10"/>
        <v>1</v>
      </c>
      <c r="G82" s="164">
        <f t="shared" si="10"/>
        <v>1</v>
      </c>
      <c r="H82" s="164">
        <f t="shared" si="10"/>
        <v>1</v>
      </c>
      <c r="I82" s="164">
        <f t="shared" si="10"/>
        <v>1</v>
      </c>
      <c r="J82" s="164">
        <f t="shared" si="10"/>
        <v>1</v>
      </c>
      <c r="K82" s="164">
        <f t="shared" si="10"/>
        <v>1</v>
      </c>
      <c r="L82" s="164">
        <f t="shared" si="10"/>
        <v>1</v>
      </c>
      <c r="M82" s="318"/>
    </row>
    <row r="85" spans="2:13" ht="15.6">
      <c r="B85" s="316" t="s">
        <v>1295</v>
      </c>
      <c r="C85" s="316"/>
      <c r="D85" s="316"/>
      <c r="E85" s="316"/>
      <c r="F85" s="316"/>
      <c r="G85" s="316"/>
      <c r="H85" s="316"/>
      <c r="I85" s="316"/>
      <c r="J85" s="316"/>
      <c r="K85" s="316"/>
      <c r="L85" s="316"/>
      <c r="M85" s="316"/>
    </row>
    <row r="86" spans="2:13" ht="12.75" customHeight="1">
      <c r="E86" s="11"/>
    </row>
    <row r="87" spans="2:13" ht="12.75" customHeight="1">
      <c r="B87" s="78" t="s">
        <v>569</v>
      </c>
      <c r="E87" s="11"/>
    </row>
    <row r="88" spans="2:13" ht="12.75" customHeight="1">
      <c r="C88" s="631" t="s">
        <v>1296</v>
      </c>
      <c r="D88" s="632"/>
      <c r="E88" s="632"/>
      <c r="F88" s="632"/>
      <c r="G88" s="632"/>
      <c r="H88" s="632"/>
      <c r="I88" s="632"/>
      <c r="J88" s="632"/>
      <c r="K88" s="632"/>
      <c r="L88" s="632"/>
    </row>
    <row r="89" spans="2:13" ht="12.75" customHeight="1">
      <c r="B89" s="613" t="s">
        <v>1297</v>
      </c>
      <c r="C89" s="613" t="s">
        <v>1269</v>
      </c>
      <c r="D89" s="635" t="str">
        <f>D$46</f>
        <v>Comparable Building 1</v>
      </c>
      <c r="E89" s="611"/>
      <c r="F89" s="612"/>
      <c r="G89" s="635" t="str">
        <f>G$46</f>
        <v>Comparable Building 2</v>
      </c>
      <c r="H89" s="611"/>
      <c r="I89" s="612"/>
      <c r="J89" s="635" t="str">
        <f>J$46</f>
        <v>Comparable Building 3</v>
      </c>
      <c r="K89" s="611"/>
      <c r="L89" s="612"/>
    </row>
    <row r="90" spans="2:13" ht="13.8" thickBot="1">
      <c r="B90" s="634"/>
      <c r="C90" s="634"/>
      <c r="D90" s="175" t="s">
        <v>1243</v>
      </c>
      <c r="E90" s="175" t="s">
        <v>1244</v>
      </c>
      <c r="F90" s="175" t="s">
        <v>1245</v>
      </c>
      <c r="G90" s="175" t="s">
        <v>1243</v>
      </c>
      <c r="H90" s="175" t="s">
        <v>1244</v>
      </c>
      <c r="I90" s="175" t="s">
        <v>1245</v>
      </c>
      <c r="J90" s="175" t="s">
        <v>1243</v>
      </c>
      <c r="K90" s="175" t="s">
        <v>1244</v>
      </c>
      <c r="L90" s="175" t="s">
        <v>1245</v>
      </c>
    </row>
    <row r="91" spans="2:13">
      <c r="B91" s="386" t="s">
        <v>1279</v>
      </c>
      <c r="C91" s="387"/>
      <c r="D91" s="387"/>
      <c r="E91" s="387"/>
      <c r="F91" s="387"/>
      <c r="G91" s="387"/>
      <c r="H91" s="387"/>
      <c r="I91" s="387"/>
      <c r="J91" s="387"/>
      <c r="K91" s="387"/>
      <c r="L91" s="388"/>
    </row>
    <row r="92" spans="2:13">
      <c r="B92" s="389" t="s">
        <v>1280</v>
      </c>
      <c r="C92" s="390"/>
      <c r="D92" s="390"/>
      <c r="E92" s="390"/>
      <c r="F92" s="390"/>
      <c r="G92" s="390"/>
      <c r="H92" s="390"/>
      <c r="I92" s="390"/>
      <c r="J92" s="390"/>
      <c r="K92" s="390"/>
      <c r="L92" s="391"/>
    </row>
    <row r="93" spans="2:13">
      <c r="B93" s="389" t="s">
        <v>1281</v>
      </c>
      <c r="C93" s="390"/>
      <c r="D93" s="390"/>
      <c r="E93" s="390"/>
      <c r="F93" s="390"/>
      <c r="G93" s="390"/>
      <c r="H93" s="390"/>
      <c r="I93" s="390"/>
      <c r="J93" s="390"/>
      <c r="K93" s="390"/>
      <c r="L93" s="391"/>
    </row>
    <row r="94" spans="2:13">
      <c r="B94" s="389" t="s">
        <v>1282</v>
      </c>
      <c r="C94" s="390"/>
      <c r="D94" s="390"/>
      <c r="E94" s="390"/>
      <c r="F94" s="390"/>
      <c r="G94" s="390"/>
      <c r="H94" s="390"/>
      <c r="I94" s="390"/>
      <c r="J94" s="390"/>
      <c r="K94" s="390"/>
      <c r="L94" s="391"/>
    </row>
    <row r="95" spans="2:13">
      <c r="B95" s="389" t="s">
        <v>1283</v>
      </c>
      <c r="C95" s="390"/>
      <c r="D95" s="390"/>
      <c r="E95" s="390"/>
      <c r="F95" s="390"/>
      <c r="G95" s="390"/>
      <c r="H95" s="390"/>
      <c r="I95" s="390"/>
      <c r="J95" s="390"/>
      <c r="K95" s="390"/>
      <c r="L95" s="391"/>
    </row>
    <row r="96" spans="2:13">
      <c r="B96" s="389" t="s">
        <v>1284</v>
      </c>
      <c r="C96" s="390"/>
      <c r="D96" s="390"/>
      <c r="E96" s="390"/>
      <c r="F96" s="390"/>
      <c r="G96" s="390"/>
      <c r="H96" s="390"/>
      <c r="I96" s="390"/>
      <c r="J96" s="390"/>
      <c r="K96" s="390"/>
      <c r="L96" s="391"/>
    </row>
    <row r="97" spans="2:12" ht="13.8" thickBot="1">
      <c r="B97" s="392"/>
      <c r="C97" s="393"/>
      <c r="D97" s="393"/>
      <c r="E97" s="393"/>
      <c r="F97" s="393"/>
      <c r="G97" s="393"/>
      <c r="H97" s="393"/>
      <c r="I97" s="393"/>
      <c r="J97" s="393"/>
      <c r="K97" s="393"/>
      <c r="L97" s="394"/>
    </row>
    <row r="98" spans="2:12">
      <c r="B98" s="290" t="s">
        <v>1187</v>
      </c>
      <c r="C98" s="166">
        <f>SUM(C91:C97)</f>
        <v>0</v>
      </c>
      <c r="D98" s="166">
        <f t="shared" ref="D98:L98" si="11">SUM(D91:D97)</f>
        <v>0</v>
      </c>
      <c r="E98" s="166">
        <f t="shared" si="11"/>
        <v>0</v>
      </c>
      <c r="F98" s="166">
        <f t="shared" si="11"/>
        <v>0</v>
      </c>
      <c r="G98" s="166">
        <f t="shared" si="11"/>
        <v>0</v>
      </c>
      <c r="H98" s="166">
        <f t="shared" si="11"/>
        <v>0</v>
      </c>
      <c r="I98" s="166">
        <f t="shared" si="11"/>
        <v>0</v>
      </c>
      <c r="J98" s="166">
        <f t="shared" si="11"/>
        <v>0</v>
      </c>
      <c r="K98" s="166">
        <f t="shared" si="11"/>
        <v>0</v>
      </c>
      <c r="L98" s="166">
        <f t="shared" si="11"/>
        <v>0</v>
      </c>
    </row>
    <row r="99" spans="2:12">
      <c r="E99" s="11"/>
    </row>
    <row r="100" spans="2:12" ht="12.75" customHeight="1">
      <c r="B100" s="78" t="s">
        <v>1298</v>
      </c>
      <c r="E100" s="11"/>
    </row>
    <row r="101" spans="2:12" ht="12.75" customHeight="1">
      <c r="C101" s="631" t="s">
        <v>1296</v>
      </c>
      <c r="D101" s="632"/>
      <c r="E101" s="632"/>
      <c r="F101" s="632"/>
      <c r="G101" s="632"/>
      <c r="H101" s="632"/>
      <c r="I101" s="632"/>
      <c r="J101" s="632"/>
      <c r="K101" s="632"/>
      <c r="L101" s="632"/>
    </row>
    <row r="102" spans="2:12" ht="12.75" customHeight="1">
      <c r="B102" s="613" t="s">
        <v>1297</v>
      </c>
      <c r="C102" s="613" t="s">
        <v>1269</v>
      </c>
      <c r="D102" s="635" t="str">
        <f>D$46</f>
        <v>Comparable Building 1</v>
      </c>
      <c r="E102" s="611"/>
      <c r="F102" s="612"/>
      <c r="G102" s="635" t="str">
        <f>G$46</f>
        <v>Comparable Building 2</v>
      </c>
      <c r="H102" s="611"/>
      <c r="I102" s="612"/>
      <c r="J102" s="635" t="str">
        <f>J$46</f>
        <v>Comparable Building 3</v>
      </c>
      <c r="K102" s="611"/>
      <c r="L102" s="612"/>
    </row>
    <row r="103" spans="2:12" ht="13.8" thickBot="1">
      <c r="B103" s="634"/>
      <c r="C103" s="634"/>
      <c r="D103" s="175" t="s">
        <v>1243</v>
      </c>
      <c r="E103" s="175" t="s">
        <v>1244</v>
      </c>
      <c r="F103" s="175" t="s">
        <v>1245</v>
      </c>
      <c r="G103" s="175" t="s">
        <v>1243</v>
      </c>
      <c r="H103" s="175" t="s">
        <v>1244</v>
      </c>
      <c r="I103" s="175" t="s">
        <v>1245</v>
      </c>
      <c r="J103" s="175" t="s">
        <v>1243</v>
      </c>
      <c r="K103" s="175" t="s">
        <v>1244</v>
      </c>
      <c r="L103" s="175" t="s">
        <v>1245</v>
      </c>
    </row>
    <row r="104" spans="2:12">
      <c r="B104" s="386" t="s">
        <v>1299</v>
      </c>
      <c r="C104" s="387"/>
      <c r="D104" s="387"/>
      <c r="E104" s="387"/>
      <c r="F104" s="387"/>
      <c r="G104" s="387"/>
      <c r="H104" s="387"/>
      <c r="I104" s="387"/>
      <c r="J104" s="387"/>
      <c r="K104" s="387"/>
      <c r="L104" s="388"/>
    </row>
    <row r="105" spans="2:12">
      <c r="B105" s="389" t="s">
        <v>1282</v>
      </c>
      <c r="C105" s="390"/>
      <c r="D105" s="390"/>
      <c r="E105" s="390"/>
      <c r="F105" s="390"/>
      <c r="G105" s="390"/>
      <c r="H105" s="390"/>
      <c r="I105" s="390"/>
      <c r="J105" s="390"/>
      <c r="K105" s="390"/>
      <c r="L105" s="391"/>
    </row>
    <row r="106" spans="2:12">
      <c r="B106" s="389" t="s">
        <v>1300</v>
      </c>
      <c r="C106" s="390"/>
      <c r="D106" s="390"/>
      <c r="E106" s="390"/>
      <c r="F106" s="390"/>
      <c r="G106" s="390"/>
      <c r="H106" s="390"/>
      <c r="I106" s="390"/>
      <c r="J106" s="390"/>
      <c r="K106" s="390"/>
      <c r="L106" s="391"/>
    </row>
    <row r="107" spans="2:12">
      <c r="B107" s="389" t="s">
        <v>1301</v>
      </c>
      <c r="C107" s="390"/>
      <c r="D107" s="390"/>
      <c r="E107" s="390"/>
      <c r="F107" s="390"/>
      <c r="G107" s="390"/>
      <c r="H107" s="390"/>
      <c r="I107" s="390"/>
      <c r="J107" s="390"/>
      <c r="K107" s="390"/>
      <c r="L107" s="391"/>
    </row>
    <row r="108" spans="2:12">
      <c r="B108" s="389" t="s">
        <v>1302</v>
      </c>
      <c r="C108" s="390"/>
      <c r="D108" s="390"/>
      <c r="E108" s="390"/>
      <c r="F108" s="390"/>
      <c r="G108" s="390"/>
      <c r="H108" s="390"/>
      <c r="I108" s="390"/>
      <c r="J108" s="390"/>
      <c r="K108" s="390"/>
      <c r="L108" s="391"/>
    </row>
    <row r="109" spans="2:12">
      <c r="B109" s="389" t="s">
        <v>1303</v>
      </c>
      <c r="C109" s="390"/>
      <c r="D109" s="390"/>
      <c r="E109" s="390"/>
      <c r="F109" s="390"/>
      <c r="G109" s="390"/>
      <c r="H109" s="390"/>
      <c r="I109" s="390"/>
      <c r="J109" s="390"/>
      <c r="K109" s="390"/>
      <c r="L109" s="391"/>
    </row>
    <row r="110" spans="2:12" ht="13.8" thickBot="1">
      <c r="B110" s="392"/>
      <c r="C110" s="393"/>
      <c r="D110" s="393"/>
      <c r="E110" s="393"/>
      <c r="F110" s="393"/>
      <c r="G110" s="393"/>
      <c r="H110" s="393"/>
      <c r="I110" s="393"/>
      <c r="J110" s="393"/>
      <c r="K110" s="393"/>
      <c r="L110" s="394"/>
    </row>
    <row r="111" spans="2:12">
      <c r="B111" s="78" t="s">
        <v>1187</v>
      </c>
      <c r="C111" s="166">
        <f t="shared" ref="C111:L111" si="12">SUM(C104:C110)</f>
        <v>0</v>
      </c>
      <c r="D111" s="166">
        <f t="shared" si="12"/>
        <v>0</v>
      </c>
      <c r="E111" s="166">
        <f t="shared" si="12"/>
        <v>0</v>
      </c>
      <c r="F111" s="166">
        <f t="shared" si="12"/>
        <v>0</v>
      </c>
      <c r="G111" s="166">
        <f t="shared" si="12"/>
        <v>0</v>
      </c>
      <c r="H111" s="166">
        <f t="shared" si="12"/>
        <v>0</v>
      </c>
      <c r="I111" s="166">
        <f t="shared" si="12"/>
        <v>0</v>
      </c>
      <c r="J111" s="166">
        <f t="shared" si="12"/>
        <v>0</v>
      </c>
      <c r="K111" s="166">
        <f t="shared" si="12"/>
        <v>0</v>
      </c>
      <c r="L111" s="166">
        <f t="shared" si="12"/>
        <v>0</v>
      </c>
    </row>
    <row r="112" spans="2:12">
      <c r="E112" s="11"/>
    </row>
    <row r="113" spans="2:13">
      <c r="E113" s="11"/>
    </row>
    <row r="114" spans="2:13" ht="15.6">
      <c r="B114" s="316" t="s">
        <v>1304</v>
      </c>
      <c r="C114" s="316"/>
      <c r="D114" s="316"/>
      <c r="E114" s="316"/>
      <c r="F114" s="316"/>
      <c r="G114" s="316"/>
      <c r="H114" s="316"/>
      <c r="I114" s="316"/>
      <c r="J114" s="316"/>
      <c r="K114" s="316"/>
      <c r="L114" s="316"/>
      <c r="M114" s="316"/>
    </row>
    <row r="115" spans="2:13">
      <c r="E115" s="11"/>
    </row>
    <row r="116" spans="2:13" ht="15.6">
      <c r="B116" s="316" t="s">
        <v>1305</v>
      </c>
      <c r="C116" s="316"/>
      <c r="D116" s="316"/>
      <c r="E116" s="316"/>
      <c r="F116" s="316"/>
      <c r="G116" s="316"/>
      <c r="H116" s="316"/>
      <c r="I116" s="316"/>
      <c r="J116" s="316"/>
      <c r="K116" s="316"/>
      <c r="L116" s="316"/>
      <c r="M116" s="316"/>
    </row>
    <row r="118" spans="2:13">
      <c r="B118" s="25"/>
    </row>
    <row r="119" spans="2:13">
      <c r="B119" s="78" t="s">
        <v>569</v>
      </c>
      <c r="E119" s="11"/>
    </row>
    <row r="120" spans="2:13" ht="12.75" customHeight="1">
      <c r="C120" s="631" t="s">
        <v>1306</v>
      </c>
      <c r="D120" s="632"/>
      <c r="E120" s="632"/>
      <c r="F120" s="632"/>
      <c r="G120" s="632"/>
      <c r="H120" s="632"/>
      <c r="I120" s="632"/>
      <c r="J120" s="632"/>
      <c r="K120" s="632"/>
      <c r="L120" s="632"/>
    </row>
    <row r="121" spans="2:13" ht="12.75" customHeight="1">
      <c r="B121" s="613" t="s">
        <v>1297</v>
      </c>
      <c r="C121" s="613" t="s">
        <v>1269</v>
      </c>
      <c r="D121" s="635" t="str">
        <f>D$46</f>
        <v>Comparable Building 1</v>
      </c>
      <c r="E121" s="611"/>
      <c r="F121" s="612"/>
      <c r="G121" s="635" t="str">
        <f>G$46</f>
        <v>Comparable Building 2</v>
      </c>
      <c r="H121" s="611"/>
      <c r="I121" s="612"/>
      <c r="J121" s="635" t="str">
        <f>J$46</f>
        <v>Comparable Building 3</v>
      </c>
      <c r="K121" s="611"/>
      <c r="L121" s="612"/>
    </row>
    <row r="122" spans="2:13" ht="13.8" thickBot="1">
      <c r="B122" s="614"/>
      <c r="C122" s="634"/>
      <c r="D122" s="175" t="s">
        <v>1243</v>
      </c>
      <c r="E122" s="175" t="s">
        <v>1244</v>
      </c>
      <c r="F122" s="175" t="s">
        <v>1245</v>
      </c>
      <c r="G122" s="175" t="s">
        <v>1243</v>
      </c>
      <c r="H122" s="175" t="s">
        <v>1244</v>
      </c>
      <c r="I122" s="175" t="s">
        <v>1245</v>
      </c>
      <c r="J122" s="175" t="s">
        <v>1243</v>
      </c>
      <c r="K122" s="175" t="s">
        <v>1244</v>
      </c>
      <c r="L122" s="175" t="s">
        <v>1245</v>
      </c>
    </row>
    <row r="123" spans="2:13">
      <c r="B123" s="167" t="str">
        <f>B91</f>
        <v>Space Cooling</v>
      </c>
      <c r="C123" s="395"/>
      <c r="D123" s="396"/>
      <c r="E123" s="396"/>
      <c r="F123" s="396"/>
      <c r="G123" s="396"/>
      <c r="H123" s="396"/>
      <c r="I123" s="396"/>
      <c r="J123" s="396"/>
      <c r="K123" s="396"/>
      <c r="L123" s="397"/>
    </row>
    <row r="124" spans="2:13">
      <c r="B124" s="95" t="str">
        <f t="shared" ref="B124:B129" si="13">B92</f>
        <v>Lighting</v>
      </c>
      <c r="C124" s="398"/>
      <c r="D124" s="399"/>
      <c r="E124" s="399"/>
      <c r="F124" s="399"/>
      <c r="G124" s="399"/>
      <c r="H124" s="399"/>
      <c r="I124" s="399"/>
      <c r="J124" s="399"/>
      <c r="K124" s="399"/>
      <c r="L124" s="400"/>
    </row>
    <row r="125" spans="2:13">
      <c r="B125" s="95" t="str">
        <f t="shared" si="13"/>
        <v>Total Equipment</v>
      </c>
      <c r="C125" s="398"/>
      <c r="D125" s="399"/>
      <c r="E125" s="399"/>
      <c r="F125" s="399"/>
      <c r="G125" s="399"/>
      <c r="H125" s="399"/>
      <c r="I125" s="399"/>
      <c r="J125" s="399"/>
      <c r="K125" s="399"/>
      <c r="L125" s="400"/>
    </row>
    <row r="126" spans="2:13">
      <c r="B126" s="95" t="str">
        <f t="shared" si="13"/>
        <v>Domestic Hot Water</v>
      </c>
      <c r="C126" s="398"/>
      <c r="D126" s="399"/>
      <c r="E126" s="399"/>
      <c r="F126" s="399"/>
      <c r="G126" s="399"/>
      <c r="H126" s="399"/>
      <c r="I126" s="399"/>
      <c r="J126" s="399"/>
      <c r="K126" s="399"/>
      <c r="L126" s="400"/>
    </row>
    <row r="127" spans="2:13">
      <c r="B127" s="95" t="str">
        <f t="shared" si="13"/>
        <v>Other Electrical Processes</v>
      </c>
      <c r="C127" s="398"/>
      <c r="D127" s="399"/>
      <c r="E127" s="399"/>
      <c r="F127" s="399"/>
      <c r="G127" s="399"/>
      <c r="H127" s="399"/>
      <c r="I127" s="399"/>
      <c r="J127" s="399"/>
      <c r="K127" s="399"/>
      <c r="L127" s="400"/>
    </row>
    <row r="128" spans="2:13">
      <c r="B128" s="95" t="str">
        <f t="shared" si="13"/>
        <v>Ventilation</v>
      </c>
      <c r="C128" s="398"/>
      <c r="D128" s="399"/>
      <c r="E128" s="399"/>
      <c r="F128" s="399"/>
      <c r="G128" s="399"/>
      <c r="H128" s="399"/>
      <c r="I128" s="399"/>
      <c r="J128" s="399"/>
      <c r="K128" s="399"/>
      <c r="L128" s="400"/>
    </row>
    <row r="129" spans="2:12" ht="13.8" thickBot="1">
      <c r="B129" s="95">
        <f t="shared" si="13"/>
        <v>0</v>
      </c>
      <c r="C129" s="401"/>
      <c r="D129" s="402"/>
      <c r="E129" s="402"/>
      <c r="F129" s="402"/>
      <c r="G129" s="402"/>
      <c r="H129" s="402"/>
      <c r="I129" s="402"/>
      <c r="J129" s="402"/>
      <c r="K129" s="402"/>
      <c r="L129" s="403"/>
    </row>
    <row r="130" spans="2:12">
      <c r="B130" s="78" t="s">
        <v>1307</v>
      </c>
      <c r="C130" s="168">
        <f t="shared" ref="C130:L130" si="14">SUM(C123:C129)</f>
        <v>0</v>
      </c>
      <c r="D130" s="168">
        <f t="shared" si="14"/>
        <v>0</v>
      </c>
      <c r="E130" s="168">
        <f t="shared" si="14"/>
        <v>0</v>
      </c>
      <c r="F130" s="168">
        <f t="shared" si="14"/>
        <v>0</v>
      </c>
      <c r="G130" s="168">
        <f t="shared" si="14"/>
        <v>0</v>
      </c>
      <c r="H130" s="168">
        <f t="shared" si="14"/>
        <v>0</v>
      </c>
      <c r="I130" s="168">
        <f t="shared" si="14"/>
        <v>0</v>
      </c>
      <c r="J130" s="168">
        <f t="shared" si="14"/>
        <v>0</v>
      </c>
      <c r="K130" s="168">
        <f t="shared" si="14"/>
        <v>0</v>
      </c>
      <c r="L130" s="168">
        <f t="shared" si="14"/>
        <v>0</v>
      </c>
    </row>
    <row r="131" spans="2:12">
      <c r="B131" s="78" t="s">
        <v>1308</v>
      </c>
      <c r="C131" s="103">
        <f ca="1">C$48+C130</f>
        <v>0</v>
      </c>
      <c r="D131" s="103">
        <f t="shared" ref="D131:L131" si="15">D$48+D130</f>
        <v>0</v>
      </c>
      <c r="E131" s="103">
        <f t="shared" si="15"/>
        <v>0</v>
      </c>
      <c r="F131" s="103">
        <f t="shared" si="15"/>
        <v>0</v>
      </c>
      <c r="G131" s="103">
        <f t="shared" si="15"/>
        <v>0</v>
      </c>
      <c r="H131" s="103">
        <f t="shared" si="15"/>
        <v>0</v>
      </c>
      <c r="I131" s="103">
        <f t="shared" si="15"/>
        <v>0</v>
      </c>
      <c r="J131" s="103">
        <f t="shared" si="15"/>
        <v>0</v>
      </c>
      <c r="K131" s="103">
        <f t="shared" si="15"/>
        <v>0</v>
      </c>
      <c r="L131" s="103">
        <f t="shared" si="15"/>
        <v>0</v>
      </c>
    </row>
    <row r="132" spans="2:12">
      <c r="E132" s="11"/>
    </row>
    <row r="133" spans="2:12">
      <c r="B133" s="78" t="s">
        <v>1298</v>
      </c>
      <c r="E133" s="11"/>
    </row>
    <row r="134" spans="2:12" ht="12.75" customHeight="1">
      <c r="C134" s="631" t="s">
        <v>1306</v>
      </c>
      <c r="D134" s="632"/>
      <c r="E134" s="632"/>
      <c r="F134" s="632"/>
      <c r="G134" s="632"/>
      <c r="H134" s="632"/>
      <c r="I134" s="632"/>
      <c r="J134" s="632"/>
      <c r="K134" s="632"/>
      <c r="L134" s="632"/>
    </row>
    <row r="135" spans="2:12" ht="12.75" customHeight="1">
      <c r="B135" s="613" t="s">
        <v>1297</v>
      </c>
      <c r="C135" s="613" t="s">
        <v>1269</v>
      </c>
      <c r="D135" s="635" t="str">
        <f>D$46</f>
        <v>Comparable Building 1</v>
      </c>
      <c r="E135" s="611"/>
      <c r="F135" s="612"/>
      <c r="G135" s="635" t="str">
        <f>G$46</f>
        <v>Comparable Building 2</v>
      </c>
      <c r="H135" s="611"/>
      <c r="I135" s="612"/>
      <c r="J135" s="635" t="str">
        <f>J$46</f>
        <v>Comparable Building 3</v>
      </c>
      <c r="K135" s="611"/>
      <c r="L135" s="612"/>
    </row>
    <row r="136" spans="2:12" ht="13.8" thickBot="1">
      <c r="B136" s="614"/>
      <c r="C136" s="634"/>
      <c r="D136" s="175" t="s">
        <v>1243</v>
      </c>
      <c r="E136" s="175" t="s">
        <v>1244</v>
      </c>
      <c r="F136" s="175" t="s">
        <v>1245</v>
      </c>
      <c r="G136" s="175" t="s">
        <v>1243</v>
      </c>
      <c r="H136" s="175" t="s">
        <v>1244</v>
      </c>
      <c r="I136" s="175" t="s">
        <v>1245</v>
      </c>
      <c r="J136" s="175" t="s">
        <v>1243</v>
      </c>
      <c r="K136" s="175" t="s">
        <v>1244</v>
      </c>
      <c r="L136" s="175" t="s">
        <v>1245</v>
      </c>
    </row>
    <row r="137" spans="2:12">
      <c r="B137" s="95" t="str">
        <f>B104</f>
        <v>Space Heating</v>
      </c>
      <c r="C137" s="495">
        <v>9.9999999999999993E-35</v>
      </c>
      <c r="D137" s="396">
        <v>9.9999999999999993E-35</v>
      </c>
      <c r="E137" s="396">
        <v>9.9999999999999993E-35</v>
      </c>
      <c r="F137" s="396">
        <v>9.9999999999999993E-35</v>
      </c>
      <c r="G137" s="396">
        <v>9.9999999999999993E-35</v>
      </c>
      <c r="H137" s="396">
        <v>9.9999999999999993E-35</v>
      </c>
      <c r="I137" s="396">
        <v>9.9999999999999993E-35</v>
      </c>
      <c r="J137" s="396">
        <v>9.9999999999999993E-35</v>
      </c>
      <c r="K137" s="396">
        <v>9.9999999999999993E-35</v>
      </c>
      <c r="L137" s="397">
        <v>9.9999999999999993E-35</v>
      </c>
    </row>
    <row r="138" spans="2:12">
      <c r="B138" s="95" t="str">
        <f t="shared" ref="B138:B143" si="16">B105</f>
        <v>Domestic Hot Water</v>
      </c>
      <c r="C138" s="496">
        <v>9.9999999999999993E-35</v>
      </c>
      <c r="D138" s="399">
        <v>9.9999999999999993E-35</v>
      </c>
      <c r="E138" s="399">
        <v>9.9999999999999993E-35</v>
      </c>
      <c r="F138" s="399">
        <v>9.9999999999999993E-35</v>
      </c>
      <c r="G138" s="399">
        <v>9.9999999999999993E-35</v>
      </c>
      <c r="H138" s="399">
        <v>9.9999999999999993E-35</v>
      </c>
      <c r="I138" s="399">
        <v>9.9999999999999993E-35</v>
      </c>
      <c r="J138" s="399">
        <v>9.9999999999999993E-35</v>
      </c>
      <c r="K138" s="399">
        <v>9.9999999999999993E-35</v>
      </c>
      <c r="L138" s="400">
        <v>9.9999999999999993E-35</v>
      </c>
    </row>
    <row r="139" spans="2:12">
      <c r="B139" s="95" t="str">
        <f t="shared" si="16"/>
        <v>Pool Heating</v>
      </c>
      <c r="C139" s="496">
        <v>9.9999999999999993E-35</v>
      </c>
      <c r="D139" s="399">
        <v>9.9999999999999993E-35</v>
      </c>
      <c r="E139" s="399">
        <v>9.9999999999999993E-35</v>
      </c>
      <c r="F139" s="399">
        <v>9.9999999999999993E-35</v>
      </c>
      <c r="G139" s="399">
        <v>9.9999999999999993E-35</v>
      </c>
      <c r="H139" s="399">
        <v>9.9999999999999993E-35</v>
      </c>
      <c r="I139" s="399">
        <v>9.9999999999999993E-35</v>
      </c>
      <c r="J139" s="399">
        <v>9.9999999999999993E-35</v>
      </c>
      <c r="K139" s="399">
        <v>9.9999999999999993E-35</v>
      </c>
      <c r="L139" s="400">
        <v>9.9999999999999993E-35</v>
      </c>
    </row>
    <row r="140" spans="2:12">
      <c r="B140" s="95" t="str">
        <f t="shared" si="16"/>
        <v>Gas Fired Co-Gen Plant</v>
      </c>
      <c r="C140" s="496">
        <v>9.9999999999999993E-35</v>
      </c>
      <c r="D140" s="399">
        <v>9.9999999999999993E-35</v>
      </c>
      <c r="E140" s="399">
        <v>9.9999999999999993E-35</v>
      </c>
      <c r="F140" s="399">
        <v>9.9999999999999993E-35</v>
      </c>
      <c r="G140" s="399">
        <v>9.9999999999999993E-35</v>
      </c>
      <c r="H140" s="399">
        <v>9.9999999999999993E-35</v>
      </c>
      <c r="I140" s="399">
        <v>9.9999999999999993E-35</v>
      </c>
      <c r="J140" s="399">
        <v>9.9999999999999993E-35</v>
      </c>
      <c r="K140" s="399">
        <v>9.9999999999999993E-35</v>
      </c>
      <c r="L140" s="400">
        <v>9.9999999999999993E-35</v>
      </c>
    </row>
    <row r="141" spans="2:12">
      <c r="B141" s="95" t="str">
        <f t="shared" si="16"/>
        <v>Commercial Kitchen</v>
      </c>
      <c r="C141" s="496">
        <v>9.9999999999999993E-35</v>
      </c>
      <c r="D141" s="399">
        <v>9.9999999999999993E-35</v>
      </c>
      <c r="E141" s="399">
        <v>9.9999999999999993E-35</v>
      </c>
      <c r="F141" s="399">
        <v>9.9999999999999993E-35</v>
      </c>
      <c r="G141" s="399">
        <v>9.9999999999999993E-35</v>
      </c>
      <c r="H141" s="399">
        <v>9.9999999999999993E-35</v>
      </c>
      <c r="I141" s="399">
        <v>9.9999999999999993E-35</v>
      </c>
      <c r="J141" s="399">
        <v>9.9999999999999993E-35</v>
      </c>
      <c r="K141" s="399">
        <v>9.9999999999999993E-35</v>
      </c>
      <c r="L141" s="400">
        <v>9.9999999999999993E-35</v>
      </c>
    </row>
    <row r="142" spans="2:12">
      <c r="B142" s="95" t="str">
        <f t="shared" si="16"/>
        <v>Other gas</v>
      </c>
      <c r="C142" s="496">
        <v>9.9999999999999993E-35</v>
      </c>
      <c r="D142" s="399">
        <v>9.9999999999999993E-35</v>
      </c>
      <c r="E142" s="399">
        <v>9.9999999999999993E-35</v>
      </c>
      <c r="F142" s="399">
        <v>9.9999999999999993E-35</v>
      </c>
      <c r="G142" s="399">
        <v>9.9999999999999993E-35</v>
      </c>
      <c r="H142" s="399">
        <v>9.9999999999999993E-35</v>
      </c>
      <c r="I142" s="399">
        <v>9.9999999999999993E-35</v>
      </c>
      <c r="J142" s="399">
        <v>9.9999999999999993E-35</v>
      </c>
      <c r="K142" s="399">
        <v>9.9999999999999993E-35</v>
      </c>
      <c r="L142" s="400">
        <v>9.9999999999999993E-35</v>
      </c>
    </row>
    <row r="143" spans="2:12" ht="13.8" thickBot="1">
      <c r="B143" s="95">
        <f t="shared" si="16"/>
        <v>0</v>
      </c>
      <c r="C143" s="497">
        <v>9.9999999999999993E-35</v>
      </c>
      <c r="D143" s="402">
        <v>9.9999999999999993E-35</v>
      </c>
      <c r="E143" s="402">
        <v>9.9999999999999993E-35</v>
      </c>
      <c r="F143" s="402">
        <v>9.9999999999999993E-35</v>
      </c>
      <c r="G143" s="402">
        <v>9.9999999999999993E-35</v>
      </c>
      <c r="H143" s="402">
        <v>9.9999999999999993E-35</v>
      </c>
      <c r="I143" s="402">
        <v>9.9999999999999993E-35</v>
      </c>
      <c r="J143" s="402">
        <v>9.9999999999999993E-35</v>
      </c>
      <c r="K143" s="402">
        <v>9.9999999999999993E-35</v>
      </c>
      <c r="L143" s="403">
        <v>9.9999999999999993E-35</v>
      </c>
    </row>
    <row r="144" spans="2:12">
      <c r="B144" s="78" t="s">
        <v>1307</v>
      </c>
      <c r="C144" s="168">
        <f>SUM(C137:C143)</f>
        <v>6.9999999999999989E-34</v>
      </c>
      <c r="D144" s="168">
        <f t="shared" ref="D144:L144" si="17">SUM(D137:D143)</f>
        <v>6.9999999999999989E-34</v>
      </c>
      <c r="E144" s="168">
        <f t="shared" si="17"/>
        <v>6.9999999999999989E-34</v>
      </c>
      <c r="F144" s="168">
        <f t="shared" si="17"/>
        <v>6.9999999999999989E-34</v>
      </c>
      <c r="G144" s="168">
        <f t="shared" si="17"/>
        <v>6.9999999999999989E-34</v>
      </c>
      <c r="H144" s="168">
        <f t="shared" si="17"/>
        <v>6.9999999999999989E-34</v>
      </c>
      <c r="I144" s="168">
        <f t="shared" si="17"/>
        <v>6.9999999999999989E-34</v>
      </c>
      <c r="J144" s="168">
        <f t="shared" si="17"/>
        <v>6.9999999999999989E-34</v>
      </c>
      <c r="K144" s="168">
        <f t="shared" si="17"/>
        <v>6.9999999999999989E-34</v>
      </c>
      <c r="L144" s="168">
        <f t="shared" si="17"/>
        <v>6.9999999999999989E-34</v>
      </c>
    </row>
    <row r="145" spans="2:13">
      <c r="B145" s="78" t="s">
        <v>1308</v>
      </c>
      <c r="C145" s="103">
        <f t="shared" ref="C145:L145" ca="1" si="18">C$50+C$144</f>
        <v>6.9999999999999989E-34</v>
      </c>
      <c r="D145" s="103">
        <f t="shared" si="18"/>
        <v>6.9999999999999989E-34</v>
      </c>
      <c r="E145" s="103">
        <f t="shared" si="18"/>
        <v>6.9999999999999989E-34</v>
      </c>
      <c r="F145" s="103">
        <f t="shared" si="18"/>
        <v>6.9999999999999989E-34</v>
      </c>
      <c r="G145" s="103">
        <f t="shared" si="18"/>
        <v>6.9999999999999989E-34</v>
      </c>
      <c r="H145" s="103">
        <f t="shared" si="18"/>
        <v>6.9999999999999989E-34</v>
      </c>
      <c r="I145" s="103">
        <f t="shared" si="18"/>
        <v>6.9999999999999989E-34</v>
      </c>
      <c r="J145" s="103">
        <f t="shared" si="18"/>
        <v>6.9999999999999989E-34</v>
      </c>
      <c r="K145" s="103">
        <f t="shared" si="18"/>
        <v>6.9999999999999989E-34</v>
      </c>
      <c r="L145" s="103">
        <f t="shared" si="18"/>
        <v>6.9999999999999989E-34</v>
      </c>
    </row>
    <row r="148" spans="2:13" ht="15.6">
      <c r="B148" s="316" t="s">
        <v>1309</v>
      </c>
      <c r="C148" s="316"/>
      <c r="D148" s="316"/>
      <c r="E148" s="316"/>
      <c r="F148" s="316"/>
      <c r="G148" s="316"/>
      <c r="H148" s="316"/>
      <c r="I148" s="316"/>
      <c r="J148" s="316"/>
      <c r="K148" s="316"/>
      <c r="L148" s="316"/>
      <c r="M148" s="316"/>
    </row>
    <row r="151" spans="2:13" ht="12.75" customHeight="1">
      <c r="C151" s="631" t="s">
        <v>1310</v>
      </c>
      <c r="D151" s="636"/>
      <c r="E151" s="636"/>
      <c r="F151" s="636"/>
      <c r="G151" s="636"/>
      <c r="H151" s="636"/>
      <c r="I151" s="636"/>
      <c r="J151" s="636"/>
      <c r="K151" s="636"/>
      <c r="L151" s="636"/>
    </row>
    <row r="152" spans="2:13" ht="12.75" customHeight="1">
      <c r="B152" s="631" t="s">
        <v>360</v>
      </c>
      <c r="C152" s="631" t="s">
        <v>1269</v>
      </c>
      <c r="D152" s="635" t="str">
        <f>D$46</f>
        <v>Comparable Building 1</v>
      </c>
      <c r="E152" s="611"/>
      <c r="F152" s="612"/>
      <c r="G152" s="635" t="str">
        <f>G$46</f>
        <v>Comparable Building 2</v>
      </c>
      <c r="H152" s="611"/>
      <c r="I152" s="612"/>
      <c r="J152" s="635" t="str">
        <f>J$46</f>
        <v>Comparable Building 3</v>
      </c>
      <c r="K152" s="611"/>
      <c r="L152" s="612"/>
    </row>
    <row r="153" spans="2:13">
      <c r="B153" s="632"/>
      <c r="C153" s="632"/>
      <c r="D153" s="78" t="s">
        <v>1243</v>
      </c>
      <c r="E153" s="78" t="s">
        <v>1244</v>
      </c>
      <c r="F153" s="78" t="s">
        <v>1245</v>
      </c>
      <c r="G153" s="78" t="s">
        <v>1243</v>
      </c>
      <c r="H153" s="78" t="s">
        <v>1244</v>
      </c>
      <c r="I153" s="78" t="s">
        <v>1245</v>
      </c>
      <c r="J153" s="78" t="s">
        <v>1243</v>
      </c>
      <c r="K153" s="78" t="s">
        <v>1244</v>
      </c>
      <c r="L153" s="78" t="s">
        <v>1245</v>
      </c>
    </row>
    <row r="154" spans="2:13">
      <c r="B154" s="96" t="str">
        <f t="shared" ref="B154:B160" si="19">B48</f>
        <v>Electricity</v>
      </c>
      <c r="C154" s="98">
        <f ca="1">C131</f>
        <v>0</v>
      </c>
      <c r="D154" s="98">
        <f>D131</f>
        <v>0</v>
      </c>
      <c r="E154" s="98">
        <f t="shared" ref="E154:L154" si="20">E131</f>
        <v>0</v>
      </c>
      <c r="F154" s="98">
        <f t="shared" si="20"/>
        <v>0</v>
      </c>
      <c r="G154" s="98">
        <f t="shared" si="20"/>
        <v>0</v>
      </c>
      <c r="H154" s="98">
        <f t="shared" si="20"/>
        <v>0</v>
      </c>
      <c r="I154" s="98">
        <f t="shared" si="20"/>
        <v>0</v>
      </c>
      <c r="J154" s="98">
        <f t="shared" si="20"/>
        <v>0</v>
      </c>
      <c r="K154" s="98">
        <f t="shared" si="20"/>
        <v>0</v>
      </c>
      <c r="L154" s="98">
        <f t="shared" si="20"/>
        <v>0</v>
      </c>
    </row>
    <row r="155" spans="2:13">
      <c r="B155" s="96" t="str">
        <f t="shared" si="19"/>
        <v>GreenPower</v>
      </c>
      <c r="C155" s="98">
        <f t="shared" ref="C155:L155" ca="1" si="21">C49</f>
        <v>0</v>
      </c>
      <c r="D155" s="98">
        <f t="shared" si="21"/>
        <v>0</v>
      </c>
      <c r="E155" s="98">
        <f t="shared" si="21"/>
        <v>0</v>
      </c>
      <c r="F155" s="98">
        <f t="shared" si="21"/>
        <v>0</v>
      </c>
      <c r="G155" s="98">
        <f t="shared" si="21"/>
        <v>0</v>
      </c>
      <c r="H155" s="98">
        <f t="shared" si="21"/>
        <v>0</v>
      </c>
      <c r="I155" s="98">
        <f t="shared" si="21"/>
        <v>0</v>
      </c>
      <c r="J155" s="98">
        <f t="shared" si="21"/>
        <v>0</v>
      </c>
      <c r="K155" s="98">
        <f t="shared" si="21"/>
        <v>0</v>
      </c>
      <c r="L155" s="98">
        <f t="shared" si="21"/>
        <v>0</v>
      </c>
    </row>
    <row r="156" spans="2:13">
      <c r="B156" s="96" t="str">
        <f t="shared" si="19"/>
        <v>Natural gas distributed in a pipeline</v>
      </c>
      <c r="C156" s="98">
        <f ca="1">C145</f>
        <v>6.9999999999999989E-34</v>
      </c>
      <c r="D156" s="98">
        <f>D145</f>
        <v>6.9999999999999989E-34</v>
      </c>
      <c r="E156" s="98">
        <f t="shared" ref="E156:L156" si="22">E145</f>
        <v>6.9999999999999989E-34</v>
      </c>
      <c r="F156" s="98">
        <f t="shared" si="22"/>
        <v>6.9999999999999989E-34</v>
      </c>
      <c r="G156" s="98">
        <f t="shared" si="22"/>
        <v>6.9999999999999989E-34</v>
      </c>
      <c r="H156" s="98">
        <f t="shared" si="22"/>
        <v>6.9999999999999989E-34</v>
      </c>
      <c r="I156" s="98">
        <f t="shared" si="22"/>
        <v>6.9999999999999989E-34</v>
      </c>
      <c r="J156" s="98">
        <f t="shared" si="22"/>
        <v>6.9999999999999989E-34</v>
      </c>
      <c r="K156" s="98">
        <f t="shared" si="22"/>
        <v>6.9999999999999989E-34</v>
      </c>
      <c r="L156" s="98">
        <f t="shared" si="22"/>
        <v>6.9999999999999989E-34</v>
      </c>
    </row>
    <row r="157" spans="2:13">
      <c r="B157" s="96" t="str">
        <f t="shared" si="19"/>
        <v>Liquefied petroleum gas</v>
      </c>
      <c r="C157" s="98">
        <v>0</v>
      </c>
      <c r="D157" s="98">
        <v>0</v>
      </c>
      <c r="E157" s="98">
        <v>0</v>
      </c>
      <c r="F157" s="98">
        <v>0</v>
      </c>
      <c r="G157" s="98">
        <v>0</v>
      </c>
      <c r="H157" s="98">
        <v>0</v>
      </c>
      <c r="I157" s="98">
        <v>0</v>
      </c>
      <c r="J157" s="98">
        <v>0</v>
      </c>
      <c r="K157" s="98">
        <v>0</v>
      </c>
      <c r="L157" s="98">
        <v>0</v>
      </c>
    </row>
    <row r="158" spans="2:13">
      <c r="B158" s="96" t="str">
        <f t="shared" si="19"/>
        <v>Diesel Oil</v>
      </c>
      <c r="C158" s="98">
        <f>'15C Building Details'!C103</f>
        <v>0</v>
      </c>
      <c r="D158" s="98">
        <v>0</v>
      </c>
      <c r="E158" s="98">
        <v>0</v>
      </c>
      <c r="F158" s="98">
        <v>0</v>
      </c>
      <c r="G158" s="98">
        <v>0</v>
      </c>
      <c r="H158" s="98">
        <v>0</v>
      </c>
      <c r="I158" s="98">
        <v>0</v>
      </c>
      <c r="J158" s="98">
        <v>0</v>
      </c>
      <c r="K158" s="98">
        <v>0</v>
      </c>
      <c r="L158" s="98">
        <v>0</v>
      </c>
    </row>
    <row r="159" spans="2:13">
      <c r="B159" s="96" t="str">
        <f t="shared" si="19"/>
        <v>Bituminous coal</v>
      </c>
      <c r="C159" s="98">
        <v>0</v>
      </c>
      <c r="D159" s="98">
        <v>0</v>
      </c>
      <c r="E159" s="98">
        <v>0</v>
      </c>
      <c r="F159" s="98">
        <v>0</v>
      </c>
      <c r="G159" s="98">
        <v>0</v>
      </c>
      <c r="H159" s="98">
        <v>0</v>
      </c>
      <c r="I159" s="98">
        <v>0</v>
      </c>
      <c r="J159" s="98">
        <v>0</v>
      </c>
      <c r="K159" s="98">
        <v>0</v>
      </c>
      <c r="L159" s="98">
        <v>0</v>
      </c>
    </row>
    <row r="160" spans="2:13">
      <c r="B160" s="96" t="str">
        <f t="shared" si="19"/>
        <v>Other</v>
      </c>
      <c r="C160" s="98">
        <v>0</v>
      </c>
      <c r="D160" s="98">
        <v>0</v>
      </c>
      <c r="E160" s="98">
        <v>0</v>
      </c>
      <c r="F160" s="98">
        <v>0</v>
      </c>
      <c r="G160" s="98">
        <v>0</v>
      </c>
      <c r="H160" s="98">
        <v>0</v>
      </c>
      <c r="I160" s="98">
        <v>0</v>
      </c>
      <c r="J160" s="98">
        <v>0</v>
      </c>
      <c r="K160" s="98">
        <v>0</v>
      </c>
      <c r="L160" s="98">
        <v>0</v>
      </c>
    </row>
    <row r="161" spans="2:13">
      <c r="B161" s="96" t="s">
        <v>587</v>
      </c>
      <c r="C161" s="98">
        <f ca="1">C55</f>
        <v>0</v>
      </c>
      <c r="D161" s="98">
        <v>0</v>
      </c>
      <c r="E161" s="98">
        <v>0</v>
      </c>
      <c r="F161" s="98">
        <v>0</v>
      </c>
      <c r="G161" s="98">
        <v>0</v>
      </c>
      <c r="H161" s="98">
        <v>0</v>
      </c>
      <c r="I161" s="98">
        <v>0</v>
      </c>
      <c r="J161" s="98">
        <v>0</v>
      </c>
      <c r="K161" s="98">
        <v>0</v>
      </c>
      <c r="L161" s="98">
        <v>0</v>
      </c>
    </row>
    <row r="162" spans="2:13">
      <c r="B162" s="96" t="s">
        <v>589</v>
      </c>
      <c r="C162" s="98">
        <f ca="1">C56</f>
        <v>0</v>
      </c>
      <c r="D162" s="98">
        <v>0</v>
      </c>
      <c r="E162" s="98">
        <v>0</v>
      </c>
      <c r="F162" s="98">
        <v>0</v>
      </c>
      <c r="G162" s="98">
        <v>0</v>
      </c>
      <c r="H162" s="98">
        <v>0</v>
      </c>
      <c r="I162" s="98">
        <v>0</v>
      </c>
      <c r="J162" s="98">
        <v>0</v>
      </c>
      <c r="K162" s="98">
        <v>0</v>
      </c>
      <c r="L162" s="98">
        <v>0</v>
      </c>
    </row>
    <row r="163" spans="2:13">
      <c r="B163" s="96" t="s">
        <v>458</v>
      </c>
      <c r="C163" s="98">
        <f ca="1">C57</f>
        <v>0</v>
      </c>
      <c r="D163" s="98">
        <v>0</v>
      </c>
      <c r="E163" s="98">
        <v>0</v>
      </c>
      <c r="F163" s="98">
        <v>0</v>
      </c>
      <c r="G163" s="98">
        <v>0</v>
      </c>
      <c r="H163" s="98">
        <v>0</v>
      </c>
      <c r="I163" s="98">
        <v>0</v>
      </c>
      <c r="J163" s="98">
        <v>0</v>
      </c>
      <c r="K163" s="98">
        <v>0</v>
      </c>
      <c r="L163" s="98">
        <v>0</v>
      </c>
    </row>
    <row r="164" spans="2:13">
      <c r="B164" s="78" t="s">
        <v>1187</v>
      </c>
      <c r="C164" s="103">
        <f ca="1">SUM(C154:C163)</f>
        <v>6.9999999999999989E-34</v>
      </c>
      <c r="D164" s="103">
        <f t="shared" ref="D164:L164" si="23">SUM(D154:D163)</f>
        <v>6.9999999999999989E-34</v>
      </c>
      <c r="E164" s="103">
        <f t="shared" si="23"/>
        <v>6.9999999999999989E-34</v>
      </c>
      <c r="F164" s="103">
        <f t="shared" si="23"/>
        <v>6.9999999999999989E-34</v>
      </c>
      <c r="G164" s="103">
        <f t="shared" si="23"/>
        <v>6.9999999999999989E-34</v>
      </c>
      <c r="H164" s="103">
        <f t="shared" si="23"/>
        <v>6.9999999999999989E-34</v>
      </c>
      <c r="I164" s="103">
        <f t="shared" si="23"/>
        <v>6.9999999999999989E-34</v>
      </c>
      <c r="J164" s="103">
        <f t="shared" si="23"/>
        <v>6.9999999999999989E-34</v>
      </c>
      <c r="K164" s="103">
        <f t="shared" si="23"/>
        <v>6.9999999999999989E-34</v>
      </c>
      <c r="L164" s="103">
        <f t="shared" si="23"/>
        <v>6.9999999999999989E-34</v>
      </c>
    </row>
    <row r="165" spans="2:13">
      <c r="B165" s="78" t="s">
        <v>1311</v>
      </c>
      <c r="C165" s="103" t="e">
        <f t="shared" ref="C165:L165" ca="1" si="24">C164*1000/C$67</f>
        <v>#DIV/0!</v>
      </c>
      <c r="D165" s="103" t="e">
        <f t="shared" si="24"/>
        <v>#DIV/0!</v>
      </c>
      <c r="E165" s="103" t="e">
        <f t="shared" si="24"/>
        <v>#DIV/0!</v>
      </c>
      <c r="F165" s="103" t="e">
        <f t="shared" si="24"/>
        <v>#DIV/0!</v>
      </c>
      <c r="G165" s="103" t="e">
        <f t="shared" si="24"/>
        <v>#DIV/0!</v>
      </c>
      <c r="H165" s="103" t="e">
        <f t="shared" si="24"/>
        <v>#DIV/0!</v>
      </c>
      <c r="I165" s="103" t="e">
        <f t="shared" si="24"/>
        <v>#DIV/0!</v>
      </c>
      <c r="J165" s="103" t="e">
        <f t="shared" si="24"/>
        <v>#DIV/0!</v>
      </c>
      <c r="K165" s="103" t="e">
        <f t="shared" si="24"/>
        <v>#DIV/0!</v>
      </c>
      <c r="L165" s="103" t="e">
        <f t="shared" si="24"/>
        <v>#DIV/0!</v>
      </c>
    </row>
    <row r="168" spans="2:13" ht="15.6">
      <c r="B168" s="316" t="s">
        <v>1312</v>
      </c>
      <c r="C168" s="316"/>
      <c r="D168" s="316"/>
      <c r="E168" s="316"/>
      <c r="F168" s="316"/>
      <c r="G168" s="316"/>
      <c r="H168" s="316"/>
      <c r="I168" s="316"/>
      <c r="J168" s="316"/>
      <c r="K168" s="316"/>
      <c r="L168" s="316"/>
      <c r="M168" s="316"/>
    </row>
    <row r="170" spans="2:13">
      <c r="B170" s="78" t="s">
        <v>569</v>
      </c>
      <c r="E170" s="11"/>
    </row>
    <row r="171" spans="2:13" ht="12.75" customHeight="1">
      <c r="C171" s="631" t="s">
        <v>1313</v>
      </c>
      <c r="D171" s="632"/>
      <c r="E171" s="632"/>
      <c r="F171" s="632"/>
      <c r="G171" s="632"/>
      <c r="H171" s="632"/>
      <c r="I171" s="632"/>
      <c r="J171" s="632"/>
      <c r="K171" s="632"/>
      <c r="L171" s="632"/>
    </row>
    <row r="172" spans="2:13" ht="12.75" customHeight="1">
      <c r="B172" s="613" t="s">
        <v>1297</v>
      </c>
      <c r="C172" s="613" t="s">
        <v>1269</v>
      </c>
      <c r="D172" s="635" t="str">
        <f>D$46</f>
        <v>Comparable Building 1</v>
      </c>
      <c r="E172" s="611"/>
      <c r="F172" s="612"/>
      <c r="G172" s="635" t="str">
        <f>G$46</f>
        <v>Comparable Building 2</v>
      </c>
      <c r="H172" s="611"/>
      <c r="I172" s="612"/>
      <c r="J172" s="635" t="str">
        <f>J$46</f>
        <v>Comparable Building 3</v>
      </c>
      <c r="K172" s="611"/>
      <c r="L172" s="612"/>
    </row>
    <row r="173" spans="2:13">
      <c r="B173" s="614"/>
      <c r="C173" s="614"/>
      <c r="D173" s="78" t="s">
        <v>1243</v>
      </c>
      <c r="E173" s="78" t="s">
        <v>1244</v>
      </c>
      <c r="F173" s="78" t="s">
        <v>1245</v>
      </c>
      <c r="G173" s="78" t="s">
        <v>1243</v>
      </c>
      <c r="H173" s="78" t="s">
        <v>1244</v>
      </c>
      <c r="I173" s="78" t="s">
        <v>1245</v>
      </c>
      <c r="J173" s="78" t="s">
        <v>1243</v>
      </c>
      <c r="K173" s="78" t="s">
        <v>1244</v>
      </c>
      <c r="L173" s="78" t="s">
        <v>1245</v>
      </c>
    </row>
    <row r="174" spans="2:13">
      <c r="B174" s="150" t="str">
        <f t="shared" ref="B174:B180" si="25">B91</f>
        <v>Space Cooling</v>
      </c>
      <c r="C174" s="169" t="e">
        <f t="shared" ref="C174:L174" ca="1" si="26">(C91*(C$48+C$49)+C123)/(C$154+C$155)</f>
        <v>#DIV/0!</v>
      </c>
      <c r="D174" s="169" t="e">
        <f t="shared" si="26"/>
        <v>#DIV/0!</v>
      </c>
      <c r="E174" s="169" t="e">
        <f t="shared" si="26"/>
        <v>#DIV/0!</v>
      </c>
      <c r="F174" s="169" t="e">
        <f t="shared" si="26"/>
        <v>#DIV/0!</v>
      </c>
      <c r="G174" s="169" t="e">
        <f t="shared" si="26"/>
        <v>#DIV/0!</v>
      </c>
      <c r="H174" s="169" t="e">
        <f t="shared" si="26"/>
        <v>#DIV/0!</v>
      </c>
      <c r="I174" s="169" t="e">
        <f t="shared" si="26"/>
        <v>#DIV/0!</v>
      </c>
      <c r="J174" s="169" t="e">
        <f t="shared" si="26"/>
        <v>#DIV/0!</v>
      </c>
      <c r="K174" s="169" t="e">
        <f t="shared" si="26"/>
        <v>#DIV/0!</v>
      </c>
      <c r="L174" s="169" t="e">
        <f t="shared" si="26"/>
        <v>#DIV/0!</v>
      </c>
    </row>
    <row r="175" spans="2:13">
      <c r="B175" s="150" t="str">
        <f t="shared" si="25"/>
        <v>Lighting</v>
      </c>
      <c r="C175" s="169" t="e">
        <f t="shared" ref="C175:L175" ca="1" si="27">(C92*(C$48+C$49)+C124)/(C$154+C$155)</f>
        <v>#DIV/0!</v>
      </c>
      <c r="D175" s="169" t="e">
        <f t="shared" si="27"/>
        <v>#DIV/0!</v>
      </c>
      <c r="E175" s="169" t="e">
        <f t="shared" si="27"/>
        <v>#DIV/0!</v>
      </c>
      <c r="F175" s="169" t="e">
        <f t="shared" si="27"/>
        <v>#DIV/0!</v>
      </c>
      <c r="G175" s="169" t="e">
        <f t="shared" si="27"/>
        <v>#DIV/0!</v>
      </c>
      <c r="H175" s="169" t="e">
        <f t="shared" si="27"/>
        <v>#DIV/0!</v>
      </c>
      <c r="I175" s="169" t="e">
        <f t="shared" si="27"/>
        <v>#DIV/0!</v>
      </c>
      <c r="J175" s="169" t="e">
        <f t="shared" si="27"/>
        <v>#DIV/0!</v>
      </c>
      <c r="K175" s="169" t="e">
        <f t="shared" si="27"/>
        <v>#DIV/0!</v>
      </c>
      <c r="L175" s="169" t="e">
        <f t="shared" si="27"/>
        <v>#DIV/0!</v>
      </c>
    </row>
    <row r="176" spans="2:13">
      <c r="B176" s="150" t="str">
        <f t="shared" si="25"/>
        <v>Total Equipment</v>
      </c>
      <c r="C176" s="169" t="e">
        <f t="shared" ref="C176:L176" ca="1" si="28">(C93*(C$48+C$49)+C125)/(C$154+C$155)</f>
        <v>#DIV/0!</v>
      </c>
      <c r="D176" s="169" t="e">
        <f t="shared" si="28"/>
        <v>#DIV/0!</v>
      </c>
      <c r="E176" s="169" t="e">
        <f t="shared" si="28"/>
        <v>#DIV/0!</v>
      </c>
      <c r="F176" s="169" t="e">
        <f t="shared" si="28"/>
        <v>#DIV/0!</v>
      </c>
      <c r="G176" s="169" t="e">
        <f t="shared" si="28"/>
        <v>#DIV/0!</v>
      </c>
      <c r="H176" s="169" t="e">
        <f t="shared" si="28"/>
        <v>#DIV/0!</v>
      </c>
      <c r="I176" s="169" t="e">
        <f t="shared" si="28"/>
        <v>#DIV/0!</v>
      </c>
      <c r="J176" s="169" t="e">
        <f t="shared" si="28"/>
        <v>#DIV/0!</v>
      </c>
      <c r="K176" s="169" t="e">
        <f t="shared" si="28"/>
        <v>#DIV/0!</v>
      </c>
      <c r="L176" s="169" t="e">
        <f t="shared" si="28"/>
        <v>#DIV/0!</v>
      </c>
    </row>
    <row r="177" spans="2:12">
      <c r="B177" s="150" t="str">
        <f t="shared" si="25"/>
        <v>Domestic Hot Water</v>
      </c>
      <c r="C177" s="169" t="e">
        <f t="shared" ref="C177:L177" ca="1" si="29">(C94*(C$48+C$49)+C126)/(C$154+C$155)</f>
        <v>#DIV/0!</v>
      </c>
      <c r="D177" s="169" t="e">
        <f t="shared" si="29"/>
        <v>#DIV/0!</v>
      </c>
      <c r="E177" s="169" t="e">
        <f t="shared" si="29"/>
        <v>#DIV/0!</v>
      </c>
      <c r="F177" s="169" t="e">
        <f t="shared" si="29"/>
        <v>#DIV/0!</v>
      </c>
      <c r="G177" s="169" t="e">
        <f t="shared" si="29"/>
        <v>#DIV/0!</v>
      </c>
      <c r="H177" s="169" t="e">
        <f t="shared" si="29"/>
        <v>#DIV/0!</v>
      </c>
      <c r="I177" s="169" t="e">
        <f t="shared" si="29"/>
        <v>#DIV/0!</v>
      </c>
      <c r="J177" s="169" t="e">
        <f t="shared" si="29"/>
        <v>#DIV/0!</v>
      </c>
      <c r="K177" s="169" t="e">
        <f t="shared" si="29"/>
        <v>#DIV/0!</v>
      </c>
      <c r="L177" s="169" t="e">
        <f t="shared" si="29"/>
        <v>#DIV/0!</v>
      </c>
    </row>
    <row r="178" spans="2:12">
      <c r="B178" s="150" t="str">
        <f t="shared" si="25"/>
        <v>Other Electrical Processes</v>
      </c>
      <c r="C178" s="169" t="e">
        <f t="shared" ref="C178:L178" ca="1" si="30">(C95*(C$48+C$49)+C127)/(C$154+C$155)</f>
        <v>#DIV/0!</v>
      </c>
      <c r="D178" s="169" t="e">
        <f t="shared" si="30"/>
        <v>#DIV/0!</v>
      </c>
      <c r="E178" s="169" t="e">
        <f t="shared" si="30"/>
        <v>#DIV/0!</v>
      </c>
      <c r="F178" s="169" t="e">
        <f t="shared" si="30"/>
        <v>#DIV/0!</v>
      </c>
      <c r="G178" s="169" t="e">
        <f t="shared" si="30"/>
        <v>#DIV/0!</v>
      </c>
      <c r="H178" s="169" t="e">
        <f t="shared" si="30"/>
        <v>#DIV/0!</v>
      </c>
      <c r="I178" s="169" t="e">
        <f t="shared" si="30"/>
        <v>#DIV/0!</v>
      </c>
      <c r="J178" s="169" t="e">
        <f t="shared" si="30"/>
        <v>#DIV/0!</v>
      </c>
      <c r="K178" s="169" t="e">
        <f t="shared" si="30"/>
        <v>#DIV/0!</v>
      </c>
      <c r="L178" s="169" t="e">
        <f t="shared" si="30"/>
        <v>#DIV/0!</v>
      </c>
    </row>
    <row r="179" spans="2:12">
      <c r="B179" s="150" t="str">
        <f t="shared" si="25"/>
        <v>Ventilation</v>
      </c>
      <c r="C179" s="169" t="e">
        <f t="shared" ref="C179:L179" ca="1" si="31">(C96*(C$48+C$49)+C128)/(C$154+C$155)</f>
        <v>#DIV/0!</v>
      </c>
      <c r="D179" s="169" t="e">
        <f t="shared" si="31"/>
        <v>#DIV/0!</v>
      </c>
      <c r="E179" s="169" t="e">
        <f t="shared" si="31"/>
        <v>#DIV/0!</v>
      </c>
      <c r="F179" s="169" t="e">
        <f t="shared" si="31"/>
        <v>#DIV/0!</v>
      </c>
      <c r="G179" s="169" t="e">
        <f t="shared" si="31"/>
        <v>#DIV/0!</v>
      </c>
      <c r="H179" s="169" t="e">
        <f t="shared" si="31"/>
        <v>#DIV/0!</v>
      </c>
      <c r="I179" s="169" t="e">
        <f t="shared" si="31"/>
        <v>#DIV/0!</v>
      </c>
      <c r="J179" s="169" t="e">
        <f t="shared" si="31"/>
        <v>#DIV/0!</v>
      </c>
      <c r="K179" s="169" t="e">
        <f t="shared" si="31"/>
        <v>#DIV/0!</v>
      </c>
      <c r="L179" s="169" t="e">
        <f t="shared" si="31"/>
        <v>#DIV/0!</v>
      </c>
    </row>
    <row r="180" spans="2:12">
      <c r="B180" s="150">
        <f t="shared" si="25"/>
        <v>0</v>
      </c>
      <c r="C180" s="169" t="e">
        <f t="shared" ref="C180:L180" ca="1" si="32">(C97*(C$48+C$49)+C129)/(C$154+C$155)</f>
        <v>#DIV/0!</v>
      </c>
      <c r="D180" s="169" t="e">
        <f t="shared" si="32"/>
        <v>#DIV/0!</v>
      </c>
      <c r="E180" s="169" t="e">
        <f t="shared" si="32"/>
        <v>#DIV/0!</v>
      </c>
      <c r="F180" s="169" t="e">
        <f t="shared" si="32"/>
        <v>#DIV/0!</v>
      </c>
      <c r="G180" s="169" t="e">
        <f t="shared" si="32"/>
        <v>#DIV/0!</v>
      </c>
      <c r="H180" s="169" t="e">
        <f t="shared" si="32"/>
        <v>#DIV/0!</v>
      </c>
      <c r="I180" s="169" t="e">
        <f t="shared" si="32"/>
        <v>#DIV/0!</v>
      </c>
      <c r="J180" s="169" t="e">
        <f t="shared" si="32"/>
        <v>#DIV/0!</v>
      </c>
      <c r="K180" s="169" t="e">
        <f t="shared" si="32"/>
        <v>#DIV/0!</v>
      </c>
      <c r="L180" s="169" t="e">
        <f t="shared" si="32"/>
        <v>#DIV/0!</v>
      </c>
    </row>
    <row r="181" spans="2:12">
      <c r="B181" s="78" t="s">
        <v>1187</v>
      </c>
      <c r="C181" s="170" t="e">
        <f t="shared" ref="C181:L181" ca="1" si="33">SUM(C174:C180)</f>
        <v>#DIV/0!</v>
      </c>
      <c r="D181" s="170" t="e">
        <f t="shared" si="33"/>
        <v>#DIV/0!</v>
      </c>
      <c r="E181" s="170" t="e">
        <f t="shared" si="33"/>
        <v>#DIV/0!</v>
      </c>
      <c r="F181" s="170" t="e">
        <f t="shared" si="33"/>
        <v>#DIV/0!</v>
      </c>
      <c r="G181" s="166" t="e">
        <f t="shared" si="33"/>
        <v>#DIV/0!</v>
      </c>
      <c r="H181" s="166" t="e">
        <f t="shared" si="33"/>
        <v>#DIV/0!</v>
      </c>
      <c r="I181" s="166" t="e">
        <f t="shared" si="33"/>
        <v>#DIV/0!</v>
      </c>
      <c r="J181" s="170" t="e">
        <f t="shared" si="33"/>
        <v>#DIV/0!</v>
      </c>
      <c r="K181" s="170" t="e">
        <f t="shared" si="33"/>
        <v>#DIV/0!</v>
      </c>
      <c r="L181" s="170" t="e">
        <f t="shared" si="33"/>
        <v>#DIV/0!</v>
      </c>
    </row>
    <row r="182" spans="2:12">
      <c r="E182" s="11"/>
    </row>
    <row r="183" spans="2:12">
      <c r="B183" s="78" t="s">
        <v>1298</v>
      </c>
      <c r="E183" s="11"/>
    </row>
    <row r="184" spans="2:12" ht="12.75" customHeight="1">
      <c r="C184" s="631" t="s">
        <v>1313</v>
      </c>
      <c r="D184" s="632"/>
      <c r="E184" s="632"/>
      <c r="F184" s="632"/>
      <c r="G184" s="632"/>
      <c r="H184" s="632"/>
      <c r="I184" s="632"/>
      <c r="J184" s="632"/>
      <c r="K184" s="632"/>
      <c r="L184" s="632"/>
    </row>
    <row r="185" spans="2:12" ht="12.75" customHeight="1">
      <c r="B185" s="613" t="s">
        <v>1297</v>
      </c>
      <c r="C185" s="613" t="s">
        <v>1269</v>
      </c>
      <c r="D185" s="635" t="str">
        <f>D$46</f>
        <v>Comparable Building 1</v>
      </c>
      <c r="E185" s="611"/>
      <c r="F185" s="612"/>
      <c r="G185" s="635" t="str">
        <f>G$46</f>
        <v>Comparable Building 2</v>
      </c>
      <c r="H185" s="611"/>
      <c r="I185" s="612"/>
      <c r="J185" s="635" t="str">
        <f>J$46</f>
        <v>Comparable Building 3</v>
      </c>
      <c r="K185" s="611"/>
      <c r="L185" s="612"/>
    </row>
    <row r="186" spans="2:12">
      <c r="B186" s="614"/>
      <c r="C186" s="614"/>
      <c r="D186" s="78" t="s">
        <v>1243</v>
      </c>
      <c r="E186" s="78" t="s">
        <v>1244</v>
      </c>
      <c r="F186" s="78" t="s">
        <v>1245</v>
      </c>
      <c r="G186" s="78" t="s">
        <v>1243</v>
      </c>
      <c r="H186" s="78" t="s">
        <v>1244</v>
      </c>
      <c r="I186" s="78" t="s">
        <v>1245</v>
      </c>
      <c r="J186" s="78" t="s">
        <v>1243</v>
      </c>
      <c r="K186" s="78" t="s">
        <v>1244</v>
      </c>
      <c r="L186" s="78" t="s">
        <v>1245</v>
      </c>
    </row>
    <row r="187" spans="2:12">
      <c r="B187" s="150" t="str">
        <f t="shared" ref="B187:B193" si="34">B104</f>
        <v>Space Heating</v>
      </c>
      <c r="C187" s="169">
        <f t="shared" ref="C187:L187" ca="1" si="35">(C104*C$50+C137)/C$145</f>
        <v>0.14285714285714288</v>
      </c>
      <c r="D187" s="169">
        <f t="shared" si="35"/>
        <v>0.14285714285714288</v>
      </c>
      <c r="E187" s="169">
        <f t="shared" si="35"/>
        <v>0.14285714285714288</v>
      </c>
      <c r="F187" s="169">
        <f t="shared" si="35"/>
        <v>0.14285714285714288</v>
      </c>
      <c r="G187" s="169">
        <f t="shared" si="35"/>
        <v>0.14285714285714288</v>
      </c>
      <c r="H187" s="169">
        <f t="shared" si="35"/>
        <v>0.14285714285714288</v>
      </c>
      <c r="I187" s="169">
        <f t="shared" si="35"/>
        <v>0.14285714285714288</v>
      </c>
      <c r="J187" s="169">
        <f t="shared" si="35"/>
        <v>0.14285714285714288</v>
      </c>
      <c r="K187" s="169">
        <f t="shared" si="35"/>
        <v>0.14285714285714288</v>
      </c>
      <c r="L187" s="169">
        <f t="shared" si="35"/>
        <v>0.14285714285714288</v>
      </c>
    </row>
    <row r="188" spans="2:12" ht="12.75" customHeight="1">
      <c r="B188" s="150" t="str">
        <f t="shared" si="34"/>
        <v>Domestic Hot Water</v>
      </c>
      <c r="C188" s="169">
        <f t="shared" ref="C188:L188" ca="1" si="36">(C105*C$50+C138)/C$145</f>
        <v>0.14285714285714288</v>
      </c>
      <c r="D188" s="169">
        <f t="shared" si="36"/>
        <v>0.14285714285714288</v>
      </c>
      <c r="E188" s="169">
        <f t="shared" si="36"/>
        <v>0.14285714285714288</v>
      </c>
      <c r="F188" s="169">
        <f t="shared" si="36"/>
        <v>0.14285714285714288</v>
      </c>
      <c r="G188" s="169">
        <f t="shared" si="36"/>
        <v>0.14285714285714288</v>
      </c>
      <c r="H188" s="169">
        <f t="shared" si="36"/>
        <v>0.14285714285714288</v>
      </c>
      <c r="I188" s="169">
        <f t="shared" si="36"/>
        <v>0.14285714285714288</v>
      </c>
      <c r="J188" s="169">
        <f t="shared" si="36"/>
        <v>0.14285714285714288</v>
      </c>
      <c r="K188" s="169">
        <f t="shared" si="36"/>
        <v>0.14285714285714288</v>
      </c>
      <c r="L188" s="169">
        <f t="shared" si="36"/>
        <v>0.14285714285714288</v>
      </c>
    </row>
    <row r="189" spans="2:12" ht="12.75" customHeight="1">
      <c r="B189" s="150" t="str">
        <f t="shared" si="34"/>
        <v>Pool Heating</v>
      </c>
      <c r="C189" s="169">
        <f t="shared" ref="C189:L189" ca="1" si="37">(C106*C$50+C139)/C$145</f>
        <v>0.14285714285714288</v>
      </c>
      <c r="D189" s="169">
        <f t="shared" si="37"/>
        <v>0.14285714285714288</v>
      </c>
      <c r="E189" s="169">
        <f t="shared" si="37"/>
        <v>0.14285714285714288</v>
      </c>
      <c r="F189" s="169">
        <f t="shared" si="37"/>
        <v>0.14285714285714288</v>
      </c>
      <c r="G189" s="169">
        <f t="shared" si="37"/>
        <v>0.14285714285714288</v>
      </c>
      <c r="H189" s="169">
        <f t="shared" si="37"/>
        <v>0.14285714285714288</v>
      </c>
      <c r="I189" s="169">
        <f t="shared" si="37"/>
        <v>0.14285714285714288</v>
      </c>
      <c r="J189" s="169">
        <f t="shared" si="37"/>
        <v>0.14285714285714288</v>
      </c>
      <c r="K189" s="169">
        <f t="shared" si="37"/>
        <v>0.14285714285714288</v>
      </c>
      <c r="L189" s="169">
        <f t="shared" si="37"/>
        <v>0.14285714285714288</v>
      </c>
    </row>
    <row r="190" spans="2:12">
      <c r="B190" s="150" t="str">
        <f t="shared" si="34"/>
        <v>Gas Fired Co-Gen Plant</v>
      </c>
      <c r="C190" s="169">
        <f t="shared" ref="C190:L190" ca="1" si="38">(C107*C$50+C140)/C$145</f>
        <v>0.14285714285714288</v>
      </c>
      <c r="D190" s="169">
        <f t="shared" si="38"/>
        <v>0.14285714285714288</v>
      </c>
      <c r="E190" s="169">
        <f t="shared" si="38"/>
        <v>0.14285714285714288</v>
      </c>
      <c r="F190" s="169">
        <f t="shared" si="38"/>
        <v>0.14285714285714288</v>
      </c>
      <c r="G190" s="169">
        <f t="shared" si="38"/>
        <v>0.14285714285714288</v>
      </c>
      <c r="H190" s="169">
        <f t="shared" si="38"/>
        <v>0.14285714285714288</v>
      </c>
      <c r="I190" s="169">
        <f t="shared" si="38"/>
        <v>0.14285714285714288</v>
      </c>
      <c r="J190" s="169">
        <f t="shared" si="38"/>
        <v>0.14285714285714288</v>
      </c>
      <c r="K190" s="169">
        <f t="shared" si="38"/>
        <v>0.14285714285714288</v>
      </c>
      <c r="L190" s="169">
        <f t="shared" si="38"/>
        <v>0.14285714285714288</v>
      </c>
    </row>
    <row r="191" spans="2:12">
      <c r="B191" s="150" t="str">
        <f t="shared" si="34"/>
        <v>Commercial Kitchen</v>
      </c>
      <c r="C191" s="169">
        <f t="shared" ref="C191:L191" ca="1" si="39">(C108*C$50+C141)/C$145</f>
        <v>0.14285714285714288</v>
      </c>
      <c r="D191" s="169">
        <f t="shared" si="39"/>
        <v>0.14285714285714288</v>
      </c>
      <c r="E191" s="169">
        <f t="shared" si="39"/>
        <v>0.14285714285714288</v>
      </c>
      <c r="F191" s="169">
        <f t="shared" si="39"/>
        <v>0.14285714285714288</v>
      </c>
      <c r="G191" s="169">
        <f t="shared" si="39"/>
        <v>0.14285714285714288</v>
      </c>
      <c r="H191" s="169">
        <f t="shared" si="39"/>
        <v>0.14285714285714288</v>
      </c>
      <c r="I191" s="169">
        <f t="shared" si="39"/>
        <v>0.14285714285714288</v>
      </c>
      <c r="J191" s="169">
        <f t="shared" si="39"/>
        <v>0.14285714285714288</v>
      </c>
      <c r="K191" s="169">
        <f t="shared" si="39"/>
        <v>0.14285714285714288</v>
      </c>
      <c r="L191" s="169">
        <f t="shared" si="39"/>
        <v>0.14285714285714288</v>
      </c>
    </row>
    <row r="192" spans="2:12">
      <c r="B192" s="150" t="str">
        <f t="shared" si="34"/>
        <v>Other gas</v>
      </c>
      <c r="C192" s="169">
        <f t="shared" ref="C192:L192" ca="1" si="40">(C109*C$50+C142)/C$145</f>
        <v>0.14285714285714288</v>
      </c>
      <c r="D192" s="169">
        <f t="shared" si="40"/>
        <v>0.14285714285714288</v>
      </c>
      <c r="E192" s="169">
        <f t="shared" si="40"/>
        <v>0.14285714285714288</v>
      </c>
      <c r="F192" s="169">
        <f t="shared" si="40"/>
        <v>0.14285714285714288</v>
      </c>
      <c r="G192" s="169">
        <f t="shared" si="40"/>
        <v>0.14285714285714288</v>
      </c>
      <c r="H192" s="169">
        <f t="shared" si="40"/>
        <v>0.14285714285714288</v>
      </c>
      <c r="I192" s="169">
        <f t="shared" si="40"/>
        <v>0.14285714285714288</v>
      </c>
      <c r="J192" s="169">
        <f t="shared" si="40"/>
        <v>0.14285714285714288</v>
      </c>
      <c r="K192" s="169">
        <f t="shared" si="40"/>
        <v>0.14285714285714288</v>
      </c>
      <c r="L192" s="169">
        <f t="shared" si="40"/>
        <v>0.14285714285714288</v>
      </c>
    </row>
    <row r="193" spans="2:13">
      <c r="B193" s="150">
        <f t="shared" si="34"/>
        <v>0</v>
      </c>
      <c r="C193" s="171">
        <f t="shared" ref="C193:L193" ca="1" si="41">(C110*C$50+C143)/C$145</f>
        <v>0.14285714285714288</v>
      </c>
      <c r="D193" s="169">
        <f t="shared" si="41"/>
        <v>0.14285714285714288</v>
      </c>
      <c r="E193" s="169">
        <f t="shared" si="41"/>
        <v>0.14285714285714288</v>
      </c>
      <c r="F193" s="169">
        <f t="shared" si="41"/>
        <v>0.14285714285714288</v>
      </c>
      <c r="G193" s="169">
        <f t="shared" si="41"/>
        <v>0.14285714285714288</v>
      </c>
      <c r="H193" s="169">
        <f t="shared" si="41"/>
        <v>0.14285714285714288</v>
      </c>
      <c r="I193" s="169">
        <f t="shared" si="41"/>
        <v>0.14285714285714288</v>
      </c>
      <c r="J193" s="169">
        <f t="shared" si="41"/>
        <v>0.14285714285714288</v>
      </c>
      <c r="K193" s="169">
        <f t="shared" si="41"/>
        <v>0.14285714285714288</v>
      </c>
      <c r="L193" s="169">
        <f t="shared" si="41"/>
        <v>0.14285714285714288</v>
      </c>
    </row>
    <row r="194" spans="2:13">
      <c r="B194" s="78" t="s">
        <v>1187</v>
      </c>
      <c r="C194" s="170">
        <f t="shared" ref="C194:L194" ca="1" si="42">SUM(C187:C193)</f>
        <v>1.0000000000000002</v>
      </c>
      <c r="D194" s="166">
        <f t="shared" si="42"/>
        <v>1.0000000000000002</v>
      </c>
      <c r="E194" s="166">
        <f t="shared" si="42"/>
        <v>1.0000000000000002</v>
      </c>
      <c r="F194" s="166">
        <f t="shared" si="42"/>
        <v>1.0000000000000002</v>
      </c>
      <c r="G194" s="166">
        <f t="shared" si="42"/>
        <v>1.0000000000000002</v>
      </c>
      <c r="H194" s="166">
        <f t="shared" si="42"/>
        <v>1.0000000000000002</v>
      </c>
      <c r="I194" s="166">
        <f t="shared" si="42"/>
        <v>1.0000000000000002</v>
      </c>
      <c r="J194" s="166">
        <f t="shared" si="42"/>
        <v>1.0000000000000002</v>
      </c>
      <c r="K194" s="166">
        <f t="shared" si="42"/>
        <v>1.0000000000000002</v>
      </c>
      <c r="L194" s="166">
        <f t="shared" si="42"/>
        <v>1.0000000000000002</v>
      </c>
    </row>
    <row r="196" spans="2:13" ht="12.75" customHeight="1"/>
    <row r="197" spans="2:13" ht="15.6">
      <c r="B197" s="316" t="s">
        <v>1314</v>
      </c>
      <c r="C197" s="316"/>
      <c r="D197" s="316"/>
      <c r="E197" s="316"/>
      <c r="F197" s="316"/>
      <c r="G197" s="316"/>
      <c r="H197" s="316"/>
      <c r="I197" s="316"/>
      <c r="J197" s="316"/>
      <c r="K197" s="316"/>
      <c r="L197" s="316"/>
      <c r="M197" s="316"/>
    </row>
    <row r="198" spans="2:13" ht="15.75" customHeight="1">
      <c r="E198" s="11"/>
    </row>
    <row r="199" spans="2:13" ht="15.6">
      <c r="B199" s="316" t="s">
        <v>1315</v>
      </c>
      <c r="C199" s="316"/>
      <c r="D199" s="316"/>
      <c r="E199" s="316"/>
      <c r="F199" s="316"/>
      <c r="G199" s="316"/>
      <c r="H199" s="316"/>
      <c r="I199" s="316"/>
      <c r="J199" s="316"/>
      <c r="K199" s="316"/>
      <c r="L199" s="316"/>
      <c r="M199" s="316"/>
    </row>
    <row r="200" spans="2:13">
      <c r="E200" s="11"/>
      <c r="F200" s="14"/>
    </row>
    <row r="201" spans="2:13">
      <c r="B201" s="176" t="s">
        <v>569</v>
      </c>
      <c r="E201" s="11"/>
      <c r="F201" s="14"/>
    </row>
    <row r="202" spans="2:13">
      <c r="C202" s="633" t="s">
        <v>1297</v>
      </c>
      <c r="D202" s="633"/>
      <c r="E202" s="633"/>
      <c r="F202" s="633"/>
      <c r="G202" s="633"/>
      <c r="H202" s="633"/>
      <c r="I202" s="633"/>
    </row>
    <row r="203" spans="2:13" ht="27" thickBot="1">
      <c r="B203" s="78" t="s">
        <v>1251</v>
      </c>
      <c r="C203" s="175" t="str">
        <f>B91</f>
        <v>Space Cooling</v>
      </c>
      <c r="D203" s="175" t="str">
        <f>B92</f>
        <v>Lighting</v>
      </c>
      <c r="E203" s="175" t="str">
        <f>B93</f>
        <v>Total Equipment</v>
      </c>
      <c r="F203" s="175" t="str">
        <f>B94</f>
        <v>Domestic Hot Water</v>
      </c>
      <c r="G203" s="175" t="str">
        <f>B95</f>
        <v>Other Electrical Processes</v>
      </c>
      <c r="H203" s="175" t="str">
        <f>B96</f>
        <v>Ventilation</v>
      </c>
      <c r="I203" s="175">
        <f>B97</f>
        <v>0</v>
      </c>
    </row>
    <row r="204" spans="2:13">
      <c r="B204" s="95" t="str">
        <f t="shared" ref="B204:B210" si="43">B65</f>
        <v>Cooling degree days</v>
      </c>
      <c r="C204" s="404"/>
      <c r="D204" s="405"/>
      <c r="E204" s="405"/>
      <c r="F204" s="405"/>
      <c r="G204" s="405"/>
      <c r="H204" s="405"/>
      <c r="I204" s="406"/>
    </row>
    <row r="205" spans="2:13">
      <c r="B205" s="95" t="str">
        <f t="shared" si="43"/>
        <v>Heating degree days</v>
      </c>
      <c r="C205" s="407"/>
      <c r="D205" s="408"/>
      <c r="E205" s="408"/>
      <c r="F205" s="408"/>
      <c r="G205" s="408"/>
      <c r="H205" s="408"/>
      <c r="I205" s="409"/>
    </row>
    <row r="206" spans="2:13">
      <c r="B206" s="95" t="str">
        <f t="shared" si="43"/>
        <v>Adjusted Area</v>
      </c>
      <c r="C206" s="407"/>
      <c r="D206" s="408"/>
      <c r="E206" s="408"/>
      <c r="F206" s="408"/>
      <c r="G206" s="408"/>
      <c r="H206" s="408"/>
      <c r="I206" s="409"/>
    </row>
    <row r="207" spans="2:13">
      <c r="B207" s="95" t="str">
        <f t="shared" si="43"/>
        <v>Adjusted Hours</v>
      </c>
      <c r="C207" s="407"/>
      <c r="D207" s="408"/>
      <c r="E207" s="408"/>
      <c r="F207" s="408"/>
      <c r="G207" s="408"/>
      <c r="H207" s="408"/>
      <c r="I207" s="409"/>
    </row>
    <row r="208" spans="2:13">
      <c r="B208" s="95" t="str">
        <f t="shared" si="43"/>
        <v>Adjusted Operational Variable 1</v>
      </c>
      <c r="C208" s="407"/>
      <c r="D208" s="408"/>
      <c r="E208" s="408"/>
      <c r="F208" s="408"/>
      <c r="G208" s="408"/>
      <c r="H208" s="408"/>
      <c r="I208" s="409"/>
    </row>
    <row r="209" spans="2:9">
      <c r="B209" s="95" t="str">
        <f t="shared" si="43"/>
        <v>Adjusted Operational Variable 2</v>
      </c>
      <c r="C209" s="407"/>
      <c r="D209" s="408"/>
      <c r="E209" s="408"/>
      <c r="F209" s="408"/>
      <c r="G209" s="408"/>
      <c r="H209" s="408"/>
      <c r="I209" s="409"/>
    </row>
    <row r="210" spans="2:9" ht="13.8" thickBot="1">
      <c r="B210" s="95" t="str">
        <f t="shared" si="43"/>
        <v>Adjusted Operational Variable 3</v>
      </c>
      <c r="C210" s="410"/>
      <c r="D210" s="411"/>
      <c r="E210" s="411"/>
      <c r="F210" s="411"/>
      <c r="G210" s="411"/>
      <c r="H210" s="411"/>
      <c r="I210" s="412"/>
    </row>
    <row r="211" spans="2:9">
      <c r="D211" s="14"/>
      <c r="E211" s="11"/>
    </row>
    <row r="212" spans="2:9">
      <c r="B212" s="176" t="s">
        <v>1298</v>
      </c>
      <c r="D212" s="14"/>
      <c r="E212" s="11"/>
    </row>
    <row r="213" spans="2:9">
      <c r="C213" s="633" t="s">
        <v>1297</v>
      </c>
      <c r="D213" s="633"/>
      <c r="E213" s="633"/>
      <c r="F213" s="633"/>
      <c r="G213" s="633"/>
      <c r="H213" s="633"/>
      <c r="I213" s="633"/>
    </row>
    <row r="214" spans="2:9" ht="27" thickBot="1">
      <c r="B214" s="78" t="s">
        <v>1251</v>
      </c>
      <c r="C214" s="175" t="str">
        <f>B104</f>
        <v>Space Heating</v>
      </c>
      <c r="D214" s="175" t="str">
        <f>B105</f>
        <v>Domestic Hot Water</v>
      </c>
      <c r="E214" s="175" t="str">
        <f>B106</f>
        <v>Pool Heating</v>
      </c>
      <c r="F214" s="175" t="str">
        <f>B107</f>
        <v>Gas Fired Co-Gen Plant</v>
      </c>
      <c r="G214" s="175" t="str">
        <f>B108</f>
        <v>Commercial Kitchen</v>
      </c>
      <c r="H214" s="175" t="str">
        <f>B109</f>
        <v>Other gas</v>
      </c>
      <c r="I214" s="175">
        <f>B110</f>
        <v>0</v>
      </c>
    </row>
    <row r="215" spans="2:9">
      <c r="B215" s="108" t="str">
        <f>B204</f>
        <v>Cooling degree days</v>
      </c>
      <c r="C215" s="404"/>
      <c r="D215" s="405"/>
      <c r="E215" s="405"/>
      <c r="F215" s="405"/>
      <c r="G215" s="405"/>
      <c r="H215" s="405"/>
      <c r="I215" s="406"/>
    </row>
    <row r="216" spans="2:9">
      <c r="B216" s="95" t="str">
        <f t="shared" ref="B216:B221" si="44">B205</f>
        <v>Heating degree days</v>
      </c>
      <c r="C216" s="407"/>
      <c r="D216" s="408"/>
      <c r="E216" s="408"/>
      <c r="F216" s="408"/>
      <c r="G216" s="408"/>
      <c r="H216" s="408"/>
      <c r="I216" s="409"/>
    </row>
    <row r="217" spans="2:9">
      <c r="B217" s="95" t="str">
        <f t="shared" si="44"/>
        <v>Adjusted Area</v>
      </c>
      <c r="C217" s="407"/>
      <c r="D217" s="408"/>
      <c r="E217" s="408"/>
      <c r="F217" s="408"/>
      <c r="G217" s="408"/>
      <c r="H217" s="408"/>
      <c r="I217" s="409"/>
    </row>
    <row r="218" spans="2:9">
      <c r="B218" s="95" t="str">
        <f t="shared" si="44"/>
        <v>Adjusted Hours</v>
      </c>
      <c r="C218" s="407"/>
      <c r="D218" s="408"/>
      <c r="E218" s="408"/>
      <c r="F218" s="408"/>
      <c r="G218" s="408"/>
      <c r="H218" s="408"/>
      <c r="I218" s="409"/>
    </row>
    <row r="219" spans="2:9">
      <c r="B219" s="95" t="str">
        <f t="shared" si="44"/>
        <v>Adjusted Operational Variable 1</v>
      </c>
      <c r="C219" s="407"/>
      <c r="D219" s="408"/>
      <c r="E219" s="408"/>
      <c r="F219" s="408"/>
      <c r="G219" s="408"/>
      <c r="H219" s="408"/>
      <c r="I219" s="409"/>
    </row>
    <row r="220" spans="2:9">
      <c r="B220" s="95" t="str">
        <f t="shared" si="44"/>
        <v>Adjusted Operational Variable 2</v>
      </c>
      <c r="C220" s="407"/>
      <c r="D220" s="408"/>
      <c r="E220" s="408"/>
      <c r="F220" s="408"/>
      <c r="G220" s="408"/>
      <c r="H220" s="408"/>
      <c r="I220" s="409"/>
    </row>
    <row r="221" spans="2:9" ht="13.8" thickBot="1">
      <c r="B221" s="95" t="str">
        <f t="shared" si="44"/>
        <v>Adjusted Operational Variable 3</v>
      </c>
      <c r="C221" s="410"/>
      <c r="D221" s="411"/>
      <c r="E221" s="411"/>
      <c r="F221" s="411"/>
      <c r="G221" s="411"/>
      <c r="H221" s="411"/>
      <c r="I221" s="412"/>
    </row>
    <row r="222" spans="2:9">
      <c r="E222" s="11"/>
      <c r="F222" s="14"/>
    </row>
    <row r="223" spans="2:9">
      <c r="E223" s="11"/>
      <c r="F223" s="14"/>
    </row>
    <row r="225" spans="2:13" ht="15.6">
      <c r="B225" s="316" t="s">
        <v>1316</v>
      </c>
      <c r="C225" s="316"/>
      <c r="D225" s="316"/>
      <c r="E225" s="316"/>
      <c r="F225" s="316"/>
      <c r="G225" s="316"/>
      <c r="H225" s="316"/>
      <c r="I225" s="316"/>
      <c r="J225" s="316"/>
      <c r="K225" s="316"/>
      <c r="L225" s="316"/>
      <c r="M225" s="316"/>
    </row>
    <row r="226" spans="2:13">
      <c r="E226" s="11"/>
    </row>
    <row r="227" spans="2:13">
      <c r="D227" s="25"/>
    </row>
    <row r="228" spans="2:13">
      <c r="B228" s="176" t="s">
        <v>569</v>
      </c>
      <c r="E228" s="11"/>
    </row>
    <row r="229" spans="2:13" ht="12.75" customHeight="1">
      <c r="C229" s="633" t="s">
        <v>1317</v>
      </c>
      <c r="D229" s="633"/>
      <c r="E229" s="633"/>
      <c r="F229" s="633"/>
      <c r="G229" s="633"/>
      <c r="H229" s="633"/>
      <c r="I229" s="633"/>
      <c r="J229" s="633"/>
      <c r="K229" s="633"/>
      <c r="L229" s="633"/>
    </row>
    <row r="230" spans="2:13" ht="12.75" customHeight="1">
      <c r="B230" s="631" t="s">
        <v>1189</v>
      </c>
      <c r="C230" s="613" t="s">
        <v>1269</v>
      </c>
      <c r="D230" s="610" t="s">
        <v>1270</v>
      </c>
      <c r="E230" s="611"/>
      <c r="F230" s="612"/>
      <c r="G230" s="610" t="s">
        <v>1271</v>
      </c>
      <c r="H230" s="611"/>
      <c r="I230" s="612"/>
      <c r="J230" s="610" t="s">
        <v>1272</v>
      </c>
      <c r="K230" s="611"/>
      <c r="L230" s="612"/>
    </row>
    <row r="231" spans="2:13">
      <c r="B231" s="632"/>
      <c r="C231" s="614"/>
      <c r="D231" s="78" t="s">
        <v>1243</v>
      </c>
      <c r="E231" s="78" t="s">
        <v>1244</v>
      </c>
      <c r="F231" s="78" t="s">
        <v>1245</v>
      </c>
      <c r="G231" s="78" t="s">
        <v>1243</v>
      </c>
      <c r="H231" s="78" t="s">
        <v>1244</v>
      </c>
      <c r="I231" s="78" t="s">
        <v>1245</v>
      </c>
      <c r="J231" s="78" t="s">
        <v>1243</v>
      </c>
      <c r="K231" s="78" t="s">
        <v>1244</v>
      </c>
      <c r="L231" s="78" t="s">
        <v>1245</v>
      </c>
    </row>
    <row r="232" spans="2:13">
      <c r="B232" s="96" t="str">
        <f t="shared" ref="B232:B238" si="45">B91</f>
        <v>Space Cooling</v>
      </c>
      <c r="C232" s="172">
        <v>1</v>
      </c>
      <c r="D232" s="172">
        <f t="array" ref="D232">PRODUCT(IF($C$204:$C$210=TRUE,D$76:D$82,1))</f>
        <v>1</v>
      </c>
      <c r="E232" s="172">
        <f t="array" ref="E232">PRODUCT(IF($C$204:$C$210=TRUE,E$76:E$82,1))</f>
        <v>1</v>
      </c>
      <c r="F232" s="172">
        <f t="array" ref="F232">PRODUCT(IF($C$204:$C$210=TRUE,F$76:F$82,1))</f>
        <v>1</v>
      </c>
      <c r="G232" s="172">
        <f t="array" ref="G232">PRODUCT(IF($C$204:$C$210=TRUE,G$76:G$82,1))</f>
        <v>1</v>
      </c>
      <c r="H232" s="172">
        <f t="array" ref="H232">PRODUCT(IF($C$204:$C$210=TRUE,H$76:H$82,1))</f>
        <v>1</v>
      </c>
      <c r="I232" s="172">
        <f t="array" ref="I232">PRODUCT(IF($C$204:$C$210=TRUE,I$76:I$82,1))</f>
        <v>1</v>
      </c>
      <c r="J232" s="172">
        <f t="array" ref="J232">PRODUCT(IF($C$204:$C$210=TRUE,J$76:J$82,1))</f>
        <v>1</v>
      </c>
      <c r="K232" s="172">
        <f t="array" ref="K232">PRODUCT(IF($C$204:$C$210=TRUE,K$76:K$82,1))</f>
        <v>1</v>
      </c>
      <c r="L232" s="172">
        <f t="array" ref="L232">PRODUCT(IF($C$204:$C$210=TRUE,L$76:L$82,1))</f>
        <v>1</v>
      </c>
    </row>
    <row r="233" spans="2:13">
      <c r="B233" s="96" t="str">
        <f t="shared" si="45"/>
        <v>Lighting</v>
      </c>
      <c r="C233" s="172">
        <v>1</v>
      </c>
      <c r="D233" s="172">
        <f t="array" ref="D233">PRODUCT(IF($D$204:$D$210=TRUE,D$76:D$82,1))</f>
        <v>1</v>
      </c>
      <c r="E233" s="172">
        <f t="array" ref="E233">PRODUCT(IF($D$204:$D$210=TRUE,E$76:E$82,1))</f>
        <v>1</v>
      </c>
      <c r="F233" s="172">
        <f t="array" ref="F233">PRODUCT(IF($D$204:$D$210=TRUE,F$76:F$82,1))</f>
        <v>1</v>
      </c>
      <c r="G233" s="172">
        <f t="array" ref="G233">PRODUCT(IF($D$204:$D$210=TRUE,G$76:G$82,1))</f>
        <v>1</v>
      </c>
      <c r="H233" s="172">
        <f t="array" ref="H233">PRODUCT(IF($D$204:$D$210=TRUE,H$76:H$82,1))</f>
        <v>1</v>
      </c>
      <c r="I233" s="172">
        <f t="array" ref="I233">PRODUCT(IF($D$204:$D$210=TRUE,I$76:I$82,1))</f>
        <v>1</v>
      </c>
      <c r="J233" s="172">
        <f t="array" ref="J233">PRODUCT(IF($D$204:$D$210=TRUE,J$76:J$82,1))</f>
        <v>1</v>
      </c>
      <c r="K233" s="172">
        <f t="array" ref="K233">PRODUCT(IF($D$204:$D$210=TRUE,K$76:K$82,1))</f>
        <v>1</v>
      </c>
      <c r="L233" s="172">
        <f t="array" ref="L233">PRODUCT(IF($D$204:$D$210=TRUE,L$76:L$82,1))</f>
        <v>1</v>
      </c>
    </row>
    <row r="234" spans="2:13">
      <c r="B234" s="96" t="str">
        <f t="shared" si="45"/>
        <v>Total Equipment</v>
      </c>
      <c r="C234" s="172">
        <v>1</v>
      </c>
      <c r="D234" s="172">
        <f t="array" ref="D234">PRODUCT(IF($E$204:$E$210=TRUE,D$76:D$82,1))</f>
        <v>1</v>
      </c>
      <c r="E234" s="172">
        <f t="array" ref="E234">PRODUCT(IF($E$204:$E$210=TRUE,E$76:E$82,1))</f>
        <v>1</v>
      </c>
      <c r="F234" s="172">
        <f t="array" ref="F234">PRODUCT(IF($E$204:$E$210=TRUE,F$76:F$82,1))</f>
        <v>1</v>
      </c>
      <c r="G234" s="172">
        <f t="array" ref="G234">PRODUCT(IF($E$204:$E$210=TRUE,G$76:G$82,1))</f>
        <v>1</v>
      </c>
      <c r="H234" s="172">
        <f t="array" ref="H234">PRODUCT(IF($E$204:$E$210=TRUE,H$76:H$82,1))</f>
        <v>1</v>
      </c>
      <c r="I234" s="172">
        <f t="array" ref="I234">PRODUCT(IF($E$204:$E$210=TRUE,I$76:I$82,1))</f>
        <v>1</v>
      </c>
      <c r="J234" s="172">
        <f t="array" ref="J234">PRODUCT(IF($E$204:$E$210=TRUE,J$76:J$82,1))</f>
        <v>1</v>
      </c>
      <c r="K234" s="172">
        <f t="array" ref="K234">PRODUCT(IF($E$204:$E$210=TRUE,K$76:K$82,1))</f>
        <v>1</v>
      </c>
      <c r="L234" s="172">
        <f t="array" ref="L234">PRODUCT(IF($E$204:$E$210=TRUE,L$76:L$82,1))</f>
        <v>1</v>
      </c>
    </row>
    <row r="235" spans="2:13">
      <c r="B235" s="96" t="str">
        <f t="shared" si="45"/>
        <v>Domestic Hot Water</v>
      </c>
      <c r="C235" s="172">
        <v>1</v>
      </c>
      <c r="D235" s="172">
        <f t="array" ref="D235">PRODUCT(IF($F$204:$F$210=TRUE,D$76:D$82,1))</f>
        <v>1</v>
      </c>
      <c r="E235" s="172">
        <f t="array" ref="E235">PRODUCT(IF($F$204:$F$210=TRUE,E$76:E$82,1))</f>
        <v>1</v>
      </c>
      <c r="F235" s="172">
        <f t="array" ref="F235">PRODUCT(IF($F$204:$F$210=TRUE,F$76:F$82,1))</f>
        <v>1</v>
      </c>
      <c r="G235" s="172">
        <f t="array" ref="G235">PRODUCT(IF($F$204:$F$210=TRUE,G$76:G$82,1))</f>
        <v>1</v>
      </c>
      <c r="H235" s="172">
        <f t="array" ref="H235">PRODUCT(IF($F$204:$F$210=TRUE,H$76:H$82,1))</f>
        <v>1</v>
      </c>
      <c r="I235" s="172">
        <f t="array" ref="I235">PRODUCT(IF($F$204:$F$210=TRUE,I$76:I$82,1))</f>
        <v>1</v>
      </c>
      <c r="J235" s="172">
        <f t="array" ref="J235">PRODUCT(IF($F$204:$F$210=TRUE,J$76:J$82,1))</f>
        <v>1</v>
      </c>
      <c r="K235" s="172">
        <f t="array" ref="K235">PRODUCT(IF($F$204:$F$210=TRUE,K$76:K$82,1))</f>
        <v>1</v>
      </c>
      <c r="L235" s="172">
        <f t="array" ref="L235">PRODUCT(IF($F$204:$F$210=TRUE,L$76:L$82,1))</f>
        <v>1</v>
      </c>
    </row>
    <row r="236" spans="2:13">
      <c r="B236" s="96" t="str">
        <f t="shared" si="45"/>
        <v>Other Electrical Processes</v>
      </c>
      <c r="C236" s="172">
        <v>1</v>
      </c>
      <c r="D236" s="172">
        <f t="array" ref="D236">PRODUCT(IF($G$204:$G$210=TRUE,D$76:D$82,1))</f>
        <v>1</v>
      </c>
      <c r="E236" s="172">
        <f t="array" ref="E236">PRODUCT(IF($G$204:$G$210=TRUE,E$76:E$82,1))</f>
        <v>1</v>
      </c>
      <c r="F236" s="172">
        <f t="array" ref="F236">PRODUCT(IF($G$204:$G$210=TRUE,F$76:F$82,1))</f>
        <v>1</v>
      </c>
      <c r="G236" s="172">
        <f t="array" ref="G236">PRODUCT(IF($G$204:$G$210=TRUE,G$76:G$82,1))</f>
        <v>1</v>
      </c>
      <c r="H236" s="172">
        <f t="array" ref="H236">PRODUCT(IF($G$204:$G$210=TRUE,H$76:H$82,1))</f>
        <v>1</v>
      </c>
      <c r="I236" s="172">
        <f t="array" ref="I236">PRODUCT(IF($G$204:$G$210=TRUE,I$76:I$82,1))</f>
        <v>1</v>
      </c>
      <c r="J236" s="172">
        <f t="array" ref="J236">PRODUCT(IF($G$204:$G$210=TRUE,J$76:J$82,1))</f>
        <v>1</v>
      </c>
      <c r="K236" s="172">
        <f t="array" ref="K236">PRODUCT(IF($G$204:$G$210=TRUE,K$76:K$82,1))</f>
        <v>1</v>
      </c>
      <c r="L236" s="172">
        <f t="array" ref="L236">PRODUCT(IF($G$204:$G$210=TRUE,L$76:L$82,1))</f>
        <v>1</v>
      </c>
    </row>
    <row r="237" spans="2:13">
      <c r="B237" s="96" t="str">
        <f t="shared" si="45"/>
        <v>Ventilation</v>
      </c>
      <c r="C237" s="172">
        <v>1</v>
      </c>
      <c r="D237" s="172">
        <f t="array" ref="D237">PRODUCT(IF($H$204:$H$210=TRUE,D$76:D$82,1))</f>
        <v>1</v>
      </c>
      <c r="E237" s="172">
        <f t="array" ref="E237">PRODUCT(IF($H$204:$H$210=TRUE,E$76:E$82,1))</f>
        <v>1</v>
      </c>
      <c r="F237" s="172">
        <f t="array" ref="F237">PRODUCT(IF($H$204:$H$210=TRUE,F$76:F$82,1))</f>
        <v>1</v>
      </c>
      <c r="G237" s="172">
        <f t="array" ref="G237">PRODUCT(IF($H$204:$H$210=TRUE,G$76:G$82,1))</f>
        <v>1</v>
      </c>
      <c r="H237" s="172">
        <f t="array" ref="H237">PRODUCT(IF($H$204:$H$210=TRUE,H$76:H$82,1))</f>
        <v>1</v>
      </c>
      <c r="I237" s="172">
        <f t="array" ref="I237">PRODUCT(IF($H$204:$H$210=TRUE,I$76:I$82,1))</f>
        <v>1</v>
      </c>
      <c r="J237" s="172">
        <f t="array" ref="J237">PRODUCT(IF($H$204:$H$210=TRUE,J$76:J$82,1))</f>
        <v>1</v>
      </c>
      <c r="K237" s="172">
        <f t="array" ref="K237">PRODUCT(IF($H$204:$H$210=TRUE,K$76:K$82,1))</f>
        <v>1</v>
      </c>
      <c r="L237" s="172">
        <f t="array" ref="L237">PRODUCT(IF($H$204:$H$210=TRUE,L$76:L$82,1))</f>
        <v>1</v>
      </c>
    </row>
    <row r="238" spans="2:13">
      <c r="B238" s="96">
        <f t="shared" si="45"/>
        <v>0</v>
      </c>
      <c r="C238" s="172">
        <v>1</v>
      </c>
      <c r="D238" s="172">
        <f t="array" ref="D238">PRODUCT(IF($I$204:$I$210=TRUE,D$76:D$82,1))</f>
        <v>1</v>
      </c>
      <c r="E238" s="172">
        <f t="array" ref="E238">PRODUCT(IF($I$204:$I$210=TRUE,E$76:E$82,1))</f>
        <v>1</v>
      </c>
      <c r="F238" s="172">
        <f t="array" ref="F238">PRODUCT(IF($I$204:$I$210=TRUE,F$76:F$82,1))</f>
        <v>1</v>
      </c>
      <c r="G238" s="172">
        <f t="array" ref="G238">PRODUCT(IF($I$204:$I$210=TRUE,G$76:G$82,1))</f>
        <v>1</v>
      </c>
      <c r="H238" s="172">
        <f t="array" ref="H238">PRODUCT(IF($I$204:$I$210=TRUE,H$76:H$82,1))</f>
        <v>1</v>
      </c>
      <c r="I238" s="172">
        <f t="array" ref="I238">PRODUCT(IF($I$204:$I$210=TRUE,I$76:I$82,1))</f>
        <v>1</v>
      </c>
      <c r="J238" s="172">
        <f t="array" ref="J238">PRODUCT(IF($I$204:$I$210=TRUE,J$76:J$82,1))</f>
        <v>1</v>
      </c>
      <c r="K238" s="172">
        <f t="array" ref="K238">PRODUCT(IF($I$204:$I$210=TRUE,K$76:K$82,1))</f>
        <v>1</v>
      </c>
      <c r="L238" s="172">
        <f t="array" ref="L238">PRODUCT(IF($I$204:$I$210=TRUE,L$76:L$82,1))</f>
        <v>1</v>
      </c>
    </row>
    <row r="239" spans="2:13">
      <c r="B239" s="78" t="s">
        <v>1318</v>
      </c>
      <c r="C239" s="172">
        <v>1</v>
      </c>
      <c r="D239" s="172" t="e">
        <f>SUMPRODUCT(D$174:D$180,D$232:D$238)</f>
        <v>#DIV/0!</v>
      </c>
      <c r="E239" s="172" t="e">
        <f>SUMPRODUCT(E$174:E$180,E$232:E$238)</f>
        <v>#DIV/0!</v>
      </c>
      <c r="F239" s="172" t="e">
        <f t="shared" ref="F239:L239" si="46">SUMPRODUCT(F$174:F$180,F$232:F$238)</f>
        <v>#DIV/0!</v>
      </c>
      <c r="G239" s="172" t="e">
        <f t="shared" si="46"/>
        <v>#DIV/0!</v>
      </c>
      <c r="H239" s="172" t="e">
        <f t="shared" si="46"/>
        <v>#DIV/0!</v>
      </c>
      <c r="I239" s="172" t="e">
        <f t="shared" si="46"/>
        <v>#DIV/0!</v>
      </c>
      <c r="J239" s="172" t="e">
        <f t="shared" si="46"/>
        <v>#DIV/0!</v>
      </c>
      <c r="K239" s="172" t="e">
        <f t="shared" si="46"/>
        <v>#DIV/0!</v>
      </c>
      <c r="L239" s="172" t="e">
        <f t="shared" si="46"/>
        <v>#DIV/0!</v>
      </c>
    </row>
    <row r="240" spans="2:13">
      <c r="C240" s="14"/>
      <c r="D240" s="14"/>
      <c r="E240" s="11"/>
    </row>
    <row r="241" spans="2:12">
      <c r="D241" s="25"/>
    </row>
    <row r="242" spans="2:12">
      <c r="B242" s="176" t="s">
        <v>1298</v>
      </c>
      <c r="E242" s="11"/>
    </row>
    <row r="243" spans="2:12" ht="12.75" customHeight="1">
      <c r="C243" s="633" t="s">
        <v>1317</v>
      </c>
      <c r="D243" s="633"/>
      <c r="E243" s="633"/>
      <c r="F243" s="633"/>
      <c r="G243" s="633"/>
      <c r="H243" s="633"/>
      <c r="I243" s="633"/>
      <c r="J243" s="633"/>
      <c r="K243" s="633"/>
      <c r="L243" s="633"/>
    </row>
    <row r="244" spans="2:12" ht="12.75" customHeight="1">
      <c r="B244" s="631" t="s">
        <v>1189</v>
      </c>
      <c r="C244" s="613" t="s">
        <v>1269</v>
      </c>
      <c r="D244" s="610" t="s">
        <v>1270</v>
      </c>
      <c r="E244" s="611"/>
      <c r="F244" s="612"/>
      <c r="G244" s="610" t="s">
        <v>1271</v>
      </c>
      <c r="H244" s="611"/>
      <c r="I244" s="612"/>
      <c r="J244" s="610" t="s">
        <v>1272</v>
      </c>
      <c r="K244" s="611"/>
      <c r="L244" s="612"/>
    </row>
    <row r="245" spans="2:12">
      <c r="B245" s="632"/>
      <c r="C245" s="614"/>
      <c r="D245" s="78" t="s">
        <v>1243</v>
      </c>
      <c r="E245" s="78" t="s">
        <v>1244</v>
      </c>
      <c r="F245" s="78" t="s">
        <v>1245</v>
      </c>
      <c r="G245" s="78" t="s">
        <v>1243</v>
      </c>
      <c r="H245" s="78" t="s">
        <v>1244</v>
      </c>
      <c r="I245" s="78" t="s">
        <v>1245</v>
      </c>
      <c r="J245" s="78" t="s">
        <v>1243</v>
      </c>
      <c r="K245" s="78" t="s">
        <v>1244</v>
      </c>
      <c r="L245" s="78" t="s">
        <v>1245</v>
      </c>
    </row>
    <row r="246" spans="2:12">
      <c r="B246" s="96" t="str">
        <f t="shared" ref="B246:B252" si="47">B104</f>
        <v>Space Heating</v>
      </c>
      <c r="C246" s="172">
        <v>1</v>
      </c>
      <c r="D246" s="173">
        <f t="array" ref="D246">PRODUCT(IF($C$215:$C$221=TRUE,D$76:D$82,1))</f>
        <v>1</v>
      </c>
      <c r="E246" s="173">
        <f t="array" ref="E246">PRODUCT(IF($C$215:$C$221=TRUE,E$76:E$82,1))</f>
        <v>1</v>
      </c>
      <c r="F246" s="173">
        <f t="array" ref="F246">PRODUCT(IF($C$215:$C$221=TRUE,F$76:F$82,1))</f>
        <v>1</v>
      </c>
      <c r="G246" s="173">
        <f t="array" ref="G246">PRODUCT(IF($C$215:$C$221=TRUE,G$76:G$82,1))</f>
        <v>1</v>
      </c>
      <c r="H246" s="173">
        <f t="array" ref="H246">PRODUCT(IF($C$215:$C$221=TRUE,H$76:H$82,1))</f>
        <v>1</v>
      </c>
      <c r="I246" s="173">
        <f t="array" ref="I246">PRODUCT(IF($C$215:$C$221=TRUE,I$76:I$82,1))</f>
        <v>1</v>
      </c>
      <c r="J246" s="173">
        <f t="array" ref="J246">PRODUCT(IF($C$215:$C$221=TRUE,J$76:J$82,1))</f>
        <v>1</v>
      </c>
      <c r="K246" s="173">
        <f t="array" ref="K246">PRODUCT(IF($C$215:$C$221=TRUE,K$76:K$82,1))</f>
        <v>1</v>
      </c>
      <c r="L246" s="173">
        <f t="array" ref="L246">PRODUCT(IF($C$215:$C$221=TRUE,L$76:L$82,1))</f>
        <v>1</v>
      </c>
    </row>
    <row r="247" spans="2:12">
      <c r="B247" s="96" t="str">
        <f t="shared" si="47"/>
        <v>Domestic Hot Water</v>
      </c>
      <c r="C247" s="172">
        <v>1</v>
      </c>
      <c r="D247" s="173">
        <f t="array" ref="D247">PRODUCT(IF($D$215:$D$221=TRUE,D$76:D$82,1))</f>
        <v>1</v>
      </c>
      <c r="E247" s="173">
        <f t="array" ref="E247">PRODUCT(IF($D$215:$D$221=TRUE,E$76:E$82,1))</f>
        <v>1</v>
      </c>
      <c r="F247" s="173">
        <f t="array" ref="F247">PRODUCT(IF($D$215:$D$221=TRUE,F$76:F$82,1))</f>
        <v>1</v>
      </c>
      <c r="G247" s="173">
        <f t="array" ref="G247">PRODUCT(IF($D$215:$D$221=TRUE,G$76:G$82,1))</f>
        <v>1</v>
      </c>
      <c r="H247" s="173">
        <f t="array" ref="H247">PRODUCT(IF($D$215:$D$221=TRUE,H$76:H$82,1))</f>
        <v>1</v>
      </c>
      <c r="I247" s="173">
        <f t="array" ref="I247">PRODUCT(IF($D$215:$D$221=TRUE,I$76:I$82,1))</f>
        <v>1</v>
      </c>
      <c r="J247" s="173">
        <f t="array" ref="J247">PRODUCT(IF($D$215:$D$221=TRUE,J$76:J$82,1))</f>
        <v>1</v>
      </c>
      <c r="K247" s="173">
        <f t="array" ref="K247">PRODUCT(IF($D$215:$D$221=TRUE,K$76:K$82,1))</f>
        <v>1</v>
      </c>
      <c r="L247" s="173">
        <f t="array" ref="L247">PRODUCT(IF($D$215:$D$221=TRUE,L$76:L$82,1))</f>
        <v>1</v>
      </c>
    </row>
    <row r="248" spans="2:12">
      <c r="B248" s="96" t="str">
        <f t="shared" si="47"/>
        <v>Pool Heating</v>
      </c>
      <c r="C248" s="172">
        <v>1</v>
      </c>
      <c r="D248" s="173">
        <f t="array" ref="D248">PRODUCT(IF($E$215:$E$221=TRUE,D$76:D$82,1))</f>
        <v>1</v>
      </c>
      <c r="E248" s="173">
        <f t="array" ref="E248">PRODUCT(IF($E$215:$E$221=TRUE,E$76:E$82,1))</f>
        <v>1</v>
      </c>
      <c r="F248" s="173">
        <f t="array" ref="F248">PRODUCT(IF($E$215:$E$221=TRUE,F$76:F$82,1))</f>
        <v>1</v>
      </c>
      <c r="G248" s="173">
        <f t="array" ref="G248">PRODUCT(IF($E$215:$E$221=TRUE,G$76:G$82,1))</f>
        <v>1</v>
      </c>
      <c r="H248" s="173">
        <f t="array" ref="H248">PRODUCT(IF($E$215:$E$221=TRUE,H$76:H$82,1))</f>
        <v>1</v>
      </c>
      <c r="I248" s="173">
        <f t="array" ref="I248">PRODUCT(IF($E$215:$E$221=TRUE,I$76:I$82,1))</f>
        <v>1</v>
      </c>
      <c r="J248" s="173">
        <f t="array" ref="J248">PRODUCT(IF($E$215:$E$221=TRUE,J$76:J$82,1))</f>
        <v>1</v>
      </c>
      <c r="K248" s="173">
        <f t="array" ref="K248">PRODUCT(IF($E$215:$E$221=TRUE,K$76:K$82,1))</f>
        <v>1</v>
      </c>
      <c r="L248" s="173">
        <f t="array" ref="L248">PRODUCT(IF($E$215:$E$221=TRUE,L$76:L$82,1))</f>
        <v>1</v>
      </c>
    </row>
    <row r="249" spans="2:12">
      <c r="B249" s="96" t="str">
        <f t="shared" si="47"/>
        <v>Gas Fired Co-Gen Plant</v>
      </c>
      <c r="C249" s="172">
        <v>1</v>
      </c>
      <c r="D249" s="173">
        <f t="array" ref="D249">PRODUCT(IF($F$215:$F$221=TRUE,D$76:D$82,1))</f>
        <v>1</v>
      </c>
      <c r="E249" s="173">
        <f t="array" ref="E249">PRODUCT(IF($F$215:$F$221=TRUE,E$76:E$82,1))</f>
        <v>1</v>
      </c>
      <c r="F249" s="173">
        <f t="array" ref="F249">PRODUCT(IF($F$215:$F$221=TRUE,F$76:F$82,1))</f>
        <v>1</v>
      </c>
      <c r="G249" s="173">
        <f t="array" ref="G249">PRODUCT(IF($F$215:$F$221=TRUE,G$76:G$82,1))</f>
        <v>1</v>
      </c>
      <c r="H249" s="173">
        <f t="array" ref="H249">PRODUCT(IF($F$215:$F$221=TRUE,H$76:H$82,1))</f>
        <v>1</v>
      </c>
      <c r="I249" s="173">
        <f t="array" ref="I249">PRODUCT(IF($F$215:$F$221=TRUE,I$76:I$82,1))</f>
        <v>1</v>
      </c>
      <c r="J249" s="173">
        <f t="array" ref="J249">PRODUCT(IF($F$215:$F$221=TRUE,J$76:J$82,1))</f>
        <v>1</v>
      </c>
      <c r="K249" s="173">
        <f t="array" ref="K249">PRODUCT(IF($F$215:$F$221=TRUE,K$76:K$82,1))</f>
        <v>1</v>
      </c>
      <c r="L249" s="173">
        <f t="array" ref="L249">PRODUCT(IF($F$215:$F$221=TRUE,L$76:L$82,1))</f>
        <v>1</v>
      </c>
    </row>
    <row r="250" spans="2:12">
      <c r="B250" s="96" t="str">
        <f t="shared" si="47"/>
        <v>Commercial Kitchen</v>
      </c>
      <c r="C250" s="172">
        <v>1</v>
      </c>
      <c r="D250" s="173">
        <f t="array" ref="D250">PRODUCT(IF($G$215:$G$221=TRUE,D$76:D$82,1))</f>
        <v>1</v>
      </c>
      <c r="E250" s="173">
        <f t="array" ref="E250">PRODUCT(IF($G$215:$G$221=TRUE,E$76:E$82,1))</f>
        <v>1</v>
      </c>
      <c r="F250" s="173">
        <f t="array" ref="F250">PRODUCT(IF($G$215:$G$221=TRUE,F$76:F$82,1))</f>
        <v>1</v>
      </c>
      <c r="G250" s="173">
        <f t="array" ref="G250">PRODUCT(IF($G$215:$G$221=TRUE,G$76:G$82,1))</f>
        <v>1</v>
      </c>
      <c r="H250" s="173">
        <f t="array" ref="H250">PRODUCT(IF($G$215:$G$221=TRUE,H$76:H$82,1))</f>
        <v>1</v>
      </c>
      <c r="I250" s="173">
        <f t="array" ref="I250">PRODUCT(IF($G$215:$G$221=TRUE,I$76:I$82,1))</f>
        <v>1</v>
      </c>
      <c r="J250" s="173">
        <f t="array" ref="J250">PRODUCT(IF($G$215:$G$221=TRUE,J$76:J$82,1))</f>
        <v>1</v>
      </c>
      <c r="K250" s="173">
        <f t="array" ref="K250">PRODUCT(IF($G$215:$G$221=TRUE,K$76:K$82,1))</f>
        <v>1</v>
      </c>
      <c r="L250" s="173">
        <f t="array" ref="L250">PRODUCT(IF($G$215:$G$221=TRUE,L$76:L$82,1))</f>
        <v>1</v>
      </c>
    </row>
    <row r="251" spans="2:12">
      <c r="B251" s="96" t="str">
        <f t="shared" si="47"/>
        <v>Other gas</v>
      </c>
      <c r="C251" s="172">
        <v>1</v>
      </c>
      <c r="D251" s="173">
        <f t="array" ref="D251">PRODUCT(IF($H$215:$H$221=TRUE,D$76:D$82,1))</f>
        <v>1</v>
      </c>
      <c r="E251" s="173">
        <f t="array" ref="E251">PRODUCT(IF($H$215:$H$221=TRUE,E$76:E$82,1))</f>
        <v>1</v>
      </c>
      <c r="F251" s="173">
        <f t="array" ref="F251">PRODUCT(IF($H$215:$H$221=TRUE,F$76:F$82,1))</f>
        <v>1</v>
      </c>
      <c r="G251" s="173">
        <f t="array" ref="G251">PRODUCT(IF($H$215:$H$221=TRUE,G$76:G$82,1))</f>
        <v>1</v>
      </c>
      <c r="H251" s="173">
        <f t="array" ref="H251">PRODUCT(IF($H$215:$H$221=TRUE,H$76:H$82,1))</f>
        <v>1</v>
      </c>
      <c r="I251" s="173">
        <f t="array" ref="I251">PRODUCT(IF($H$215:$H$221=TRUE,I$76:I$82,1))</f>
        <v>1</v>
      </c>
      <c r="J251" s="173">
        <f t="array" ref="J251">PRODUCT(IF($H$215:$H$221=TRUE,J$76:J$82,1))</f>
        <v>1</v>
      </c>
      <c r="K251" s="173">
        <f t="array" ref="K251">PRODUCT(IF($H$215:$H$221=TRUE,K$76:K$82,1))</f>
        <v>1</v>
      </c>
      <c r="L251" s="173">
        <f t="array" ref="L251">PRODUCT(IF($H$215:$H$221=TRUE,L$76:L$82,1))</f>
        <v>1</v>
      </c>
    </row>
    <row r="252" spans="2:12">
      <c r="B252" s="96">
        <f t="shared" si="47"/>
        <v>0</v>
      </c>
      <c r="C252" s="172">
        <v>1</v>
      </c>
      <c r="D252" s="173">
        <f t="array" ref="D252">PRODUCT(IF($I$215:$I$221=TRUE,D$76:D$82,1))</f>
        <v>1</v>
      </c>
      <c r="E252" s="173">
        <f t="array" ref="E252">PRODUCT(IF($I$215:$I$221=TRUE,E$76:E$82,1))</f>
        <v>1</v>
      </c>
      <c r="F252" s="173">
        <f t="array" ref="F252">PRODUCT(IF($I$215:$I$221=TRUE,F$76:F$82,1))</f>
        <v>1</v>
      </c>
      <c r="G252" s="173">
        <f t="array" ref="G252">PRODUCT(IF($I$215:$I$221=TRUE,G$76:G$82,1))</f>
        <v>1</v>
      </c>
      <c r="H252" s="173">
        <f t="array" ref="H252">PRODUCT(IF($I$215:$I$221=TRUE,H$76:H$82,1))</f>
        <v>1</v>
      </c>
      <c r="I252" s="173">
        <f t="array" ref="I252">PRODUCT(IF($I$215:$I$221=TRUE,I$76:I$82,1))</f>
        <v>1</v>
      </c>
      <c r="J252" s="173">
        <f t="array" ref="J252">PRODUCT(IF($I$215:$I$221=TRUE,J$76:J$82,1))</f>
        <v>1</v>
      </c>
      <c r="K252" s="173">
        <f t="array" ref="K252">PRODUCT(IF($I$215:$I$221=TRUE,K$76:K$82,1))</f>
        <v>1</v>
      </c>
      <c r="L252" s="173">
        <f t="array" ref="L252">PRODUCT(IF($I$215:$I$221=TRUE,L$76:L$82,1))</f>
        <v>1</v>
      </c>
    </row>
    <row r="253" spans="2:12">
      <c r="B253" s="78" t="s">
        <v>1318</v>
      </c>
      <c r="C253" s="172">
        <v>1</v>
      </c>
      <c r="D253" s="172">
        <f t="shared" ref="D253:L253" si="48">SUMPRODUCT(D$187:D$193,D246:D252)</f>
        <v>1.0000000000000002</v>
      </c>
      <c r="E253" s="172">
        <f t="shared" si="48"/>
        <v>1.0000000000000002</v>
      </c>
      <c r="F253" s="172">
        <f t="shared" si="48"/>
        <v>1.0000000000000002</v>
      </c>
      <c r="G253" s="172">
        <f t="shared" si="48"/>
        <v>1.0000000000000002</v>
      </c>
      <c r="H253" s="172">
        <f t="shared" si="48"/>
        <v>1.0000000000000002</v>
      </c>
      <c r="I253" s="172">
        <f t="shared" si="48"/>
        <v>1.0000000000000002</v>
      </c>
      <c r="J253" s="172">
        <f t="shared" si="48"/>
        <v>1.0000000000000002</v>
      </c>
      <c r="K253" s="172">
        <f t="shared" si="48"/>
        <v>1.0000000000000002</v>
      </c>
      <c r="L253" s="172">
        <f t="shared" si="48"/>
        <v>1.0000000000000002</v>
      </c>
    </row>
    <row r="257" spans="2:13" ht="15.6">
      <c r="B257" s="316" t="s">
        <v>1319</v>
      </c>
      <c r="C257" s="316"/>
      <c r="D257" s="316"/>
      <c r="E257" s="316"/>
      <c r="F257" s="316"/>
      <c r="G257" s="316"/>
      <c r="H257" s="316"/>
      <c r="I257" s="316"/>
      <c r="J257" s="316"/>
      <c r="K257" s="316"/>
      <c r="L257" s="316"/>
      <c r="M257" s="316"/>
    </row>
    <row r="259" spans="2:13" ht="12.75" customHeight="1"/>
    <row r="260" spans="2:13" ht="12.75" customHeight="1">
      <c r="C260" s="633" t="s">
        <v>1320</v>
      </c>
      <c r="D260" s="633"/>
      <c r="E260" s="633"/>
      <c r="F260" s="633"/>
      <c r="G260" s="633"/>
      <c r="H260" s="633"/>
      <c r="I260" s="633"/>
      <c r="J260" s="633"/>
      <c r="K260" s="633"/>
      <c r="L260" s="633"/>
    </row>
    <row r="261" spans="2:13" ht="12.75" customHeight="1">
      <c r="B261" s="637" t="s">
        <v>360</v>
      </c>
      <c r="C261" s="78" t="s">
        <v>1269</v>
      </c>
      <c r="D261" s="610" t="s">
        <v>1270</v>
      </c>
      <c r="E261" s="611"/>
      <c r="F261" s="612"/>
      <c r="G261" s="610" t="s">
        <v>1271</v>
      </c>
      <c r="H261" s="611"/>
      <c r="I261" s="612"/>
      <c r="J261" s="610" t="s">
        <v>1272</v>
      </c>
      <c r="K261" s="611"/>
      <c r="L261" s="612"/>
      <c r="M261" s="633" t="s">
        <v>1239</v>
      </c>
    </row>
    <row r="262" spans="2:13" ht="26.4">
      <c r="B262" s="638"/>
      <c r="C262" s="78" t="s">
        <v>1163</v>
      </c>
      <c r="D262" s="78" t="s">
        <v>1243</v>
      </c>
      <c r="E262" s="78" t="s">
        <v>1244</v>
      </c>
      <c r="F262" s="78" t="s">
        <v>1245</v>
      </c>
      <c r="G262" s="78" t="s">
        <v>1243</v>
      </c>
      <c r="H262" s="78" t="s">
        <v>1244</v>
      </c>
      <c r="I262" s="78" t="s">
        <v>1245</v>
      </c>
      <c r="J262" s="78" t="s">
        <v>1243</v>
      </c>
      <c r="K262" s="78" t="s">
        <v>1244</v>
      </c>
      <c r="L262" s="78" t="s">
        <v>1245</v>
      </c>
      <c r="M262" s="632"/>
    </row>
    <row r="263" spans="2:13">
      <c r="B263" s="96" t="str">
        <f t="shared" ref="B263:B268" si="49">B48</f>
        <v>Electricity</v>
      </c>
      <c r="C263" s="98">
        <f t="shared" ref="C263:C268" ca="1" si="50">C154</f>
        <v>0</v>
      </c>
      <c r="D263" s="98" t="e">
        <f>D154*D$239</f>
        <v>#DIV/0!</v>
      </c>
      <c r="E263" s="98" t="e">
        <f>E154*E$239</f>
        <v>#DIV/0!</v>
      </c>
      <c r="F263" s="98" t="e">
        <f t="shared" ref="F263:L263" si="51">F154*F$239</f>
        <v>#DIV/0!</v>
      </c>
      <c r="G263" s="98" t="e">
        <f t="shared" si="51"/>
        <v>#DIV/0!</v>
      </c>
      <c r="H263" s="98" t="e">
        <f t="shared" si="51"/>
        <v>#DIV/0!</v>
      </c>
      <c r="I263" s="98" t="e">
        <f t="shared" si="51"/>
        <v>#DIV/0!</v>
      </c>
      <c r="J263" s="98" t="e">
        <f t="shared" si="51"/>
        <v>#DIV/0!</v>
      </c>
      <c r="K263" s="98" t="e">
        <f t="shared" si="51"/>
        <v>#DIV/0!</v>
      </c>
      <c r="L263" s="98" t="e">
        <f t="shared" si="51"/>
        <v>#DIV/0!</v>
      </c>
      <c r="M263" s="164">
        <f>IFERROR(VLOOKUP(B263,'15C Building Details'!$C$26:$D$36,2, FALSE),0)</f>
        <v>0</v>
      </c>
    </row>
    <row r="264" spans="2:13">
      <c r="B264" s="96" t="str">
        <f t="shared" si="49"/>
        <v>GreenPower</v>
      </c>
      <c r="C264" s="98">
        <f t="shared" ca="1" si="50"/>
        <v>0</v>
      </c>
      <c r="D264" s="98" t="e">
        <f>D155*D$239</f>
        <v>#DIV/0!</v>
      </c>
      <c r="E264" s="98" t="e">
        <f>E155*E$239</f>
        <v>#DIV/0!</v>
      </c>
      <c r="F264" s="98" t="e">
        <f t="shared" ref="F264:L264" si="52">F155*F$239</f>
        <v>#DIV/0!</v>
      </c>
      <c r="G264" s="98" t="e">
        <f t="shared" si="52"/>
        <v>#DIV/0!</v>
      </c>
      <c r="H264" s="98" t="e">
        <f t="shared" si="52"/>
        <v>#DIV/0!</v>
      </c>
      <c r="I264" s="98" t="e">
        <f t="shared" si="52"/>
        <v>#DIV/0!</v>
      </c>
      <c r="J264" s="98" t="e">
        <f t="shared" si="52"/>
        <v>#DIV/0!</v>
      </c>
      <c r="K264" s="98" t="e">
        <f t="shared" si="52"/>
        <v>#DIV/0!</v>
      </c>
      <c r="L264" s="98" t="e">
        <f t="shared" si="52"/>
        <v>#DIV/0!</v>
      </c>
      <c r="M264" s="164">
        <f>IFERROR(VLOOKUP(B264,'15C Building Details'!$C$26:$D$36,2, FALSE),0)</f>
        <v>0</v>
      </c>
    </row>
    <row r="265" spans="2:13">
      <c r="B265" s="96" t="str">
        <f t="shared" si="49"/>
        <v>Natural gas distributed in a pipeline</v>
      </c>
      <c r="C265" s="98">
        <f t="shared" ca="1" si="50"/>
        <v>6.9999999999999989E-34</v>
      </c>
      <c r="D265" s="98">
        <f t="shared" ref="D265:L265" si="53">D156*D$253</f>
        <v>7.0000000000000006E-34</v>
      </c>
      <c r="E265" s="98">
        <f t="shared" si="53"/>
        <v>7.0000000000000006E-34</v>
      </c>
      <c r="F265" s="98">
        <f t="shared" si="53"/>
        <v>7.0000000000000006E-34</v>
      </c>
      <c r="G265" s="98">
        <f t="shared" si="53"/>
        <v>7.0000000000000006E-34</v>
      </c>
      <c r="H265" s="98">
        <f t="shared" si="53"/>
        <v>7.0000000000000006E-34</v>
      </c>
      <c r="I265" s="98">
        <f t="shared" si="53"/>
        <v>7.0000000000000006E-34</v>
      </c>
      <c r="J265" s="98">
        <f t="shared" si="53"/>
        <v>7.0000000000000006E-34</v>
      </c>
      <c r="K265" s="98">
        <f t="shared" si="53"/>
        <v>7.0000000000000006E-34</v>
      </c>
      <c r="L265" s="98">
        <f t="shared" si="53"/>
        <v>7.0000000000000006E-34</v>
      </c>
      <c r="M265" s="164" t="b">
        <f>IFERROR(VLOOKUP(B265,'15C Building Details'!$C$26:$D$36,2, FALSE),0)</f>
        <v>0</v>
      </c>
    </row>
    <row r="266" spans="2:13">
      <c r="B266" s="96" t="str">
        <f t="shared" si="49"/>
        <v>Liquefied petroleum gas</v>
      </c>
      <c r="C266" s="98">
        <f t="shared" si="50"/>
        <v>0</v>
      </c>
      <c r="D266" s="98">
        <v>0</v>
      </c>
      <c r="E266" s="98">
        <v>0</v>
      </c>
      <c r="F266" s="98">
        <v>0</v>
      </c>
      <c r="G266" s="98">
        <v>0</v>
      </c>
      <c r="H266" s="98">
        <v>0</v>
      </c>
      <c r="I266" s="98">
        <v>0</v>
      </c>
      <c r="J266" s="98">
        <v>0</v>
      </c>
      <c r="K266" s="98">
        <v>0</v>
      </c>
      <c r="L266" s="98">
        <v>0</v>
      </c>
      <c r="M266" s="164" t="b">
        <f>IFERROR(VLOOKUP(B266,'15C Building Details'!$C$26:$D$36,2, FALSE),0)</f>
        <v>0</v>
      </c>
    </row>
    <row r="267" spans="2:13">
      <c r="B267" s="96" t="str">
        <f t="shared" si="49"/>
        <v>Diesel Oil</v>
      </c>
      <c r="C267" s="98">
        <f t="shared" si="50"/>
        <v>0</v>
      </c>
      <c r="D267" s="98">
        <v>0</v>
      </c>
      <c r="E267" s="98">
        <v>0</v>
      </c>
      <c r="F267" s="98">
        <v>0</v>
      </c>
      <c r="G267" s="98">
        <v>0</v>
      </c>
      <c r="H267" s="98">
        <v>0</v>
      </c>
      <c r="I267" s="98">
        <v>0</v>
      </c>
      <c r="J267" s="98">
        <v>0</v>
      </c>
      <c r="K267" s="98">
        <v>0</v>
      </c>
      <c r="L267" s="98">
        <v>0</v>
      </c>
      <c r="M267" s="164" t="b">
        <f>IFERROR(VLOOKUP(B267,'15C Building Details'!$C$26:$D$36,2, FALSE),0)</f>
        <v>0</v>
      </c>
    </row>
    <row r="268" spans="2:13">
      <c r="B268" s="96" t="str">
        <f t="shared" si="49"/>
        <v>Bituminous coal</v>
      </c>
      <c r="C268" s="98">
        <f t="shared" si="50"/>
        <v>0</v>
      </c>
      <c r="D268" s="98">
        <v>0</v>
      </c>
      <c r="E268" s="98">
        <v>0</v>
      </c>
      <c r="F268" s="98">
        <v>0</v>
      </c>
      <c r="G268" s="98">
        <v>0</v>
      </c>
      <c r="H268" s="98">
        <v>0</v>
      </c>
      <c r="I268" s="98">
        <v>0</v>
      </c>
      <c r="J268" s="98">
        <v>0</v>
      </c>
      <c r="K268" s="98">
        <v>0</v>
      </c>
      <c r="L268" s="98">
        <v>0</v>
      </c>
      <c r="M268" s="164" t="b">
        <f>IFERROR(VLOOKUP(B268,'15C Building Details'!$C$26:$D$36,2, FALSE),0)</f>
        <v>0</v>
      </c>
    </row>
    <row r="269" spans="2:13">
      <c r="B269" s="96" t="s">
        <v>679</v>
      </c>
      <c r="C269" s="98">
        <f t="shared" ref="C269:L272" si="54">C160</f>
        <v>0</v>
      </c>
      <c r="D269" s="98">
        <f t="shared" si="54"/>
        <v>0</v>
      </c>
      <c r="E269" s="98">
        <f t="shared" si="54"/>
        <v>0</v>
      </c>
      <c r="F269" s="98">
        <f t="shared" si="54"/>
        <v>0</v>
      </c>
      <c r="G269" s="98">
        <f t="shared" si="54"/>
        <v>0</v>
      </c>
      <c r="H269" s="98">
        <f t="shared" si="54"/>
        <v>0</v>
      </c>
      <c r="I269" s="98">
        <f t="shared" si="54"/>
        <v>0</v>
      </c>
      <c r="J269" s="98">
        <f t="shared" si="54"/>
        <v>0</v>
      </c>
      <c r="K269" s="98">
        <f t="shared" si="54"/>
        <v>0</v>
      </c>
      <c r="L269" s="98">
        <f t="shared" si="54"/>
        <v>0</v>
      </c>
      <c r="M269" s="164">
        <f>IFERROR(VLOOKUP(B269,'15C Building Details'!$C$26:$D$36,2, FALSE),0)</f>
        <v>0</v>
      </c>
    </row>
    <row r="270" spans="2:13">
      <c r="B270" s="96" t="s">
        <v>587</v>
      </c>
      <c r="C270" s="98">
        <f t="shared" ca="1" si="54"/>
        <v>0</v>
      </c>
      <c r="D270" s="98">
        <f t="shared" si="54"/>
        <v>0</v>
      </c>
      <c r="E270" s="98">
        <f t="shared" si="54"/>
        <v>0</v>
      </c>
      <c r="F270" s="98">
        <f t="shared" si="54"/>
        <v>0</v>
      </c>
      <c r="G270" s="98">
        <f t="shared" si="54"/>
        <v>0</v>
      </c>
      <c r="H270" s="98">
        <f t="shared" si="54"/>
        <v>0</v>
      </c>
      <c r="I270" s="98">
        <f t="shared" si="54"/>
        <v>0</v>
      </c>
      <c r="J270" s="98">
        <f t="shared" si="54"/>
        <v>0</v>
      </c>
      <c r="K270" s="98">
        <f t="shared" si="54"/>
        <v>0</v>
      </c>
      <c r="L270" s="98">
        <f t="shared" si="54"/>
        <v>0</v>
      </c>
      <c r="M270" s="164">
        <f>IFERROR(VLOOKUP(B270,'15C Building Details'!$C$26:$D$36,2, FALSE),0)</f>
        <v>0</v>
      </c>
    </row>
    <row r="271" spans="2:13">
      <c r="B271" s="96" t="s">
        <v>589</v>
      </c>
      <c r="C271" s="98">
        <f t="shared" ca="1" si="54"/>
        <v>0</v>
      </c>
      <c r="D271" s="98">
        <f t="shared" si="54"/>
        <v>0</v>
      </c>
      <c r="E271" s="98">
        <f t="shared" si="54"/>
        <v>0</v>
      </c>
      <c r="F271" s="98">
        <f t="shared" si="54"/>
        <v>0</v>
      </c>
      <c r="G271" s="98">
        <f t="shared" si="54"/>
        <v>0</v>
      </c>
      <c r="H271" s="98">
        <f t="shared" si="54"/>
        <v>0</v>
      </c>
      <c r="I271" s="98">
        <f t="shared" si="54"/>
        <v>0</v>
      </c>
      <c r="J271" s="98">
        <f t="shared" si="54"/>
        <v>0</v>
      </c>
      <c r="K271" s="98">
        <f t="shared" si="54"/>
        <v>0</v>
      </c>
      <c r="L271" s="98">
        <f t="shared" si="54"/>
        <v>0</v>
      </c>
      <c r="M271" s="164">
        <f>IFERROR(VLOOKUP(B271,'15C Building Details'!$C$26:$D$36,2, FALSE),0)</f>
        <v>0</v>
      </c>
    </row>
    <row r="272" spans="2:13">
      <c r="B272" s="96" t="s">
        <v>458</v>
      </c>
      <c r="C272" s="98">
        <f t="shared" ca="1" si="54"/>
        <v>0</v>
      </c>
      <c r="D272" s="98">
        <f t="shared" si="54"/>
        <v>0</v>
      </c>
      <c r="E272" s="98">
        <f t="shared" si="54"/>
        <v>0</v>
      </c>
      <c r="F272" s="98">
        <f t="shared" si="54"/>
        <v>0</v>
      </c>
      <c r="G272" s="98">
        <f t="shared" si="54"/>
        <v>0</v>
      </c>
      <c r="H272" s="98">
        <f t="shared" si="54"/>
        <v>0</v>
      </c>
      <c r="I272" s="98">
        <f t="shared" si="54"/>
        <v>0</v>
      </c>
      <c r="J272" s="98">
        <f t="shared" si="54"/>
        <v>0</v>
      </c>
      <c r="K272" s="98">
        <f t="shared" si="54"/>
        <v>0</v>
      </c>
      <c r="L272" s="98">
        <f t="shared" si="54"/>
        <v>0</v>
      </c>
      <c r="M272" s="164">
        <f>IFERROR(VLOOKUP(B272,'15C Building Details'!$C$26:$D$36,2, FALSE),0)</f>
        <v>0</v>
      </c>
    </row>
    <row r="273" spans="2:20" ht="12.75" customHeight="1">
      <c r="B273" s="6" t="s">
        <v>1321</v>
      </c>
      <c r="C273" s="98">
        <f ca="1">SUM(C263:C272)</f>
        <v>6.9999999999999989E-34</v>
      </c>
      <c r="D273" s="98" t="e">
        <f t="shared" ref="D273:L273" si="55">SUM(D263:D272)</f>
        <v>#DIV/0!</v>
      </c>
      <c r="E273" s="98" t="e">
        <f t="shared" si="55"/>
        <v>#DIV/0!</v>
      </c>
      <c r="F273" s="98" t="e">
        <f t="shared" si="55"/>
        <v>#DIV/0!</v>
      </c>
      <c r="G273" s="98" t="e">
        <f t="shared" si="55"/>
        <v>#DIV/0!</v>
      </c>
      <c r="H273" s="98" t="e">
        <f t="shared" si="55"/>
        <v>#DIV/0!</v>
      </c>
      <c r="I273" s="98" t="e">
        <f t="shared" si="55"/>
        <v>#DIV/0!</v>
      </c>
      <c r="J273" s="98" t="e">
        <f t="shared" si="55"/>
        <v>#DIV/0!</v>
      </c>
      <c r="K273" s="98" t="e">
        <f t="shared" si="55"/>
        <v>#DIV/0!</v>
      </c>
      <c r="L273" s="98" t="e">
        <f t="shared" si="55"/>
        <v>#DIV/0!</v>
      </c>
      <c r="M273" s="98"/>
    </row>
    <row r="274" spans="2:20" ht="12.75" customHeight="1">
      <c r="B274" s="6" t="s">
        <v>1322</v>
      </c>
      <c r="C274" s="98">
        <f>C67</f>
        <v>0</v>
      </c>
      <c r="D274" s="98">
        <f>C274</f>
        <v>0</v>
      </c>
      <c r="E274" s="98">
        <f t="shared" ref="E274:L274" si="56">D274</f>
        <v>0</v>
      </c>
      <c r="F274" s="98">
        <f t="shared" si="56"/>
        <v>0</v>
      </c>
      <c r="G274" s="98">
        <f t="shared" si="56"/>
        <v>0</v>
      </c>
      <c r="H274" s="98">
        <f t="shared" si="56"/>
        <v>0</v>
      </c>
      <c r="I274" s="98">
        <f t="shared" si="56"/>
        <v>0</v>
      </c>
      <c r="J274" s="98">
        <f t="shared" si="56"/>
        <v>0</v>
      </c>
      <c r="K274" s="98">
        <f t="shared" si="56"/>
        <v>0</v>
      </c>
      <c r="L274" s="98">
        <f t="shared" si="56"/>
        <v>0</v>
      </c>
      <c r="M274" s="98"/>
    </row>
    <row r="275" spans="2:20" ht="26.4">
      <c r="B275" s="6" t="s">
        <v>1323</v>
      </c>
      <c r="C275" s="98" t="e">
        <f t="shared" ref="C275:L275" ca="1" si="57">C273*1000/C274</f>
        <v>#DIV/0!</v>
      </c>
      <c r="D275" s="98" t="e">
        <f>D273*1000/D274</f>
        <v>#DIV/0!</v>
      </c>
      <c r="E275" s="98" t="e">
        <f t="shared" si="57"/>
        <v>#DIV/0!</v>
      </c>
      <c r="F275" s="98" t="e">
        <f t="shared" si="57"/>
        <v>#DIV/0!</v>
      </c>
      <c r="G275" s="98" t="e">
        <f t="shared" si="57"/>
        <v>#DIV/0!</v>
      </c>
      <c r="H275" s="98" t="e">
        <f t="shared" si="57"/>
        <v>#DIV/0!</v>
      </c>
      <c r="I275" s="98" t="e">
        <f t="shared" si="57"/>
        <v>#DIV/0!</v>
      </c>
      <c r="J275" s="98" t="e">
        <f t="shared" si="57"/>
        <v>#DIV/0!</v>
      </c>
      <c r="K275" s="98" t="e">
        <f t="shared" si="57"/>
        <v>#DIV/0!</v>
      </c>
      <c r="L275" s="98" t="e">
        <f t="shared" si="57"/>
        <v>#DIV/0!</v>
      </c>
      <c r="M275" s="98"/>
    </row>
    <row r="276" spans="2:20" ht="12.75" customHeight="1">
      <c r="B276" s="177"/>
      <c r="C276" s="178"/>
      <c r="D276" s="178"/>
      <c r="E276" s="178"/>
      <c r="F276" s="178"/>
      <c r="G276" s="178"/>
      <c r="H276" s="178"/>
      <c r="I276" s="178"/>
      <c r="J276" s="178"/>
      <c r="K276" s="178"/>
      <c r="L276" s="178"/>
      <c r="M276" s="178"/>
    </row>
    <row r="277" spans="2:20" ht="52.8">
      <c r="B277" s="6" t="s">
        <v>634</v>
      </c>
      <c r="C277" s="98">
        <f ca="1">SUMPRODUCT(C265:C269,$M$265:$M$269)+(C263+C271+C272+C264)*$M$263</f>
        <v>0</v>
      </c>
      <c r="D277" s="98" t="e">
        <f t="shared" ref="D277:L277" si="58">SUMPRODUCT(D265:D269,$M$265:$M$269)+(D263+D270+D271+D272+D264)*$M$263</f>
        <v>#DIV/0!</v>
      </c>
      <c r="E277" s="98" t="e">
        <f t="shared" si="58"/>
        <v>#DIV/0!</v>
      </c>
      <c r="F277" s="98" t="e">
        <f t="shared" si="58"/>
        <v>#DIV/0!</v>
      </c>
      <c r="G277" s="98" t="e">
        <f t="shared" si="58"/>
        <v>#DIV/0!</v>
      </c>
      <c r="H277" s="98" t="e">
        <f t="shared" si="58"/>
        <v>#DIV/0!</v>
      </c>
      <c r="I277" s="98" t="e">
        <f t="shared" si="58"/>
        <v>#DIV/0!</v>
      </c>
      <c r="J277" s="98" t="e">
        <f t="shared" si="58"/>
        <v>#DIV/0!</v>
      </c>
      <c r="K277" s="98" t="e">
        <f t="shared" si="58"/>
        <v>#DIV/0!</v>
      </c>
      <c r="L277" s="98" t="e">
        <f t="shared" si="58"/>
        <v>#DIV/0!</v>
      </c>
      <c r="M277" s="98"/>
    </row>
    <row r="278" spans="2:20" ht="57" customHeight="1">
      <c r="B278" s="6" t="s">
        <v>637</v>
      </c>
      <c r="C278" s="98">
        <f ca="1">SUMPRODUCT(C263:C272,$M$263:$M$272)</f>
        <v>0</v>
      </c>
      <c r="D278" s="98" t="e">
        <f>SUMPRODUCT(D263:D272,$M$263:$M$272)</f>
        <v>#DIV/0!</v>
      </c>
      <c r="E278" s="98" t="e">
        <f t="shared" ref="E278:L278" si="59">SUMPRODUCT(E263:E272,$M$263:$M$272)</f>
        <v>#DIV/0!</v>
      </c>
      <c r="F278" s="98" t="e">
        <f t="shared" si="59"/>
        <v>#DIV/0!</v>
      </c>
      <c r="G278" s="98" t="e">
        <f t="shared" si="59"/>
        <v>#DIV/0!</v>
      </c>
      <c r="H278" s="98" t="e">
        <f t="shared" si="59"/>
        <v>#DIV/0!</v>
      </c>
      <c r="I278" s="98" t="e">
        <f t="shared" si="59"/>
        <v>#DIV/0!</v>
      </c>
      <c r="J278" s="98" t="e">
        <f t="shared" si="59"/>
        <v>#DIV/0!</v>
      </c>
      <c r="K278" s="98" t="e">
        <f t="shared" si="59"/>
        <v>#DIV/0!</v>
      </c>
      <c r="L278" s="98" t="e">
        <f t="shared" si="59"/>
        <v>#DIV/0!</v>
      </c>
      <c r="M278" s="98"/>
    </row>
    <row r="279" spans="2:20" ht="66">
      <c r="B279" s="6" t="s">
        <v>640</v>
      </c>
      <c r="C279" s="98" t="e">
        <f t="shared" ref="C279:L279" ca="1" si="60">C277/C274</f>
        <v>#DIV/0!</v>
      </c>
      <c r="D279" s="98" t="e">
        <f t="shared" si="60"/>
        <v>#DIV/0!</v>
      </c>
      <c r="E279" s="98" t="e">
        <f t="shared" si="60"/>
        <v>#DIV/0!</v>
      </c>
      <c r="F279" s="98" t="e">
        <f t="shared" si="60"/>
        <v>#DIV/0!</v>
      </c>
      <c r="G279" s="98" t="e">
        <f t="shared" si="60"/>
        <v>#DIV/0!</v>
      </c>
      <c r="H279" s="98" t="e">
        <f t="shared" si="60"/>
        <v>#DIV/0!</v>
      </c>
      <c r="I279" s="98" t="e">
        <f t="shared" si="60"/>
        <v>#DIV/0!</v>
      </c>
      <c r="J279" s="98" t="e">
        <f t="shared" si="60"/>
        <v>#DIV/0!</v>
      </c>
      <c r="K279" s="98" t="e">
        <f t="shared" si="60"/>
        <v>#DIV/0!</v>
      </c>
      <c r="L279" s="98" t="e">
        <f t="shared" si="60"/>
        <v>#DIV/0!</v>
      </c>
      <c r="M279" s="98"/>
    </row>
    <row r="280" spans="2:20">
      <c r="C280" s="319"/>
      <c r="D280" s="319"/>
      <c r="E280" s="319"/>
      <c r="F280" s="319"/>
      <c r="G280" s="319"/>
      <c r="H280" s="319"/>
      <c r="I280" s="319"/>
      <c r="J280" s="319"/>
      <c r="K280" s="319"/>
      <c r="L280" s="319"/>
    </row>
    <row r="281" spans="2:20">
      <c r="C281" s="319"/>
      <c r="D281" s="319"/>
      <c r="E281" s="319"/>
      <c r="F281" s="319"/>
      <c r="G281" s="319"/>
      <c r="H281" s="319"/>
      <c r="I281" s="319"/>
      <c r="J281" s="319"/>
      <c r="K281" s="319"/>
      <c r="L281" s="319"/>
      <c r="T281" s="239" t="s">
        <v>934</v>
      </c>
    </row>
    <row r="282" spans="2:20" ht="15.6">
      <c r="B282" s="316" t="s">
        <v>1324</v>
      </c>
      <c r="C282" s="316"/>
      <c r="D282" s="316"/>
      <c r="E282" s="316"/>
      <c r="F282" s="316"/>
      <c r="G282" s="316"/>
      <c r="H282" s="316"/>
      <c r="I282" s="316"/>
      <c r="J282" s="316"/>
      <c r="K282" s="316"/>
      <c r="L282" s="316"/>
      <c r="M282" s="316"/>
      <c r="T282" s="239" t="s">
        <v>937</v>
      </c>
    </row>
    <row r="283" spans="2:20">
      <c r="E283" s="11"/>
      <c r="T283" s="239" t="s">
        <v>939</v>
      </c>
    </row>
    <row r="284" spans="2:20" ht="56.4">
      <c r="B284" s="6" t="s">
        <v>1325</v>
      </c>
      <c r="C284" s="6" t="s">
        <v>1326</v>
      </c>
      <c r="E284" s="11"/>
      <c r="Q284" s="320" t="s">
        <v>951</v>
      </c>
      <c r="R284" s="320"/>
      <c r="T284" s="239" t="s">
        <v>941</v>
      </c>
    </row>
    <row r="285" spans="2:20">
      <c r="B285" s="96" t="s">
        <v>1327</v>
      </c>
      <c r="C285" s="98">
        <f>IFERROR(AVERAGE(D279:L279),0)</f>
        <v>0</v>
      </c>
      <c r="E285" s="11"/>
      <c r="G285" s="14"/>
      <c r="H285" s="14"/>
      <c r="Q285" s="239" t="s">
        <v>954</v>
      </c>
      <c r="R285" s="319">
        <f>'15C Building Details'!C9</f>
        <v>0</v>
      </c>
      <c r="T285" s="239" t="s">
        <v>943</v>
      </c>
    </row>
    <row r="286" spans="2:20">
      <c r="B286" s="96" t="s">
        <v>1328</v>
      </c>
      <c r="C286" s="98">
        <f>C285/70</f>
        <v>0</v>
      </c>
      <c r="E286" s="11"/>
      <c r="Q286" s="247" t="s">
        <v>956</v>
      </c>
      <c r="R286" s="11" t="e">
        <f ca="1">C294</f>
        <v>#DIV/0!</v>
      </c>
      <c r="T286" s="239" t="s">
        <v>945</v>
      </c>
    </row>
    <row r="287" spans="2:20">
      <c r="B287" s="96" t="s">
        <v>1329</v>
      </c>
      <c r="C287" s="98">
        <f>C286*100</f>
        <v>0</v>
      </c>
      <c r="E287" s="11"/>
      <c r="Q287" s="247" t="s">
        <v>958</v>
      </c>
      <c r="R287" s="11" t="e">
        <f ca="1">IF(AND(R286="No",IF(ISNUMBER(MATCH(R285,T286:T288,0)),1,0)=1),"No","")</f>
        <v>#DIV/0!</v>
      </c>
      <c r="T287" s="239" t="s">
        <v>947</v>
      </c>
    </row>
    <row r="288" spans="2:20">
      <c r="E288" s="11"/>
      <c r="T288" s="239" t="s">
        <v>949</v>
      </c>
    </row>
    <row r="289" spans="2:13" ht="125.25" customHeight="1">
      <c r="B289" s="6" t="s">
        <v>1163</v>
      </c>
      <c r="C289" s="6" t="s">
        <v>1330</v>
      </c>
      <c r="D289" s="6" t="s">
        <v>1331</v>
      </c>
      <c r="E289" s="17"/>
      <c r="F289" s="17"/>
      <c r="I289" s="14"/>
      <c r="J289" s="14"/>
    </row>
    <row r="290" spans="2:13">
      <c r="B290" s="96" t="s">
        <v>1332</v>
      </c>
      <c r="C290" s="98" t="e">
        <f ca="1">C278/$C$274</f>
        <v>#DIV/0!</v>
      </c>
      <c r="D290" s="98" t="e">
        <f ca="1">C279</f>
        <v>#DIV/0!</v>
      </c>
      <c r="E290" s="17"/>
      <c r="F290" s="17"/>
      <c r="I290" s="14"/>
      <c r="J290" s="14"/>
    </row>
    <row r="291" spans="2:13">
      <c r="B291" s="96" t="s">
        <v>1333</v>
      </c>
      <c r="C291" s="174">
        <f ca="1">MAX(0,IFERROR(1-(C290/C286/100),0))</f>
        <v>0</v>
      </c>
      <c r="D291" s="174">
        <f ca="1">MAX(0,IFERROR(1-(D290/C286/100),0))</f>
        <v>0</v>
      </c>
      <c r="E291" s="11"/>
      <c r="I291" s="14"/>
      <c r="J291" s="14"/>
    </row>
    <row r="292" spans="2:13">
      <c r="B292" s="96" t="s">
        <v>1334</v>
      </c>
      <c r="C292" s="251" t="e">
        <f ca="1">(1-C290/C285)</f>
        <v>#DIV/0!</v>
      </c>
      <c r="D292" s="251" t="e">
        <f ca="1">(1-D290/C285)</f>
        <v>#DIV/0!</v>
      </c>
      <c r="E292" s="11"/>
      <c r="I292" s="14"/>
      <c r="J292" s="14"/>
    </row>
    <row r="293" spans="2:13">
      <c r="E293" s="11"/>
      <c r="I293" s="14"/>
      <c r="J293" s="14"/>
    </row>
    <row r="294" spans="2:13" ht="26.4">
      <c r="B294" s="6" t="s">
        <v>1335</v>
      </c>
      <c r="C294" s="12" t="e">
        <f ca="1">IF(D292&gt;0.1,"YES","NO")</f>
        <v>#DIV/0!</v>
      </c>
      <c r="E294" s="11"/>
      <c r="I294" s="14"/>
      <c r="J294" s="14"/>
    </row>
    <row r="295" spans="2:13" ht="61.5" customHeight="1">
      <c r="B295" s="6" t="s">
        <v>1336</v>
      </c>
      <c r="C295" s="12" t="str">
        <f>IF(OR(R285="Please Select",R285=""),"Please select the Green Star Rating targeted",IF('15C Building Details'!C19="Whole Building",VLOOKUP('15C Calculation'!C291,'Points Table'!B7:C30,2,1),IF('15C Building Details'!C19="Base Building",VLOOKUP(C291,'Points Table'!E7:F27,2,1),"Please nominate scope of emissions in the Building Details tab")))</f>
        <v>Please nominate scope of emissions in the Building Details tab</v>
      </c>
      <c r="D295" s="629" t="str">
        <f ca="1">IFERROR(IF(R287="No","Conditional Requirement not met for the Green Star Rating targeted",""),"")</f>
        <v/>
      </c>
      <c r="E295" s="630"/>
      <c r="F295" s="14"/>
      <c r="G295" s="14"/>
      <c r="H295" s="14"/>
      <c r="I295" s="14"/>
      <c r="J295" s="14"/>
    </row>
    <row r="297" spans="2:13" ht="15.6">
      <c r="B297" s="643" t="s">
        <v>1337</v>
      </c>
      <c r="C297" s="643"/>
      <c r="D297" s="643"/>
      <c r="E297" s="643"/>
      <c r="F297" s="643"/>
      <c r="G297" s="643"/>
      <c r="H297" s="643"/>
      <c r="I297" s="643"/>
      <c r="J297" s="643"/>
      <c r="K297" s="643"/>
      <c r="L297" s="643"/>
      <c r="M297" s="643"/>
    </row>
    <row r="298" spans="2:13">
      <c r="E298" s="11"/>
    </row>
    <row r="299" spans="2:13" ht="30" customHeight="1">
      <c r="B299" s="314" t="s">
        <v>1135</v>
      </c>
      <c r="C299" s="321"/>
      <c r="D299" s="322"/>
      <c r="E299" s="11"/>
    </row>
    <row r="300" spans="2:13">
      <c r="E300" s="11"/>
    </row>
    <row r="301" spans="2:13" ht="20.100000000000001" customHeight="1">
      <c r="D301" s="189" t="s">
        <v>1338</v>
      </c>
      <c r="E301" s="185"/>
    </row>
    <row r="302" spans="2:13" ht="30" customHeight="1">
      <c r="B302" s="640" t="s">
        <v>1339</v>
      </c>
      <c r="C302" s="640"/>
      <c r="D302" s="413"/>
      <c r="E302" s="644" t="s">
        <v>1340</v>
      </c>
      <c r="F302" s="645"/>
    </row>
    <row r="303" spans="2:13" ht="20.100000000000001" customHeight="1">
      <c r="B303" s="640" t="s">
        <v>1341</v>
      </c>
      <c r="C303" s="640"/>
      <c r="D303" s="414"/>
      <c r="E303" s="185"/>
    </row>
    <row r="304" spans="2:13" ht="20.100000000000001" customHeight="1">
      <c r="B304" s="640" t="s">
        <v>1342</v>
      </c>
      <c r="C304" s="640"/>
      <c r="D304" s="415"/>
      <c r="E304" s="185"/>
    </row>
    <row r="305" spans="2:6" ht="20.100000000000001" customHeight="1">
      <c r="B305" s="640" t="s">
        <v>1343</v>
      </c>
      <c r="C305" s="640"/>
      <c r="D305" s="415"/>
      <c r="E305" s="185"/>
    </row>
    <row r="306" spans="2:6" ht="20.100000000000001" customHeight="1">
      <c r="B306" s="640" t="s">
        <v>1344</v>
      </c>
      <c r="C306" s="640"/>
      <c r="D306" s="415"/>
      <c r="E306" s="185"/>
    </row>
    <row r="307" spans="2:6" ht="20.100000000000001" customHeight="1">
      <c r="B307" s="640" t="str">
        <f>IF(D302="NABERS Energy Tenancy Rating","NABERS Energy Tenancy rating greenhouse gas emissions performance (kgCO2/m2 p.a.)",IF(D302="Tenant Collaboration","Tenant greenhouse gas emissions performance (kgCO2/m2 p.a.)", "Greenhouse Gas Emissions"))</f>
        <v>Greenhouse Gas Emissions</v>
      </c>
      <c r="C307" s="640"/>
      <c r="D307" s="416"/>
      <c r="E307" s="185"/>
    </row>
    <row r="308" spans="2:6" ht="20.100000000000001" customHeight="1">
      <c r="D308" s="189" t="s">
        <v>1345</v>
      </c>
      <c r="E308" s="185"/>
    </row>
    <row r="309" spans="2:6" ht="30" customHeight="1">
      <c r="B309" s="640" t="s">
        <v>1339</v>
      </c>
      <c r="C309" s="640"/>
      <c r="D309" s="413"/>
      <c r="E309" s="644" t="s">
        <v>1340</v>
      </c>
      <c r="F309" s="645"/>
    </row>
    <row r="310" spans="2:6" ht="20.100000000000001" customHeight="1">
      <c r="B310" s="640" t="s">
        <v>1341</v>
      </c>
      <c r="C310" s="640"/>
      <c r="D310" s="414"/>
      <c r="E310" s="185"/>
    </row>
    <row r="311" spans="2:6" ht="20.100000000000001" customHeight="1">
      <c r="B311" s="640" t="s">
        <v>1342</v>
      </c>
      <c r="C311" s="640"/>
      <c r="D311" s="415"/>
      <c r="E311" s="185"/>
    </row>
    <row r="312" spans="2:6" ht="20.100000000000001" customHeight="1">
      <c r="B312" s="640" t="s">
        <v>1343</v>
      </c>
      <c r="C312" s="640"/>
      <c r="D312" s="415"/>
      <c r="E312" s="185"/>
    </row>
    <row r="313" spans="2:6" ht="20.100000000000001" customHeight="1">
      <c r="B313" s="640" t="s">
        <v>1344</v>
      </c>
      <c r="C313" s="640"/>
      <c r="D313" s="415"/>
      <c r="E313" s="185"/>
    </row>
    <row r="314" spans="2:6" ht="20.100000000000001" customHeight="1">
      <c r="B314" s="640" t="str">
        <f>IF(D309="NABERS Energy Tenancy Rating","NABERS Energy Tenancy rating greenhouse gas emissions performance (kgCO2/m2 p.a.)",IF(D309="Tenant Collaboration","Tenant greenhouse gas emissions performance (kgCO2/m2 p.a.)", "Greenhouse Gas Emissions"))</f>
        <v>Greenhouse Gas Emissions</v>
      </c>
      <c r="C314" s="640"/>
      <c r="D314" s="416"/>
      <c r="E314" s="185"/>
    </row>
    <row r="315" spans="2:6" ht="20.100000000000001" customHeight="1">
      <c r="D315" s="189" t="s">
        <v>1346</v>
      </c>
      <c r="E315" s="185"/>
    </row>
    <row r="316" spans="2:6" ht="30" customHeight="1">
      <c r="B316" s="640" t="s">
        <v>1339</v>
      </c>
      <c r="C316" s="640"/>
      <c r="D316" s="413"/>
      <c r="E316" s="644" t="s">
        <v>1340</v>
      </c>
      <c r="F316" s="645"/>
    </row>
    <row r="317" spans="2:6" ht="20.100000000000001" customHeight="1">
      <c r="B317" s="640" t="s">
        <v>1341</v>
      </c>
      <c r="C317" s="640"/>
      <c r="D317" s="414"/>
      <c r="E317" s="185"/>
    </row>
    <row r="318" spans="2:6" ht="20.100000000000001" customHeight="1">
      <c r="B318" s="640" t="s">
        <v>1342</v>
      </c>
      <c r="C318" s="640"/>
      <c r="D318" s="415"/>
      <c r="E318" s="185"/>
    </row>
    <row r="319" spans="2:6" ht="20.100000000000001" customHeight="1">
      <c r="B319" s="640" t="s">
        <v>1343</v>
      </c>
      <c r="C319" s="640"/>
      <c r="D319" s="415"/>
      <c r="E319" s="185"/>
    </row>
    <row r="320" spans="2:6" ht="20.100000000000001" customHeight="1">
      <c r="B320" s="640" t="s">
        <v>1344</v>
      </c>
      <c r="C320" s="640"/>
      <c r="D320" s="415"/>
      <c r="E320" s="185"/>
    </row>
    <row r="321" spans="2:6" ht="20.100000000000001" customHeight="1">
      <c r="B321" s="640" t="str">
        <f>IF(D316="NABERS Energy Tenancy Rating","NABERS Energy Tenancy rating greenhouse gas emissions performance (kgCO2/m2 p.a.)",IF(D316="Tenant Collaboration","Tenant greenhouse gas emissions performance (kgCO2/m2 p.a.)", "Greenhouse Gas Emissions"))</f>
        <v>Greenhouse Gas Emissions</v>
      </c>
      <c r="C321" s="640"/>
      <c r="D321" s="416"/>
      <c r="E321" s="185"/>
    </row>
    <row r="322" spans="2:6" ht="20.100000000000001" customHeight="1">
      <c r="D322" s="189" t="s">
        <v>1347</v>
      </c>
      <c r="E322" s="185"/>
    </row>
    <row r="323" spans="2:6" ht="30" customHeight="1">
      <c r="B323" s="640" t="s">
        <v>1339</v>
      </c>
      <c r="C323" s="640"/>
      <c r="D323" s="413"/>
      <c r="E323" s="644" t="s">
        <v>1340</v>
      </c>
      <c r="F323" s="645"/>
    </row>
    <row r="324" spans="2:6" ht="20.100000000000001" customHeight="1">
      <c r="B324" s="640" t="s">
        <v>1341</v>
      </c>
      <c r="C324" s="640"/>
      <c r="D324" s="414"/>
      <c r="E324" s="185"/>
    </row>
    <row r="325" spans="2:6" ht="20.100000000000001" customHeight="1">
      <c r="B325" s="640" t="s">
        <v>1342</v>
      </c>
      <c r="C325" s="640"/>
      <c r="D325" s="415"/>
      <c r="E325" s="185"/>
    </row>
    <row r="326" spans="2:6" ht="20.100000000000001" customHeight="1">
      <c r="B326" s="640" t="s">
        <v>1343</v>
      </c>
      <c r="C326" s="640"/>
      <c r="D326" s="415"/>
      <c r="E326" s="185"/>
    </row>
    <row r="327" spans="2:6" ht="20.100000000000001" customHeight="1">
      <c r="B327" s="640" t="s">
        <v>1344</v>
      </c>
      <c r="C327" s="640"/>
      <c r="D327" s="415"/>
      <c r="E327" s="185"/>
    </row>
    <row r="328" spans="2:6" ht="20.100000000000001" customHeight="1">
      <c r="B328" s="640" t="str">
        <f>IF(D323="NABERS Energy Tenancy Rating","NABERS Energy Tenancy rating greenhouse gas emissions performance (kgCO2/m2 p.a.)",IF(D323="Tenant Collaboration","Tenant greenhouse gas emissions performance (kgCO2/m2 p.a.)", "Greenhouse Gas Emissions"))</f>
        <v>Greenhouse Gas Emissions</v>
      </c>
      <c r="C328" s="640"/>
      <c r="D328" s="416"/>
      <c r="E328" s="185"/>
    </row>
    <row r="329" spans="2:6" ht="20.100000000000001" customHeight="1">
      <c r="D329" s="189" t="s">
        <v>1348</v>
      </c>
      <c r="E329" s="185"/>
    </row>
    <row r="330" spans="2:6" ht="30" customHeight="1">
      <c r="B330" s="640" t="s">
        <v>1339</v>
      </c>
      <c r="C330" s="640"/>
      <c r="D330" s="413"/>
      <c r="E330" s="644" t="s">
        <v>1340</v>
      </c>
      <c r="F330" s="645"/>
    </row>
    <row r="331" spans="2:6" ht="20.100000000000001" customHeight="1">
      <c r="B331" s="640" t="s">
        <v>1341</v>
      </c>
      <c r="C331" s="640"/>
      <c r="D331" s="414"/>
      <c r="E331" s="185"/>
    </row>
    <row r="332" spans="2:6" ht="20.100000000000001" customHeight="1">
      <c r="B332" s="640" t="s">
        <v>1342</v>
      </c>
      <c r="C332" s="640"/>
      <c r="D332" s="415"/>
      <c r="E332" s="185"/>
    </row>
    <row r="333" spans="2:6" ht="20.100000000000001" customHeight="1">
      <c r="B333" s="640" t="s">
        <v>1343</v>
      </c>
      <c r="C333" s="640"/>
      <c r="D333" s="415"/>
      <c r="E333" s="185"/>
    </row>
    <row r="334" spans="2:6" ht="20.100000000000001" customHeight="1">
      <c r="B334" s="640" t="s">
        <v>1344</v>
      </c>
      <c r="C334" s="640"/>
      <c r="D334" s="415"/>
      <c r="E334" s="185"/>
    </row>
    <row r="335" spans="2:6" ht="20.100000000000001" customHeight="1">
      <c r="B335" s="640" t="str">
        <f>IF(D330="NABERS Energy Tenancy Rating","NABERS Energy Tenancy rating greenhouse gas emissions performance (kgCO2/m2 p.a.)",IF(D330="Tenant Collaboration","Tenant greenhouse gas emissions performance (kgCO2/m2 p.a.)", "Greenhouse Gas Emissions"))</f>
        <v>Greenhouse Gas Emissions</v>
      </c>
      <c r="C335" s="640"/>
      <c r="D335" s="416"/>
      <c r="E335" s="185"/>
    </row>
    <row r="336" spans="2:6">
      <c r="B336" s="186"/>
      <c r="C336" s="186"/>
      <c r="D336" s="187"/>
      <c r="E336" s="185"/>
    </row>
    <row r="337" spans="1:20" ht="20.100000000000001" customHeight="1">
      <c r="B337" s="641" t="s">
        <v>1349</v>
      </c>
      <c r="C337" s="642"/>
      <c r="D337" s="181">
        <f>SUM(D304,D311,D318,D325,D332)</f>
        <v>0</v>
      </c>
      <c r="E337" s="11"/>
    </row>
    <row r="338" spans="1:20" ht="20.100000000000001" customHeight="1">
      <c r="B338" s="641" t="s">
        <v>1350</v>
      </c>
      <c r="C338" s="642"/>
      <c r="D338" s="182">
        <f>IFERROR(D337/D299,0)</f>
        <v>0</v>
      </c>
      <c r="E338" s="11"/>
    </row>
    <row r="339" spans="1:20" ht="20.100000000000001" customHeight="1">
      <c r="B339" s="646" t="s">
        <v>1351</v>
      </c>
      <c r="C339" s="646"/>
      <c r="D339" s="183" t="s">
        <v>1352</v>
      </c>
      <c r="E339" s="11"/>
    </row>
    <row r="340" spans="1:20" ht="20.100000000000001" customHeight="1">
      <c r="B340" s="653" t="s">
        <v>1353</v>
      </c>
      <c r="C340" s="653"/>
      <c r="D340" s="184">
        <f>IF('15C Building Details'!C19='AGO Emission Factors'!E7,VLOOKUP(D338,'Points Table'!E32:F35,2,TRUE),0)</f>
        <v>0</v>
      </c>
      <c r="E340" s="11"/>
    </row>
    <row r="341" spans="1:20" ht="20.100000000000001" customHeight="1">
      <c r="B341" s="11" t="s">
        <v>1354</v>
      </c>
      <c r="E341" s="11"/>
    </row>
    <row r="342" spans="1:20">
      <c r="E342" s="11"/>
    </row>
    <row r="344" spans="1:20" hidden="1">
      <c r="N344" s="11" t="s">
        <v>44</v>
      </c>
      <c r="O344" s="11" t="s">
        <v>44</v>
      </c>
      <c r="P344" s="11" t="s">
        <v>44</v>
      </c>
      <c r="Q344" s="11" t="s">
        <v>44</v>
      </c>
      <c r="R344" s="11" t="s">
        <v>44</v>
      </c>
      <c r="S344" s="11" t="s">
        <v>44</v>
      </c>
      <c r="T344" s="11" t="s">
        <v>44</v>
      </c>
    </row>
    <row r="345" spans="1:20" ht="15.6" hidden="1">
      <c r="A345" s="11" t="s">
        <v>44</v>
      </c>
      <c r="B345" s="643" t="s">
        <v>303</v>
      </c>
      <c r="C345" s="643"/>
      <c r="D345" s="643"/>
      <c r="E345" s="643"/>
      <c r="F345" s="643"/>
      <c r="G345" s="643"/>
      <c r="H345" s="643"/>
      <c r="I345" s="643"/>
      <c r="J345" s="643"/>
      <c r="K345" s="643"/>
      <c r="L345" s="643"/>
      <c r="M345" s="643"/>
      <c r="O345" s="11" t="s">
        <v>1355</v>
      </c>
    </row>
    <row r="346" spans="1:20" ht="15" hidden="1" customHeight="1">
      <c r="A346" s="11" t="s">
        <v>44</v>
      </c>
      <c r="N346" s="247" t="s">
        <v>1356</v>
      </c>
      <c r="O346" s="248" t="s">
        <v>1357</v>
      </c>
      <c r="P346" s="249" t="s">
        <v>1356</v>
      </c>
      <c r="Q346" s="239" t="s">
        <v>1358</v>
      </c>
      <c r="R346" s="250" t="s">
        <v>1359</v>
      </c>
      <c r="S346" s="250" t="s">
        <v>1356</v>
      </c>
      <c r="T346" s="239" t="s">
        <v>1360</v>
      </c>
    </row>
    <row r="347" spans="1:20" ht="34.5" hidden="1" customHeight="1">
      <c r="A347" s="11" t="s">
        <v>44</v>
      </c>
      <c r="B347" s="292" t="s">
        <v>1361</v>
      </c>
      <c r="C347" s="295"/>
      <c r="D347" s="207">
        <f ca="1">C48+C49+C55+C56+C57</f>
        <v>0</v>
      </c>
      <c r="N347" s="247">
        <f t="shared" ref="N347:N352" ca="1" si="61">P347*S347</f>
        <v>0</v>
      </c>
      <c r="O347" s="248" t="s">
        <v>1362</v>
      </c>
      <c r="P347" s="249">
        <f ca="1">IF(D350=0,1,0)</f>
        <v>0</v>
      </c>
      <c r="Q347" s="239"/>
      <c r="R347" s="250"/>
      <c r="S347" s="250">
        <v>1</v>
      </c>
      <c r="T347" s="239"/>
    </row>
    <row r="348" spans="1:20" ht="34.5" hidden="1" customHeight="1">
      <c r="A348" s="11" t="s">
        <v>44</v>
      </c>
      <c r="B348" s="292" t="s">
        <v>1363</v>
      </c>
      <c r="C348" s="295"/>
      <c r="D348" s="207">
        <f ca="1">SUM(C50:C54)</f>
        <v>0</v>
      </c>
      <c r="N348" s="247">
        <f t="shared" ca="1" si="61"/>
        <v>0</v>
      </c>
      <c r="O348" s="248" t="s">
        <v>1364</v>
      </c>
      <c r="P348" s="249">
        <f ca="1">IF(AND(D350&gt;0,D350&lt;=0.01),1,0)</f>
        <v>0</v>
      </c>
      <c r="Q348" s="239" t="s">
        <v>1365</v>
      </c>
      <c r="R348" s="250" t="s">
        <v>1366</v>
      </c>
      <c r="S348" s="250">
        <f>IF(OR(F350="Yes",F350=""),1,0)</f>
        <v>0</v>
      </c>
      <c r="T348" s="239"/>
    </row>
    <row r="349" spans="1:20" ht="34.5" hidden="1" customHeight="1">
      <c r="A349" s="11" t="s">
        <v>44</v>
      </c>
      <c r="B349" s="641" t="s">
        <v>1367</v>
      </c>
      <c r="C349" s="649"/>
      <c r="D349" s="207">
        <f>'15C Building Details'!E33</f>
        <v>0</v>
      </c>
      <c r="F349" s="230"/>
      <c r="G349" s="230"/>
      <c r="H349" s="230"/>
      <c r="I349" s="230"/>
      <c r="N349" s="247">
        <f t="shared" ca="1" si="61"/>
        <v>0</v>
      </c>
      <c r="O349" s="248"/>
      <c r="P349" s="249">
        <f ca="1">IF(AND(D350&gt;0,D350&lt;=0.01),1,0)</f>
        <v>0</v>
      </c>
      <c r="Q349" s="239" t="s">
        <v>1365</v>
      </c>
      <c r="R349" s="250" t="s">
        <v>1368</v>
      </c>
      <c r="S349" s="250">
        <f>IF(F350="No",1,0)</f>
        <v>1</v>
      </c>
      <c r="T349" s="239" t="s">
        <v>1369</v>
      </c>
    </row>
    <row r="350" spans="1:20" ht="49.5" hidden="1" customHeight="1">
      <c r="A350" s="11" t="s">
        <v>44</v>
      </c>
      <c r="B350" s="641" t="s">
        <v>1370</v>
      </c>
      <c r="C350" s="649"/>
      <c r="D350" s="208" t="str">
        <f ca="1">IFERROR(D348/'15C Building Details'!E36,"0%")</f>
        <v>0%</v>
      </c>
      <c r="E350" s="231" t="str">
        <f ca="1">IF(VLOOKUP(1,N346:T352,4,0)=0,"",VLOOKUP(1,N346:T352,4,0))</f>
        <v/>
      </c>
      <c r="F350" s="232" t="s">
        <v>1368</v>
      </c>
      <c r="G350" s="652" t="str">
        <f ca="1">IF(VLOOKUP(1,N346:T352,7,0)=0,"",VLOOKUP(1,N346:T352,7,0))</f>
        <v/>
      </c>
      <c r="H350" s="652"/>
      <c r="I350" s="232" t="s">
        <v>1371</v>
      </c>
      <c r="N350" s="247">
        <f t="shared" ca="1" si="61"/>
        <v>0</v>
      </c>
      <c r="O350" s="248" t="s">
        <v>1372</v>
      </c>
      <c r="P350" s="249">
        <f ca="1">IF(AND(D350&gt;0.01,D350&lt;=0.05),1,0)</f>
        <v>0</v>
      </c>
      <c r="Q350" s="239" t="s">
        <v>1373</v>
      </c>
      <c r="R350" s="250" t="s">
        <v>1371</v>
      </c>
      <c r="S350" s="250">
        <f>IF(F350="Yes",1,0)</f>
        <v>0</v>
      </c>
      <c r="T350" s="239" t="s">
        <v>1369</v>
      </c>
    </row>
    <row r="351" spans="1:20" ht="49.5" hidden="1" customHeight="1">
      <c r="A351" s="11" t="s">
        <v>44</v>
      </c>
      <c r="B351" s="641" t="s">
        <v>1374</v>
      </c>
      <c r="C351" s="649"/>
      <c r="D351" s="208">
        <f ca="1">IFERROR(D349/D347,0)</f>
        <v>0</v>
      </c>
      <c r="E351" s="231" t="str">
        <f ca="1">IFERROR(IF(D351&gt;=0.15,"Is the renewable energy metered, monitored and validated?",""),"")</f>
        <v/>
      </c>
      <c r="F351" s="232" t="s">
        <v>1371</v>
      </c>
      <c r="G351" s="230"/>
      <c r="H351" s="230"/>
      <c r="I351" s="230"/>
      <c r="N351" s="247">
        <f t="shared" ca="1" si="61"/>
        <v>0</v>
      </c>
      <c r="O351" s="248"/>
      <c r="P351" s="249">
        <f ca="1">IF(AND(D350&gt;0.01,D350&lt;=0.05),1,0)</f>
        <v>0</v>
      </c>
      <c r="Q351" s="239" t="s">
        <v>1373</v>
      </c>
      <c r="R351" s="250" t="s">
        <v>1375</v>
      </c>
      <c r="S351" s="250">
        <f>IF(OR(F350="No",F350=""),1,0)</f>
        <v>1</v>
      </c>
      <c r="T351" s="239"/>
    </row>
    <row r="352" spans="1:20" ht="34.5" hidden="1" customHeight="1">
      <c r="A352" s="11" t="s">
        <v>44</v>
      </c>
      <c r="B352" s="641" t="s">
        <v>1376</v>
      </c>
      <c r="C352" s="649"/>
      <c r="D352" s="208" t="str">
        <f ca="1">IFERROR(('15C Building Details'!E27+'15C Building Details'!E33+'15C Building Details'!E34)/D347,"0%")</f>
        <v>0%</v>
      </c>
      <c r="N352" s="247">
        <f t="shared" ca="1" si="61"/>
        <v>1</v>
      </c>
      <c r="O352" s="248" t="s">
        <v>1377</v>
      </c>
      <c r="P352" s="249">
        <f ca="1">IF(D350&gt;0.05,1,0)</f>
        <v>1</v>
      </c>
      <c r="Q352" s="239"/>
      <c r="R352" s="250"/>
      <c r="S352" s="250">
        <v>1</v>
      </c>
      <c r="T352" s="239"/>
    </row>
    <row r="353" spans="1:20" ht="28.5" hidden="1" customHeight="1">
      <c r="A353" s="11" t="s">
        <v>44</v>
      </c>
      <c r="B353" s="293" t="s">
        <v>1378</v>
      </c>
      <c r="C353" s="294"/>
      <c r="N353" s="239" t="s">
        <v>1371</v>
      </c>
      <c r="O353" s="239" t="s">
        <v>1368</v>
      </c>
      <c r="P353" s="239"/>
      <c r="Q353" s="239"/>
      <c r="R353" s="239"/>
      <c r="S353" s="239"/>
      <c r="T353" s="239"/>
    </row>
    <row r="354" spans="1:20" ht="39" hidden="1" customHeight="1">
      <c r="A354" s="11" t="s">
        <v>44</v>
      </c>
      <c r="B354" s="647" t="s">
        <v>1379</v>
      </c>
      <c r="C354" s="648"/>
      <c r="D354" s="184" t="s">
        <v>1371</v>
      </c>
    </row>
    <row r="355" spans="1:20" ht="28.5" hidden="1" customHeight="1">
      <c r="A355" s="11" t="s">
        <v>44</v>
      </c>
      <c r="B355" s="293" t="s">
        <v>1380</v>
      </c>
      <c r="C355" s="294"/>
      <c r="D355" s="184" t="str">
        <f ca="1">IF(S363&gt;=9, "Yes", "No")</f>
        <v>No</v>
      </c>
      <c r="O355" s="11" t="b">
        <f ca="1">IF(D355="Requirement Met", 1)</f>
        <v>0</v>
      </c>
    </row>
    <row r="356" spans="1:20" ht="28.5" hidden="1" customHeight="1">
      <c r="A356" s="11" t="s">
        <v>44</v>
      </c>
      <c r="B356" s="293" t="s">
        <v>1381</v>
      </c>
      <c r="C356" s="294"/>
      <c r="D356" s="229" t="b">
        <f ca="1">IF(D350=0,"Yes",IF(D350&lt;=0.01,IF(AND(F350="No",I350="Yes"),"Yes","No"),IF(D350&lt;=0.05,IF(AND(F350="Yes",I350="Yes"),"Yes","No"))))</f>
        <v>0</v>
      </c>
      <c r="O356" s="11" t="b">
        <f ca="1">IF(D356="Requirement Met", 1)</f>
        <v>0</v>
      </c>
    </row>
    <row r="357" spans="1:20" ht="28.5" hidden="1" customHeight="1">
      <c r="A357" s="11" t="s">
        <v>44</v>
      </c>
      <c r="B357" s="293" t="s">
        <v>1382</v>
      </c>
      <c r="C357" s="294"/>
      <c r="D357" s="184" t="str">
        <f ca="1">IF(D352&gt;=1, "Yes", "No")</f>
        <v>Yes</v>
      </c>
      <c r="E357" s="14" t="s">
        <v>1383</v>
      </c>
      <c r="O357" s="11" t="b">
        <f ca="1">IF(D357="Requirement Met", 1)</f>
        <v>0</v>
      </c>
    </row>
    <row r="358" spans="1:20" ht="38.25" hidden="1" customHeight="1">
      <c r="A358" s="11" t="s">
        <v>44</v>
      </c>
      <c r="B358" s="293" t="s">
        <v>1384</v>
      </c>
      <c r="C358" s="294"/>
      <c r="D358" s="229" t="str">
        <f ca="1">IF(D354="No","Minimum requirement not met",IF(AND(D355="Yes",D356="Yes",D357="Yes"),"1 point achieved","No points achieved"))</f>
        <v>No points achieved</v>
      </c>
      <c r="O358" s="11" t="e">
        <f>IF(O355:O357=3, 1)</f>
        <v>#VALUE!</v>
      </c>
    </row>
    <row r="359" spans="1:20" hidden="1">
      <c r="A359" s="11" t="s">
        <v>44</v>
      </c>
      <c r="B359" s="233"/>
      <c r="C359" s="233"/>
      <c r="D359" s="234"/>
    </row>
    <row r="360" spans="1:20" ht="38.25" hidden="1" customHeight="1">
      <c r="A360" s="11" t="s">
        <v>44</v>
      </c>
      <c r="B360" s="293" t="s">
        <v>1385</v>
      </c>
      <c r="C360" s="294"/>
      <c r="D360" s="229" t="str">
        <f ca="1">IF(D354="No","Minimum requirement not met",IF(D351&lt;0.15,"No points achieved",IF(D351&lt;0.3,IF(F351="Yes","1 point achieved","No points achieved"),IF(F351="Yes","2 points achieved","No points achieved"))))</f>
        <v>No points achieved</v>
      </c>
      <c r="N360" s="11" t="s">
        <v>867</v>
      </c>
    </row>
    <row r="361" spans="1:20" hidden="1">
      <c r="N361" s="323" t="s">
        <v>870</v>
      </c>
      <c r="O361" s="324"/>
      <c r="P361" s="324"/>
      <c r="Q361" s="324"/>
      <c r="R361" s="324"/>
      <c r="S361" s="325" t="e">
        <f ca="1">D290</f>
        <v>#DIV/0!</v>
      </c>
      <c r="T361" s="326" t="s">
        <v>874</v>
      </c>
    </row>
    <row r="362" spans="1:20" hidden="1">
      <c r="N362" s="327" t="s">
        <v>877</v>
      </c>
      <c r="S362" s="328">
        <f ca="1">MAX(0,IFERROR(1-(D290/C286/100),0))</f>
        <v>0</v>
      </c>
      <c r="T362" s="329"/>
    </row>
    <row r="363" spans="1:20" hidden="1">
      <c r="N363" s="330" t="s">
        <v>882</v>
      </c>
      <c r="O363" s="331"/>
      <c r="P363" s="331"/>
      <c r="Q363" s="331"/>
      <c r="R363" s="331"/>
      <c r="S363" s="331">
        <f ca="1">VLOOKUP(S362,'Points Table'!B7:C30,2,TRUE)</f>
        <v>0</v>
      </c>
      <c r="T363" s="332"/>
    </row>
    <row r="365" spans="1:20" hidden="1"/>
    <row r="366" spans="1:20" hidden="1">
      <c r="B366" s="650" t="s">
        <v>1386</v>
      </c>
      <c r="C366" s="651"/>
      <c r="D366" s="333" t="s">
        <v>1387</v>
      </c>
    </row>
    <row r="367" spans="1:20" hidden="1">
      <c r="B367" s="334" t="s">
        <v>1388</v>
      </c>
      <c r="C367" s="335">
        <v>0.15</v>
      </c>
      <c r="D367" s="333" t="s">
        <v>1389</v>
      </c>
    </row>
    <row r="368" spans="1:20" hidden="1">
      <c r="B368" s="333" t="s">
        <v>1390</v>
      </c>
      <c r="C368" s="335">
        <v>0.3</v>
      </c>
      <c r="D368" s="333" t="s">
        <v>1391</v>
      </c>
    </row>
    <row r="369" hidden="1"/>
    <row r="370" hidden="1"/>
  </sheetData>
  <sheetProtection algorithmName="SHA-512" hashValue="q7fJjs5+Rxd+blT5GM8leD43yiRUdDaMdmB/u7lTTFO8kqBsVDGCd5YuA8CdF71zHUuDSxf/9dtKP2oUdkHBkQ==" saltValue="P/RrWLP+29xoXSYLI9gsJQ==" spinCount="100000" sheet="1" objects="1" scenarios="1"/>
  <customSheetViews>
    <customSheetView guid="{BA12A2B5-8B2E-47CE-85C5-00A71CD7042B}" showGridLines="0" fitToPage="1" topLeftCell="A316">
      <selection activeCell="I340" sqref="I340"/>
      <rowBreaks count="3" manualBreakCount="3">
        <brk id="40" max="16383" man="1"/>
        <brk id="192" max="16383" man="1"/>
        <brk id="252" max="16383" man="1"/>
      </rowBreaks>
      <pageMargins left="0" right="0" top="0" bottom="0" header="0" footer="0"/>
      <pageSetup paperSize="9" scale="12" orientation="landscape" r:id="rId1"/>
    </customSheetView>
    <customSheetView guid="{6E4579C3-98CA-4325-AF39-19A629870080}" showGridLines="0" fitToPage="1" hiddenColumns="1">
      <selection activeCell="J345" sqref="J345"/>
      <rowBreaks count="3" manualBreakCount="3">
        <brk id="40" max="16383" man="1"/>
        <brk id="192" max="16383" man="1"/>
        <brk id="252" max="16383" man="1"/>
      </rowBreaks>
      <pageMargins left="0" right="0" top="0" bottom="0" header="0" footer="0"/>
      <pageSetup paperSize="9" scale="12" orientation="landscape" r:id="rId2"/>
    </customSheetView>
    <customSheetView guid="{BC75B7F8-7A05-4F92-B953-0DB7EDA000F8}" scale="85" fitToPage="1" hiddenRows="1" topLeftCell="A279">
      <selection activeCell="D295" sqref="D295"/>
      <rowBreaks count="3" manualBreakCount="3">
        <brk id="40" max="16383" man="1"/>
        <brk id="196" max="16383" man="1"/>
        <brk id="256" max="16383" man="1"/>
      </rowBreaks>
      <pageMargins left="0" right="0" top="0" bottom="0" header="0" footer="0"/>
      <pageSetup paperSize="9" scale="12" orientation="landscape" r:id="rId3"/>
    </customSheetView>
    <customSheetView guid="{BF159B5C-C230-4B3A-8DDE-333808894C93}" scale="85" fitToPage="1" hiddenRows="1" topLeftCell="A307">
      <selection activeCell="E323" sqref="E323:F323"/>
      <rowBreaks count="3" manualBreakCount="3">
        <brk id="40" max="16383" man="1"/>
        <brk id="196" max="16383" man="1"/>
        <brk id="256" max="16383" man="1"/>
      </rowBreaks>
      <pageMargins left="0" right="0" top="0" bottom="0" header="0" footer="0"/>
      <pageSetup paperSize="9" scale="12" orientation="landscape" r:id="rId4"/>
    </customSheetView>
  </customSheetViews>
  <mergeCells count="135">
    <mergeCell ref="B354:C354"/>
    <mergeCell ref="B345:M345"/>
    <mergeCell ref="B349:C349"/>
    <mergeCell ref="B366:C366"/>
    <mergeCell ref="B351:C351"/>
    <mergeCell ref="B350:C350"/>
    <mergeCell ref="G350:H350"/>
    <mergeCell ref="B352:C352"/>
    <mergeCell ref="B335:C335"/>
    <mergeCell ref="B340:C340"/>
    <mergeCell ref="B297:M297"/>
    <mergeCell ref="E302:F302"/>
    <mergeCell ref="E309:F309"/>
    <mergeCell ref="E316:F316"/>
    <mergeCell ref="E323:F323"/>
    <mergeCell ref="E330:F330"/>
    <mergeCell ref="B338:C338"/>
    <mergeCell ref="B339:C339"/>
    <mergeCell ref="B320:C320"/>
    <mergeCell ref="B321:C321"/>
    <mergeCell ref="B323:C323"/>
    <mergeCell ref="B324:C324"/>
    <mergeCell ref="B313:C313"/>
    <mergeCell ref="B319:C319"/>
    <mergeCell ref="B325:C325"/>
    <mergeCell ref="B311:C311"/>
    <mergeCell ref="B302:C302"/>
    <mergeCell ref="B303:C303"/>
    <mergeCell ref="B304:C304"/>
    <mergeCell ref="B305:C305"/>
    <mergeCell ref="B306:C306"/>
    <mergeCell ref="B309:C309"/>
    <mergeCell ref="B310:C310"/>
    <mergeCell ref="B307:C307"/>
    <mergeCell ref="B326:C326"/>
    <mergeCell ref="B312:C312"/>
    <mergeCell ref="B314:C314"/>
    <mergeCell ref="B316:C316"/>
    <mergeCell ref="B333:C333"/>
    <mergeCell ref="B334:C334"/>
    <mergeCell ref="B337:C337"/>
    <mergeCell ref="B327:C327"/>
    <mergeCell ref="B328:C328"/>
    <mergeCell ref="B330:C330"/>
    <mergeCell ref="B331:C331"/>
    <mergeCell ref="B332:C332"/>
    <mergeCell ref="B317:C317"/>
    <mergeCell ref="B318:C318"/>
    <mergeCell ref="B16:B17"/>
    <mergeCell ref="B9:B10"/>
    <mergeCell ref="C46:C47"/>
    <mergeCell ref="B46:B47"/>
    <mergeCell ref="C45:L45"/>
    <mergeCell ref="G46:I46"/>
    <mergeCell ref="D46:F46"/>
    <mergeCell ref="J46:L46"/>
    <mergeCell ref="C16:L16"/>
    <mergeCell ref="D9:F9"/>
    <mergeCell ref="G9:I9"/>
    <mergeCell ref="J9:L9"/>
    <mergeCell ref="M261:M262"/>
    <mergeCell ref="G261:I261"/>
    <mergeCell ref="J261:L261"/>
    <mergeCell ref="B63:B64"/>
    <mergeCell ref="C63:C64"/>
    <mergeCell ref="D63:F63"/>
    <mergeCell ref="G63:I63"/>
    <mergeCell ref="C260:L260"/>
    <mergeCell ref="B244:B245"/>
    <mergeCell ref="B230:B231"/>
    <mergeCell ref="B74:B75"/>
    <mergeCell ref="C74:C75"/>
    <mergeCell ref="B261:B262"/>
    <mergeCell ref="B89:B90"/>
    <mergeCell ref="C89:C90"/>
    <mergeCell ref="D261:F261"/>
    <mergeCell ref="C101:L101"/>
    <mergeCell ref="J63:L63"/>
    <mergeCell ref="C73:L73"/>
    <mergeCell ref="C120:L120"/>
    <mergeCell ref="J102:L102"/>
    <mergeCell ref="G102:I102"/>
    <mergeCell ref="C102:C103"/>
    <mergeCell ref="D102:F102"/>
    <mergeCell ref="C62:L62"/>
    <mergeCell ref="G74:I74"/>
    <mergeCell ref="J74:L74"/>
    <mergeCell ref="G89:I89"/>
    <mergeCell ref="J89:L89"/>
    <mergeCell ref="D89:F89"/>
    <mergeCell ref="C88:L88"/>
    <mergeCell ref="D74:F74"/>
    <mergeCell ref="J121:L121"/>
    <mergeCell ref="G135:I135"/>
    <mergeCell ref="J244:L244"/>
    <mergeCell ref="C185:C186"/>
    <mergeCell ref="D185:F185"/>
    <mergeCell ref="G185:I185"/>
    <mergeCell ref="J185:L185"/>
    <mergeCell ref="C202:I202"/>
    <mergeCell ref="C213:I213"/>
    <mergeCell ref="C229:L229"/>
    <mergeCell ref="G230:I230"/>
    <mergeCell ref="C244:C245"/>
    <mergeCell ref="D244:F244"/>
    <mergeCell ref="G244:I244"/>
    <mergeCell ref="D230:F230"/>
    <mergeCell ref="J230:L230"/>
    <mergeCell ref="G172:I172"/>
    <mergeCell ref="J172:L172"/>
    <mergeCell ref="C151:L151"/>
    <mergeCell ref="D295:E295"/>
    <mergeCell ref="B185:B186"/>
    <mergeCell ref="C171:L171"/>
    <mergeCell ref="C243:L243"/>
    <mergeCell ref="B102:B103"/>
    <mergeCell ref="B135:B136"/>
    <mergeCell ref="B121:B122"/>
    <mergeCell ref="C230:C231"/>
    <mergeCell ref="B152:B153"/>
    <mergeCell ref="C152:C153"/>
    <mergeCell ref="D152:F152"/>
    <mergeCell ref="G152:I152"/>
    <mergeCell ref="J152:L152"/>
    <mergeCell ref="B172:B173"/>
    <mergeCell ref="C172:C173"/>
    <mergeCell ref="D172:F172"/>
    <mergeCell ref="C134:L134"/>
    <mergeCell ref="C135:C136"/>
    <mergeCell ref="D135:F135"/>
    <mergeCell ref="J135:L135"/>
    <mergeCell ref="C184:L184"/>
    <mergeCell ref="C121:C122"/>
    <mergeCell ref="D121:F121"/>
    <mergeCell ref="G121:I121"/>
  </mergeCells>
  <conditionalFormatting sqref="B299:D299">
    <cfRule type="expression" dxfId="8" priority="1">
      <formula>$D$11="Hotel"</formula>
    </cfRule>
    <cfRule type="expression" dxfId="7" priority="2">
      <formula>$D$11="Whole Building"</formula>
    </cfRule>
  </conditionalFormatting>
  <conditionalFormatting sqref="C174:L180 C187:L193">
    <cfRule type="cellIs" dxfId="6" priority="13" operator="lessThan">
      <formula>0</formula>
    </cfRule>
  </conditionalFormatting>
  <conditionalFormatting sqref="D295">
    <cfRule type="expression" dxfId="5" priority="3">
      <formula>$D$295="Conditional Requirements not met for the Green Star Rating targeted"</formula>
    </cfRule>
  </conditionalFormatting>
  <conditionalFormatting sqref="E350">
    <cfRule type="expression" dxfId="4" priority="11">
      <formula>ISNUMBER(SEARCH("s",E350))</formula>
    </cfRule>
  </conditionalFormatting>
  <conditionalFormatting sqref="E351">
    <cfRule type="expression" dxfId="3" priority="10">
      <formula>ISNUMBER(SEARCH("s",E351))</formula>
    </cfRule>
  </conditionalFormatting>
  <conditionalFormatting sqref="F350:F351">
    <cfRule type="expression" dxfId="2" priority="8">
      <formula>ISNUMBER(SEARCH("s",E350))</formula>
    </cfRule>
  </conditionalFormatting>
  <conditionalFormatting sqref="G350:H350">
    <cfRule type="expression" dxfId="1" priority="7">
      <formula>ISNUMBER(SEARCH("s",G350))</formula>
    </cfRule>
  </conditionalFormatting>
  <conditionalFormatting sqref="I350">
    <cfRule type="expression" dxfId="0" priority="6">
      <formula>ISNUMBER(SEARCH("s",G350))</formula>
    </cfRule>
  </conditionalFormatting>
  <dataValidations count="4">
    <dataValidation type="list" allowBlank="1" showInputMessage="1" showErrorMessage="1" sqref="C36:L36 C18:L34 C38:L38" xr:uid="{00000000-0002-0000-0700-000000000000}">
      <formula1>yesno</formula1>
    </dataValidation>
    <dataValidation type="list" allowBlank="1" showInputMessage="1" showErrorMessage="1" sqref="C204:I210 C215:I221" xr:uid="{00000000-0002-0000-0700-000001000000}">
      <formula1>truefalse</formula1>
    </dataValidation>
    <dataValidation type="list" allowBlank="1" showInputMessage="1" showErrorMessage="1" sqref="F350" xr:uid="{00000000-0002-0000-0700-000002000000}">
      <formula1>N353:O353</formula1>
    </dataValidation>
    <dataValidation type="list" allowBlank="1" showInputMessage="1" showErrorMessage="1" sqref="F351 D354 I350" xr:uid="{00000000-0002-0000-0700-000003000000}">
      <formula1>$N$353:$O$353</formula1>
    </dataValidation>
  </dataValidations>
  <pageMargins left="0.70866141732283472" right="0.70866141732283472" top="0.74803149606299213" bottom="0.74803149606299213" header="0.31496062992125984" footer="0.31496062992125984"/>
  <pageSetup paperSize="9" scale="12" orientation="landscape" r:id="rId5"/>
  <rowBreaks count="3" manualBreakCount="3">
    <brk id="40" max="16383" man="1"/>
    <brk id="196" max="16383" man="1"/>
    <brk id="256" max="16383" man="1"/>
  </rowBreaks>
  <drawing r:id="rId6"/>
  <legacyDrawing r:id="rId7"/>
  <legacyDrawingHF r:id="rId8"/>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4000000}">
          <x14:formula1>
            <xm:f>'AGO Emission Factors'!$G$7:$G$8</xm:f>
          </x14:formula1>
          <xm:sqref>D302 D309 D316 D323 D330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pageSetUpPr fitToPage="1"/>
  </sheetPr>
  <dimension ref="A1:K234"/>
  <sheetViews>
    <sheetView showGridLines="0" topLeftCell="A18" zoomScale="80" zoomScaleNormal="80" workbookViewId="0">
      <selection activeCell="J16" sqref="J16"/>
    </sheetView>
  </sheetViews>
  <sheetFormatPr defaultColWidth="9.33203125" defaultRowHeight="13.2"/>
  <cols>
    <col min="1" max="1" width="5.6640625" style="11" customWidth="1"/>
    <col min="2" max="2" width="40.5546875" style="11" customWidth="1"/>
    <col min="3" max="3" width="31.33203125" style="11" customWidth="1"/>
    <col min="4" max="4" width="34.6640625" style="11" customWidth="1"/>
    <col min="5" max="5" width="26.5546875" style="11" customWidth="1"/>
    <col min="6" max="6" width="18.6640625" style="11" customWidth="1"/>
    <col min="7" max="9" width="23.33203125" style="11" customWidth="1"/>
    <col min="10" max="10" width="23.33203125" style="14" customWidth="1"/>
    <col min="11" max="11" width="22.44140625" style="11" customWidth="1"/>
    <col min="12" max="12" width="30.6640625" style="11" customWidth="1"/>
    <col min="13" max="16384" width="9.33203125" style="11"/>
  </cols>
  <sheetData>
    <row r="1" spans="2:11" ht="82.5" customHeight="1"/>
    <row r="2" spans="2:11" ht="12.75" customHeight="1"/>
    <row r="3" spans="2:11" s="315" customFormat="1" ht="33.75" customHeight="1">
      <c r="B3" s="180" t="s">
        <v>1392</v>
      </c>
      <c r="C3" s="180"/>
      <c r="D3" s="180"/>
      <c r="E3" s="180"/>
      <c r="F3" s="180"/>
      <c r="G3" s="180"/>
      <c r="H3" s="180"/>
      <c r="I3" s="180"/>
      <c r="J3" s="180"/>
      <c r="K3" s="180"/>
    </row>
    <row r="5" spans="2:11" ht="15.6">
      <c r="B5" s="316" t="s">
        <v>1161</v>
      </c>
      <c r="C5" s="316"/>
      <c r="D5" s="316"/>
      <c r="E5" s="316"/>
      <c r="F5" s="316"/>
      <c r="G5" s="316"/>
      <c r="H5" s="316"/>
      <c r="I5" s="316"/>
      <c r="J5" s="316"/>
      <c r="K5" s="316"/>
    </row>
    <row r="6" spans="2:11">
      <c r="I6" s="14"/>
      <c r="J6" s="11"/>
    </row>
    <row r="7" spans="2:11" ht="30" customHeight="1">
      <c r="B7" s="189" t="s">
        <v>71</v>
      </c>
      <c r="C7" s="213"/>
      <c r="D7" s="213"/>
      <c r="G7" s="189" t="s">
        <v>1162</v>
      </c>
      <c r="H7" s="189" t="s">
        <v>1163</v>
      </c>
      <c r="J7" s="11"/>
    </row>
    <row r="8" spans="2:11" ht="30" customHeight="1">
      <c r="B8" s="189" t="s">
        <v>1131</v>
      </c>
      <c r="C8" s="654">
        <f>'15C Building Details'!C8</f>
        <v>0</v>
      </c>
      <c r="D8" s="655"/>
      <c r="G8" s="189" t="s">
        <v>1164</v>
      </c>
      <c r="H8" s="358">
        <f>'15C Building Details'!H8</f>
        <v>0</v>
      </c>
      <c r="J8" s="11"/>
    </row>
    <row r="9" spans="2:11" ht="30" customHeight="1">
      <c r="B9" s="189" t="s">
        <v>1166</v>
      </c>
      <c r="C9" s="654">
        <f>'15C Building Details'!C10</f>
        <v>0</v>
      </c>
      <c r="D9" s="655"/>
      <c r="G9" s="189" t="s">
        <v>1165</v>
      </c>
      <c r="H9" s="358">
        <f>'15C Building Details'!H9</f>
        <v>365</v>
      </c>
      <c r="J9" s="11"/>
    </row>
    <row r="10" spans="2:11" ht="40.5" customHeight="1">
      <c r="B10" s="189" t="s">
        <v>1168</v>
      </c>
      <c r="C10" s="654">
        <f>'15C Building Details'!C11</f>
        <v>0</v>
      </c>
      <c r="D10" s="655"/>
      <c r="F10" s="340"/>
      <c r="G10" s="189" t="s">
        <v>1167</v>
      </c>
      <c r="H10" s="83">
        <f>'15C Building Details'!H10</f>
        <v>1900</v>
      </c>
      <c r="J10" s="11"/>
    </row>
    <row r="11" spans="2:11" ht="30" customHeight="1">
      <c r="B11" s="189" t="s">
        <v>1169</v>
      </c>
      <c r="C11" s="654">
        <f>'15C Building Details'!C12</f>
        <v>0</v>
      </c>
      <c r="D11" s="655"/>
      <c r="J11" s="11"/>
    </row>
    <row r="12" spans="2:11" ht="30" customHeight="1">
      <c r="B12" s="189" t="s">
        <v>1170</v>
      </c>
      <c r="C12" s="654">
        <f>'15C Building Details'!C13</f>
        <v>0</v>
      </c>
      <c r="D12" s="655"/>
      <c r="G12" s="214" t="s">
        <v>1393</v>
      </c>
      <c r="H12" s="359">
        <f>'15C Building Details'!H13</f>
        <v>0</v>
      </c>
      <c r="J12" s="11"/>
    </row>
    <row r="13" spans="2:11" ht="30" customHeight="1">
      <c r="B13" s="189" t="s">
        <v>1171</v>
      </c>
      <c r="C13" s="654">
        <f>'15C Building Details'!C14</f>
        <v>0</v>
      </c>
      <c r="D13" s="655"/>
      <c r="G13" s="215"/>
      <c r="H13" s="215"/>
      <c r="J13" s="11"/>
    </row>
    <row r="14" spans="2:11">
      <c r="B14" s="341"/>
      <c r="C14" s="341"/>
      <c r="D14" s="342"/>
      <c r="J14" s="11"/>
    </row>
    <row r="15" spans="2:11" ht="45" customHeight="1">
      <c r="B15" s="189" t="s">
        <v>1174</v>
      </c>
      <c r="C15" s="150">
        <f>'15C Building Details'!C16</f>
        <v>0</v>
      </c>
      <c r="D15" s="656" t="s">
        <v>1175</v>
      </c>
      <c r="E15" s="657"/>
      <c r="F15" s="657"/>
      <c r="J15" s="11"/>
    </row>
    <row r="16" spans="2:11" ht="45" customHeight="1">
      <c r="B16" s="189" t="s">
        <v>1176</v>
      </c>
      <c r="C16" s="150">
        <f>'15C Building Details'!C17</f>
        <v>0</v>
      </c>
      <c r="D16" s="656" t="s">
        <v>1177</v>
      </c>
      <c r="E16" s="657"/>
      <c r="F16" s="657"/>
    </row>
    <row r="17" spans="2:11" ht="45" customHeight="1">
      <c r="B17" s="189" t="s">
        <v>1178</v>
      </c>
      <c r="C17" s="150">
        <f>'15C Building Details'!C18</f>
        <v>0</v>
      </c>
      <c r="D17" s="656" t="s">
        <v>1249</v>
      </c>
      <c r="E17" s="657"/>
      <c r="F17" s="657"/>
      <c r="J17" s="11"/>
    </row>
    <row r="18" spans="2:11" ht="57.75" customHeight="1">
      <c r="B18" s="189" t="s">
        <v>1394</v>
      </c>
      <c r="C18" s="150">
        <f>'15C Building Details'!C19</f>
        <v>0</v>
      </c>
      <c r="D18" s="656" t="s">
        <v>1395</v>
      </c>
      <c r="E18" s="657"/>
      <c r="F18" s="657"/>
      <c r="J18" s="11"/>
    </row>
    <row r="19" spans="2:11" ht="57.75" customHeight="1">
      <c r="B19" s="189" t="s">
        <v>1396</v>
      </c>
      <c r="C19" s="150">
        <f>'15C Building Details'!C20</f>
        <v>0</v>
      </c>
      <c r="D19" s="658"/>
      <c r="E19" s="658"/>
      <c r="F19" s="658"/>
      <c r="J19" s="11"/>
    </row>
    <row r="20" spans="2:11">
      <c r="J20" s="11"/>
    </row>
    <row r="21" spans="2:11" ht="15.6">
      <c r="B21" s="316" t="s">
        <v>1397</v>
      </c>
      <c r="C21" s="316"/>
      <c r="D21" s="316"/>
      <c r="E21" s="316"/>
      <c r="F21" s="316"/>
      <c r="G21" s="316"/>
      <c r="H21" s="316"/>
      <c r="I21" s="316"/>
      <c r="J21" s="316"/>
      <c r="K21" s="316"/>
    </row>
    <row r="22" spans="2:11">
      <c r="J22" s="11"/>
    </row>
    <row r="23" spans="2:11" ht="48.75" customHeight="1">
      <c r="B23" s="235" t="s">
        <v>358</v>
      </c>
      <c r="C23" s="235" t="s">
        <v>360</v>
      </c>
      <c r="D23" s="235" t="s">
        <v>1398</v>
      </c>
      <c r="E23" s="235" t="s">
        <v>322</v>
      </c>
      <c r="F23" s="235" t="s">
        <v>363</v>
      </c>
      <c r="G23" s="235" t="s">
        <v>365</v>
      </c>
      <c r="H23" s="235" t="s">
        <v>1399</v>
      </c>
      <c r="I23" s="343"/>
      <c r="J23" s="343"/>
      <c r="K23" s="343"/>
    </row>
    <row r="24" spans="2:11" ht="20.100000000000001" customHeight="1">
      <c r="B24" s="99">
        <v>1</v>
      </c>
      <c r="C24" s="99" t="str">
        <f>'15C Building Details'!C26</f>
        <v>Electricity</v>
      </c>
      <c r="D24" s="191" t="str">
        <f>'15C Building Details'!C79</f>
        <v>Scope 2</v>
      </c>
      <c r="E24" s="191">
        <f>'15C Building Details'!E26</f>
        <v>0</v>
      </c>
      <c r="F24" s="191" t="e">
        <f>'15C Building Details'!D26</f>
        <v>#N/A</v>
      </c>
      <c r="G24" s="100">
        <f>'15C Building Details'!F26</f>
        <v>0</v>
      </c>
      <c r="H24" s="100">
        <f>G24/1000</f>
        <v>0</v>
      </c>
      <c r="J24" s="11"/>
    </row>
    <row r="25" spans="2:11" ht="20.100000000000001" customHeight="1">
      <c r="B25" s="99">
        <v>2</v>
      </c>
      <c r="C25" s="99" t="str">
        <f>'15C Building Details'!C27</f>
        <v>GreenPower</v>
      </c>
      <c r="D25" s="191" t="str">
        <f>'15C Building Details'!C102</f>
        <v>Scope 2</v>
      </c>
      <c r="E25" s="191">
        <f>'15C Building Details'!E27</f>
        <v>0</v>
      </c>
      <c r="F25" s="191">
        <f>'15C Building Details'!D27</f>
        <v>0</v>
      </c>
      <c r="G25" s="100">
        <f>'15C Building Details'!F27</f>
        <v>0</v>
      </c>
      <c r="H25" s="100">
        <f t="shared" ref="H25:H33" si="0">G25/1000</f>
        <v>0</v>
      </c>
      <c r="J25" s="11"/>
    </row>
    <row r="26" spans="2:11" ht="20.100000000000001" customHeight="1">
      <c r="B26" s="99">
        <v>3</v>
      </c>
      <c r="C26" s="99" t="str">
        <f>'15C Building Details'!C28</f>
        <v>Natural gas distributed in a pipeline</v>
      </c>
      <c r="D26" s="191" t="str">
        <f>'15C Building Details'!C125</f>
        <v>Scope 1</v>
      </c>
      <c r="E26" s="191">
        <f>'15C Building Details'!E28</f>
        <v>0</v>
      </c>
      <c r="F26" s="191" t="b">
        <f>'15C Building Details'!D28</f>
        <v>0</v>
      </c>
      <c r="G26" s="100">
        <f>'15C Building Details'!F28</f>
        <v>0</v>
      </c>
      <c r="H26" s="100">
        <f t="shared" si="0"/>
        <v>0</v>
      </c>
      <c r="J26" s="11"/>
    </row>
    <row r="27" spans="2:11" ht="20.100000000000001" customHeight="1">
      <c r="B27" s="99">
        <v>4</v>
      </c>
      <c r="C27" s="99" t="str">
        <f>'15C Building Details'!C29</f>
        <v>Liquefied petroleum gas</v>
      </c>
      <c r="D27" s="191" t="str">
        <f>'15C Building Details'!C148</f>
        <v>Scope 1</v>
      </c>
      <c r="E27" s="191">
        <f>'15C Building Details'!E29</f>
        <v>0</v>
      </c>
      <c r="F27" s="191" t="b">
        <f>'15C Building Details'!D29</f>
        <v>0</v>
      </c>
      <c r="G27" s="100">
        <f>'15C Building Details'!F29</f>
        <v>0</v>
      </c>
      <c r="H27" s="100">
        <f t="shared" si="0"/>
        <v>0</v>
      </c>
      <c r="J27" s="11"/>
    </row>
    <row r="28" spans="2:11" ht="20.100000000000001" customHeight="1">
      <c r="B28" s="99">
        <v>5</v>
      </c>
      <c r="C28" s="99" t="str">
        <f>'15C Building Details'!C30</f>
        <v>Diesel Oil</v>
      </c>
      <c r="D28" s="191" t="str">
        <f>'15C Building Details'!C171</f>
        <v>Scope 1</v>
      </c>
      <c r="E28" s="191">
        <f>'15C Building Details'!E30</f>
        <v>0</v>
      </c>
      <c r="F28" s="191" t="b">
        <f>'15C Building Details'!D30</f>
        <v>0</v>
      </c>
      <c r="G28" s="100">
        <f>'15C Building Details'!F30</f>
        <v>0</v>
      </c>
      <c r="H28" s="100">
        <f t="shared" si="0"/>
        <v>0</v>
      </c>
      <c r="J28" s="11"/>
    </row>
    <row r="29" spans="2:11" ht="20.100000000000001" customHeight="1">
      <c r="B29" s="99">
        <v>6</v>
      </c>
      <c r="C29" s="99" t="str">
        <f>'15C Building Details'!C31</f>
        <v>Bituminous coal</v>
      </c>
      <c r="D29" s="191" t="str">
        <f>'15C Building Details'!C194</f>
        <v>Scope 1</v>
      </c>
      <c r="E29" s="191">
        <f>'15C Building Details'!E31</f>
        <v>0</v>
      </c>
      <c r="F29" s="191" t="b">
        <f>'15C Building Details'!D31</f>
        <v>0</v>
      </c>
      <c r="G29" s="100">
        <f>'15C Building Details'!F31</f>
        <v>0</v>
      </c>
      <c r="H29" s="100">
        <f t="shared" si="0"/>
        <v>0</v>
      </c>
      <c r="J29" s="11"/>
    </row>
    <row r="30" spans="2:11" ht="20.100000000000001" customHeight="1">
      <c r="B30" s="99">
        <v>7</v>
      </c>
      <c r="C30" s="99" t="str">
        <f>'15C Building Details'!C32</f>
        <v>Other</v>
      </c>
      <c r="D30" s="191">
        <f>'15C Building Details'!C217</f>
        <v>0</v>
      </c>
      <c r="E30" s="191">
        <f>'15C Building Details'!E32</f>
        <v>0</v>
      </c>
      <c r="F30" s="191">
        <f>'15C Building Details'!D32</f>
        <v>0</v>
      </c>
      <c r="G30" s="100">
        <f>'15C Building Details'!F32</f>
        <v>0</v>
      </c>
      <c r="H30" s="100">
        <f t="shared" si="0"/>
        <v>0</v>
      </c>
      <c r="J30" s="11"/>
    </row>
    <row r="31" spans="2:11" ht="20.100000000000001" customHeight="1">
      <c r="B31" s="99">
        <v>8</v>
      </c>
      <c r="C31" s="99" t="str">
        <f>'15C Building Details'!C33</f>
        <v>Onsite Renewable</v>
      </c>
      <c r="D31" s="191" t="s">
        <v>96</v>
      </c>
      <c r="E31" s="191">
        <f>'15C Building Details'!E33</f>
        <v>0</v>
      </c>
      <c r="F31" s="191">
        <f>'15C Building Details'!D33</f>
        <v>0</v>
      </c>
      <c r="G31" s="100">
        <f>'15C Building Details'!F33</f>
        <v>0</v>
      </c>
      <c r="H31" s="100">
        <f t="shared" si="0"/>
        <v>0</v>
      </c>
      <c r="J31" s="11"/>
    </row>
    <row r="32" spans="2:11" ht="20.100000000000001" customHeight="1">
      <c r="B32" s="99">
        <v>9</v>
      </c>
      <c r="C32" s="99" t="str">
        <f>'15C Building Details'!C34</f>
        <v>Purchased renewable electricity</v>
      </c>
      <c r="D32" s="99" t="s">
        <v>96</v>
      </c>
      <c r="E32" s="99">
        <f>'15C Building Details'!E34</f>
        <v>0</v>
      </c>
      <c r="F32" s="191">
        <f>'15C Building Details'!D34</f>
        <v>0</v>
      </c>
      <c r="G32" s="100">
        <f>'15C Building Details'!F34</f>
        <v>0</v>
      </c>
      <c r="H32" s="100">
        <f t="shared" si="0"/>
        <v>0</v>
      </c>
      <c r="J32" s="11"/>
    </row>
    <row r="33" spans="2:11" ht="20.100000000000001" customHeight="1">
      <c r="B33" s="99">
        <f>'15C Building Details'!B35</f>
        <v>10</v>
      </c>
      <c r="C33" s="99" t="str">
        <f>'15C Building Details'!C35</f>
        <v>Carbon Neutral Certified Electricity</v>
      </c>
      <c r="D33" s="99" t="s">
        <v>96</v>
      </c>
      <c r="E33" s="252">
        <f>'15C Building Details'!E35</f>
        <v>0</v>
      </c>
      <c r="F33" s="191">
        <v>0</v>
      </c>
      <c r="G33" s="99">
        <f>F33*E33</f>
        <v>0</v>
      </c>
      <c r="H33" s="100">
        <f t="shared" si="0"/>
        <v>0</v>
      </c>
      <c r="J33" s="11"/>
    </row>
    <row r="34" spans="2:11" s="25" customFormat="1" ht="20.100000000000001" customHeight="1">
      <c r="G34" s="23"/>
      <c r="H34" s="24"/>
    </row>
    <row r="35" spans="2:11" s="25" customFormat="1" ht="20.100000000000001" customHeight="1">
      <c r="B35" s="316" t="s">
        <v>357</v>
      </c>
      <c r="C35" s="236"/>
      <c r="D35" s="236"/>
      <c r="E35" s="236"/>
      <c r="F35" s="236"/>
      <c r="G35" s="237"/>
      <c r="H35" s="236"/>
      <c r="I35" s="236"/>
      <c r="J35" s="236"/>
      <c r="K35" s="236"/>
    </row>
    <row r="36" spans="2:11" s="25" customFormat="1" ht="20.100000000000001" customHeight="1">
      <c r="G36" s="23"/>
      <c r="H36" s="24"/>
    </row>
    <row r="37" spans="2:11" s="25" customFormat="1" ht="39" customHeight="1">
      <c r="B37" s="235" t="s">
        <v>358</v>
      </c>
      <c r="C37" s="235" t="s">
        <v>360</v>
      </c>
      <c r="D37" s="235" t="s">
        <v>322</v>
      </c>
      <c r="E37" s="235" t="s">
        <v>363</v>
      </c>
      <c r="F37" s="235" t="s">
        <v>365</v>
      </c>
      <c r="G37" s="23"/>
      <c r="H37" s="24"/>
    </row>
    <row r="38" spans="2:11" s="25" customFormat="1" ht="19.5" customHeight="1">
      <c r="B38" s="99">
        <v>1</v>
      </c>
      <c r="C38" s="99" t="str">
        <f>C24</f>
        <v>Electricity</v>
      </c>
      <c r="D38" s="193">
        <f>E24</f>
        <v>0</v>
      </c>
      <c r="E38" s="83" t="e">
        <f>IF(H10="2018",VLOOKUP(C12,'NGER Emission Factors'!#REF!,12,FALSE),VLOOKUP(C12,'NGER Emission Factors'!B84:J103,12,FALSE))</f>
        <v>#N/A</v>
      </c>
      <c r="F38" s="83" t="e">
        <f>D38*E38</f>
        <v>#N/A</v>
      </c>
      <c r="G38" s="23"/>
      <c r="H38" s="24"/>
    </row>
    <row r="39" spans="2:11" s="25" customFormat="1" ht="20.100000000000001" customHeight="1">
      <c r="B39" s="99">
        <v>3</v>
      </c>
      <c r="C39" s="99" t="str">
        <f>C26</f>
        <v>Natural gas distributed in a pipeline</v>
      </c>
      <c r="D39" s="193">
        <f>E26</f>
        <v>0</v>
      </c>
      <c r="E39" s="83" t="e">
        <f>IF(H10="2018", VLOOKUP(B70,'NGER Emission Factors'!#REF!,2,FALSE), VLOOKUP(B70, 'NGER Emission Factors'!B155:D170,2,FALSE))</f>
        <v>#N/A</v>
      </c>
      <c r="F39" s="83" t="e">
        <f>D39*E39</f>
        <v>#N/A</v>
      </c>
      <c r="G39" s="23"/>
      <c r="H39" s="24"/>
    </row>
    <row r="40" spans="2:11" s="25" customFormat="1" ht="20.100000000000001" customHeight="1">
      <c r="B40" s="99">
        <v>4</v>
      </c>
      <c r="C40" s="99" t="str">
        <f>C27</f>
        <v>Liquefied petroleum gas</v>
      </c>
      <c r="D40" s="193">
        <f>E27</f>
        <v>0</v>
      </c>
      <c r="E40" s="83">
        <f>IF(H10="2018", 'NGER Emission Factors'!I10, 'NGER Emission Factors'!I16)</f>
        <v>3.6</v>
      </c>
      <c r="F40" s="83">
        <f>D40*E40</f>
        <v>0</v>
      </c>
      <c r="G40" s="23"/>
      <c r="H40" s="24"/>
    </row>
    <row r="41" spans="2:11" s="25" customFormat="1" ht="20.100000000000001" customHeight="1">
      <c r="B41" s="99">
        <v>5</v>
      </c>
      <c r="C41" s="99" t="str">
        <f>C28</f>
        <v>Diesel Oil</v>
      </c>
      <c r="D41" s="193">
        <f>E28</f>
        <v>0</v>
      </c>
      <c r="E41" s="83">
        <f>IF(H10="2018", 'NGER Emission Factors'!I8, 'NGER Emission Factors'!I14)</f>
        <v>3.6</v>
      </c>
      <c r="F41" s="83">
        <f>D41*E41</f>
        <v>0</v>
      </c>
      <c r="G41" s="23"/>
      <c r="H41" s="24"/>
    </row>
    <row r="42" spans="2:11" s="25" customFormat="1" ht="20.100000000000001" customHeight="1">
      <c r="B42" s="99">
        <v>6</v>
      </c>
      <c r="C42" s="99" t="str">
        <f>C29</f>
        <v>Bituminous coal</v>
      </c>
      <c r="D42" s="193">
        <f>E29</f>
        <v>0</v>
      </c>
      <c r="E42" s="243">
        <f>IF(H10="2018", 'NGER Emission Factors'!I5, 'NGER Emission Factors'!I11)</f>
        <v>3</v>
      </c>
      <c r="F42" s="83">
        <f>D42*E42</f>
        <v>0</v>
      </c>
      <c r="G42" s="23"/>
      <c r="H42" s="24"/>
    </row>
    <row r="43" spans="2:11" s="25" customFormat="1" ht="20.100000000000001" customHeight="1">
      <c r="G43" s="23"/>
      <c r="H43" s="24"/>
    </row>
    <row r="44" spans="2:11" ht="30" customHeight="1">
      <c r="B44" s="640" t="s">
        <v>345</v>
      </c>
      <c r="C44" s="640"/>
      <c r="D44" s="640"/>
      <c r="E44" s="336">
        <f>SUMIF(D24:D33, "Scope 1", G24:G33)/1000</f>
        <v>0</v>
      </c>
    </row>
    <row r="45" spans="2:11" ht="30" customHeight="1">
      <c r="B45" s="640" t="s">
        <v>347</v>
      </c>
      <c r="C45" s="640"/>
      <c r="D45" s="640"/>
      <c r="E45" s="336">
        <f>SUMIF(D24:D33, "Scope 2", G24:G33)/1000</f>
        <v>0</v>
      </c>
    </row>
    <row r="46" spans="2:11" ht="30" customHeight="1">
      <c r="B46" s="640" t="s">
        <v>398</v>
      </c>
      <c r="C46" s="640"/>
      <c r="D46" s="640"/>
      <c r="E46" s="336" t="e">
        <f>SUM(F38:F42)/1000</f>
        <v>#N/A</v>
      </c>
    </row>
    <row r="47" spans="2:11" ht="30" customHeight="1">
      <c r="B47" s="640" t="s">
        <v>1400</v>
      </c>
      <c r="C47" s="640"/>
      <c r="D47" s="640"/>
      <c r="E47" s="336" t="e">
        <f>E57</f>
        <v>#N/A</v>
      </c>
    </row>
    <row r="48" spans="2:11" ht="30" customHeight="1">
      <c r="B48" s="640" t="s">
        <v>1401</v>
      </c>
      <c r="C48" s="640"/>
      <c r="D48" s="640"/>
      <c r="E48" s="336">
        <f>C65</f>
        <v>0</v>
      </c>
    </row>
    <row r="49" spans="2:5" ht="28.5" customHeight="1">
      <c r="B49" s="659" t="s">
        <v>1402</v>
      </c>
      <c r="C49" s="659"/>
      <c r="D49" s="659"/>
      <c r="E49" s="336" t="e">
        <f>SUM(E44:E47)-SUM(E48)</f>
        <v>#N/A</v>
      </c>
    </row>
    <row r="51" spans="2:5" ht="35.1" customHeight="1">
      <c r="B51" s="189" t="s">
        <v>1403</v>
      </c>
      <c r="C51" s="225" t="s">
        <v>1404</v>
      </c>
      <c r="D51" s="225" t="s">
        <v>1405</v>
      </c>
      <c r="E51" s="225" t="s">
        <v>1406</v>
      </c>
    </row>
    <row r="52" spans="2:5" ht="14.4">
      <c r="B52" s="338"/>
      <c r="C52" s="344"/>
      <c r="D52" s="238">
        <f>C52*3.6</f>
        <v>0</v>
      </c>
      <c r="E52" s="238" t="e">
        <f>D52*$F$24/1000</f>
        <v>#N/A</v>
      </c>
    </row>
    <row r="53" spans="2:5" ht="14.4">
      <c r="B53" s="339"/>
      <c r="C53" s="345"/>
      <c r="D53" s="238">
        <f>C53*3.6</f>
        <v>0</v>
      </c>
      <c r="E53" s="238" t="e">
        <f>D53*$F$24/1000</f>
        <v>#N/A</v>
      </c>
    </row>
    <row r="54" spans="2:5" ht="14.4">
      <c r="B54" s="339"/>
      <c r="C54" s="345"/>
      <c r="D54" s="238">
        <f>C54*3.6</f>
        <v>0</v>
      </c>
      <c r="E54" s="238" t="e">
        <f>D54*$F$24/1000</f>
        <v>#N/A</v>
      </c>
    </row>
    <row r="55" spans="2:5" ht="14.4">
      <c r="B55" s="339"/>
      <c r="C55" s="345"/>
      <c r="D55" s="238">
        <f>C55*3.6</f>
        <v>0</v>
      </c>
      <c r="E55" s="238" t="e">
        <f>D55*$F$24/1000</f>
        <v>#N/A</v>
      </c>
    </row>
    <row r="56" spans="2:5">
      <c r="B56" s="346"/>
      <c r="C56" s="347"/>
      <c r="D56" s="238">
        <f>C56*3.6</f>
        <v>0</v>
      </c>
      <c r="E56" s="238" t="e">
        <f>D56*$F$24/1000</f>
        <v>#N/A</v>
      </c>
    </row>
    <row r="57" spans="2:5" ht="14.4">
      <c r="B57" s="348" t="s">
        <v>1407</v>
      </c>
      <c r="C57" s="349"/>
      <c r="D57" s="337"/>
      <c r="E57" s="240" t="e">
        <f>SUM(E52:E56)</f>
        <v>#N/A</v>
      </c>
    </row>
    <row r="58" spans="2:5" ht="14.4">
      <c r="B58" s="350"/>
      <c r="D58" s="241"/>
      <c r="E58" s="241"/>
    </row>
    <row r="59" spans="2:5" ht="15.6">
      <c r="B59" s="189" t="s">
        <v>1408</v>
      </c>
      <c r="C59" s="225" t="s">
        <v>1409</v>
      </c>
      <c r="D59" s="351"/>
      <c r="E59" s="352"/>
    </row>
    <row r="60" spans="2:5" ht="187.2">
      <c r="B60" s="338" t="s">
        <v>1410</v>
      </c>
      <c r="C60" s="353"/>
      <c r="D60" s="242"/>
      <c r="E60" s="242"/>
    </row>
    <row r="61" spans="2:5">
      <c r="B61" s="354"/>
      <c r="C61" s="355"/>
      <c r="D61" s="242"/>
      <c r="E61" s="242"/>
    </row>
    <row r="62" spans="2:5">
      <c r="B62" s="354"/>
      <c r="C62" s="355"/>
      <c r="D62" s="242"/>
      <c r="E62" s="242"/>
    </row>
    <row r="63" spans="2:5">
      <c r="B63" s="354"/>
      <c r="C63" s="355"/>
      <c r="D63" s="242"/>
      <c r="E63" s="242"/>
    </row>
    <row r="64" spans="2:5">
      <c r="B64" s="346"/>
      <c r="C64" s="356"/>
      <c r="D64" s="242"/>
      <c r="E64" s="242"/>
    </row>
    <row r="65" spans="1:3" ht="13.8">
      <c r="B65" s="357" t="s">
        <v>1411</v>
      </c>
      <c r="C65" s="240">
        <f>SUM(C60:C64)</f>
        <v>0</v>
      </c>
    </row>
    <row r="70" spans="1:3" ht="20.100000000000001" hidden="1" customHeight="1">
      <c r="A70" s="11" t="s">
        <v>44</v>
      </c>
      <c r="B70" s="319" t="str">
        <f>C12&amp;C13</f>
        <v>00</v>
      </c>
    </row>
    <row r="77" spans="1:3" ht="20.100000000000001" customHeight="1"/>
    <row r="78" spans="1:3" ht="20.100000000000001" customHeight="1"/>
    <row r="79" spans="1:3" ht="20.100000000000001" customHeight="1"/>
    <row r="80" spans="1:3" ht="20.100000000000001" customHeight="1"/>
    <row r="81" ht="20.100000000000001" customHeight="1"/>
    <row r="82" ht="16.5" customHeight="1"/>
    <row r="84" ht="43.5" customHeight="1"/>
    <row r="85" ht="20.100000000000001" customHeight="1"/>
    <row r="86" ht="20.100000000000001" customHeight="1"/>
    <row r="87" ht="20.100000000000001" customHeight="1"/>
    <row r="88" ht="20.100000000000001" customHeight="1"/>
    <row r="89" ht="20.100000000000001" customHeight="1"/>
    <row r="90" ht="20.100000000000001" customHeight="1"/>
    <row r="91" ht="20.100000000000001" customHeight="1"/>
    <row r="92" ht="20.100000000000001" customHeight="1"/>
    <row r="93" ht="20.100000000000001" customHeight="1"/>
    <row r="94" ht="20.100000000000001" customHeight="1"/>
    <row r="95" ht="20.100000000000001" customHeight="1"/>
    <row r="96" ht="20.100000000000001" customHeight="1"/>
    <row r="100" ht="20.100000000000001" customHeight="1"/>
    <row r="101" ht="20.100000000000001" customHeight="1"/>
    <row r="102" ht="20.100000000000001" customHeight="1"/>
    <row r="103" ht="20.100000000000001" customHeight="1"/>
    <row r="104" ht="20.100000000000001" customHeight="1"/>
    <row r="105" ht="16.5" customHeight="1"/>
    <row r="107" ht="40.5" customHeight="1"/>
    <row r="108" ht="20.100000000000001" customHeight="1"/>
    <row r="109" ht="20.100000000000001" customHeight="1"/>
    <row r="110" ht="20.100000000000001" customHeight="1"/>
    <row r="111" ht="20.100000000000001" customHeight="1"/>
    <row r="112" ht="20.100000000000001" customHeight="1"/>
    <row r="113" ht="20.100000000000001" customHeight="1"/>
    <row r="114" ht="20.100000000000001" customHeight="1"/>
    <row r="115" ht="20.100000000000001" customHeight="1"/>
    <row r="116" ht="20.100000000000001" customHeight="1"/>
    <row r="117" ht="20.100000000000001" customHeight="1"/>
    <row r="118" ht="20.100000000000001" customHeight="1"/>
    <row r="119" ht="20.100000000000001" customHeight="1"/>
    <row r="123" ht="20.100000000000001" customHeight="1"/>
    <row r="124" ht="20.100000000000001" customHeight="1"/>
    <row r="125" ht="20.100000000000001" customHeight="1"/>
    <row r="126" ht="20.100000000000001" customHeight="1"/>
    <row r="127" ht="20.100000000000001" customHeight="1"/>
    <row r="128" ht="16.5" customHeight="1"/>
    <row r="130" ht="40.200000000000003" customHeight="1"/>
    <row r="131" ht="20.100000000000001" customHeight="1"/>
    <row r="132" ht="20.100000000000001" customHeight="1"/>
    <row r="133" ht="20.100000000000001" customHeight="1"/>
    <row r="134" ht="20.100000000000001" customHeight="1"/>
    <row r="135" ht="20.100000000000001" customHeight="1"/>
    <row r="136" ht="20.100000000000001" customHeight="1"/>
    <row r="137" ht="20.100000000000001" customHeight="1"/>
    <row r="138" ht="20.100000000000001" customHeight="1"/>
    <row r="139" ht="20.100000000000001" customHeight="1"/>
    <row r="140" ht="20.100000000000001" customHeight="1"/>
    <row r="141" ht="20.100000000000001" customHeight="1"/>
    <row r="142" ht="20.100000000000001" customHeight="1"/>
    <row r="146" ht="20.100000000000001" customHeight="1"/>
    <row r="147" ht="20.100000000000001" customHeight="1"/>
    <row r="148" ht="20.100000000000001" customHeight="1"/>
    <row r="149" ht="20.100000000000001" customHeight="1"/>
    <row r="150" ht="20.100000000000001" customHeight="1"/>
    <row r="151" ht="16.5" customHeight="1"/>
    <row r="153" ht="40.200000000000003" customHeight="1"/>
    <row r="154" ht="20.100000000000001" customHeight="1"/>
    <row r="155" ht="20.100000000000001" customHeight="1"/>
    <row r="156" ht="20.100000000000001" customHeight="1"/>
    <row r="157" ht="20.100000000000001" customHeight="1"/>
    <row r="158" ht="20.100000000000001" customHeight="1"/>
    <row r="159" ht="20.100000000000001" customHeight="1"/>
    <row r="160" ht="20.100000000000001" customHeight="1"/>
    <row r="161" ht="20.100000000000001" customHeight="1"/>
    <row r="162" ht="20.100000000000001" customHeight="1"/>
    <row r="163" ht="20.100000000000001" customHeight="1"/>
    <row r="164" ht="20.100000000000001" customHeight="1"/>
    <row r="165" ht="20.100000000000001" customHeight="1"/>
    <row r="169" ht="20.100000000000001" customHeight="1"/>
    <row r="170" ht="20.100000000000001" customHeight="1"/>
    <row r="171" ht="20.100000000000001" customHeight="1"/>
    <row r="172" ht="20.100000000000001" customHeight="1"/>
    <row r="173" ht="20.100000000000001" customHeight="1"/>
    <row r="174" ht="16.5" customHeight="1"/>
    <row r="176" ht="40.200000000000003" customHeight="1"/>
    <row r="177" ht="20.100000000000001" customHeight="1"/>
    <row r="178" ht="20.100000000000001" customHeight="1"/>
    <row r="179" ht="20.100000000000001" customHeight="1"/>
    <row r="180" ht="20.100000000000001" customHeight="1"/>
    <row r="181" ht="20.100000000000001" customHeight="1"/>
    <row r="182" ht="20.100000000000001" customHeight="1"/>
    <row r="183" ht="20.100000000000001" customHeight="1"/>
    <row r="184" ht="20.100000000000001" customHeight="1"/>
    <row r="185" ht="20.100000000000001" customHeight="1"/>
    <row r="186" ht="20.100000000000001" customHeight="1"/>
    <row r="187" ht="20.100000000000001" customHeight="1"/>
    <row r="188" ht="20.100000000000001" customHeight="1"/>
    <row r="192" ht="20.100000000000001" customHeight="1"/>
    <row r="193" ht="20.100000000000001" customHeight="1"/>
    <row r="194" ht="20.100000000000001" customHeight="1"/>
    <row r="195" ht="20.100000000000001" customHeight="1"/>
    <row r="196" ht="20.100000000000001" customHeight="1"/>
    <row r="197" ht="16.5" customHeight="1"/>
    <row r="199" ht="40.200000000000003" customHeight="1"/>
    <row r="200" ht="20.100000000000001" customHeight="1"/>
    <row r="201" ht="20.100000000000001" customHeight="1"/>
    <row r="202" ht="20.100000000000001" customHeight="1"/>
    <row r="203" ht="20.100000000000001" customHeight="1"/>
    <row r="204" ht="20.100000000000001" customHeight="1"/>
    <row r="205" ht="20.100000000000001" customHeight="1"/>
    <row r="206" ht="20.100000000000001" customHeight="1"/>
    <row r="207" ht="20.100000000000001" customHeight="1"/>
    <row r="208" ht="20.100000000000001" customHeight="1"/>
    <row r="209" ht="20.100000000000001" customHeight="1"/>
    <row r="210" ht="20.100000000000001" customHeight="1"/>
    <row r="211" ht="20.100000000000001" customHeight="1"/>
    <row r="215" ht="20.100000000000001" customHeight="1"/>
    <row r="216" ht="20.100000000000001" customHeight="1"/>
    <row r="217" ht="20.100000000000001" customHeight="1"/>
    <row r="218" ht="20.100000000000001" customHeight="1"/>
    <row r="219" ht="20.100000000000001" customHeight="1"/>
    <row r="220" ht="16.5" customHeight="1"/>
    <row r="222" ht="40.200000000000003" customHeight="1"/>
    <row r="223" ht="20.100000000000001" customHeight="1"/>
    <row r="224" ht="20.100000000000001" customHeight="1"/>
    <row r="225" ht="20.100000000000001" customHeight="1"/>
    <row r="226" ht="20.100000000000001" customHeight="1"/>
    <row r="227" ht="20.100000000000001" customHeight="1"/>
    <row r="228" ht="20.100000000000001" customHeight="1"/>
    <row r="229" ht="20.100000000000001" customHeight="1"/>
    <row r="230" ht="20.100000000000001" customHeight="1"/>
    <row r="231" ht="20.100000000000001" customHeight="1"/>
    <row r="232" ht="20.100000000000001" customHeight="1"/>
    <row r="233" ht="20.100000000000001" customHeight="1"/>
    <row r="234" ht="20.100000000000001" customHeight="1"/>
  </sheetData>
  <customSheetViews>
    <customSheetView guid="{BA12A2B5-8B2E-47CE-85C5-00A71CD7042B}" scale="80" showGridLines="0" fitToPage="1" hiddenColumns="1" topLeftCell="A10">
      <selection activeCell="K27" sqref="K27"/>
      <pageMargins left="0" right="0" top="0" bottom="0" header="0" footer="0"/>
      <pageSetup paperSize="9" scale="20" orientation="portrait" r:id="rId1"/>
    </customSheetView>
    <customSheetView guid="{6E4579C3-98CA-4325-AF39-19A629870080}" scale="80" showGridLines="0" fitToPage="1" hiddenColumns="1" topLeftCell="A26">
      <selection activeCell="E56" sqref="E56"/>
      <pageMargins left="0" right="0" top="0" bottom="0" header="0" footer="0"/>
      <pageSetup paperSize="9" scale="20" orientation="portrait" r:id="rId2"/>
    </customSheetView>
    <customSheetView guid="{BC75B7F8-7A05-4F92-B953-0DB7EDA000F8}" scale="80" fitToPage="1" hiddenRows="1" hiddenColumns="1" topLeftCell="A34">
      <selection activeCell="E45" sqref="E45"/>
      <pageMargins left="0" right="0" top="0" bottom="0" header="0" footer="0"/>
      <pageSetup paperSize="9" scale="20" orientation="portrait" r:id="rId3"/>
    </customSheetView>
    <customSheetView guid="{BF159B5C-C230-4B3A-8DDE-333808894C93}" scale="80" showGridLines="0" fitToPage="1" hiddenRows="1" hiddenColumns="1">
      <selection activeCell="B9" sqref="B9"/>
      <pageMargins left="0" right="0" top="0" bottom="0" header="0" footer="0"/>
      <pageSetup paperSize="9" scale="20" orientation="portrait" r:id="rId4"/>
    </customSheetView>
  </customSheetViews>
  <mergeCells count="17">
    <mergeCell ref="D17:F17"/>
    <mergeCell ref="D18:F18"/>
    <mergeCell ref="D19:F19"/>
    <mergeCell ref="B44:D44"/>
    <mergeCell ref="B49:D49"/>
    <mergeCell ref="B45:D45"/>
    <mergeCell ref="B47:D47"/>
    <mergeCell ref="B46:D46"/>
    <mergeCell ref="B48:D48"/>
    <mergeCell ref="C13:D13"/>
    <mergeCell ref="D15:F15"/>
    <mergeCell ref="D16:F16"/>
    <mergeCell ref="C8:D8"/>
    <mergeCell ref="C9:D9"/>
    <mergeCell ref="C10:D10"/>
    <mergeCell ref="C11:D11"/>
    <mergeCell ref="C12:D12"/>
  </mergeCells>
  <pageMargins left="0.70866141732283472" right="0.70866141732283472" top="0.74803149606299213" bottom="0.74803149606299213" header="0.31496062992125984" footer="0.31496062992125984"/>
  <pageSetup paperSize="9" scale="20" orientation="portrait" r:id="rId5"/>
  <drawing r:id="rId6"/>
  <legacyDrawingHF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60932C26CB86C4FA791782EC11F994E" ma:contentTypeVersion="18" ma:contentTypeDescription="Create a new document." ma:contentTypeScope="" ma:versionID="1ef4d056060016578b0d06a672a9059c">
  <xsd:schema xmlns:xsd="http://www.w3.org/2001/XMLSchema" xmlns:xs="http://www.w3.org/2001/XMLSchema" xmlns:p="http://schemas.microsoft.com/office/2006/metadata/properties" xmlns:ns2="e5dafe5f-4921-4e90-b291-d7c9f1978744" xmlns:ns3="52985c86-f8c2-4ffb-9ed4-056f10e7bf99" targetNamespace="http://schemas.microsoft.com/office/2006/metadata/properties" ma:root="true" ma:fieldsID="266df95614c3fd349c91b0697bba21fb" ns2:_="" ns3:_="">
    <xsd:import namespace="e5dafe5f-4921-4e90-b291-d7c9f1978744"/>
    <xsd:import namespace="52985c86-f8c2-4ffb-9ed4-056f10e7bf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lcf76f155ced4ddcb4097134ff3c332f" minOccurs="0"/>
                <xsd:element ref="ns3:TaxCatchAll" minOccurs="0"/>
                <xsd:element ref="ns2:MediaLengthInSecond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5dafe5f-4921-4e90-b291-d7c9f19787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ternalName="MediaServiceDateTake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2f39ea20-3bab-4327-8f6b-3db4142d071e"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2985c86-f8c2-4ffb-9ed4-056f10e7bf99"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cf71b23a-5fce-4da9-9150-57ae8890a66e}" ma:internalName="TaxCatchAll" ma:showField="CatchAllData" ma:web="52985c86-f8c2-4ffb-9ed4-056f10e7bf9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2985c86-f8c2-4ffb-9ed4-056f10e7bf99" xsi:nil="true"/>
    <lcf76f155ced4ddcb4097134ff3c332f xmlns="e5dafe5f-4921-4e90-b291-d7c9f197874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1E6706-90DC-4692-BDC0-69E9E9348005}">
  <ds:schemaRefs>
    <ds:schemaRef ds:uri="http://schemas.microsoft.com/sharepoint/v3/contenttype/forms"/>
  </ds:schemaRefs>
</ds:datastoreItem>
</file>

<file path=customXml/itemProps2.xml><?xml version="1.0" encoding="utf-8"?>
<ds:datastoreItem xmlns:ds="http://schemas.openxmlformats.org/officeDocument/2006/customXml" ds:itemID="{228B1255-3D2E-4FF5-90D3-E4919936652B}"/>
</file>

<file path=customXml/itemProps3.xml><?xml version="1.0" encoding="utf-8"?>
<ds:datastoreItem xmlns:ds="http://schemas.openxmlformats.org/officeDocument/2006/customXml" ds:itemID="{2E2D46FF-DC7B-4EC1-9131-8025D9612E45}">
  <ds:schemaRefs>
    <ds:schemaRef ds:uri="http://purl.org/dc/terms/"/>
    <ds:schemaRef ds:uri="http://schemas.openxmlformats.org/package/2006/metadata/core-properties"/>
    <ds:schemaRef ds:uri="http://purl.org/dc/elements/1.1/"/>
    <ds:schemaRef ds:uri="e5dafe5f-4921-4e90-b291-d7c9f1978744"/>
    <ds:schemaRef ds:uri="52985c86-f8c2-4ffb-9ed4-056f10e7bf99"/>
    <ds:schemaRef ds:uri="http://schemas.microsoft.com/office/2006/metadata/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8</vt:i4>
      </vt:variant>
    </vt:vector>
  </HeadingPairs>
  <TitlesOfParts>
    <vt:vector size="22" baseType="lpstr">
      <vt:lpstr>Disclaimer</vt:lpstr>
      <vt:lpstr>Instructions</vt:lpstr>
      <vt:lpstr>Change Log</vt:lpstr>
      <vt:lpstr>15C Building Details</vt:lpstr>
      <vt:lpstr>15C Baseline Bldg 1</vt:lpstr>
      <vt:lpstr>15C Baseline Bldg 2</vt:lpstr>
      <vt:lpstr>15C Baseline Bldg 3</vt:lpstr>
      <vt:lpstr>15C Calculation</vt:lpstr>
      <vt:lpstr>Carbon Neutral Summary</vt:lpstr>
      <vt:lpstr>NGER Emission Factors</vt:lpstr>
      <vt:lpstr>NGER Emission Factors old</vt:lpstr>
      <vt:lpstr>AGO Emission Factors</vt:lpstr>
      <vt:lpstr>CDD &amp; HDD table</vt:lpstr>
      <vt:lpstr>Points Table</vt:lpstr>
      <vt:lpstr>ANZSIC</vt:lpstr>
      <vt:lpstr>BldUse</vt:lpstr>
      <vt:lpstr>Metro</vt:lpstr>
      <vt:lpstr>RatingType</vt:lpstr>
      <vt:lpstr>STATES</vt:lpstr>
      <vt:lpstr>truefalse</vt:lpstr>
      <vt:lpstr>yesno</vt:lpstr>
      <vt:lpstr>YN</vt:lpstr>
    </vt:vector>
  </TitlesOfParts>
  <Manager/>
  <Company>Energetics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DarraghS</dc:creator>
  <cp:keywords/>
  <dc:description/>
  <cp:lastModifiedBy>Alex Goryachev</cp:lastModifiedBy>
  <cp:revision/>
  <dcterms:created xsi:type="dcterms:W3CDTF">2010-07-14T08:44:28Z</dcterms:created>
  <dcterms:modified xsi:type="dcterms:W3CDTF">2025-11-18T19:36:06Z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0x010100760932C26CB86C4FA791782EC11F994E</vt:lpwstr>
  </property>
  <property fmtid="{D5CDD505-2E9C-101B-9397-08002B2CF9AE}" pid="3" name="Order">
    <vt:r8>13000</vt:r8>
  </property>
  <property fmtid="{D5CDD505-2E9C-101B-9397-08002B2CF9AE}" pid="4" name="MediaServiceImageTags">
    <vt:lpwstr/>
  </property>
</Properties>
</file>