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C:\Users\Ting\Downloads\"/>
    </mc:Choice>
  </mc:AlternateContent>
  <xr:revisionPtr revIDLastSave="0" documentId="13_ncr:1_{3DA626E8-2F6D-4754-ACE4-698DF48C3BFC}" xr6:coauthVersionLast="46" xr6:coauthVersionMax="46" xr10:uidLastSave="{00000000-0000-0000-0000-000000000000}"/>
  <workbookProtection workbookAlgorithmName="SHA-512" workbookHashValue="QU+31PWbcAGEa3UdIzC0iTpZPDvqX334UylKvA0qzAoUabW6xdHG/7L8zdKc1yQcpqd4pfhq6BVPgXOO0SMuEQ==" workbookSaltValue="quflWGfmy5MypfplABKFfw==" workbookSpinCount="100000" lockStructure="1"/>
  <bookViews>
    <workbookView xWindow="28680" yWindow="-120" windowWidth="29040" windowHeight="15840" tabRatio="768" activeTab="2" xr2:uid="{00000000-000D-0000-FFFF-FFFF00000000}"/>
  </bookViews>
  <sheets>
    <sheet name="Disclaimer" sheetId="1" r:id="rId1"/>
    <sheet name="Change Log" sheetId="2" r:id="rId2"/>
    <sheet name="15 Modelled Pathway" sheetId="7" r:id="rId3"/>
    <sheet name="Synthetic GHG" sheetId="9" state="hidden" r:id="rId4"/>
    <sheet name="Reference" sheetId="10" state="hidden" r:id="rId5"/>
  </sheets>
  <externalReferences>
    <externalReference r:id="rId6"/>
    <externalReference r:id="rId7"/>
  </externalReferences>
  <definedNames>
    <definedName name="ACStarRating" localSheetId="1">[1]Reference!$Y$3:$Y$19</definedName>
    <definedName name="ACStarRating">Reference!$Y$3:$Y$19</definedName>
    <definedName name="BASIXDwellingType">Reference!$D$99:$G$99</definedName>
    <definedName name="BASIXEnergyZone">[2]Reference!$B$100:$B$102</definedName>
    <definedName name="BASIXZone">[2]Reference!$B$76:$B$96</definedName>
    <definedName name="BldgCapacity" localSheetId="1">[1]Reference!$Z$23:$Z$24</definedName>
    <definedName name="BldgCapacity">Reference!$Z$23:$Z$24</definedName>
    <definedName name="ComfortControl" localSheetId="1">[1]Reference!$Z$6:$Z$8</definedName>
    <definedName name="ComfortControl">Reference!$Z$6:$Z$8</definedName>
    <definedName name="ContractTerm" localSheetId="1">[1]Reference!$Z$13:$Z$22</definedName>
    <definedName name="ContractTerm">Reference!$Z$13:$Z$22</definedName>
    <definedName name="DHWFuel" localSheetId="1">[1]Reference!$Z$9:$Z$12</definedName>
    <definedName name="DHWFuel">Reference!$Z$9:$Z$12</definedName>
    <definedName name="Fuels" localSheetId="1">'[1]15.D Modelled Path'!$B$15:$B$25</definedName>
    <definedName name="Fuels">'15 Modelled Pathway'!$B$16:$B$26</definedName>
    <definedName name="GeoGHGFactor" localSheetId="1">[1]Reference!$AB$3:$AD$10</definedName>
    <definedName name="GeoGHGFactor">Reference!$AB$3:$AD$10</definedName>
    <definedName name="GeoLocation" localSheetId="1">[1]Reference!$AB$3:$AB$10</definedName>
    <definedName name="GeoLocation">Reference!$AB$3:$AB$10</definedName>
    <definedName name="HeatingCooling">Reference!$Z$27:$Z$29</definedName>
    <definedName name="NatHERSStar" localSheetId="1">[1]Reference!$X$3:$X$22</definedName>
    <definedName name="NatHERSStar">Reference!$X$3:$X$22</definedName>
    <definedName name="NatHERSZone" localSheetId="1">[1]Reference!$B$4:$B$72</definedName>
    <definedName name="NatHERSZone">Reference!$B$4:$B$72</definedName>
    <definedName name="NSW">'[2]15.B NatHERS Path'!$D$11</definedName>
    <definedName name="Option" localSheetId="1">[1]Reference!$Z$3:$Z$4</definedName>
    <definedName name="Option">Reference!$Z$3:$Z$4</definedName>
    <definedName name="OptionNA" localSheetId="1">[1]Reference!$Z$3:$Z$5</definedName>
    <definedName name="OptionNA">Reference!$Z$3:$Z$5</definedName>
    <definedName name="OptNA">Reference!$Z$5</definedName>
    <definedName name="SynthGHGRate" localSheetId="1">[1]Reference!$AE$3:$AF$6</definedName>
    <definedName name="SynthGHGRate">Reference!$AE$3:$AF$6</definedName>
    <definedName name="SynthGHGSource" localSheetId="1">[1]Reference!$AE$3:$AE$6</definedName>
    <definedName name="SynthGHGSource">Reference!$AE$3:$AE$6</definedName>
    <definedName name="Z_C44C7CB9_EB11_4601_9F52_A2EFBD8C5FF6_.wvu.Cols" localSheetId="2" hidden="1">'15 Modelled Pathway'!$A:$A,'15 Modelled Pathway'!$O:$P</definedName>
    <definedName name="Z_C44C7CB9_EB11_4601_9F52_A2EFBD8C5FF6_.wvu.Rows" localSheetId="2" hidden="1">'15 Modelled Pathway'!$4:$4</definedName>
    <definedName name="Z_C44C7CB9_EB11_4601_9F52_A2EFBD8C5FF6_.wvu.Rows" localSheetId="1" hidden="1">'Change Log'!$10:$11,'Change Log'!$17:$123</definedName>
  </definedNames>
  <calcPr calcId="191029"/>
  <customWorkbookViews>
    <customWorkbookView name="Simon Ng - Personal View" guid="{67801018-A747-4E26-8E7A-AFD24B0E5C34}" mergeInterval="0" personalView="1" maximized="1" xWindow="-8" yWindow="-8" windowWidth="1382" windowHeight="744" tabRatio="768" activeSheetId="6"/>
    <customWorkbookView name="Vivien Li - Personal View" guid="{C44C7CB9-EB11-4601-9F52-A2EFBD8C5FF6}" mergeInterval="0" personalView="1" maximized="1" xWindow="1912" yWindow="-8" windowWidth="1936" windowHeight="1056" tabRatio="76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9" i="7" l="1"/>
  <c r="O107" i="7" l="1"/>
  <c r="J39" i="7" l="1"/>
  <c r="K87" i="7"/>
  <c r="C123" i="7" s="1"/>
  <c r="E46" i="7"/>
  <c r="E48" i="7"/>
  <c r="E50" i="7"/>
  <c r="E38" i="7"/>
  <c r="E39" i="7"/>
  <c r="E80" i="7"/>
  <c r="E40" i="7"/>
  <c r="E43" i="7"/>
  <c r="J74" i="7"/>
  <c r="J75" i="7"/>
  <c r="J76" i="7"/>
  <c r="J77" i="7"/>
  <c r="J81" i="7"/>
  <c r="D59" i="7"/>
  <c r="C92" i="7" s="1"/>
  <c r="F47" i="7"/>
  <c r="G47" i="7" s="1"/>
  <c r="F48" i="7"/>
  <c r="G48" i="7" s="1"/>
  <c r="F49" i="7"/>
  <c r="G49" i="7" s="1"/>
  <c r="F50" i="7"/>
  <c r="F46" i="7"/>
  <c r="F51" i="7"/>
  <c r="G51" i="7" s="1"/>
  <c r="F52" i="7"/>
  <c r="G52" i="7" s="1"/>
  <c r="F53" i="7"/>
  <c r="G53" i="7" s="1"/>
  <c r="F54" i="7"/>
  <c r="G54" i="7" s="1"/>
  <c r="F55" i="7"/>
  <c r="G55" i="7" s="1"/>
  <c r="F56" i="7"/>
  <c r="G56" i="7" s="1"/>
  <c r="F57" i="7"/>
  <c r="G57" i="7" s="1"/>
  <c r="F58" i="7"/>
  <c r="G58" i="7" s="1"/>
  <c r="I72" i="7"/>
  <c r="I73" i="7"/>
  <c r="I74" i="7"/>
  <c r="I75" i="7"/>
  <c r="I76" i="7"/>
  <c r="I77" i="7"/>
  <c r="I78" i="7"/>
  <c r="I79" i="7"/>
  <c r="I80" i="7"/>
  <c r="I81" i="7"/>
  <c r="I82" i="7"/>
  <c r="J46" i="7"/>
  <c r="J47" i="7"/>
  <c r="J48" i="7"/>
  <c r="J49" i="7"/>
  <c r="J50" i="7"/>
  <c r="J72" i="7" s="1"/>
  <c r="J51" i="7"/>
  <c r="J38" i="7"/>
  <c r="J79" i="7"/>
  <c r="J40" i="7"/>
  <c r="J41" i="7"/>
  <c r="J78" i="7"/>
  <c r="J42" i="7"/>
  <c r="J43" i="7"/>
  <c r="J44" i="7"/>
  <c r="D81" i="7"/>
  <c r="E81" i="7"/>
  <c r="F81" i="7"/>
  <c r="G81" i="7"/>
  <c r="K53" i="7"/>
  <c r="J52" i="7"/>
  <c r="J53" i="7"/>
  <c r="J54" i="7"/>
  <c r="J55" i="7"/>
  <c r="J56" i="7"/>
  <c r="J57" i="7"/>
  <c r="J58" i="7"/>
  <c r="E53" i="7"/>
  <c r="E54" i="7"/>
  <c r="E55" i="7"/>
  <c r="E56" i="7"/>
  <c r="E57" i="7"/>
  <c r="E58" i="7"/>
  <c r="K52" i="7"/>
  <c r="C124" i="7"/>
  <c r="C22" i="7"/>
  <c r="C21" i="7"/>
  <c r="C20" i="7"/>
  <c r="C19" i="7"/>
  <c r="C18" i="7"/>
  <c r="AD10" i="10"/>
  <c r="AD9" i="10"/>
  <c r="AD8" i="10"/>
  <c r="AD7" i="10"/>
  <c r="AD6" i="10"/>
  <c r="AD5" i="10"/>
  <c r="AD4" i="10"/>
  <c r="P32" i="7" s="1"/>
  <c r="AD3" i="10"/>
  <c r="E5" i="9"/>
  <c r="F5" i="9" s="1"/>
  <c r="E6" i="9"/>
  <c r="F6" i="9" s="1"/>
  <c r="E7" i="9"/>
  <c r="F7" i="9" s="1"/>
  <c r="E8" i="9"/>
  <c r="F8" i="9" s="1"/>
  <c r="E9" i="9"/>
  <c r="F9" i="9" s="1"/>
  <c r="E10" i="9"/>
  <c r="F10" i="9" s="1"/>
  <c r="E11" i="9"/>
  <c r="F11" i="9" s="1"/>
  <c r="E12" i="9"/>
  <c r="F12" i="9" s="1"/>
  <c r="E13" i="9"/>
  <c r="F13" i="9" s="1"/>
  <c r="E14" i="9"/>
  <c r="F14" i="9" s="1"/>
  <c r="E15" i="9"/>
  <c r="F15" i="9" s="1"/>
  <c r="E16" i="9"/>
  <c r="F16" i="9" s="1"/>
  <c r="E17" i="9"/>
  <c r="F17" i="9" s="1"/>
  <c r="E18" i="9"/>
  <c r="F18" i="9" s="1"/>
  <c r="E19" i="9"/>
  <c r="F19" i="9" s="1"/>
  <c r="E20" i="9"/>
  <c r="F20" i="9" s="1"/>
  <c r="E21" i="9"/>
  <c r="F21" i="9" s="1"/>
  <c r="E22" i="9"/>
  <c r="F22" i="9" s="1"/>
  <c r="E23" i="9"/>
  <c r="F23" i="9" s="1"/>
  <c r="E24" i="9"/>
  <c r="F24" i="9" s="1"/>
  <c r="E25" i="9"/>
  <c r="F25" i="9"/>
  <c r="E26" i="9"/>
  <c r="F26" i="9" s="1"/>
  <c r="E27" i="9"/>
  <c r="F27" i="9" s="1"/>
  <c r="E28" i="9"/>
  <c r="F28" i="9" s="1"/>
  <c r="E29" i="9"/>
  <c r="F29" i="9"/>
  <c r="E30" i="9"/>
  <c r="F30" i="9" s="1"/>
  <c r="E31" i="9"/>
  <c r="F31" i="9" s="1"/>
  <c r="E32" i="9"/>
  <c r="F32" i="9" s="1"/>
  <c r="E33" i="9"/>
  <c r="F33" i="9"/>
  <c r="E34" i="9"/>
  <c r="F34" i="9" s="1"/>
  <c r="E35" i="9"/>
  <c r="F35" i="9" s="1"/>
  <c r="E36" i="9"/>
  <c r="F36" i="9" s="1"/>
  <c r="E37" i="9"/>
  <c r="F37" i="9" s="1"/>
  <c r="E38" i="9"/>
  <c r="F38" i="9" s="1"/>
  <c r="E39" i="9"/>
  <c r="F39" i="9" s="1"/>
  <c r="E40" i="9"/>
  <c r="F40" i="9" s="1"/>
  <c r="E41" i="9"/>
  <c r="F41" i="9" s="1"/>
  <c r="E42" i="9"/>
  <c r="F42" i="9" s="1"/>
  <c r="E43" i="9"/>
  <c r="F43" i="9" s="1"/>
  <c r="E44" i="9"/>
  <c r="F44" i="9" s="1"/>
  <c r="E45" i="9"/>
  <c r="F45" i="9" s="1"/>
  <c r="E46" i="9"/>
  <c r="F46" i="9" s="1"/>
  <c r="E47" i="9"/>
  <c r="F47" i="9" s="1"/>
  <c r="E48" i="9"/>
  <c r="F48" i="9" s="1"/>
  <c r="E49" i="9"/>
  <c r="F49" i="9" s="1"/>
  <c r="E50" i="9"/>
  <c r="F50" i="9" s="1"/>
  <c r="E51" i="9"/>
  <c r="F51" i="9" s="1"/>
  <c r="E52" i="9"/>
  <c r="F52" i="9" s="1"/>
  <c r="E4" i="9"/>
  <c r="F4" i="9" s="1"/>
  <c r="E52" i="7"/>
  <c r="K58" i="7"/>
  <c r="K57" i="7"/>
  <c r="K56" i="7"/>
  <c r="K55" i="7"/>
  <c r="K54" i="7"/>
  <c r="K51" i="7"/>
  <c r="K50" i="7"/>
  <c r="K49" i="7"/>
  <c r="K48" i="7"/>
  <c r="K47" i="7"/>
  <c r="K46" i="7"/>
  <c r="K42" i="7"/>
  <c r="K43" i="7"/>
  <c r="K44" i="7"/>
  <c r="K41" i="7"/>
  <c r="K40" i="7"/>
  <c r="K39" i="7"/>
  <c r="K38" i="7"/>
  <c r="K37" i="7"/>
  <c r="O95" i="7"/>
  <c r="P105" i="7"/>
  <c r="O105" i="7" s="1"/>
  <c r="G46" i="7"/>
  <c r="G38" i="7"/>
  <c r="G39" i="7"/>
  <c r="G40" i="7"/>
  <c r="G43" i="7"/>
  <c r="F72" i="7"/>
  <c r="F73" i="7"/>
  <c r="F74" i="7"/>
  <c r="G74" i="7"/>
  <c r="F75" i="7"/>
  <c r="F76" i="7"/>
  <c r="G76" i="7"/>
  <c r="F77" i="7"/>
  <c r="G77" i="7"/>
  <c r="F78" i="7"/>
  <c r="G78" i="7"/>
  <c r="F79" i="7"/>
  <c r="G79" i="7"/>
  <c r="F80" i="7"/>
  <c r="G80" i="7"/>
  <c r="F82" i="7"/>
  <c r="I84" i="7"/>
  <c r="J68" i="7"/>
  <c r="E74" i="7"/>
  <c r="E76" i="7"/>
  <c r="E77" i="7"/>
  <c r="E78" i="7"/>
  <c r="E79" i="7"/>
  <c r="D73" i="7"/>
  <c r="D74" i="7"/>
  <c r="D75" i="7"/>
  <c r="D76" i="7"/>
  <c r="D77" i="7"/>
  <c r="D78" i="7"/>
  <c r="D79" i="7"/>
  <c r="D80" i="7"/>
  <c r="D82" i="7"/>
  <c r="D72" i="7"/>
  <c r="J65" i="7"/>
  <c r="G75" i="7"/>
  <c r="E75" i="7"/>
  <c r="P124" i="7"/>
  <c r="Q124" i="7" s="1"/>
  <c r="O123" i="7"/>
  <c r="G37" i="7"/>
  <c r="G73" i="7" s="1"/>
  <c r="J66" i="7"/>
  <c r="E37" i="7"/>
  <c r="E73" i="7" s="1"/>
  <c r="E82" i="7"/>
  <c r="G44" i="7"/>
  <c r="E44" i="7"/>
  <c r="E51" i="7"/>
  <c r="E47" i="7"/>
  <c r="G42" i="7"/>
  <c r="J63" i="7"/>
  <c r="E42" i="7"/>
  <c r="E49" i="7"/>
  <c r="G41" i="7"/>
  <c r="G50" i="7"/>
  <c r="G72" i="7" s="1"/>
  <c r="J62" i="7"/>
  <c r="E41" i="7"/>
  <c r="G82" i="7"/>
  <c r="E72" i="7"/>
  <c r="P31" i="7" l="1"/>
  <c r="K79" i="7" s="1"/>
  <c r="C125" i="7"/>
  <c r="F59" i="7"/>
  <c r="C93" i="7" s="1"/>
  <c r="C94" i="7" s="1"/>
  <c r="C95" i="7" s="1"/>
  <c r="K75" i="7"/>
  <c r="K74" i="7"/>
  <c r="K78" i="7"/>
  <c r="K77" i="7"/>
  <c r="I83" i="7"/>
  <c r="K76" i="7"/>
  <c r="J84" i="7"/>
  <c r="P34" i="7"/>
  <c r="C26" i="7" s="1"/>
  <c r="K72" i="7"/>
  <c r="K73" i="7"/>
  <c r="F53" i="9"/>
  <c r="E59" i="7"/>
  <c r="C98" i="7" s="1"/>
  <c r="J82" i="7"/>
  <c r="P33" i="7"/>
  <c r="C25" i="7" s="1"/>
  <c r="G59" i="7"/>
  <c r="J73" i="7" l="1"/>
  <c r="C23" i="7"/>
  <c r="K82" i="7"/>
  <c r="K81" i="7"/>
  <c r="K80" i="7"/>
  <c r="C24" i="7"/>
  <c r="J37" i="7" s="1"/>
  <c r="J80" i="7" l="1"/>
  <c r="J83" i="7" s="1"/>
  <c r="C100" i="7" s="1"/>
  <c r="J59" i="7"/>
  <c r="C110" i="7" s="1"/>
  <c r="C111" i="7" s="1"/>
  <c r="C117" i="7" s="1"/>
  <c r="K83" i="7"/>
  <c r="C99" i="7" s="1"/>
  <c r="C104" i="7" s="1"/>
  <c r="C102" i="7" l="1"/>
  <c r="C103" i="7"/>
  <c r="C105" i="7" s="1"/>
  <c r="V110" i="7" l="1"/>
  <c r="V111" i="7"/>
  <c r="V113" i="7" s="1"/>
  <c r="D113" i="7" s="1"/>
  <c r="V112" i="7"/>
  <c r="C1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Zofia Kuypers</author>
    <author>Karl Desai</author>
    <author>richardj</author>
  </authors>
  <commentList>
    <comment ref="E29" authorId="0" shapeId="0" xr:uid="{00000000-0006-0000-0600-000001000000}">
      <text>
        <r>
          <rPr>
            <b/>
            <sz val="8"/>
            <color indexed="81"/>
            <rFont val="Tahoma"/>
            <family val="2"/>
          </rPr>
          <t xml:space="preserve">Definition
</t>
        </r>
        <r>
          <rPr>
            <sz val="8"/>
            <color indexed="81"/>
            <rFont val="Tahoma"/>
            <family val="2"/>
          </rPr>
          <t xml:space="preserve">Thermal Power Purchase Agreement (TPPA)
</t>
        </r>
      </text>
    </comment>
    <comment ref="E30" authorId="0" shapeId="0" xr:uid="{00000000-0006-0000-0600-000002000000}">
      <text>
        <r>
          <rPr>
            <b/>
            <sz val="8"/>
            <color indexed="81"/>
            <rFont val="Tahoma"/>
            <family val="2"/>
          </rPr>
          <t xml:space="preserve">Definition
</t>
        </r>
        <r>
          <rPr>
            <sz val="8"/>
            <color indexed="81"/>
            <rFont val="Tahoma"/>
            <family val="2"/>
          </rPr>
          <t>Thermal Power Purchase Agreement (TPPA)</t>
        </r>
      </text>
    </comment>
    <comment ref="E31" authorId="0" shapeId="0" xr:uid="{00000000-0006-0000-0600-000003000000}">
      <text>
        <r>
          <rPr>
            <b/>
            <sz val="8"/>
            <color indexed="81"/>
            <rFont val="Tahoma"/>
            <family val="2"/>
          </rPr>
          <t>Definition</t>
        </r>
        <r>
          <rPr>
            <sz val="8"/>
            <color indexed="81"/>
            <rFont val="Tahoma"/>
            <family val="2"/>
          </rPr>
          <t xml:space="preserve">
Thermal Power Purchase Agreement (TPPA)</t>
        </r>
      </text>
    </comment>
    <comment ref="E32" authorId="0" shapeId="0" xr:uid="{00000000-0006-0000-0600-000004000000}">
      <text>
        <r>
          <rPr>
            <b/>
            <sz val="8"/>
            <color indexed="81"/>
            <rFont val="Tahoma"/>
            <family val="2"/>
          </rPr>
          <t xml:space="preserve">Definition
</t>
        </r>
        <r>
          <rPr>
            <sz val="8"/>
            <color indexed="81"/>
            <rFont val="Tahoma"/>
            <family val="2"/>
          </rPr>
          <t>Power Purchase Agreement (PPA)</t>
        </r>
      </text>
    </comment>
    <comment ref="C34" authorId="1" shapeId="0" xr:uid="{00000000-0006-0000-0600-000005000000}">
      <text>
        <r>
          <rPr>
            <sz val="9"/>
            <color indexed="81"/>
            <rFont val="Tahoma"/>
            <family val="2"/>
          </rPr>
          <t>Please note that calculations for the Benchmark Building are determined based on the inputs from the Reference Building, and are not required to be inputted by project teams. 
Please see the Calculator Guide for additional information.</t>
        </r>
      </text>
    </comment>
    <comment ref="L34" authorId="2" shapeId="0" xr:uid="{00000000-0006-0000-0600-000006000000}">
      <text>
        <r>
          <rPr>
            <sz val="9"/>
            <color indexed="81"/>
            <rFont val="Tahoma"/>
            <family val="2"/>
          </rPr>
          <t>Project teams must provide comment on the causes of the improvements in the Proposed Building where any improvements exceed 5%.</t>
        </r>
      </text>
    </comment>
    <comment ref="D35" authorId="1" shapeId="0" xr:uid="{00000000-0006-0000-0600-000007000000}">
      <text>
        <r>
          <rPr>
            <sz val="9"/>
            <color indexed="81"/>
            <rFont val="Tahoma"/>
            <family val="2"/>
          </rPr>
          <t>Ensure that energy values entered are in units consistent with the GHG emission factors, i.e. kWh for electricity and MJ for all other fuels/energy sources.</t>
        </r>
      </text>
    </comment>
    <comment ref="F35" authorId="1" shapeId="0" xr:uid="{00000000-0006-0000-0600-000008000000}">
      <text>
        <r>
          <rPr>
            <sz val="9"/>
            <color indexed="81"/>
            <rFont val="Tahoma"/>
            <family val="2"/>
          </rPr>
          <t>Ensure that energy values entered are in units consistent with the GHG emission factors, i.e. kWh for electricity and MJ for all other fuels/energy sources.</t>
        </r>
      </text>
    </comment>
    <comment ref="I35" authorId="1" shapeId="0" xr:uid="{00000000-0006-0000-0600-000009000000}">
      <text>
        <r>
          <rPr>
            <sz val="9"/>
            <color indexed="81"/>
            <rFont val="Tahoma"/>
            <family val="2"/>
          </rPr>
          <t>Ensure that energy values entered are in units consistent with the GHG emission factors, i.e. kWh for electricity and MJ for all other fuels/energy sources.</t>
        </r>
        <r>
          <rPr>
            <sz val="8"/>
            <color indexed="81"/>
            <rFont val="Tahoma"/>
            <family val="2"/>
          </rPr>
          <t xml:space="preserve">
</t>
        </r>
      </text>
    </comment>
    <comment ref="B45" authorId="1" shapeId="0" xr:uid="{00000000-0006-0000-0600-00000A000000}">
      <text>
        <r>
          <rPr>
            <sz val="9"/>
            <color indexed="81"/>
            <rFont val="Tahoma"/>
            <family val="2"/>
          </rPr>
          <t>Please note that the calculator inputs for the building services are the same in the Reference and Intermediate Building models. Project teams are not required to input these values for the Intermediate Building. 
Please see the Calculator Guide for additional information.</t>
        </r>
      </text>
    </comment>
    <comment ref="K83" authorId="1" shapeId="0" xr:uid="{00000000-0006-0000-0600-00000B000000}">
      <text>
        <r>
          <rPr>
            <sz val="9"/>
            <color indexed="81"/>
            <rFont val="Tahoma"/>
            <family val="2"/>
          </rPr>
          <t>Total excluding off-site supply.</t>
        </r>
      </text>
    </comment>
    <comment ref="O95" authorId="2" shapeId="0" xr:uid="{00000000-0006-0000-0600-00000C000000}">
      <text>
        <r>
          <rPr>
            <b/>
            <sz val="9"/>
            <color indexed="81"/>
            <rFont val="Tahoma"/>
            <family val="2"/>
          </rPr>
          <t>richardj:</t>
        </r>
        <r>
          <rPr>
            <sz val="9"/>
            <color indexed="81"/>
            <rFont val="Tahoma"/>
            <family val="2"/>
          </rPr>
          <t xml:space="preserve">
Points available for this component of the credit</t>
        </r>
      </text>
    </comment>
    <comment ref="P95" authorId="2" shapeId="0" xr:uid="{00000000-0006-0000-0600-00000D000000}">
      <text>
        <r>
          <rPr>
            <b/>
            <sz val="9"/>
            <color indexed="81"/>
            <rFont val="Tahoma"/>
            <family val="2"/>
          </rPr>
          <t>richardj:</t>
        </r>
        <r>
          <rPr>
            <sz val="9"/>
            <color indexed="81"/>
            <rFont val="Tahoma"/>
            <family val="2"/>
          </rPr>
          <t xml:space="preserve">
Proportion of points available for this component of the credit</t>
        </r>
      </text>
    </comment>
    <comment ref="Q95" authorId="2" shapeId="0" xr:uid="{00000000-0006-0000-0600-00000E000000}">
      <text>
        <r>
          <rPr>
            <b/>
            <sz val="9"/>
            <color indexed="81"/>
            <rFont val="Tahoma"/>
            <family val="2"/>
          </rPr>
          <t>richardj:</t>
        </r>
        <r>
          <rPr>
            <sz val="9"/>
            <color indexed="81"/>
            <rFont val="Tahoma"/>
            <family val="2"/>
          </rPr>
          <t xml:space="preserve">
Maximum improvement rewarded by credit</t>
        </r>
      </text>
    </comment>
    <comment ref="B98" authorId="1" shapeId="0" xr:uid="{00000000-0006-0000-0600-00000F000000}">
      <text>
        <r>
          <rPr>
            <sz val="9"/>
            <color indexed="81"/>
            <rFont val="Tahoma"/>
            <family val="2"/>
          </rPr>
          <t>The Benchmark Building is a 10% improvement over the Reference Building.</t>
        </r>
      </text>
    </comment>
    <comment ref="O105" authorId="2" shapeId="0" xr:uid="{00000000-0006-0000-0600-000010000000}">
      <text>
        <r>
          <rPr>
            <b/>
            <sz val="9"/>
            <color indexed="81"/>
            <rFont val="Tahoma"/>
            <family val="2"/>
          </rPr>
          <t>richardj:</t>
        </r>
        <r>
          <rPr>
            <sz val="9"/>
            <color indexed="81"/>
            <rFont val="Tahoma"/>
            <family val="2"/>
          </rPr>
          <t xml:space="preserve">
Points available for this component of the credit</t>
        </r>
      </text>
    </comment>
    <comment ref="P105" authorId="2" shapeId="0" xr:uid="{00000000-0006-0000-0600-000011000000}">
      <text>
        <r>
          <rPr>
            <b/>
            <sz val="9"/>
            <color indexed="81"/>
            <rFont val="Tahoma"/>
            <family val="2"/>
          </rPr>
          <t>richardj:</t>
        </r>
        <r>
          <rPr>
            <sz val="9"/>
            <color indexed="81"/>
            <rFont val="Tahoma"/>
            <family val="2"/>
          </rPr>
          <t xml:space="preserve">
Proportion of points available for this component of the credit</t>
        </r>
      </text>
    </comment>
    <comment ref="Q105" authorId="2" shapeId="0" xr:uid="{00000000-0006-0000-0600-000012000000}">
      <text>
        <r>
          <rPr>
            <b/>
            <sz val="9"/>
            <color indexed="81"/>
            <rFont val="Tahoma"/>
            <family val="2"/>
          </rPr>
          <t>richardj:</t>
        </r>
        <r>
          <rPr>
            <sz val="9"/>
            <color indexed="81"/>
            <rFont val="Tahoma"/>
            <family val="2"/>
          </rPr>
          <t xml:space="preserve">
Maximum improvement rewarded by credit</t>
        </r>
      </text>
    </comment>
    <comment ref="O111" authorId="2" shapeId="0" xr:uid="{00000000-0006-0000-0600-000013000000}">
      <text>
        <r>
          <rPr>
            <b/>
            <sz val="9"/>
            <color indexed="81"/>
            <rFont val="Tahoma"/>
            <family val="2"/>
          </rPr>
          <t>richardj:</t>
        </r>
        <r>
          <rPr>
            <sz val="9"/>
            <color indexed="81"/>
            <rFont val="Tahoma"/>
            <family val="2"/>
          </rPr>
          <t xml:space="preserve">
Points available for this component of the credit</t>
        </r>
      </text>
    </comment>
    <comment ref="P111" authorId="2" shapeId="0" xr:uid="{00000000-0006-0000-0600-000014000000}">
      <text>
        <r>
          <rPr>
            <b/>
            <sz val="9"/>
            <color indexed="81"/>
            <rFont val="Tahoma"/>
            <family val="2"/>
          </rPr>
          <t>richardj:</t>
        </r>
        <r>
          <rPr>
            <sz val="9"/>
            <color indexed="81"/>
            <rFont val="Tahoma"/>
            <family val="2"/>
          </rPr>
          <t xml:space="preserve">
Proportion of points available for this component of the credit</t>
        </r>
      </text>
    </comment>
    <comment ref="Q111" authorId="2" shapeId="0" xr:uid="{00000000-0006-0000-0600-000015000000}">
      <text>
        <r>
          <rPr>
            <b/>
            <sz val="9"/>
            <color indexed="81"/>
            <rFont val="Tahoma"/>
            <family val="2"/>
          </rPr>
          <t>richardj:</t>
        </r>
        <r>
          <rPr>
            <sz val="9"/>
            <color indexed="81"/>
            <rFont val="Tahoma"/>
            <family val="2"/>
          </rPr>
          <t xml:space="preserve">
Maximum improvement rewarded by credit
</t>
        </r>
        <r>
          <rPr>
            <b/>
            <sz val="9"/>
            <color indexed="81"/>
            <rFont val="Tahoma"/>
            <family val="2"/>
          </rPr>
          <t>UD:</t>
        </r>
        <r>
          <rPr>
            <sz val="9"/>
            <color indexed="81"/>
            <rFont val="Tahoma"/>
            <family val="2"/>
          </rPr>
          <t xml:space="preserve"> Changed from 20% to 10% - in line with credit wording.</t>
        </r>
      </text>
    </comment>
    <comment ref="P124" authorId="2" shapeId="0" xr:uid="{00000000-0006-0000-0600-000016000000}">
      <text>
        <r>
          <rPr>
            <b/>
            <sz val="9"/>
            <color indexed="81"/>
            <rFont val="Tahoma"/>
            <family val="2"/>
          </rPr>
          <t>richardj:</t>
        </r>
        <r>
          <rPr>
            <sz val="9"/>
            <color indexed="81"/>
            <rFont val="Tahoma"/>
            <family val="2"/>
          </rPr>
          <t xml:space="preserve">
Straight line gradient</t>
        </r>
      </text>
    </comment>
    <comment ref="Q124" authorId="2" shapeId="0" xr:uid="{00000000-0006-0000-0600-000017000000}">
      <text>
        <r>
          <rPr>
            <b/>
            <sz val="9"/>
            <color indexed="81"/>
            <rFont val="Tahoma"/>
            <family val="2"/>
          </rPr>
          <t>richardj:</t>
        </r>
        <r>
          <rPr>
            <sz val="9"/>
            <color indexed="81"/>
            <rFont val="Tahoma"/>
            <family val="2"/>
          </rPr>
          <t xml:space="preserve">
Straight line intercept</t>
        </r>
      </text>
    </comment>
  </commentList>
</comments>
</file>

<file path=xl/sharedStrings.xml><?xml version="1.0" encoding="utf-8"?>
<sst xmlns="http://schemas.openxmlformats.org/spreadsheetml/2006/main" count="1044" uniqueCount="473">
  <si>
    <t>Climate Zone</t>
  </si>
  <si>
    <t>HVAC</t>
  </si>
  <si>
    <t>Domestic Hot Water</t>
  </si>
  <si>
    <t>Location</t>
  </si>
  <si>
    <t>Energy Rating (stars)</t>
  </si>
  <si>
    <t>Darwin</t>
  </si>
  <si>
    <t>Port Hedland</t>
  </si>
  <si>
    <t>Longreach</t>
  </si>
  <si>
    <t>Carnarvon</t>
  </si>
  <si>
    <t>Townsville</t>
  </si>
  <si>
    <t>Alice Springs</t>
  </si>
  <si>
    <t>Rockhampton</t>
  </si>
  <si>
    <t>Moree</t>
  </si>
  <si>
    <t>Amberley</t>
  </si>
  <si>
    <t>Brisbane</t>
  </si>
  <si>
    <t>Coffs Harbour</t>
  </si>
  <si>
    <t>Geraldton</t>
  </si>
  <si>
    <t>Perth</t>
  </si>
  <si>
    <t>Armidale</t>
  </si>
  <si>
    <t>Williamtown</t>
  </si>
  <si>
    <t>Adelaide</t>
  </si>
  <si>
    <t>Sydney East</t>
  </si>
  <si>
    <t>Nowra</t>
  </si>
  <si>
    <t>Charleville</t>
  </si>
  <si>
    <t>Wagga</t>
  </si>
  <si>
    <t>Melbourne</t>
  </si>
  <si>
    <t>East Sale</t>
  </si>
  <si>
    <t>Launceston</t>
  </si>
  <si>
    <t>kg</t>
  </si>
  <si>
    <t>TOTAL</t>
  </si>
  <si>
    <t>Photovoltaic</t>
  </si>
  <si>
    <t>Yes</t>
  </si>
  <si>
    <t>No</t>
  </si>
  <si>
    <t>Heating</t>
  </si>
  <si>
    <t>Cooling</t>
  </si>
  <si>
    <t>Heat Rejection</t>
  </si>
  <si>
    <t>Air Conditioning Fans</t>
  </si>
  <si>
    <t>Mechanical Ventilation Fans</t>
  </si>
  <si>
    <t>Pumps</t>
  </si>
  <si>
    <t>Services</t>
  </si>
  <si>
    <t>Lifts</t>
  </si>
  <si>
    <t>Artificial Lighting - Internal</t>
  </si>
  <si>
    <t>Artificial Lighting - External</t>
  </si>
  <si>
    <t>GHG Emissions</t>
  </si>
  <si>
    <t>Renewable Energy</t>
  </si>
  <si>
    <t>Wind Turbines</t>
  </si>
  <si>
    <t>Co/Trigeneration</t>
  </si>
  <si>
    <t>Fuel Input</t>
  </si>
  <si>
    <t>Electricity Output</t>
  </si>
  <si>
    <t>REFERENCE BUILDING</t>
  </si>
  <si>
    <t>Natural Gas</t>
  </si>
  <si>
    <t>External Energy Services</t>
  </si>
  <si>
    <t>Electricity Supply</t>
  </si>
  <si>
    <t>Source</t>
  </si>
  <si>
    <t>&lt;Other 1 - user to specify&gt;</t>
  </si>
  <si>
    <t>&lt;Other 2 - user to specify&gt;</t>
  </si>
  <si>
    <t>&lt;Other 3 - user to specify&gt;</t>
  </si>
  <si>
    <t>&lt;Other 4 - user to specify&gt;</t>
  </si>
  <si>
    <t>&lt;Other 5 - user to specify&gt;</t>
  </si>
  <si>
    <t>LPG</t>
  </si>
  <si>
    <t>Diesel</t>
  </si>
  <si>
    <t>Coal</t>
  </si>
  <si>
    <t>Biomass</t>
  </si>
  <si>
    <t>Liquid Biofuels</t>
  </si>
  <si>
    <t>District CHW</t>
  </si>
  <si>
    <t>District HHW</t>
  </si>
  <si>
    <t>Grid Electricity</t>
  </si>
  <si>
    <t>Location dependent</t>
  </si>
  <si>
    <t>Improvement</t>
  </si>
  <si>
    <t>Benchmark Building GHG</t>
  </si>
  <si>
    <t>kgCO2e/annum</t>
  </si>
  <si>
    <t>DHW Circulators and Controls</t>
  </si>
  <si>
    <t>DCW Pumps and Controls</t>
  </si>
  <si>
    <t>TOTAL RENEWABLE</t>
  </si>
  <si>
    <t>INTERMEDIATE BUILDING</t>
  </si>
  <si>
    <t>Intermediate Building Energy</t>
  </si>
  <si>
    <t>Natural Ventilation</t>
  </si>
  <si>
    <t>Mixed</t>
  </si>
  <si>
    <t>ACT</t>
  </si>
  <si>
    <t>NSW</t>
  </si>
  <si>
    <t>NT</t>
  </si>
  <si>
    <t>WA</t>
  </si>
  <si>
    <t>VIC</t>
  </si>
  <si>
    <t>SA</t>
  </si>
  <si>
    <t>TAS</t>
  </si>
  <si>
    <t>QLD</t>
  </si>
  <si>
    <t>Elec</t>
  </si>
  <si>
    <t>Gas</t>
  </si>
  <si>
    <t>Upper</t>
  </si>
  <si>
    <t>Lower</t>
  </si>
  <si>
    <t>NA</t>
  </si>
  <si>
    <t>Item</t>
  </si>
  <si>
    <t>Class</t>
  </si>
  <si>
    <t>Leakage Rate</t>
  </si>
  <si>
    <t>GHG Emission Rate</t>
  </si>
  <si>
    <t>Commercial air conditioning – chillers</t>
  </si>
  <si>
    <t>Commercial refrigeration – supermarket systems</t>
  </si>
  <si>
    <t>Industrial refrigeration including food processing and cold storage</t>
  </si>
  <si>
    <t>Gas insulated switchgear and circuit breaker applications</t>
  </si>
  <si>
    <t>Synthetic GHG source equipment type</t>
  </si>
  <si>
    <t>Leakage rate</t>
  </si>
  <si>
    <t>GHG Content</t>
  </si>
  <si>
    <r>
      <t>kgCO</t>
    </r>
    <r>
      <rPr>
        <b/>
        <vertAlign val="subscript"/>
        <sz val="10"/>
        <color theme="1"/>
        <rFont val="Arial"/>
        <family val="2"/>
      </rPr>
      <t>2</t>
    </r>
    <r>
      <rPr>
        <b/>
        <sz val="10"/>
        <color theme="1"/>
        <rFont val="Arial"/>
        <family val="2"/>
      </rPr>
      <t>e/kg/annum</t>
    </r>
  </si>
  <si>
    <r>
      <t>kgCO</t>
    </r>
    <r>
      <rPr>
        <b/>
        <vertAlign val="subscript"/>
        <sz val="10"/>
        <color theme="1"/>
        <rFont val="Arial"/>
        <family val="2"/>
      </rPr>
      <t>2</t>
    </r>
    <r>
      <rPr>
        <b/>
        <sz val="10"/>
        <color theme="1"/>
        <rFont val="Arial"/>
        <family val="2"/>
      </rPr>
      <t>e/annum</t>
    </r>
  </si>
  <si>
    <t>Location independent</t>
  </si>
  <si>
    <r>
      <t>kgCO</t>
    </r>
    <r>
      <rPr>
        <vertAlign val="subscript"/>
        <sz val="10"/>
        <color theme="1"/>
        <rFont val="Arial"/>
        <family val="2"/>
      </rPr>
      <t>2</t>
    </r>
    <r>
      <rPr>
        <sz val="10"/>
        <color theme="1"/>
        <rFont val="Arial"/>
        <family val="2"/>
      </rPr>
      <t>e/kWh</t>
    </r>
  </si>
  <si>
    <r>
      <t>kgCO</t>
    </r>
    <r>
      <rPr>
        <vertAlign val="subscript"/>
        <sz val="10"/>
        <color theme="1"/>
        <rFont val="Arial"/>
        <family val="2"/>
      </rPr>
      <t>2</t>
    </r>
    <r>
      <rPr>
        <sz val="10"/>
        <color theme="1"/>
        <rFont val="Arial"/>
        <family val="2"/>
      </rPr>
      <t>e/MJ</t>
    </r>
  </si>
  <si>
    <t>GHG Emission Intensity Factors</t>
  </si>
  <si>
    <t>Canberra</t>
  </si>
  <si>
    <t>Cabramurra</t>
  </si>
  <si>
    <t>Hobart</t>
  </si>
  <si>
    <t>Mildura</t>
  </si>
  <si>
    <t>Richmond (NSW)</t>
  </si>
  <si>
    <t>Weipa</t>
  </si>
  <si>
    <t>Wyndham</t>
  </si>
  <si>
    <t>Willis Island</t>
  </si>
  <si>
    <t>Cairns</t>
  </si>
  <si>
    <t>Broome</t>
  </si>
  <si>
    <t>Learmouth</t>
  </si>
  <si>
    <t>Mackay</t>
  </si>
  <si>
    <t>Gladstone</t>
  </si>
  <si>
    <t>Halls Creek</t>
  </si>
  <si>
    <t>Tennant Creek</t>
  </si>
  <si>
    <t>Mt Isa</t>
  </si>
  <si>
    <t>Newman</t>
  </si>
  <si>
    <t>Giles</t>
  </si>
  <si>
    <t>Meekatharra</t>
  </si>
  <si>
    <t>Oodnadatta</t>
  </si>
  <si>
    <t>Kalgoorlie</t>
  </si>
  <si>
    <t>Woomera</t>
  </si>
  <si>
    <t>Cobar</t>
  </si>
  <si>
    <t>Bickley</t>
  </si>
  <si>
    <t>Dubbo</t>
  </si>
  <si>
    <t>Katanning</t>
  </si>
  <si>
    <t>Oakey</t>
  </si>
  <si>
    <t>Forrest</t>
  </si>
  <si>
    <t>Swanbourne</t>
  </si>
  <si>
    <t>Ceduna</t>
  </si>
  <si>
    <t>Mandurah</t>
  </si>
  <si>
    <t>Esperance</t>
  </si>
  <si>
    <t>Mascot</t>
  </si>
  <si>
    <t>Manjimup</t>
  </si>
  <si>
    <t>Albany</t>
  </si>
  <si>
    <t>Mt Lofty</t>
  </si>
  <si>
    <t>Tullamarine</t>
  </si>
  <si>
    <t>Mt Gambier</t>
  </si>
  <si>
    <t>Moorabbin</t>
  </si>
  <si>
    <t>Warrnambool</t>
  </si>
  <si>
    <t>Cape Otway</t>
  </si>
  <si>
    <t>Orange</t>
  </si>
  <si>
    <t>Ballarat</t>
  </si>
  <si>
    <t>Low Head</t>
  </si>
  <si>
    <t>Launceston Air</t>
  </si>
  <si>
    <t>Thredbo</t>
  </si>
  <si>
    <t>Units</t>
  </si>
  <si>
    <t>Day of Peak Demand</t>
  </si>
  <si>
    <t>Peak Demand (kW)</t>
  </si>
  <si>
    <t>MJ/annum</t>
  </si>
  <si>
    <t>District DHW</t>
  </si>
  <si>
    <t>Reference Building Energy</t>
  </si>
  <si>
    <t>Appliances (Class 2 only)</t>
  </si>
  <si>
    <t>Electric heat pump (COP&gt;3.5)</t>
  </si>
  <si>
    <t>Waste or recovered heat</t>
  </si>
  <si>
    <t>Other</t>
  </si>
  <si>
    <t>PPA term</t>
  </si>
  <si>
    <t>TPPA term</t>
  </si>
  <si>
    <t>Swimming Pools</t>
  </si>
  <si>
    <t>Building capacity</t>
  </si>
  <si>
    <t>Baseline GHG emission rate</t>
  </si>
  <si>
    <t>District Electricity (inc GreenPower)</t>
  </si>
  <si>
    <t>Off-site supply max points</t>
  </si>
  <si>
    <t>&lt;90%</t>
  </si>
  <si>
    <t>≥90%</t>
  </si>
  <si>
    <t>Innovation - Renewable Energy</t>
  </si>
  <si>
    <t>Conditional Requirement</t>
  </si>
  <si>
    <t>x</t>
  </si>
  <si>
    <t>Change Log</t>
  </si>
  <si>
    <t>User Input Cells</t>
  </si>
  <si>
    <t>Project input</t>
  </si>
  <si>
    <t>Contract emission rate: CHW</t>
  </si>
  <si>
    <t>Contract emission rate: HHW</t>
  </si>
  <si>
    <t>Contract emission rate: DHW</t>
  </si>
  <si>
    <t>Contract emission rate: District Electricity</t>
  </si>
  <si>
    <t>Calculator Release</t>
  </si>
  <si>
    <t>Summary of Changes</t>
  </si>
  <si>
    <t>Initial release.</t>
  </si>
  <si>
    <t>Disclaimer, Authorisation and Acknowledgment</t>
  </si>
  <si>
    <t>PROPOSED BUILDING</t>
  </si>
  <si>
    <t>TOTALS</t>
  </si>
  <si>
    <t>RESULTS</t>
  </si>
  <si>
    <t>Energy Consumption Reduction</t>
  </si>
  <si>
    <t>Greenhouse Gas Emissions Reduction</t>
  </si>
  <si>
    <t>Total Points Achieved</t>
  </si>
  <si>
    <t>Total Points Available</t>
  </si>
  <si>
    <t>Results</t>
  </si>
  <si>
    <t>Renewable GHG Reduction 
(excluding GreenPower)</t>
  </si>
  <si>
    <t>Energy Consumption Reduction Points</t>
  </si>
  <si>
    <t>GHG Emissions Reduction Points</t>
  </si>
  <si>
    <t>Peak Electricity Demand Reduction</t>
  </si>
  <si>
    <t>Reference Building</t>
  </si>
  <si>
    <t>Proposed Building</t>
  </si>
  <si>
    <t>Peak electricity demand reduction</t>
  </si>
  <si>
    <t>Comments</t>
  </si>
  <si>
    <t>Proposed Building GHG 
(excluding off-site supply)</t>
  </si>
  <si>
    <t>Proposed Building GHG</t>
  </si>
  <si>
    <t>Subtotal GHG Emissions</t>
  </si>
  <si>
    <t>GHG Emissions
(excl offsite supply)</t>
  </si>
  <si>
    <t>Annual Energy Consumption</t>
  </si>
  <si>
    <t>District Energy Systems</t>
  </si>
  <si>
    <t>Contract</t>
  </si>
  <si>
    <t xml:space="preserve">Building  </t>
  </si>
  <si>
    <t>Avg</t>
  </si>
  <si>
    <t>WC</t>
  </si>
  <si>
    <t>BASIX Thermal Comfort Criteria - UNITS ONLY</t>
  </si>
  <si>
    <t>Htg</t>
  </si>
  <si>
    <t>Clg</t>
  </si>
  <si>
    <t>Byron</t>
  </si>
  <si>
    <t>Newcastle</t>
  </si>
  <si>
    <t>Sydney CBD</t>
  </si>
  <si>
    <t>West Sydney</t>
  </si>
  <si>
    <t>East Sydney</t>
  </si>
  <si>
    <t>Required reduction relative to benchmark</t>
  </si>
  <si>
    <t>BASIX Energy Criteria</t>
  </si>
  <si>
    <t>Detached</t>
  </si>
  <si>
    <t>Low Rise</t>
  </si>
  <si>
    <t>Mid Rise</t>
  </si>
  <si>
    <t>High Rise</t>
  </si>
  <si>
    <t>15A Prescriptive Path</t>
  </si>
  <si>
    <t>15B NatHERS Path</t>
  </si>
  <si>
    <t>15C BASIX Path</t>
  </si>
  <si>
    <t>15D NABERS Energy Path</t>
  </si>
  <si>
    <t>15E Modelled Path</t>
  </si>
  <si>
    <t>16B PEAK ELECTRICITY DEMAND REDUCTION</t>
  </si>
  <si>
    <t>Mechanical Heating/Cooling</t>
  </si>
  <si>
    <t>Both</t>
  </si>
  <si>
    <t>Length of GreenPower contract period (in years)</t>
  </si>
  <si>
    <t>Percentage GreenPower® as stipulated within the building's power supply contract</t>
  </si>
  <si>
    <t xml:space="preserve">Summary of Changes - Internal Use only </t>
  </si>
  <si>
    <t>Release Number</t>
  </si>
  <si>
    <t>Date</t>
  </si>
  <si>
    <t>Author</t>
  </si>
  <si>
    <t>Reviewer</t>
  </si>
  <si>
    <t>Approver</t>
  </si>
  <si>
    <t>Sheet</t>
  </si>
  <si>
    <t>Range</t>
  </si>
  <si>
    <t>New
Value</t>
  </si>
  <si>
    <t>Old
Value</t>
  </si>
  <si>
    <t>SN</t>
  </si>
  <si>
    <t>UD</t>
  </si>
  <si>
    <t>15E Modellled Path</t>
  </si>
  <si>
    <t>Q107</t>
  </si>
  <si>
    <t>Amended the benchmark from 20% to 10% in line with the Submission Guidelines</t>
  </si>
  <si>
    <t>KD</t>
  </si>
  <si>
    <t>Innovation Points Achieved</t>
  </si>
  <si>
    <t>C94</t>
  </si>
  <si>
    <t>'=IF(C93&lt;0,0,IFERROR(MIN(C93/P94*O94,O94),""))</t>
  </si>
  <si>
    <t>'=IF(C93&lt;0,0,IFERROR(MIN(C93/Q94*O94,O94),""))</t>
  </si>
  <si>
    <t>B111</t>
  </si>
  <si>
    <t>&lt;blank&gt;</t>
  </si>
  <si>
    <t>C111</t>
  </si>
  <si>
    <t>'=$C$107</t>
  </si>
  <si>
    <t>C109</t>
  </si>
  <si>
    <t>'=IF(C101="FAIL",0,MIN(SUM(C94,C104),C110))</t>
  </si>
  <si>
    <t>'=IF(C101="FAIL",0,MIN(SUM(C94,C104,C107),C110))</t>
  </si>
  <si>
    <t>15.0 Conditional Requirement for Minimum points threshold</t>
  </si>
  <si>
    <t>Targeted Green Star Rating</t>
  </si>
  <si>
    <t>B13:D14</t>
  </si>
  <si>
    <t>Dropdown menu for Star Ratings</t>
  </si>
  <si>
    <t>Dropdown included for Conditional Requirements. Message for projects targetting 6 Star Rating also included</t>
  </si>
  <si>
    <t>B51</t>
  </si>
  <si>
    <t>D51</t>
  </si>
  <si>
    <t>=IF($K$49=1, "Conditional Requirement Met", "Conditional Requirement not met")</t>
  </si>
  <si>
    <t>Inclusion of Conditional Requirements notification in line with D&amp;AB v1.2</t>
  </si>
  <si>
    <t>Removed Innovation points for the Renewable Energy Contribution from overall points available.</t>
  </si>
  <si>
    <t>Amended the points distribution for Energy Consumption Reduction points to align with the Submission Guidelines. The previous forumla was awarding the full 4 points for a 25% reduction.</t>
  </si>
  <si>
    <t>Clearer separation of Innovation points</t>
  </si>
  <si>
    <t>4 Star</t>
  </si>
  <si>
    <t>5 Star</t>
  </si>
  <si>
    <t>6 Star</t>
  </si>
  <si>
    <t>Conditional Requirement Logic</t>
  </si>
  <si>
    <t>Z21</t>
  </si>
  <si>
    <t>'=IF(AND($D$11=Y21, $W$21&gt;0), 1,0)</t>
  </si>
  <si>
    <t>Z22</t>
  </si>
  <si>
    <t>'=IF(AND($D$11=Y22, $W$21&gt;=3), 1,0)</t>
  </si>
  <si>
    <t>Z23</t>
  </si>
  <si>
    <t>'=IF(AND($D$11=Y23, $W$21&gt;=6), 1,0)</t>
  </si>
  <si>
    <t>B32</t>
  </si>
  <si>
    <t>Z24</t>
  </si>
  <si>
    <t>'=VLOOKUP(D11,Y21:Z23, 2,FALSE)</t>
  </si>
  <si>
    <t>D32</t>
  </si>
  <si>
    <t>'=IF($Z$24=1, "Conditional Requirement Met", "Conditional Requirement not met")</t>
  </si>
  <si>
    <t>Y20</t>
  </si>
  <si>
    <t>J34</t>
  </si>
  <si>
    <t>'=IF(AND($C$11=I34, $G$34&gt;0), 1,0)</t>
  </si>
  <si>
    <t>J35</t>
  </si>
  <si>
    <t>'=IF(AND($C$11=I35, $G$34&gt;=3), 1,0)</t>
  </si>
  <si>
    <t>J36</t>
  </si>
  <si>
    <t>'=IF(AND($C$11=I36, $G$34&gt;=6), 1,0)</t>
  </si>
  <si>
    <t>J37</t>
  </si>
  <si>
    <t>'=VLOOKUP(C11,I34:J36, 2,FALSE)</t>
  </si>
  <si>
    <t>B44</t>
  </si>
  <si>
    <t>D44</t>
  </si>
  <si>
    <t>'=IF(J37=1, "Conditional Requirement Met", "Conditional Requirement not met")</t>
  </si>
  <si>
    <t>K74</t>
  </si>
  <si>
    <t>'=IF(SUM(D68:D73)&gt;=12,12,SUM(D68:D73))</t>
  </si>
  <si>
    <t>L71</t>
  </si>
  <si>
    <t>'=IF(AND($D$11=K71, $K$74&gt;0), 1,0)</t>
  </si>
  <si>
    <t>L72</t>
  </si>
  <si>
    <t>'=IF(AND($D$11=K72, $K$74&gt;=3), 1,0)</t>
  </si>
  <si>
    <t>L73</t>
  </si>
  <si>
    <t>'=IF(AND($D$11=K73, $K$74&gt;=6), 1,0)</t>
  </si>
  <si>
    <t>L74</t>
  </si>
  <si>
    <t>'=VLOOKUP(D11,K71:L73, 2,FALSE)</t>
  </si>
  <si>
    <t>B78</t>
  </si>
  <si>
    <t>D78</t>
  </si>
  <si>
    <t>'=IF($L$74=1, "Conditional Requirement Met", "Conditional Requirement not met")</t>
  </si>
  <si>
    <t>K45</t>
  </si>
  <si>
    <t>K46</t>
  </si>
  <si>
    <t>K47</t>
  </si>
  <si>
    <t>=IF(AND($D$13=J45, $J$49&gt;0), 1,0)</t>
  </si>
  <si>
    <t>=IF(AND($D$13=J46, $J$49&gt;3), 1,0)</t>
  </si>
  <si>
    <t>=IF(AND($D$13=J47, $J$49&gt;6), 1,0)</t>
  </si>
  <si>
    <t>K49</t>
  </si>
  <si>
    <t>=VLOOKUP(D13,J45:K47, 2,FALSE)</t>
  </si>
  <si>
    <t>J49</t>
  </si>
  <si>
    <t>=IF(SUM(D41:D46)&gt;5,5,SUM(D41:D46))</t>
  </si>
  <si>
    <t>Points for innovation calculation</t>
  </si>
  <si>
    <t>Points for Greenhouse Gas Emissions Reduction calculation</t>
  </si>
  <si>
    <t>Points for Energy Reduction calculation</t>
  </si>
  <si>
    <t>Calcuation of points for Greenpower</t>
  </si>
  <si>
    <t>O112</t>
  </si>
  <si>
    <t>O106</t>
  </si>
  <si>
    <t>O96</t>
  </si>
  <si>
    <t>B109</t>
  </si>
  <si>
    <t>B110</t>
  </si>
  <si>
    <t>O108</t>
  </si>
  <si>
    <t>O109</t>
  </si>
  <si>
    <t>C117</t>
  </si>
  <si>
    <t>'=IF(C104="FAIL",0,MIN(SUM(C97,C107,O109),C118))</t>
  </si>
  <si>
    <t>'=IF(C104="FAIL",0,MIN(SUM(C97,C107),C118))</t>
  </si>
  <si>
    <t>U111</t>
  </si>
  <si>
    <t>U112</t>
  </si>
  <si>
    <t>U113</t>
  </si>
  <si>
    <t>'=VLOOKUP(C11,U112:V116, 2,FALSE)</t>
  </si>
  <si>
    <t>V112</t>
  </si>
  <si>
    <t>'=IF(AND($C$11=U112, ($C$97+$C$107)&gt;0), 1,0)</t>
  </si>
  <si>
    <t>V113</t>
  </si>
  <si>
    <t>'=IF(AND($C$11=U113, ($C$97+$C$107)&gt;=3), 1,0)</t>
  </si>
  <si>
    <t>'=IF(AND($C$11=U116, ($C$97+$C$107)&gt;=6), 1,0)</t>
  </si>
  <si>
    <t>B115</t>
  </si>
  <si>
    <t>'=IF(V117=1, "Conditional Requirement Met", "Conditional Requirement not met")</t>
  </si>
  <si>
    <t>U114</t>
  </si>
  <si>
    <t>V115</t>
  </si>
  <si>
    <t>V114</t>
  </si>
  <si>
    <t>D115</t>
  </si>
  <si>
    <t>D71</t>
  </si>
  <si>
    <t>'=SUM(N55:N56)</t>
  </si>
  <si>
    <t>'=L54*D76*SUM(F55:F56)/K54</t>
  </si>
  <si>
    <t>N56</t>
  </si>
  <si>
    <t>=IF(OR(D55="", D55=Reference!Z12), 0, 0.5)</t>
  </si>
  <si>
    <t>N55</t>
  </si>
  <si>
    <t>=IF(F56&gt;1.5, 1.5,F56)</t>
  </si>
  <si>
    <t>Version 1.2, Release 1</t>
  </si>
  <si>
    <t>Title for Innovation Points calculation</t>
  </si>
  <si>
    <t>Title for energy points reduction Points calculation</t>
  </si>
  <si>
    <t>Title for GHG emissions reduction Points calculation</t>
  </si>
  <si>
    <t>Inclusion of Greenpower section</t>
  </si>
  <si>
    <t>Title for Greenpower points calculation</t>
  </si>
  <si>
    <t>Updated calculation for DHW systems to award points inline with the Submission Guidelines</t>
  </si>
  <si>
    <t xml:space="preserve">Updated calculation of total points to include Greenpower </t>
  </si>
  <si>
    <t>Calculation of points for Greenpower</t>
  </si>
  <si>
    <t>Conditional Requirement table heading</t>
  </si>
  <si>
    <t>For dropdown of Star Ratings</t>
  </si>
  <si>
    <t>G38</t>
  </si>
  <si>
    <t>=G34*D37*D38/10</t>
  </si>
  <si>
    <t>Updated the calculation of Greenpower points to limit it to the number of points available for the Commitment Agreement</t>
  </si>
  <si>
    <t>Targeted Green Star Rating - Please enter the targeted Green Star Rating of the project.</t>
  </si>
  <si>
    <t>Multiple Path Calcs</t>
  </si>
  <si>
    <t>=15A Prescriptive Path'!J49</t>
  </si>
  <si>
    <t>=15B NatHERS Path'!K74</t>
  </si>
  <si>
    <t>=15C BASIX Path'!W21</t>
  </si>
  <si>
    <t>'15D NABERS Energy Path'!G34</t>
  </si>
  <si>
    <t>'=SUM('15E Modelled Path'!C97,'15E Modelled Path'!C107)</t>
  </si>
  <si>
    <t>=IFERROR((C14/$C$19*D14)*(S14/D14),"ERROR")</t>
  </si>
  <si>
    <t>=IFERROR((C15/$C$19*D15)*(S15/D15),"ERROR")</t>
  </si>
  <si>
    <t>=IFERROR((C16/$C$19*D16)*(S16/D16),"ERROR")</t>
  </si>
  <si>
    <t>=IFERROR((C17/$C$19*D17)*(S17/D17),"ERROR")</t>
  </si>
  <si>
    <t>=IFERROR((C18/$C$19*D18)*(S18/D18),"ERROR")</t>
  </si>
  <si>
    <t>=SUM(T14:T18)</t>
  </si>
  <si>
    <t>=IF(AND($G$21=H96, $T$19&gt;0), 1,0)</t>
  </si>
  <si>
    <t>=IF(AND($G$21=H97, $T$19&gt;0), 1,0)</t>
  </si>
  <si>
    <t>=IF(AND($G$21=H98, $T$19&gt;0), 1,0)</t>
  </si>
  <si>
    <t>=VLOOKUP(G21,U14:V16, 2,FALSE)</t>
  </si>
  <si>
    <t>'=IF(V17=1, "Conditional Requirement Met", "Conditional Requirement not met")</t>
  </si>
  <si>
    <t>Calculation of points for without Greenpower</t>
  </si>
  <si>
    <t>S14</t>
  </si>
  <si>
    <t>S17</t>
  </si>
  <si>
    <t>S15</t>
  </si>
  <si>
    <t>S16</t>
  </si>
  <si>
    <t>S18</t>
  </si>
  <si>
    <t>T14</t>
  </si>
  <si>
    <t>T15</t>
  </si>
  <si>
    <t>T16</t>
  </si>
  <si>
    <t>T17</t>
  </si>
  <si>
    <t>T18</t>
  </si>
  <si>
    <t>T19</t>
  </si>
  <si>
    <t>V14</t>
  </si>
  <si>
    <t>V15</t>
  </si>
  <si>
    <t>V16</t>
  </si>
  <si>
    <t>V17</t>
  </si>
  <si>
    <t>G22</t>
  </si>
  <si>
    <t>B21</t>
  </si>
  <si>
    <t>B22</t>
  </si>
  <si>
    <t>GreeenPower Calculations</t>
  </si>
  <si>
    <t>'35:35</t>
  </si>
  <si>
    <t>B46:F61, B45:F60</t>
  </si>
  <si>
    <t>D47</t>
  </si>
  <si>
    <t>J38</t>
  </si>
  <si>
    <t>B37</t>
  </si>
  <si>
    <t>J38:J39, J37:J38</t>
  </si>
  <si>
    <t>K37</t>
  </si>
  <si>
    <t>'=IF(AND($J$48&gt;=3, $D$36&gt;=0.5, $D$37&gt;=10), J37, 0)</t>
  </si>
  <si>
    <t>K38</t>
  </si>
  <si>
    <t>D45</t>
  </si>
  <si>
    <t>'=MAX(K37:K38)</t>
  </si>
  <si>
    <t>D46</t>
  </si>
  <si>
    <t>'=IF(COUNTIF(D11:D12,"Select Option"),"Complete Conditional Requirements",IF(COUNTIF(D11:D12,"No"),"Conditional Requirement not met",IF(SUM(D40:D45)&gt;=10,10,SUM(D40:D45))))</t>
  </si>
  <si>
    <t>GreenPower</t>
  </si>
  <si>
    <t>GreenPower calculation</t>
  </si>
  <si>
    <t>'57:57</t>
  </si>
  <si>
    <t>B72:F89, B71:F88</t>
  </si>
  <si>
    <t>D74</t>
  </si>
  <si>
    <t>B64</t>
  </si>
  <si>
    <t>N63</t>
  </si>
  <si>
    <t>N64</t>
  </si>
  <si>
    <t>N62</t>
  </si>
  <si>
    <t>O63</t>
  </si>
  <si>
    <t>D72</t>
  </si>
  <si>
    <t>'=MAX(O63:O64)</t>
  </si>
  <si>
    <t>D73</t>
  </si>
  <si>
    <t>'=IF(SUM(D67:D72)&gt;=16,16,IF(OR(D33="FAIL",D34="FAIL"),0,SUM(D67:D72)))</t>
  </si>
  <si>
    <t>B26</t>
  </si>
  <si>
    <t>AC20</t>
  </si>
  <si>
    <t>AC21</t>
  </si>
  <si>
    <t>AC22</t>
  </si>
  <si>
    <t>'=IF(AND($J$48&gt;=5, $D$36=1, $D$37&gt;=10), J38, 0)</t>
  </si>
  <si>
    <t>O64</t>
  </si>
  <si>
    <t>AD21</t>
  </si>
  <si>
    <t>'=IF(AND($W$21&gt;=6, $D$25&gt;=0.5, $D$26&gt;=10), AC21, 0)</t>
  </si>
  <si>
    <t>AD22</t>
  </si>
  <si>
    <t>AD23</t>
  </si>
  <si>
    <t>'=MAX(AD21:AD22)</t>
  </si>
  <si>
    <t>W29</t>
  </si>
  <si>
    <t>'=IF(AD23+W21&gt;16,16,W21+AD23)</t>
  </si>
  <si>
    <t>=IF(AND($K$73&gt;=10, $D$63=1, $D$64&gt;=10), $N$64, 0)</t>
  </si>
  <si>
    <t>=IF(AND($K$73&gt;=6, $D$63&gt;=0.5, $D$64&gt;=10), $N$63, 0)</t>
  </si>
  <si>
    <t>For mechanically air conditioned and mixed mode spaces, a pressurised building air leakage test in accordance with ASTM E779-10 or ATTMA TSL2</t>
  </si>
  <si>
    <t>Removed inputs for Building sealing compliance requirements in line with D&amp;AB v1.2</t>
  </si>
  <si>
    <t>Number of points available for this pathway updated in line with D&amp;AB v1.2</t>
  </si>
  <si>
    <t>Totals section moved due to removal of 'Building Sealing component</t>
  </si>
  <si>
    <t>Totals sections moved due to removal of 'Building Sealing component</t>
  </si>
  <si>
    <t>Inclusion of Greenpower calculations</t>
  </si>
  <si>
    <t>Inclusion of timing requirement for GreenPower</t>
  </si>
  <si>
    <t>Updated Greenpower calculations</t>
  </si>
  <si>
    <t>Updated calculation of total points in line with D&amp;AB v1.2</t>
  </si>
  <si>
    <t>=IF(AND($W$21&gt;=10, $D$25=1, $D$26&gt;=10), AC22, 0)</t>
  </si>
  <si>
    <t>D42</t>
  </si>
  <si>
    <t>Amended number of available points in line with D&amp;AB v1.2</t>
  </si>
  <si>
    <t>=IF(G34&gt;=10, G34*D37*D38/10, MIN(G34, G34*D37*D38/10))</t>
  </si>
  <si>
    <t>=IF(AND(D109=0, D110=0), 0, min(C107,C107*D109*D110/10))</t>
  </si>
  <si>
    <t>15 Modelled Performance Pathway</t>
  </si>
  <si>
    <t>This calculator addresses criterion '15 GHG Emissions Reduction - Modelled Performance Pathway' and '16B Modelled Performance Pathway: Reference Building.'</t>
  </si>
  <si>
    <t>Green Star - Design &amp; As Built 
NZv1.0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</si>
</sst>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9"/>
      <color indexed="81"/>
      <name val="Tahoma"/>
      <family val="2"/>
    </font>
    <font>
      <b/>
      <sz val="9"/>
      <color indexed="81"/>
      <name val="Tahoma"/>
      <family val="2"/>
    </font>
    <font>
      <vertAlign val="subscript"/>
      <sz val="10"/>
      <color theme="1"/>
      <name val="Arial"/>
      <family val="2"/>
    </font>
    <font>
      <b/>
      <vertAlign val="subscrip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1"/>
      <color theme="1"/>
      <name val="Arial"/>
      <family val="2"/>
    </font>
    <font>
      <b/>
      <sz val="12"/>
      <color theme="0"/>
      <name val="Calibri"/>
      <family val="2"/>
      <scheme val="minor"/>
    </font>
    <font>
      <sz val="10"/>
      <name val="Arial"/>
      <family val="2"/>
    </font>
    <font>
      <sz val="10"/>
      <color indexed="8"/>
      <name val="Arial"/>
      <family val="2"/>
    </font>
    <font>
      <sz val="11"/>
      <color theme="1"/>
      <name val="Arial"/>
      <family val="2"/>
    </font>
    <font>
      <b/>
      <sz val="14"/>
      <color theme="0"/>
      <name val="Arial"/>
      <family val="2"/>
    </font>
    <font>
      <b/>
      <sz val="20"/>
      <color theme="3" tint="-0.499984740745262"/>
      <name val="Arial"/>
      <family val="2"/>
    </font>
    <font>
      <i/>
      <sz val="10"/>
      <color theme="1"/>
      <name val="Arial"/>
      <family val="2"/>
    </font>
    <font>
      <sz val="10"/>
      <color theme="0"/>
      <name val="Arial"/>
      <family val="2"/>
    </font>
    <font>
      <b/>
      <sz val="10"/>
      <color theme="0"/>
      <name val="Arial"/>
      <family val="2"/>
    </font>
    <font>
      <sz val="8"/>
      <color indexed="81"/>
      <name val="Tahoma"/>
      <family val="2"/>
    </font>
    <font>
      <b/>
      <sz val="14"/>
      <color theme="0"/>
      <name val="Calibri"/>
      <family val="2"/>
      <scheme val="minor"/>
    </font>
    <font>
      <i/>
      <sz val="11"/>
      <color theme="1"/>
      <name val="Arial"/>
      <family val="2"/>
    </font>
    <font>
      <b/>
      <sz val="8"/>
      <color indexed="81"/>
      <name val="Tahoma"/>
      <family val="2"/>
    </font>
    <font>
      <sz val="10"/>
      <color theme="3" tint="-0.499984740745262"/>
      <name val="Arial"/>
      <family val="2"/>
    </font>
    <font>
      <b/>
      <sz val="16"/>
      <color theme="1"/>
      <name val="Calibri"/>
      <family val="2"/>
      <scheme val="minor"/>
    </font>
    <font>
      <b/>
      <sz val="10"/>
      <color indexed="18"/>
      <name val="Calibri"/>
      <family val="2"/>
      <scheme val="minor"/>
    </font>
    <font>
      <b/>
      <sz val="11"/>
      <color theme="3" tint="-0.499984740745262"/>
      <name val="Arial"/>
      <family val="2"/>
    </font>
  </fonts>
  <fills count="39">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theme="0"/>
        <bgColor indexed="64"/>
      </patternFill>
    </fill>
    <fill>
      <patternFill patternType="solid">
        <fgColor theme="3" tint="-0.499984740745262"/>
        <bgColor indexed="64"/>
      </patternFill>
    </fill>
    <fill>
      <patternFill patternType="solid">
        <fgColor theme="4" tint="0.59999389629810485"/>
        <bgColor indexed="64"/>
      </patternFill>
    </fill>
  </fills>
  <borders count="36">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dashDotDot">
        <color auto="1"/>
      </left>
      <right style="dashDotDot">
        <color auto="1"/>
      </right>
      <top style="dashDotDot">
        <color auto="1"/>
      </top>
      <bottom style="dashDotDot">
        <color auto="1"/>
      </bottom>
      <diagonal/>
    </border>
    <border>
      <left/>
      <right/>
      <top style="thin">
        <color indexed="64"/>
      </top>
      <bottom style="double">
        <color indexed="64"/>
      </bottom>
      <diagonal/>
    </border>
    <border>
      <left/>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top/>
      <bottom style="thin">
        <color indexed="64"/>
      </bottom>
      <diagonal/>
    </border>
    <border>
      <left style="hair">
        <color indexed="64"/>
      </left>
      <right/>
      <top/>
      <bottom style="hair">
        <color auto="1"/>
      </bottom>
      <diagonal/>
    </border>
    <border>
      <left/>
      <right style="hair">
        <color indexed="64"/>
      </right>
      <top/>
      <bottom style="hair">
        <color auto="1"/>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2">
    <xf numFmtId="0" fontId="0" fillId="0" borderId="0"/>
    <xf numFmtId="9" fontId="8" fillId="0" borderId="0" applyFont="0" applyFill="0" applyBorder="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9" applyNumberFormat="0" applyAlignment="0" applyProtection="0"/>
    <xf numFmtId="0" fontId="21" fillId="8" borderId="10" applyNumberFormat="0" applyAlignment="0" applyProtection="0"/>
    <xf numFmtId="0" fontId="22" fillId="8" borderId="9" applyNumberFormat="0" applyAlignment="0" applyProtection="0"/>
    <xf numFmtId="0" fontId="23" fillId="0" borderId="11" applyNumberFormat="0" applyFill="0" applyAlignment="0" applyProtection="0"/>
    <xf numFmtId="0" fontId="24" fillId="9" borderId="12"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8" fillId="34" borderId="0" applyNumberFormat="0" applyBorder="0" applyAlignment="0" applyProtection="0"/>
    <xf numFmtId="0" fontId="6" fillId="0" borderId="0"/>
    <xf numFmtId="0" fontId="6" fillId="10" borderId="13" applyNumberFormat="0" applyFont="0" applyAlignment="0" applyProtection="0"/>
    <xf numFmtId="0" fontId="5" fillId="0" borderId="0"/>
    <xf numFmtId="0" fontId="32" fillId="0" borderId="0"/>
    <xf numFmtId="0" fontId="4" fillId="0" borderId="0"/>
    <xf numFmtId="0" fontId="3" fillId="12" borderId="0" applyNumberFormat="0" applyBorder="0" applyAlignment="0" applyProtection="0"/>
    <xf numFmtId="0" fontId="3" fillId="1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 fillId="0" borderId="0"/>
  </cellStyleXfs>
  <cellXfs count="161">
    <xf numFmtId="0" fontId="0" fillId="0" borderId="0" xfId="0"/>
    <xf numFmtId="0" fontId="0" fillId="0" borderId="0" xfId="0" applyAlignment="1">
      <alignment vertical="center"/>
    </xf>
    <xf numFmtId="0" fontId="0" fillId="0" borderId="0" xfId="0" applyAlignment="1">
      <alignment wrapText="1"/>
    </xf>
    <xf numFmtId="0" fontId="0" fillId="3" borderId="1" xfId="0" applyFill="1" applyBorder="1"/>
    <xf numFmtId="0" fontId="7" fillId="0" borderId="0" xfId="0" applyFont="1" applyAlignment="1">
      <alignment vertical="center"/>
    </xf>
    <xf numFmtId="0" fontId="0" fillId="2" borderId="1" xfId="0" applyFill="1" applyBorder="1" applyProtection="1">
      <protection locked="0"/>
    </xf>
    <xf numFmtId="0" fontId="7" fillId="0" borderId="3" xfId="0" applyFont="1" applyBorder="1"/>
    <xf numFmtId="2" fontId="0" fillId="0" borderId="0" xfId="0" applyNumberFormat="1" applyAlignment="1">
      <alignment vertical="center"/>
    </xf>
    <xf numFmtId="0" fontId="0" fillId="0" borderId="0" xfId="0" applyAlignment="1">
      <alignment vertical="center" wrapText="1"/>
    </xf>
    <xf numFmtId="0" fontId="7" fillId="0" borderId="5" xfId="0" applyFont="1" applyBorder="1"/>
    <xf numFmtId="0" fontId="0" fillId="2" borderId="1" xfId="0" applyFill="1" applyBorder="1" applyAlignment="1" applyProtection="1">
      <alignment wrapText="1"/>
      <protection locked="0"/>
    </xf>
    <xf numFmtId="0" fontId="7" fillId="3" borderId="1" xfId="0" applyFont="1" applyFill="1" applyBorder="1"/>
    <xf numFmtId="0" fontId="7" fillId="0" borderId="0" xfId="0" applyFont="1" applyAlignment="1">
      <alignment vertical="center" wrapText="1"/>
    </xf>
    <xf numFmtId="0" fontId="8" fillId="0" borderId="0" xfId="42" applyFont="1"/>
    <xf numFmtId="0" fontId="0" fillId="0" borderId="0" xfId="42" applyFont="1"/>
    <xf numFmtId="9" fontId="0" fillId="0" borderId="0" xfId="0" quotePrefix="1" applyNumberFormat="1"/>
    <xf numFmtId="0" fontId="5" fillId="0" borderId="0" xfId="44"/>
    <xf numFmtId="0" fontId="31" fillId="0" borderId="0" xfId="44" applyFont="1"/>
    <xf numFmtId="0" fontId="31" fillId="35" borderId="0" xfId="44" applyFont="1" applyFill="1"/>
    <xf numFmtId="0" fontId="34" fillId="0" borderId="0" xfId="0" applyFont="1"/>
    <xf numFmtId="2" fontId="34" fillId="0" borderId="0" xfId="0" applyNumberFormat="1" applyFont="1" applyAlignment="1">
      <alignment horizontal="center"/>
    </xf>
    <xf numFmtId="0" fontId="29" fillId="0" borderId="0" xfId="0" applyFont="1"/>
    <xf numFmtId="0" fontId="8" fillId="0" borderId="0" xfId="0" applyFont="1"/>
    <xf numFmtId="0" fontId="35" fillId="37" borderId="0" xfId="18" applyFont="1" applyFill="1"/>
    <xf numFmtId="0" fontId="0" fillId="36" borderId="4" xfId="0" applyFill="1" applyBorder="1" applyAlignment="1">
      <alignment horizontal="left" vertical="center"/>
    </xf>
    <xf numFmtId="0" fontId="7" fillId="13" borderId="0" xfId="20" applyFont="1" applyAlignment="1">
      <alignment vertical="center"/>
    </xf>
    <xf numFmtId="0" fontId="0" fillId="36" borderId="15" xfId="0" applyFill="1" applyBorder="1" applyAlignment="1">
      <alignment horizontal="center" vertical="center"/>
    </xf>
    <xf numFmtId="0" fontId="0" fillId="36" borderId="4" xfId="0" applyFill="1" applyBorder="1" applyAlignment="1">
      <alignment horizontal="center" vertical="center"/>
    </xf>
    <xf numFmtId="0" fontId="0" fillId="36" borderId="19" xfId="0" applyFill="1" applyBorder="1" applyAlignment="1">
      <alignment horizontal="center" vertical="center"/>
    </xf>
    <xf numFmtId="0" fontId="35" fillId="37" borderId="0" xfId="18" applyFont="1" applyFill="1" applyAlignment="1">
      <alignment vertical="center"/>
    </xf>
    <xf numFmtId="0" fontId="36" fillId="0" borderId="0" xfId="18" applyFont="1" applyFill="1" applyAlignment="1">
      <alignment vertical="center"/>
    </xf>
    <xf numFmtId="0" fontId="36" fillId="0" borderId="0" xfId="18" applyFont="1" applyFill="1"/>
    <xf numFmtId="0" fontId="37" fillId="0" borderId="0" xfId="0" applyFont="1"/>
    <xf numFmtId="9" fontId="0" fillId="0" borderId="0" xfId="0" applyNumberFormat="1" applyAlignment="1">
      <alignment vertical="center"/>
    </xf>
    <xf numFmtId="0" fontId="0" fillId="0" borderId="0" xfId="0" applyAlignment="1">
      <alignment horizontal="center" vertical="center"/>
    </xf>
    <xf numFmtId="0" fontId="7" fillId="0" borderId="0" xfId="0" applyFont="1" applyAlignment="1">
      <alignment horizontal="left" vertical="center"/>
    </xf>
    <xf numFmtId="0" fontId="7" fillId="0" borderId="18" xfId="0" applyFont="1" applyBorder="1" applyAlignment="1">
      <alignment horizontal="center" vertical="center"/>
    </xf>
    <xf numFmtId="164" fontId="30" fillId="0" borderId="0" xfId="0" applyNumberFormat="1" applyFont="1" applyAlignment="1">
      <alignment horizontal="center" vertical="center"/>
    </xf>
    <xf numFmtId="0" fontId="7" fillId="0" borderId="18" xfId="0" applyFont="1" applyBorder="1" applyAlignment="1">
      <alignment horizontal="left" vertical="center"/>
    </xf>
    <xf numFmtId="165" fontId="0" fillId="36" borderId="4" xfId="0" applyNumberFormat="1" applyFill="1" applyBorder="1" applyAlignment="1">
      <alignment horizontal="right" vertical="center"/>
    </xf>
    <xf numFmtId="3" fontId="0" fillId="36" borderId="1" xfId="0" applyNumberFormat="1" applyFill="1" applyBorder="1" applyAlignment="1">
      <alignment horizontal="center" vertical="center"/>
    </xf>
    <xf numFmtId="0" fontId="38" fillId="37" borderId="0" xfId="0" applyFont="1" applyFill="1" applyAlignment="1">
      <alignment vertical="center" wrapText="1"/>
    </xf>
    <xf numFmtId="0" fontId="39" fillId="37" borderId="0" xfId="0" applyFont="1" applyFill="1" applyAlignment="1">
      <alignment vertical="center" wrapText="1"/>
    </xf>
    <xf numFmtId="2" fontId="7" fillId="0" borderId="0" xfId="0" applyNumberFormat="1" applyFont="1" applyAlignment="1">
      <alignment vertical="center"/>
    </xf>
    <xf numFmtId="1" fontId="0" fillId="0" borderId="0" xfId="0" applyNumberFormat="1" applyAlignment="1">
      <alignment vertical="center"/>
    </xf>
    <xf numFmtId="9" fontId="0" fillId="36" borderId="1" xfId="1" applyFont="1" applyFill="1" applyBorder="1" applyAlignment="1">
      <alignment horizontal="center" vertical="center"/>
    </xf>
    <xf numFmtId="3" fontId="7" fillId="36" borderId="1" xfId="0" applyNumberFormat="1" applyFont="1" applyFill="1" applyBorder="1" applyAlignment="1">
      <alignment horizontal="center" vertical="center"/>
    </xf>
    <xf numFmtId="0" fontId="7" fillId="36" borderId="4" xfId="0" applyFont="1" applyFill="1" applyBorder="1" applyAlignment="1">
      <alignment horizontal="left" vertical="center"/>
    </xf>
    <xf numFmtId="0" fontId="7" fillId="0" borderId="22" xfId="0" applyFont="1" applyBorder="1" applyAlignment="1">
      <alignment vertical="center" wrapText="1"/>
    </xf>
    <xf numFmtId="0" fontId="7" fillId="36" borderId="22" xfId="0" applyFont="1" applyFill="1" applyBorder="1" applyAlignment="1">
      <alignment horizontal="center" vertical="center" wrapText="1"/>
    </xf>
    <xf numFmtId="0" fontId="0" fillId="0" borderId="22" xfId="0" applyBorder="1" applyAlignment="1">
      <alignment vertical="center" wrapText="1"/>
    </xf>
    <xf numFmtId="0" fontId="0" fillId="0" borderId="23" xfId="0" applyBorder="1" applyAlignment="1">
      <alignment vertical="center"/>
    </xf>
    <xf numFmtId="0" fontId="8" fillId="12" borderId="1" xfId="19" applyFont="1" applyBorder="1" applyAlignment="1" applyProtection="1">
      <alignment horizontal="center" vertical="center"/>
      <protection locked="0"/>
    </xf>
    <xf numFmtId="0" fontId="0" fillId="0" borderId="4" xfId="0" applyBorder="1" applyAlignment="1">
      <alignment vertical="center" wrapText="1"/>
    </xf>
    <xf numFmtId="0" fontId="0" fillId="0" borderId="4" xfId="0" applyBorder="1" applyAlignment="1">
      <alignment horizontal="center" vertical="center" wrapText="1"/>
    </xf>
    <xf numFmtId="0" fontId="7" fillId="0" borderId="0" xfId="0" applyFont="1" applyAlignment="1">
      <alignment horizontal="right" vertical="center" indent="1"/>
    </xf>
    <xf numFmtId="0" fontId="34" fillId="0" borderId="0" xfId="46" applyFont="1"/>
    <xf numFmtId="0" fontId="34" fillId="0" borderId="0" xfId="46" applyFont="1" applyAlignment="1">
      <alignment horizontal="center"/>
    </xf>
    <xf numFmtId="0" fontId="41" fillId="35" borderId="0" xfId="44" applyFont="1" applyFill="1" applyAlignment="1">
      <alignment vertical="center"/>
    </xf>
    <xf numFmtId="3" fontId="7" fillId="36" borderId="3" xfId="0" applyNumberFormat="1" applyFont="1" applyFill="1" applyBorder="1" applyAlignment="1">
      <alignment horizontal="center" vertical="center"/>
    </xf>
    <xf numFmtId="9" fontId="0" fillId="0" borderId="4" xfId="1" applyFont="1" applyBorder="1" applyAlignment="1">
      <alignment horizontal="center" vertical="center" wrapText="1"/>
    </xf>
    <xf numFmtId="2" fontId="0" fillId="0" borderId="4" xfId="0" applyNumberFormat="1" applyBorder="1" applyAlignment="1">
      <alignment horizontal="center" vertical="center" wrapText="1"/>
    </xf>
    <xf numFmtId="164" fontId="30" fillId="38" borderId="0" xfId="0" applyNumberFormat="1" applyFont="1" applyFill="1" applyAlignment="1">
      <alignment horizontal="center" vertical="center"/>
    </xf>
    <xf numFmtId="0" fontId="30" fillId="38" borderId="0" xfId="0" applyFont="1" applyFill="1" applyAlignment="1">
      <alignment horizontal="right" vertical="center"/>
    </xf>
    <xf numFmtId="3" fontId="7" fillId="36" borderId="24" xfId="0" applyNumberFormat="1" applyFont="1" applyFill="1" applyBorder="1" applyAlignment="1">
      <alignment horizontal="center" vertical="center"/>
    </xf>
    <xf numFmtId="0" fontId="39" fillId="37" borderId="0" xfId="0" applyFont="1" applyFill="1" applyAlignment="1">
      <alignment horizontal="center" vertical="center"/>
    </xf>
    <xf numFmtId="3" fontId="7" fillId="36" borderId="20" xfId="0" applyNumberFormat="1" applyFont="1" applyFill="1" applyBorder="1" applyAlignment="1">
      <alignment horizontal="center" vertical="center"/>
    </xf>
    <xf numFmtId="0" fontId="39" fillId="37" borderId="2" xfId="0" applyFont="1" applyFill="1" applyBorder="1" applyAlignment="1">
      <alignment horizontal="center" vertical="center"/>
    </xf>
    <xf numFmtId="0" fontId="39" fillId="37" borderId="21" xfId="0" applyFont="1" applyFill="1" applyBorder="1" applyAlignment="1">
      <alignment horizontal="center" vertical="center"/>
    </xf>
    <xf numFmtId="0" fontId="7" fillId="13" borderId="2" xfId="20" applyFont="1" applyBorder="1" applyAlignment="1">
      <alignment vertical="center"/>
    </xf>
    <xf numFmtId="0" fontId="7" fillId="13" borderId="21" xfId="20" applyFont="1" applyBorder="1" applyAlignment="1">
      <alignment vertical="center"/>
    </xf>
    <xf numFmtId="3" fontId="7" fillId="36" borderId="23" xfId="0" applyNumberFormat="1" applyFont="1" applyFill="1" applyBorder="1" applyAlignment="1">
      <alignment horizontal="center" vertical="center"/>
    </xf>
    <xf numFmtId="0" fontId="8" fillId="12" borderId="23" xfId="19" applyFont="1" applyBorder="1" applyAlignment="1" applyProtection="1">
      <alignment horizontal="center" vertical="center"/>
      <protection locked="0"/>
    </xf>
    <xf numFmtId="0" fontId="8" fillId="0" borderId="1" xfId="19" applyFont="1" applyFill="1" applyBorder="1" applyAlignment="1">
      <alignment horizontal="center" vertical="center"/>
    </xf>
    <xf numFmtId="0" fontId="8" fillId="12" borderId="22" xfId="19" applyFont="1" applyBorder="1" applyAlignment="1" applyProtection="1">
      <alignment horizontal="center" vertical="center"/>
      <protection locked="0"/>
    </xf>
    <xf numFmtId="0" fontId="7" fillId="38" borderId="4" xfId="0" applyFont="1" applyFill="1" applyBorder="1" applyAlignment="1">
      <alignment vertical="center" wrapText="1"/>
    </xf>
    <xf numFmtId="0" fontId="7" fillId="38" borderId="4" xfId="0" applyFont="1" applyFill="1" applyBorder="1" applyAlignment="1">
      <alignment horizontal="center" vertical="center" wrapText="1"/>
    </xf>
    <xf numFmtId="2" fontId="7" fillId="38" borderId="4" xfId="0" applyNumberFormat="1" applyFont="1" applyFill="1" applyBorder="1" applyAlignment="1">
      <alignment horizontal="center" vertical="center" wrapText="1"/>
    </xf>
    <xf numFmtId="0" fontId="42" fillId="12" borderId="17" xfId="19" applyFont="1" applyBorder="1" applyAlignment="1">
      <alignment horizontal="center"/>
    </xf>
    <xf numFmtId="0" fontId="39" fillId="37" borderId="0" xfId="20" applyFont="1" applyFill="1" applyAlignment="1">
      <alignment vertical="center"/>
    </xf>
    <xf numFmtId="0" fontId="39" fillId="37" borderId="0" xfId="20" applyFont="1" applyFill="1" applyAlignment="1">
      <alignment horizontal="center" vertical="center"/>
    </xf>
    <xf numFmtId="9" fontId="0" fillId="0" borderId="1" xfId="1" applyFont="1" applyBorder="1" applyAlignment="1">
      <alignment horizontal="center" vertical="center"/>
    </xf>
    <xf numFmtId="14" fontId="0" fillId="12" borderId="1" xfId="19" applyNumberFormat="1" applyFont="1" applyBorder="1" applyAlignment="1" applyProtection="1">
      <alignment horizontal="center" vertical="center"/>
      <protection locked="0"/>
    </xf>
    <xf numFmtId="3" fontId="0" fillId="36" borderId="0" xfId="0" applyNumberFormat="1" applyFill="1" applyAlignment="1">
      <alignment horizontal="center" vertical="center"/>
    </xf>
    <xf numFmtId="0" fontId="0" fillId="36" borderId="0" xfId="0" applyFill="1" applyAlignment="1">
      <alignment horizontal="center" vertical="center"/>
    </xf>
    <xf numFmtId="0" fontId="0" fillId="36" borderId="25" xfId="0" applyFill="1" applyBorder="1" applyAlignment="1">
      <alignment horizontal="center" vertical="center"/>
    </xf>
    <xf numFmtId="3" fontId="39" fillId="37" borderId="0" xfId="0" applyNumberFormat="1" applyFont="1" applyFill="1" applyAlignment="1">
      <alignment horizontal="center" vertical="center"/>
    </xf>
    <xf numFmtId="0" fontId="7" fillId="36" borderId="19" xfId="0" applyFont="1" applyFill="1" applyBorder="1" applyAlignment="1">
      <alignment horizontal="left" vertical="center" wrapText="1"/>
    </xf>
    <xf numFmtId="0" fontId="0" fillId="0" borderId="25" xfId="0" applyBorder="1" applyAlignment="1">
      <alignment vertical="center"/>
    </xf>
    <xf numFmtId="0" fontId="7" fillId="36" borderId="15" xfId="0" applyFont="1" applyFill="1" applyBorder="1" applyAlignment="1">
      <alignment horizontal="left" vertical="center"/>
    </xf>
    <xf numFmtId="3" fontId="39" fillId="37" borderId="21" xfId="0" applyNumberFormat="1" applyFont="1" applyFill="1" applyBorder="1" applyAlignment="1">
      <alignment horizontal="center" vertical="center"/>
    </xf>
    <xf numFmtId="0" fontId="0" fillId="36" borderId="26" xfId="0" applyFill="1" applyBorder="1" applyAlignment="1">
      <alignment horizontal="center" vertical="center"/>
    </xf>
    <xf numFmtId="0" fontId="0" fillId="36" borderId="27" xfId="0" applyFill="1" applyBorder="1" applyAlignment="1">
      <alignment horizontal="center" vertical="center"/>
    </xf>
    <xf numFmtId="0" fontId="0" fillId="36" borderId="23" xfId="0" applyFill="1" applyBorder="1" applyAlignment="1">
      <alignment horizontal="center" vertical="center"/>
    </xf>
    <xf numFmtId="0" fontId="0" fillId="36" borderId="22" xfId="0" applyFill="1" applyBorder="1" applyAlignment="1">
      <alignment horizontal="center" vertical="center"/>
    </xf>
    <xf numFmtId="0" fontId="0" fillId="36" borderId="28" xfId="0" applyFill="1" applyBorder="1" applyAlignment="1">
      <alignment horizontal="center" vertical="center"/>
    </xf>
    <xf numFmtId="0" fontId="0" fillId="36" borderId="29" xfId="0" applyFill="1" applyBorder="1" applyAlignment="1">
      <alignment horizontal="center" vertical="center"/>
    </xf>
    <xf numFmtId="3" fontId="39" fillId="37" borderId="21" xfId="0" applyNumberFormat="1" applyFont="1" applyFill="1" applyBorder="1" applyAlignment="1">
      <alignment horizontal="center" vertical="center" wrapText="1"/>
    </xf>
    <xf numFmtId="14" fontId="33" fillId="36" borderId="16" xfId="45" applyNumberFormat="1" applyFont="1" applyFill="1" applyBorder="1" applyAlignment="1">
      <alignment horizontal="left" vertical="center" wrapText="1"/>
    </xf>
    <xf numFmtId="0" fontId="39" fillId="37" borderId="2" xfId="0" applyFont="1" applyFill="1" applyBorder="1" applyAlignment="1">
      <alignment horizontal="center" vertical="center" wrapText="1"/>
    </xf>
    <xf numFmtId="0" fontId="39" fillId="37" borderId="0" xfId="0" applyFont="1" applyFill="1" applyAlignment="1">
      <alignment horizontal="center" vertical="center" wrapText="1"/>
    </xf>
    <xf numFmtId="3" fontId="39" fillId="37" borderId="2" xfId="0" applyNumberFormat="1" applyFont="1" applyFill="1" applyBorder="1" applyAlignment="1">
      <alignment horizontal="center" vertical="center" wrapText="1"/>
    </xf>
    <xf numFmtId="0" fontId="8" fillId="12" borderId="4" xfId="19" applyFont="1" applyBorder="1" applyAlignment="1" applyProtection="1">
      <alignment horizontal="center" vertical="center"/>
      <protection locked="0"/>
    </xf>
    <xf numFmtId="0" fontId="0" fillId="0" borderId="4" xfId="0" applyBorder="1" applyAlignment="1">
      <alignment vertical="center"/>
    </xf>
    <xf numFmtId="0" fontId="0" fillId="36" borderId="0" xfId="0" applyFill="1" applyAlignment="1">
      <alignment horizontal="left" vertical="center"/>
    </xf>
    <xf numFmtId="165" fontId="0" fillId="36" borderId="0" xfId="0" applyNumberFormat="1" applyFill="1" applyAlignment="1">
      <alignment horizontal="right" vertical="center"/>
    </xf>
    <xf numFmtId="9" fontId="0" fillId="0" borderId="0" xfId="1" applyFont="1"/>
    <xf numFmtId="0" fontId="0" fillId="0" borderId="32" xfId="0" applyBorder="1" applyAlignment="1">
      <alignment vertical="center"/>
    </xf>
    <xf numFmtId="0" fontId="0" fillId="0" borderId="33" xfId="0" applyBorder="1" applyAlignment="1">
      <alignment vertical="center"/>
    </xf>
    <xf numFmtId="0" fontId="39" fillId="37" borderId="34" xfId="45" applyFont="1" applyFill="1" applyBorder="1" applyAlignment="1">
      <alignment vertical="center" wrapText="1"/>
    </xf>
    <xf numFmtId="0" fontId="0" fillId="0" borderId="30" xfId="0" applyBorder="1" applyAlignment="1">
      <alignment vertical="center"/>
    </xf>
    <xf numFmtId="0" fontId="1" fillId="36" borderId="0" xfId="51" applyFill="1"/>
    <xf numFmtId="0" fontId="46" fillId="0" borderId="16" xfId="0" applyFont="1" applyBorder="1" applyAlignment="1">
      <alignment horizontal="left" vertical="center" wrapText="1"/>
    </xf>
    <xf numFmtId="0" fontId="46" fillId="0" borderId="16" xfId="0" applyFont="1" applyBorder="1" applyAlignment="1">
      <alignment horizontal="left" vertical="center"/>
    </xf>
    <xf numFmtId="3" fontId="33" fillId="36" borderId="0" xfId="45" applyNumberFormat="1" applyFont="1" applyFill="1" applyAlignment="1">
      <alignment vertical="center" wrapText="1"/>
    </xf>
    <xf numFmtId="0" fontId="39" fillId="37" borderId="34" xfId="45" applyFont="1" applyFill="1" applyBorder="1" applyAlignment="1">
      <alignment horizontal="left" vertical="center" wrapText="1"/>
    </xf>
    <xf numFmtId="0" fontId="8" fillId="0" borderId="0" xfId="46" applyFont="1"/>
    <xf numFmtId="0" fontId="8" fillId="0" borderId="16" xfId="46" applyFont="1" applyBorder="1"/>
    <xf numFmtId="0" fontId="0" fillId="0" borderId="16" xfId="46" applyFont="1" applyBorder="1"/>
    <xf numFmtId="0" fontId="0" fillId="0" borderId="31" xfId="0" applyBorder="1" applyAlignment="1">
      <alignment vertical="center"/>
    </xf>
    <xf numFmtId="2" fontId="7" fillId="0" borderId="0" xfId="0" applyNumberFormat="1" applyFont="1" applyAlignment="1">
      <alignment horizontal="center" vertical="center" wrapText="1"/>
    </xf>
    <xf numFmtId="0" fontId="0" fillId="0" borderId="0" xfId="0" applyAlignment="1">
      <alignment horizontal="center" vertical="center" wrapText="1"/>
    </xf>
    <xf numFmtId="0" fontId="44" fillId="0" borderId="4" xfId="0" applyFont="1" applyBorder="1" applyAlignment="1">
      <alignment vertical="center"/>
    </xf>
    <xf numFmtId="2" fontId="7" fillId="0" borderId="4" xfId="0" applyNumberFormat="1" applyFont="1" applyBorder="1" applyAlignment="1">
      <alignment horizontal="center" vertical="center" wrapText="1"/>
    </xf>
    <xf numFmtId="0" fontId="0" fillId="0" borderId="4" xfId="0" applyBorder="1" applyAlignment="1">
      <alignment horizontal="center" vertical="center"/>
    </xf>
    <xf numFmtId="0" fontId="7" fillId="0" borderId="4" xfId="0" applyFont="1" applyBorder="1" applyAlignment="1" applyProtection="1">
      <alignment vertical="center"/>
      <protection hidden="1"/>
    </xf>
    <xf numFmtId="0" fontId="8" fillId="0" borderId="16" xfId="46" applyFont="1" applyBorder="1" applyAlignment="1">
      <alignment wrapText="1"/>
    </xf>
    <xf numFmtId="0" fontId="8" fillId="0" borderId="16" xfId="46" quotePrefix="1" applyFont="1" applyBorder="1" applyAlignment="1">
      <alignment wrapText="1"/>
    </xf>
    <xf numFmtId="0" fontId="8" fillId="0" borderId="16" xfId="0" applyFont="1" applyBorder="1" applyAlignment="1">
      <alignment wrapText="1"/>
    </xf>
    <xf numFmtId="0" fontId="8" fillId="0" borderId="16" xfId="0" applyFont="1" applyBorder="1"/>
    <xf numFmtId="0" fontId="8" fillId="0" borderId="16" xfId="0" quotePrefix="1" applyFont="1" applyBorder="1" applyAlignment="1">
      <alignment wrapText="1"/>
    </xf>
    <xf numFmtId="0" fontId="8" fillId="0" borderId="16" xfId="0" quotePrefix="1" applyFont="1" applyBorder="1"/>
    <xf numFmtId="9" fontId="8" fillId="0" borderId="16" xfId="0" applyNumberFormat="1" applyFont="1" applyBorder="1" applyAlignment="1">
      <alignment wrapText="1"/>
    </xf>
    <xf numFmtId="0" fontId="8" fillId="0" borderId="0" xfId="46" applyFont="1" applyAlignment="1">
      <alignment horizontal="center"/>
    </xf>
    <xf numFmtId="0" fontId="8" fillId="0" borderId="16" xfId="46" quotePrefix="1" applyFont="1" applyBorder="1"/>
    <xf numFmtId="0" fontId="8" fillId="0" borderId="16" xfId="0" applyFont="1" applyBorder="1" applyAlignment="1">
      <alignment vertical="center"/>
    </xf>
    <xf numFmtId="14" fontId="8" fillId="0" borderId="16" xfId="46" applyNumberFormat="1" applyFont="1" applyBorder="1" applyAlignment="1">
      <alignment horizontal="center"/>
    </xf>
    <xf numFmtId="0" fontId="39" fillId="37" borderId="35" xfId="45" applyFont="1" applyFill="1" applyBorder="1" applyAlignment="1">
      <alignment horizontal="center" vertical="center" wrapText="1"/>
    </xf>
    <xf numFmtId="0" fontId="0" fillId="0" borderId="16" xfId="0" quotePrefix="1" applyBorder="1" applyAlignment="1">
      <alignment wrapText="1"/>
    </xf>
    <xf numFmtId="0" fontId="47" fillId="2" borderId="0" xfId="18" applyFont="1" applyFill="1" applyAlignment="1" applyProtection="1">
      <alignment horizontal="center" vertical="center"/>
      <protection locked="0"/>
    </xf>
    <xf numFmtId="10" fontId="0" fillId="38" borderId="4" xfId="0" applyNumberFormat="1" applyFill="1" applyBorder="1" applyAlignment="1" applyProtection="1">
      <alignment vertical="center"/>
      <protection locked="0"/>
    </xf>
    <xf numFmtId="0" fontId="0" fillId="38" borderId="4" xfId="0" applyFill="1" applyBorder="1" applyAlignment="1" applyProtection="1">
      <alignment vertical="center"/>
      <protection locked="0"/>
    </xf>
    <xf numFmtId="0" fontId="39" fillId="37" borderId="33" xfId="45" applyFont="1" applyFill="1" applyBorder="1" applyAlignment="1">
      <alignment horizontal="center" vertical="center" wrapText="1"/>
    </xf>
    <xf numFmtId="0" fontId="39" fillId="37" borderId="25" xfId="45" applyFont="1" applyFill="1" applyBorder="1" applyAlignment="1">
      <alignment horizontal="center" vertical="center" wrapText="1"/>
    </xf>
    <xf numFmtId="0" fontId="35" fillId="35" borderId="0" xfId="46" applyFont="1" applyFill="1" applyAlignment="1">
      <alignment horizontal="left" vertical="center"/>
    </xf>
    <xf numFmtId="0" fontId="45" fillId="36" borderId="25" xfId="51" applyFont="1" applyFill="1" applyBorder="1" applyAlignment="1">
      <alignment horizontal="left"/>
    </xf>
    <xf numFmtId="3" fontId="33" fillId="36" borderId="16" xfId="45" applyNumberFormat="1" applyFont="1" applyFill="1" applyBorder="1" applyAlignment="1">
      <alignment horizontal="left" vertical="center" wrapText="1"/>
    </xf>
    <xf numFmtId="0" fontId="39" fillId="37" borderId="2" xfId="0" applyFont="1" applyFill="1" applyBorder="1" applyAlignment="1">
      <alignment horizontal="center" vertical="center"/>
    </xf>
    <xf numFmtId="0" fontId="39" fillId="37" borderId="0" xfId="0" applyFont="1" applyFill="1" applyAlignment="1">
      <alignment horizontal="center" vertical="center"/>
    </xf>
    <xf numFmtId="0" fontId="39" fillId="37" borderId="21" xfId="0" applyFont="1" applyFill="1" applyBorder="1" applyAlignment="1">
      <alignment horizontal="center" vertical="center"/>
    </xf>
    <xf numFmtId="0" fontId="44" fillId="0" borderId="4" xfId="0" applyFont="1" applyBorder="1" applyAlignment="1">
      <alignment horizontal="left" vertical="center" wrapText="1"/>
    </xf>
    <xf numFmtId="0" fontId="39" fillId="37" borderId="15" xfId="20" applyFont="1" applyFill="1" applyBorder="1" applyAlignment="1">
      <alignment horizontal="center" vertical="center"/>
    </xf>
    <xf numFmtId="3" fontId="39" fillId="37" borderId="2" xfId="0" applyNumberFormat="1" applyFont="1" applyFill="1" applyBorder="1" applyAlignment="1">
      <alignment horizontal="center" vertical="center"/>
    </xf>
    <xf numFmtId="3" fontId="39" fillId="37" borderId="21" xfId="0" applyNumberFormat="1" applyFont="1" applyFill="1" applyBorder="1" applyAlignment="1">
      <alignment horizontal="center" vertical="center"/>
    </xf>
    <xf numFmtId="3" fontId="39" fillId="37" borderId="0" xfId="0" applyNumberFormat="1" applyFont="1" applyFill="1" applyAlignment="1">
      <alignment horizontal="center" vertical="center"/>
    </xf>
    <xf numFmtId="0" fontId="39" fillId="37" borderId="0" xfId="0" applyFont="1" applyFill="1" applyAlignment="1">
      <alignment horizontal="left"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xf>
  </cellXfs>
  <cellStyles count="52">
    <cellStyle name="20% - Accent1" xfId="19" builtinId="30" customBuiltin="1"/>
    <cellStyle name="20% - Accent1 2" xfId="47" xr:uid="{00000000-0005-0000-0000-000001000000}"/>
    <cellStyle name="20% - Accent1 4" xfId="49" xr:uid="{00000000-0005-0000-0000-000002000000}"/>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1 2" xfId="48" xr:uid="{00000000-0005-0000-0000-000009000000}"/>
    <cellStyle name="40% - Accent1 4" xfId="50" xr:uid="{00000000-0005-0000-0000-00000A000000}"/>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2A000000}"/>
    <cellStyle name="Normal 26 2" xfId="51" xr:uid="{00000000-0005-0000-0000-00002B000000}"/>
    <cellStyle name="Normal 3" xfId="44" xr:uid="{00000000-0005-0000-0000-00002C000000}"/>
    <cellStyle name="Normal 3 2" xfId="46" xr:uid="{00000000-0005-0000-0000-00002D000000}"/>
    <cellStyle name="Normal_healthcare edit.xls" xfId="45" xr:uid="{00000000-0005-0000-0000-00002E000000}"/>
    <cellStyle name="Note 2" xfId="43" xr:uid="{00000000-0005-0000-0000-00002F000000}"/>
    <cellStyle name="Output" xfId="11" builtinId="21" customBuiltin="1"/>
    <cellStyle name="Percent" xfId="1" builtinId="5"/>
    <cellStyle name="Title" xfId="2" builtinId="15" customBuiltin="1"/>
    <cellStyle name="Total" xfId="17" builtinId="25" customBuiltin="1"/>
    <cellStyle name="Warning Text" xfId="15" builtinId="11" customBuiltin="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72390</xdr:colOff>
      <xdr:row>10</xdr:row>
      <xdr:rowOff>183798</xdr:rowOff>
    </xdr:to>
    <xdr:grpSp>
      <xdr:nvGrpSpPr>
        <xdr:cNvPr id="18" name="Group 17">
          <a:extLst>
            <a:ext uri="{FF2B5EF4-FFF2-40B4-BE49-F238E27FC236}">
              <a16:creationId xmlns:a16="http://schemas.microsoft.com/office/drawing/2014/main" id="{F1DE2BDC-99FE-43CB-BF54-D3D382ACB54E}"/>
            </a:ext>
          </a:extLst>
        </xdr:cNvPr>
        <xdr:cNvGrpSpPr/>
      </xdr:nvGrpSpPr>
      <xdr:grpSpPr>
        <a:xfrm>
          <a:off x="0" y="0"/>
          <a:ext cx="10041890" cy="1990373"/>
          <a:chOff x="0" y="15241"/>
          <a:chExt cx="9597390" cy="1984023"/>
        </a:xfrm>
      </xdr:grpSpPr>
      <xdr:pic>
        <xdr:nvPicPr>
          <xdr:cNvPr id="19" name="Picture 18">
            <a:extLst>
              <a:ext uri="{FF2B5EF4-FFF2-40B4-BE49-F238E27FC236}">
                <a16:creationId xmlns:a16="http://schemas.microsoft.com/office/drawing/2014/main" id="{ECD3E3C8-4142-487B-9671-8EE368CE50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35240" y="19049"/>
            <a:ext cx="1962150" cy="1980215"/>
          </a:xfrm>
          <a:prstGeom prst="rect">
            <a:avLst/>
          </a:prstGeom>
        </xdr:spPr>
      </xdr:pic>
      <xdr:grpSp>
        <xdr:nvGrpSpPr>
          <xdr:cNvPr id="20" name="Group 19">
            <a:extLst>
              <a:ext uri="{FF2B5EF4-FFF2-40B4-BE49-F238E27FC236}">
                <a16:creationId xmlns:a16="http://schemas.microsoft.com/office/drawing/2014/main" id="{10B74A58-EB9F-4951-886E-2E0AEF6431B7}"/>
              </a:ext>
            </a:extLst>
          </xdr:cNvPr>
          <xdr:cNvGrpSpPr/>
        </xdr:nvGrpSpPr>
        <xdr:grpSpPr>
          <a:xfrm>
            <a:off x="0" y="19051"/>
            <a:ext cx="7677151" cy="1920810"/>
            <a:chOff x="0" y="19051"/>
            <a:chExt cx="7677151" cy="1928430"/>
          </a:xfrm>
        </xdr:grpSpPr>
        <xdr:pic>
          <xdr:nvPicPr>
            <xdr:cNvPr id="21" name="Picture 20">
              <a:extLst>
                <a:ext uri="{FF2B5EF4-FFF2-40B4-BE49-F238E27FC236}">
                  <a16:creationId xmlns:a16="http://schemas.microsoft.com/office/drawing/2014/main" id="{0AD946E8-AE83-46E1-8533-5C1C33E8690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9051"/>
              <a:ext cx="7677151" cy="1868803"/>
            </a:xfrm>
            <a:prstGeom prst="rect">
              <a:avLst/>
            </a:prstGeom>
          </xdr:spPr>
        </xdr:pic>
        <xdr:sp macro="" textlink="">
          <xdr:nvSpPr>
            <xdr:cNvPr id="22" name="Rectangle 21">
              <a:extLst>
                <a:ext uri="{FF2B5EF4-FFF2-40B4-BE49-F238E27FC236}">
                  <a16:creationId xmlns:a16="http://schemas.microsoft.com/office/drawing/2014/main" id="{6D34549A-8EA4-41CD-88C0-1E10B62C7011}"/>
                </a:ext>
              </a:extLst>
            </xdr:cNvPr>
            <xdr:cNvSpPr/>
          </xdr:nvSpPr>
          <xdr:spPr>
            <a:xfrm>
              <a:off x="925830" y="1352550"/>
              <a:ext cx="891540" cy="2476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sp macro="" textlink="">
          <xdr:nvSpPr>
            <xdr:cNvPr id="23" name="TextBox 22">
              <a:extLst>
                <a:ext uri="{FF2B5EF4-FFF2-40B4-BE49-F238E27FC236}">
                  <a16:creationId xmlns:a16="http://schemas.microsoft.com/office/drawing/2014/main" id="{A19A2EAF-FE95-4CD7-9474-ABB06E90232E}"/>
                </a:ext>
              </a:extLst>
            </xdr:cNvPr>
            <xdr:cNvSpPr txBox="1"/>
          </xdr:nvSpPr>
          <xdr:spPr>
            <a:xfrm>
              <a:off x="17145" y="1560195"/>
              <a:ext cx="102579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2000" b="1">
                  <a:solidFill>
                    <a:sysClr val="windowText" lastClr="000000"/>
                  </a:solidFill>
                  <a:latin typeface="+mn-lt"/>
                </a:rPr>
                <a:t>NZv1.0</a:t>
              </a:r>
            </a:p>
          </xdr:txBody>
        </xdr:sp>
      </xdr:grpSp>
    </xdr:grpSp>
    <xdr:clientData/>
  </xdr:twoCellAnchor>
  <xdr:twoCellAnchor>
    <xdr:from>
      <xdr:col>0</xdr:col>
      <xdr:colOff>0</xdr:colOff>
      <xdr:row>13</xdr:row>
      <xdr:rowOff>0</xdr:rowOff>
    </xdr:from>
    <xdr:to>
      <xdr:col>14</xdr:col>
      <xdr:colOff>0</xdr:colOff>
      <xdr:row>44</xdr:row>
      <xdr:rowOff>66261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543175"/>
          <a:ext cx="9525000" cy="5971761"/>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effectLst/>
              <a:latin typeface="Arial" panose="020B0604020202020204" pitchFamily="34" charset="0"/>
              <a:ea typeface="+mn-ea"/>
              <a:cs typeface="Arial" panose="020B0604020202020204" pitchFamily="34" charset="0"/>
            </a:rPr>
            <a:t>The Green Star rating system (‘Green Star Rating System’) and the Green Star Rating Tools (‘Rating Tools’) have been developed by the New Zealand Green Building Council (‘NZGBC’). The Rating Tools are intended for use by project teams, contractors and other interested parties to validate sustainability initiatives of the design and construction phases of eligible projects.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Green Star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any member of the Technical Working Group and any Independent Chair)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All rights reserved.</a:t>
          </a:r>
          <a:endParaRPr lang="en-NZ" sz="1000">
            <a:effectLst/>
            <a:latin typeface="Arial" panose="020B0604020202020204" pitchFamily="34" charset="0"/>
            <a:cs typeface="Arial" panose="020B0604020202020204" pitchFamily="34" charset="0"/>
          </a:endParaRPr>
        </a:p>
      </xdr:txBody>
    </xdr:sp>
    <xdr:clientData/>
  </xdr:twoCellAnchor>
  <xdr:twoCellAnchor>
    <xdr:from>
      <xdr:col>0</xdr:col>
      <xdr:colOff>0</xdr:colOff>
      <xdr:row>5</xdr:row>
      <xdr:rowOff>86553</xdr:rowOff>
    </xdr:from>
    <xdr:to>
      <xdr:col>4</xdr:col>
      <xdr:colOff>551622</xdr:colOff>
      <xdr:row>6</xdr:row>
      <xdr:rowOff>161097</xdr:rowOff>
    </xdr:to>
    <xdr:sp macro="" textlink="">
      <xdr:nvSpPr>
        <xdr:cNvPr id="10" name="TextBox 9">
          <a:extLst>
            <a:ext uri="{FF2B5EF4-FFF2-40B4-BE49-F238E27FC236}">
              <a16:creationId xmlns:a16="http://schemas.microsoft.com/office/drawing/2014/main" id="{5BC7A1BD-593E-4BCA-B569-4CC647858F90}"/>
            </a:ext>
          </a:extLst>
        </xdr:cNvPr>
        <xdr:cNvSpPr txBox="1"/>
      </xdr:nvSpPr>
      <xdr:spPr>
        <a:xfrm>
          <a:off x="0" y="1039053"/>
          <a:ext cx="2990022" cy="2650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NZ" sz="1100" b="1">
              <a:solidFill>
                <a:schemeClr val="dk1"/>
              </a:solidFill>
              <a:effectLst/>
              <a:latin typeface="Arial Black" panose="020B0A04020102020204" pitchFamily="34" charset="0"/>
              <a:ea typeface="+mn-ea"/>
              <a:cs typeface="+mn-cs"/>
            </a:rPr>
            <a:t>15 Modelled Performance Pathway</a:t>
          </a:r>
          <a:endParaRPr lang="en-NZ">
            <a:effectLst/>
            <a:latin typeface="Arial Black" panose="020B0A04020102020204" pitchFamily="34" charset="0"/>
          </a:endParaRPr>
        </a:p>
        <a:p>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1828800</xdr:colOff>
      <xdr:row>123</xdr:row>
      <xdr:rowOff>171448</xdr:rowOff>
    </xdr:from>
    <xdr:to>
      <xdr:col>1</xdr:col>
      <xdr:colOff>643630</xdr:colOff>
      <xdr:row>124</xdr:row>
      <xdr:rowOff>35737</xdr:rowOff>
    </xdr:to>
    <xdr:sp macro="" textlink="">
      <xdr:nvSpPr>
        <xdr:cNvPr id="7" name="Rectangle 6">
          <a:extLst>
            <a:ext uri="{FF2B5EF4-FFF2-40B4-BE49-F238E27FC236}">
              <a16:creationId xmlns:a16="http://schemas.microsoft.com/office/drawing/2014/main" id="{799C2E38-2809-4546-A09F-3EF621F27F6D}"/>
            </a:ext>
          </a:extLst>
        </xdr:cNvPr>
        <xdr:cNvSpPr/>
      </xdr:nvSpPr>
      <xdr:spPr>
        <a:xfrm>
          <a:off x="1828800" y="4810123"/>
          <a:ext cx="700780" cy="45264"/>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NZ" sz="1100">
            <a:solidFill>
              <a:sysClr val="windowText" lastClr="000000"/>
            </a:solidFill>
          </a:endParaRPr>
        </a:p>
      </xdr:txBody>
    </xdr:sp>
    <xdr:clientData/>
  </xdr:twoCellAnchor>
  <xdr:twoCellAnchor editAs="oneCell">
    <xdr:from>
      <xdr:col>0</xdr:col>
      <xdr:colOff>0</xdr:colOff>
      <xdr:row>0</xdr:row>
      <xdr:rowOff>0</xdr:rowOff>
    </xdr:from>
    <xdr:to>
      <xdr:col>7</xdr:col>
      <xdr:colOff>4261</xdr:colOff>
      <xdr:row>8</xdr:row>
      <xdr:rowOff>151438</xdr:rowOff>
    </xdr:to>
    <xdr:pic>
      <xdr:nvPicPr>
        <xdr:cNvPr id="11" name="Picture 10">
          <a:extLst>
            <a:ext uri="{FF2B5EF4-FFF2-40B4-BE49-F238E27FC236}">
              <a16:creationId xmlns:a16="http://schemas.microsoft.com/office/drawing/2014/main" id="{F8ADF850-CD97-4F5B-AAF2-271AD30D30CB}"/>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5</xdr:row>
      <xdr:rowOff>66675</xdr:rowOff>
    </xdr:from>
    <xdr:to>
      <xdr:col>1</xdr:col>
      <xdr:colOff>1104072</xdr:colOff>
      <xdr:row>6</xdr:row>
      <xdr:rowOff>150744</xdr:rowOff>
    </xdr:to>
    <xdr:sp macro="" textlink="">
      <xdr:nvSpPr>
        <xdr:cNvPr id="12" name="TextBox 11">
          <a:extLst>
            <a:ext uri="{FF2B5EF4-FFF2-40B4-BE49-F238E27FC236}">
              <a16:creationId xmlns:a16="http://schemas.microsoft.com/office/drawing/2014/main" id="{EE46C123-0A9A-4418-B5CB-6C5D2B537029}"/>
            </a:ext>
          </a:extLst>
        </xdr:cNvPr>
        <xdr:cNvSpPr txBox="1"/>
      </xdr:nvSpPr>
      <xdr:spPr>
        <a:xfrm>
          <a:off x="0" y="1019175"/>
          <a:ext cx="2990022" cy="2650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NZ" sz="1100" b="1">
              <a:solidFill>
                <a:schemeClr val="dk1"/>
              </a:solidFill>
              <a:effectLst/>
              <a:latin typeface="Arial Black" panose="020B0A04020102020204" pitchFamily="34" charset="0"/>
              <a:ea typeface="+mn-ea"/>
              <a:cs typeface="+mn-cs"/>
            </a:rPr>
            <a:t>15 Modelled Performance Pathway</a:t>
          </a:r>
          <a:endParaRPr lang="en-NZ">
            <a:effectLst/>
            <a:latin typeface="Arial Black" panose="020B0A04020102020204" pitchFamily="34" charset="0"/>
          </a:endParaRPr>
        </a:p>
        <a:p>
          <a:endParaRPr lang="en-NZ"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1020261</xdr:colOff>
      <xdr:row>3</xdr:row>
      <xdr:rowOff>0</xdr:rowOff>
    </xdr:to>
    <xdr:pic>
      <xdr:nvPicPr>
        <xdr:cNvPr id="4" name="Picture 3">
          <a:extLst>
            <a:ext uri="{FF2B5EF4-FFF2-40B4-BE49-F238E27FC236}">
              <a16:creationId xmlns:a16="http://schemas.microsoft.com/office/drawing/2014/main" id="{F83DDF34-3350-47D7-90DF-AF9691AB8F55}"/>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xdr:row>
      <xdr:rowOff>819150</xdr:rowOff>
    </xdr:from>
    <xdr:to>
      <xdr:col>2</xdr:col>
      <xdr:colOff>495300</xdr:colOff>
      <xdr:row>1</xdr:row>
      <xdr:rowOff>1104900</xdr:rowOff>
    </xdr:to>
    <xdr:sp macro="" textlink="">
      <xdr:nvSpPr>
        <xdr:cNvPr id="2" name="TextBox 1">
          <a:extLst>
            <a:ext uri="{FF2B5EF4-FFF2-40B4-BE49-F238E27FC236}">
              <a16:creationId xmlns:a16="http://schemas.microsoft.com/office/drawing/2014/main" id="{7ED5E27F-4BE9-40FE-B7EA-8BC0CF1C93A4}"/>
            </a:ext>
          </a:extLst>
        </xdr:cNvPr>
        <xdr:cNvSpPr txBox="1"/>
      </xdr:nvSpPr>
      <xdr:spPr>
        <a:xfrm>
          <a:off x="0" y="1000125"/>
          <a:ext cx="301942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15 Modelled Performance Pathway</a:t>
          </a: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OLO-MS-FILE01\Greenstar\Tool%20Devt%20&amp;%20Review\02.%20New%20Generation%20Rating%20Tools\GS%20Design%20&amp;%20As%20Built\02.%20Working%20Copy\01.%20Calculators%20and%20Scorecard\15.%20Greenhouse%20Gas%20Emissions\Greenhouse%20Gas%20Emissions%20Calculator_release%202_07042015.xlsx?A4C57EE0" TargetMode="External"/><Relationship Id="rId1" Type="http://schemas.openxmlformats.org/officeDocument/2006/relationships/externalLinkPath" Target="file:///\\A4C57EE0\Greenhouse%20Gas%20Emissions%20Calculator_release%202_0704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LO-MS-FILE01\Greenstar\Tool%20Devt%20&amp;%20Review\GS%20Design%20&amp;%20As%20Built\02.%20Next%20Release\03.%20Submission%20Guidelines\Greenhouse%20Gas%20Emissions%20-%20BASIX%20update\Greenhouse%20Gas%20Emssions%20Calculator%20v1_201501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15.A Prescriptive Path"/>
      <sheetName val="15.B NatHERS Path"/>
      <sheetName val="15.C NABERS Energy Path"/>
      <sheetName val="15.D Modelled Path"/>
      <sheetName val="Multiple Path Calcs"/>
      <sheetName val="Synthetic GHG"/>
      <sheetName val="Reference"/>
    </sheetNames>
    <sheetDataSet>
      <sheetData sheetId="0"/>
      <sheetData sheetId="1"/>
      <sheetData sheetId="2"/>
      <sheetData sheetId="3"/>
      <sheetData sheetId="4"/>
      <sheetData sheetId="5">
        <row r="15">
          <cell r="B15" t="str">
            <v>Grid Electricity</v>
          </cell>
        </row>
        <row r="16">
          <cell r="B16" t="str">
            <v>Natural Gas</v>
          </cell>
        </row>
        <row r="17">
          <cell r="B17" t="str">
            <v>LPG</v>
          </cell>
        </row>
        <row r="18">
          <cell r="B18" t="str">
            <v>Diesel</v>
          </cell>
        </row>
        <row r="19">
          <cell r="B19" t="str">
            <v>Coal</v>
          </cell>
        </row>
        <row r="20">
          <cell r="B20" t="str">
            <v>Biomass</v>
          </cell>
        </row>
        <row r="21">
          <cell r="B21" t="str">
            <v>Liquid Biofuels</v>
          </cell>
        </row>
        <row r="22">
          <cell r="B22" t="str">
            <v>District CHW</v>
          </cell>
        </row>
        <row r="23">
          <cell r="B23" t="str">
            <v>District HHW</v>
          </cell>
        </row>
        <row r="24">
          <cell r="B24" t="str">
            <v>District DHW</v>
          </cell>
        </row>
        <row r="25">
          <cell r="B25" t="str">
            <v>District Electricity (inc GreenPower)</v>
          </cell>
        </row>
      </sheetData>
      <sheetData sheetId="6"/>
      <sheetData sheetId="7"/>
      <sheetData sheetId="8">
        <row r="3">
          <cell r="X3">
            <v>0.5</v>
          </cell>
          <cell r="Y3">
            <v>0</v>
          </cell>
          <cell r="Z3" t="str">
            <v>Yes</v>
          </cell>
          <cell r="AB3" t="str">
            <v>ACT</v>
          </cell>
          <cell r="AC3">
            <v>1.05</v>
          </cell>
          <cell r="AD3">
            <v>6.4129999999999993E-2</v>
          </cell>
          <cell r="AE3" t="str">
            <v>Commercial air conditioning – chillers</v>
          </cell>
          <cell r="AF3">
            <v>0.09</v>
          </cell>
        </row>
        <row r="4">
          <cell r="B4">
            <v>1</v>
          </cell>
          <cell r="X4">
            <v>1</v>
          </cell>
          <cell r="Y4">
            <v>0.5</v>
          </cell>
          <cell r="Z4" t="str">
            <v>No</v>
          </cell>
          <cell r="AB4" t="str">
            <v>NSW</v>
          </cell>
          <cell r="AC4">
            <v>1.05</v>
          </cell>
          <cell r="AD4">
            <v>6.4129999999999993E-2</v>
          </cell>
          <cell r="AE4" t="str">
            <v>Commercial refrigeration – supermarket systems</v>
          </cell>
          <cell r="AF4">
            <v>0.23</v>
          </cell>
        </row>
        <row r="5">
          <cell r="B5">
            <v>2</v>
          </cell>
          <cell r="X5">
            <v>1.5</v>
          </cell>
          <cell r="Y5">
            <v>1</v>
          </cell>
          <cell r="Z5" t="str">
            <v>NA</v>
          </cell>
          <cell r="AB5" t="str">
            <v>NT</v>
          </cell>
          <cell r="AC5">
            <v>0.77</v>
          </cell>
          <cell r="AD5">
            <v>5.1330000000000001E-2</v>
          </cell>
          <cell r="AE5" t="str">
            <v>Industrial refrigeration including food processing and cold storage</v>
          </cell>
          <cell r="AF5">
            <v>0.16</v>
          </cell>
        </row>
        <row r="6">
          <cell r="B6">
            <v>3</v>
          </cell>
          <cell r="X6">
            <v>2</v>
          </cell>
          <cell r="Y6">
            <v>1.5</v>
          </cell>
          <cell r="Z6" t="str">
            <v>Mechanical Cooling</v>
          </cell>
          <cell r="AB6" t="str">
            <v>QLD</v>
          </cell>
          <cell r="AC6">
            <v>0.95</v>
          </cell>
          <cell r="AD6">
            <v>6.003E-2</v>
          </cell>
          <cell r="AE6" t="str">
            <v>Gas insulated switchgear and circuit breaker applications</v>
          </cell>
          <cell r="AF6">
            <v>8.8999999999999999E-3</v>
          </cell>
        </row>
        <row r="7">
          <cell r="B7">
            <v>4</v>
          </cell>
          <cell r="X7">
            <v>2.5</v>
          </cell>
          <cell r="Y7">
            <v>2</v>
          </cell>
          <cell r="Z7" t="str">
            <v>Natural Ventilation</v>
          </cell>
          <cell r="AB7" t="str">
            <v>SA</v>
          </cell>
          <cell r="AC7">
            <v>0.73</v>
          </cell>
          <cell r="AD7">
            <v>6.173E-2</v>
          </cell>
        </row>
        <row r="8">
          <cell r="B8">
            <v>5</v>
          </cell>
          <cell r="X8">
            <v>3</v>
          </cell>
          <cell r="Y8">
            <v>2.5</v>
          </cell>
          <cell r="Z8" t="str">
            <v>Mixed</v>
          </cell>
          <cell r="AB8" t="str">
            <v>TAS</v>
          </cell>
          <cell r="AC8">
            <v>0.22</v>
          </cell>
          <cell r="AD8">
            <v>5.1330000000000001E-2</v>
          </cell>
        </row>
        <row r="9">
          <cell r="B9">
            <v>6</v>
          </cell>
          <cell r="X9">
            <v>3.5</v>
          </cell>
          <cell r="Y9">
            <v>3</v>
          </cell>
          <cell r="Z9" t="str">
            <v>Natural Gas</v>
          </cell>
          <cell r="AB9" t="str">
            <v>VIC</v>
          </cell>
          <cell r="AC9">
            <v>1.32</v>
          </cell>
          <cell r="AD9">
            <v>5.5229999999999994E-2</v>
          </cell>
        </row>
        <row r="10">
          <cell r="B10">
            <v>7</v>
          </cell>
          <cell r="X10">
            <v>4</v>
          </cell>
          <cell r="Y10">
            <v>3.5</v>
          </cell>
          <cell r="Z10" t="str">
            <v>Electric heat pump (COP&gt;3.5)</v>
          </cell>
          <cell r="AB10" t="str">
            <v>WA</v>
          </cell>
          <cell r="AC10">
            <v>0.84</v>
          </cell>
          <cell r="AD10">
            <v>5.5329999999999997E-2</v>
          </cell>
        </row>
        <row r="11">
          <cell r="B11">
            <v>8</v>
          </cell>
          <cell r="X11">
            <v>4.5</v>
          </cell>
          <cell r="Y11">
            <v>4</v>
          </cell>
          <cell r="Z11" t="str">
            <v>Waste or recovered heat</v>
          </cell>
        </row>
        <row r="12">
          <cell r="B12">
            <v>9</v>
          </cell>
          <cell r="X12">
            <v>5</v>
          </cell>
          <cell r="Y12">
            <v>4.5</v>
          </cell>
          <cell r="Z12" t="str">
            <v>Other</v>
          </cell>
        </row>
        <row r="13">
          <cell r="B13">
            <v>10</v>
          </cell>
          <cell r="X13">
            <v>5.5</v>
          </cell>
          <cell r="Y13">
            <v>5</v>
          </cell>
          <cell r="Z13">
            <v>1</v>
          </cell>
        </row>
        <row r="14">
          <cell r="B14">
            <v>11</v>
          </cell>
          <cell r="X14">
            <v>6</v>
          </cell>
          <cell r="Y14">
            <v>5.5</v>
          </cell>
          <cell r="Z14">
            <v>2</v>
          </cell>
        </row>
        <row r="15">
          <cell r="B15">
            <v>12</v>
          </cell>
          <cell r="X15">
            <v>6.5</v>
          </cell>
          <cell r="Y15">
            <v>6</v>
          </cell>
          <cell r="Z15">
            <v>3</v>
          </cell>
        </row>
        <row r="16">
          <cell r="B16">
            <v>13</v>
          </cell>
          <cell r="X16">
            <v>7</v>
          </cell>
          <cell r="Y16">
            <v>7</v>
          </cell>
          <cell r="Z16">
            <v>4</v>
          </cell>
        </row>
        <row r="17">
          <cell r="B17">
            <v>14</v>
          </cell>
          <cell r="X17">
            <v>7.5</v>
          </cell>
          <cell r="Y17">
            <v>8</v>
          </cell>
          <cell r="Z17">
            <v>5</v>
          </cell>
        </row>
        <row r="18">
          <cell r="B18">
            <v>15</v>
          </cell>
          <cell r="X18">
            <v>8</v>
          </cell>
          <cell r="Y18">
            <v>9</v>
          </cell>
          <cell r="Z18">
            <v>6</v>
          </cell>
        </row>
        <row r="19">
          <cell r="B19">
            <v>16</v>
          </cell>
          <cell r="X19">
            <v>8.5</v>
          </cell>
          <cell r="Y19">
            <v>10</v>
          </cell>
          <cell r="Z19">
            <v>7</v>
          </cell>
        </row>
        <row r="20">
          <cell r="B20">
            <v>17</v>
          </cell>
          <cell r="X20">
            <v>9</v>
          </cell>
          <cell r="Z20">
            <v>8</v>
          </cell>
        </row>
        <row r="21">
          <cell r="B21">
            <v>18</v>
          </cell>
          <cell r="X21">
            <v>9.5</v>
          </cell>
          <cell r="Z21">
            <v>9</v>
          </cell>
        </row>
        <row r="22">
          <cell r="B22">
            <v>19</v>
          </cell>
          <cell r="X22">
            <v>10</v>
          </cell>
          <cell r="Z22">
            <v>10</v>
          </cell>
        </row>
        <row r="23">
          <cell r="B23">
            <v>20</v>
          </cell>
          <cell r="Z23" t="str">
            <v>&lt;90%</v>
          </cell>
        </row>
        <row r="24">
          <cell r="B24">
            <v>21</v>
          </cell>
          <cell r="Z24" t="str">
            <v>≥90%</v>
          </cell>
        </row>
        <row r="25">
          <cell r="B25">
            <v>22</v>
          </cell>
        </row>
        <row r="26">
          <cell r="B26">
            <v>23</v>
          </cell>
        </row>
        <row r="27">
          <cell r="B27">
            <v>24</v>
          </cell>
        </row>
        <row r="28">
          <cell r="B28">
            <v>25</v>
          </cell>
        </row>
        <row r="29">
          <cell r="B29">
            <v>26</v>
          </cell>
        </row>
        <row r="30">
          <cell r="B30">
            <v>27</v>
          </cell>
        </row>
        <row r="31">
          <cell r="B31">
            <v>28</v>
          </cell>
        </row>
        <row r="32">
          <cell r="B32">
            <v>29</v>
          </cell>
        </row>
        <row r="33">
          <cell r="B33">
            <v>30</v>
          </cell>
        </row>
        <row r="34">
          <cell r="B34">
            <v>31</v>
          </cell>
        </row>
        <row r="35">
          <cell r="B35">
            <v>32</v>
          </cell>
        </row>
        <row r="36">
          <cell r="B36">
            <v>33</v>
          </cell>
        </row>
        <row r="37">
          <cell r="B37">
            <v>34</v>
          </cell>
        </row>
        <row r="38">
          <cell r="B38">
            <v>35</v>
          </cell>
        </row>
        <row r="39">
          <cell r="B39">
            <v>36</v>
          </cell>
        </row>
        <row r="40">
          <cell r="B40">
            <v>37</v>
          </cell>
        </row>
        <row r="41">
          <cell r="B41">
            <v>38</v>
          </cell>
        </row>
        <row r="42">
          <cell r="B42">
            <v>39</v>
          </cell>
        </row>
        <row r="43">
          <cell r="B43">
            <v>40</v>
          </cell>
        </row>
        <row r="44">
          <cell r="B44">
            <v>41</v>
          </cell>
        </row>
        <row r="45">
          <cell r="B45">
            <v>42</v>
          </cell>
        </row>
        <row r="46">
          <cell r="B46">
            <v>43</v>
          </cell>
        </row>
        <row r="47">
          <cell r="B47">
            <v>44</v>
          </cell>
        </row>
        <row r="48">
          <cell r="B48">
            <v>45</v>
          </cell>
        </row>
        <row r="49">
          <cell r="B49">
            <v>46</v>
          </cell>
        </row>
        <row r="50">
          <cell r="B50">
            <v>47</v>
          </cell>
        </row>
        <row r="51">
          <cell r="B51">
            <v>48</v>
          </cell>
        </row>
        <row r="52">
          <cell r="B52">
            <v>49</v>
          </cell>
        </row>
        <row r="53">
          <cell r="B53">
            <v>50</v>
          </cell>
        </row>
        <row r="54">
          <cell r="B54">
            <v>51</v>
          </cell>
        </row>
        <row r="55">
          <cell r="B55">
            <v>52</v>
          </cell>
        </row>
        <row r="56">
          <cell r="B56">
            <v>53</v>
          </cell>
        </row>
        <row r="57">
          <cell r="B57">
            <v>54</v>
          </cell>
        </row>
        <row r="58">
          <cell r="B58">
            <v>55</v>
          </cell>
        </row>
        <row r="59">
          <cell r="B59">
            <v>56</v>
          </cell>
        </row>
        <row r="60">
          <cell r="B60">
            <v>57</v>
          </cell>
        </row>
        <row r="61">
          <cell r="B61">
            <v>58</v>
          </cell>
        </row>
        <row r="62">
          <cell r="B62">
            <v>59</v>
          </cell>
        </row>
        <row r="63">
          <cell r="B63">
            <v>60</v>
          </cell>
        </row>
        <row r="64">
          <cell r="B64">
            <v>61</v>
          </cell>
        </row>
        <row r="65">
          <cell r="B65">
            <v>62</v>
          </cell>
        </row>
        <row r="66">
          <cell r="B66">
            <v>63</v>
          </cell>
        </row>
        <row r="67">
          <cell r="B67">
            <v>64</v>
          </cell>
        </row>
        <row r="68">
          <cell r="B68">
            <v>65</v>
          </cell>
        </row>
        <row r="69">
          <cell r="B69">
            <v>66</v>
          </cell>
        </row>
        <row r="70">
          <cell r="B70">
            <v>67</v>
          </cell>
        </row>
        <row r="71">
          <cell r="B71">
            <v>68</v>
          </cell>
        </row>
        <row r="72">
          <cell r="B72">
            <v>69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15.A Prescriptive Path"/>
      <sheetName val="15.B NatHERS Path"/>
      <sheetName val="15.B BASIX Path"/>
      <sheetName val="15.C NABERS Energy Path"/>
      <sheetName val="15.D Modelled Path"/>
      <sheetName val="Multiple Path Calcs"/>
      <sheetName val="Synthetic GHG"/>
      <sheetName val="Reference"/>
    </sheetNames>
    <sheetDataSet>
      <sheetData sheetId="0" refreshError="1"/>
      <sheetData sheetId="1" refreshError="1"/>
      <sheetData sheetId="2" refreshError="1"/>
      <sheetData sheetId="3">
        <row r="11">
          <cell r="D11" t="str">
            <v>Yes</v>
          </cell>
        </row>
      </sheetData>
      <sheetData sheetId="4" refreshError="1"/>
      <sheetData sheetId="5" refreshError="1"/>
      <sheetData sheetId="6">
        <row r="15">
          <cell r="B15" t="str">
            <v>Grid Electricity</v>
          </cell>
        </row>
      </sheetData>
      <sheetData sheetId="7" refreshError="1"/>
      <sheetData sheetId="8" refreshError="1"/>
      <sheetData sheetId="9">
        <row r="3">
          <cell r="X3">
            <v>0.5</v>
          </cell>
        </row>
        <row r="76">
          <cell r="B76">
            <v>8</v>
          </cell>
        </row>
        <row r="77">
          <cell r="B77">
            <v>9</v>
          </cell>
        </row>
        <row r="78">
          <cell r="B78">
            <v>10</v>
          </cell>
        </row>
        <row r="79">
          <cell r="B79">
            <v>11</v>
          </cell>
        </row>
        <row r="80">
          <cell r="B80">
            <v>14</v>
          </cell>
        </row>
        <row r="81">
          <cell r="B81">
            <v>15</v>
          </cell>
        </row>
        <row r="82">
          <cell r="B82">
            <v>17</v>
          </cell>
        </row>
        <row r="83">
          <cell r="B83">
            <v>18</v>
          </cell>
        </row>
        <row r="84">
          <cell r="B84">
            <v>19</v>
          </cell>
        </row>
        <row r="85">
          <cell r="B85">
            <v>20</v>
          </cell>
        </row>
        <row r="86">
          <cell r="B86">
            <v>24</v>
          </cell>
        </row>
        <row r="87">
          <cell r="B87">
            <v>25</v>
          </cell>
        </row>
        <row r="88">
          <cell r="B88">
            <v>27</v>
          </cell>
        </row>
        <row r="89">
          <cell r="B89">
            <v>28</v>
          </cell>
        </row>
        <row r="90">
          <cell r="B90">
            <v>46</v>
          </cell>
        </row>
        <row r="91">
          <cell r="B91">
            <v>48</v>
          </cell>
        </row>
        <row r="92">
          <cell r="B92">
            <v>50</v>
          </cell>
        </row>
        <row r="93">
          <cell r="B93">
            <v>56</v>
          </cell>
        </row>
        <row r="94">
          <cell r="B94">
            <v>65</v>
          </cell>
        </row>
        <row r="95">
          <cell r="B95">
            <v>66</v>
          </cell>
        </row>
        <row r="96">
          <cell r="B96">
            <v>69</v>
          </cell>
        </row>
        <row r="100">
          <cell r="B100">
            <v>1</v>
          </cell>
        </row>
        <row r="101">
          <cell r="B101">
            <v>2</v>
          </cell>
        </row>
        <row r="102">
          <cell r="B102">
            <v>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Q13"/>
  <sheetViews>
    <sheetView showGridLines="0" showRowColHeaders="0" zoomScaleNormal="100" workbookViewId="0">
      <selection activeCell="R16" sqref="R16"/>
    </sheetView>
  </sheetViews>
  <sheetFormatPr defaultColWidth="9.08984375" defaultRowHeight="14.5" x14ac:dyDescent="0.35"/>
  <cols>
    <col min="1" max="13" width="9.08984375" style="16"/>
    <col min="14" max="14" width="24" style="16" customWidth="1"/>
    <col min="15" max="16384" width="9.08984375" style="16"/>
  </cols>
  <sheetData>
    <row r="12" spans="1:17" ht="5.25" customHeight="1" x14ac:dyDescent="0.35"/>
    <row r="13" spans="1:17" ht="21" customHeight="1" x14ac:dyDescent="0.35">
      <c r="A13" s="58" t="s">
        <v>186</v>
      </c>
      <c r="B13" s="18"/>
      <c r="C13" s="18"/>
      <c r="D13" s="18"/>
      <c r="E13" s="18"/>
      <c r="F13" s="18"/>
      <c r="G13" s="18"/>
      <c r="H13" s="18"/>
      <c r="I13" s="18"/>
      <c r="J13" s="18"/>
      <c r="K13" s="18"/>
      <c r="L13" s="18"/>
      <c r="M13" s="18"/>
      <c r="N13" s="18"/>
      <c r="O13" s="17"/>
      <c r="P13" s="17"/>
      <c r="Q13" s="17"/>
    </row>
  </sheetData>
  <sheetProtection algorithmName="SHA-512" hashValue="/Jxi0Uh9Y0YzSN7rmXPn8nl2w6CKJJKMxzemTMNTjjFJjn6kcSb51aG7uzIAOI3IG59MaAXasoDAVnImk3L/WA==" saltValue="UZm6Eq415IRd82Mnk0dFBw==" spinCount="100000" sheet="1" objects="1" scenarios="1" selectLockedCells="1" selectUnlockedCells="1"/>
  <customSheetViews>
    <customSheetView guid="{67801018-A747-4E26-8E7A-AFD24B0E5C34}" scale="115" showGridLines="0" showRowCol="0">
      <selection activeCell="B13" sqref="B13"/>
      <pageMargins left="0.7" right="0.7" top="0.75" bottom="0.75" header="0.3" footer="0.3"/>
      <pageSetup paperSize="9" orientation="portrait" horizontalDpi="1200" verticalDpi="1200" r:id="rId1"/>
    </customSheetView>
    <customSheetView guid="{C44C7CB9-EB11-4601-9F52-A2EFBD8C5FF6}" showGridLines="0" showRowCol="0">
      <selection activeCell="Q26" sqref="Q26"/>
      <pageMargins left="0.7" right="0.7" top="0.75" bottom="0.75" header="0.3" footer="0.3"/>
      <pageSetup paperSize="9" orientation="portrait" horizontalDpi="1200" verticalDpi="1200" r:id="rId2"/>
    </customSheetView>
  </customSheetViews>
  <pageMargins left="0.7" right="0.7" top="0.75" bottom="0.75" header="0.3" footer="0.3"/>
  <pageSetup paperSize="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27"/>
  <sheetViews>
    <sheetView showGridLines="0" showRowColHeaders="0" workbookViewId="0">
      <selection activeCell="A128" sqref="A128"/>
    </sheetView>
  </sheetViews>
  <sheetFormatPr defaultColWidth="9.08984375" defaultRowHeight="14" x14ac:dyDescent="0.3"/>
  <cols>
    <col min="1" max="1" width="28.36328125" style="56" customWidth="1"/>
    <col min="2" max="2" width="25" style="57" customWidth="1"/>
    <col min="3" max="3" width="15.6328125" style="56" customWidth="1"/>
    <col min="4" max="5" width="9.08984375" style="56"/>
    <col min="6" max="6" width="28.08984375" style="56" customWidth="1"/>
    <col min="7" max="7" width="28.453125" style="56" customWidth="1"/>
    <col min="8" max="8" width="59.453125" style="56" customWidth="1"/>
    <col min="9" max="9" width="33.08984375" style="56" customWidth="1"/>
    <col min="10" max="10" width="102.90625" style="56" bestFit="1" customWidth="1"/>
    <col min="11" max="16384" width="9.08984375" style="56"/>
  </cols>
  <sheetData>
    <row r="2" spans="1:7" ht="18" customHeight="1" x14ac:dyDescent="0.3"/>
    <row r="8" spans="1:7" ht="48.75" customHeight="1" x14ac:dyDescent="0.3"/>
    <row r="9" spans="1:7" ht="12" customHeight="1" x14ac:dyDescent="0.3"/>
    <row r="10" spans="1:7" hidden="1" x14ac:dyDescent="0.3"/>
    <row r="11" spans="1:7" hidden="1" x14ac:dyDescent="0.3"/>
    <row r="12" spans="1:7" ht="21" customHeight="1" x14ac:dyDescent="0.3">
      <c r="A12" s="144" t="s">
        <v>176</v>
      </c>
      <c r="B12" s="144"/>
      <c r="C12" s="144"/>
      <c r="D12" s="144"/>
      <c r="E12" s="144"/>
      <c r="F12" s="144"/>
      <c r="G12" s="144"/>
    </row>
    <row r="13" spans="1:7" ht="22.5" customHeight="1" x14ac:dyDescent="0.3">
      <c r="A13" s="109"/>
      <c r="B13" s="115" t="s">
        <v>183</v>
      </c>
      <c r="C13" s="142" t="s">
        <v>184</v>
      </c>
      <c r="D13" s="143"/>
      <c r="E13" s="143"/>
      <c r="F13" s="143"/>
      <c r="G13" s="143"/>
    </row>
    <row r="14" spans="1:7" ht="26" x14ac:dyDescent="0.3">
      <c r="A14" s="137" t="s">
        <v>472</v>
      </c>
      <c r="B14" s="98">
        <v>43566</v>
      </c>
      <c r="C14" s="146" t="s">
        <v>185</v>
      </c>
      <c r="D14" s="146"/>
      <c r="E14" s="146"/>
      <c r="F14" s="146"/>
      <c r="G14" s="146"/>
    </row>
    <row r="15" spans="1:7" x14ac:dyDescent="0.3">
      <c r="C15" s="114"/>
      <c r="D15" s="114"/>
      <c r="E15" s="114"/>
      <c r="F15" s="114"/>
      <c r="G15" s="114"/>
    </row>
    <row r="17" spans="1:10" ht="21" hidden="1" x14ac:dyDescent="0.5">
      <c r="A17" s="145" t="s">
        <v>237</v>
      </c>
      <c r="B17" s="145"/>
      <c r="C17" s="145"/>
      <c r="D17" s="145"/>
      <c r="E17" s="145"/>
      <c r="F17" s="145"/>
      <c r="G17" s="145"/>
      <c r="H17" s="145"/>
      <c r="I17" s="111"/>
      <c r="J17" s="111"/>
    </row>
    <row r="18" spans="1:10" ht="26" hidden="1" x14ac:dyDescent="0.3">
      <c r="A18" s="112" t="s">
        <v>238</v>
      </c>
      <c r="B18" s="113" t="s">
        <v>239</v>
      </c>
      <c r="C18" s="113" t="s">
        <v>240</v>
      </c>
      <c r="D18" s="113" t="s">
        <v>241</v>
      </c>
      <c r="E18" s="113" t="s">
        <v>242</v>
      </c>
      <c r="F18" s="113" t="s">
        <v>243</v>
      </c>
      <c r="G18" s="113" t="s">
        <v>244</v>
      </c>
      <c r="H18" s="112" t="s">
        <v>245</v>
      </c>
      <c r="I18" s="112" t="s">
        <v>246</v>
      </c>
      <c r="J18" s="112" t="s">
        <v>202</v>
      </c>
    </row>
    <row r="19" spans="1:10" s="116" customFormat="1" ht="12.5" hidden="1" x14ac:dyDescent="0.25">
      <c r="A19" s="117" t="s">
        <v>362</v>
      </c>
      <c r="B19" s="136">
        <v>42909</v>
      </c>
      <c r="C19" s="117" t="s">
        <v>247</v>
      </c>
      <c r="D19" s="117"/>
      <c r="E19" s="117"/>
      <c r="F19" s="117" t="s">
        <v>227</v>
      </c>
      <c r="G19" s="117" t="s">
        <v>266</v>
      </c>
      <c r="H19" s="126" t="s">
        <v>267</v>
      </c>
      <c r="I19" s="117" t="s">
        <v>258</v>
      </c>
      <c r="J19" s="117" t="s">
        <v>268</v>
      </c>
    </row>
    <row r="20" spans="1:10" s="116" customFormat="1" ht="12.5" hidden="1" x14ac:dyDescent="0.25">
      <c r="A20" s="117" t="s">
        <v>362</v>
      </c>
      <c r="B20" s="136">
        <v>42909</v>
      </c>
      <c r="C20" s="117" t="s">
        <v>247</v>
      </c>
      <c r="D20" s="117"/>
      <c r="E20" s="117"/>
      <c r="F20" s="117" t="s">
        <v>227</v>
      </c>
      <c r="G20" s="117" t="s">
        <v>324</v>
      </c>
      <c r="H20" s="127" t="s">
        <v>325</v>
      </c>
      <c r="I20" s="117" t="s">
        <v>258</v>
      </c>
      <c r="J20" s="117" t="s">
        <v>272</v>
      </c>
    </row>
    <row r="21" spans="1:10" s="116" customFormat="1" ht="12.5" hidden="1" x14ac:dyDescent="0.25">
      <c r="A21" s="117" t="s">
        <v>362</v>
      </c>
      <c r="B21" s="136">
        <v>42909</v>
      </c>
      <c r="C21" s="117" t="s">
        <v>247</v>
      </c>
      <c r="D21" s="117"/>
      <c r="E21" s="117"/>
      <c r="F21" s="117" t="s">
        <v>227</v>
      </c>
      <c r="G21" s="117" t="s">
        <v>316</v>
      </c>
      <c r="H21" s="127" t="s">
        <v>319</v>
      </c>
      <c r="I21" s="117" t="s">
        <v>258</v>
      </c>
      <c r="J21" s="117" t="s">
        <v>272</v>
      </c>
    </row>
    <row r="22" spans="1:10" s="116" customFormat="1" ht="12.5" hidden="1" x14ac:dyDescent="0.25">
      <c r="A22" s="117" t="s">
        <v>362</v>
      </c>
      <c r="B22" s="136">
        <v>42909</v>
      </c>
      <c r="C22" s="117" t="s">
        <v>247</v>
      </c>
      <c r="D22" s="117"/>
      <c r="E22" s="117"/>
      <c r="F22" s="117" t="s">
        <v>227</v>
      </c>
      <c r="G22" s="117" t="s">
        <v>317</v>
      </c>
      <c r="H22" s="127" t="s">
        <v>320</v>
      </c>
      <c r="I22" s="117" t="s">
        <v>258</v>
      </c>
      <c r="J22" s="117" t="s">
        <v>272</v>
      </c>
    </row>
    <row r="23" spans="1:10" s="116" customFormat="1" ht="12.5" hidden="1" x14ac:dyDescent="0.25">
      <c r="A23" s="117" t="s">
        <v>362</v>
      </c>
      <c r="B23" s="136">
        <v>42909</v>
      </c>
      <c r="C23" s="117" t="s">
        <v>247</v>
      </c>
      <c r="D23" s="117"/>
      <c r="E23" s="117"/>
      <c r="F23" s="117" t="s">
        <v>227</v>
      </c>
      <c r="G23" s="117" t="s">
        <v>318</v>
      </c>
      <c r="H23" s="127" t="s">
        <v>321</v>
      </c>
      <c r="I23" s="117" t="s">
        <v>258</v>
      </c>
      <c r="J23" s="117" t="s">
        <v>272</v>
      </c>
    </row>
    <row r="24" spans="1:10" s="116" customFormat="1" ht="12.5" hidden="1" x14ac:dyDescent="0.25">
      <c r="A24" s="117" t="s">
        <v>362</v>
      </c>
      <c r="B24" s="136">
        <v>42909</v>
      </c>
      <c r="C24" s="117" t="s">
        <v>247</v>
      </c>
      <c r="D24" s="117"/>
      <c r="E24" s="117"/>
      <c r="F24" s="117" t="s">
        <v>227</v>
      </c>
      <c r="G24" s="117" t="s">
        <v>322</v>
      </c>
      <c r="H24" s="127" t="s">
        <v>323</v>
      </c>
      <c r="I24" s="117" t="s">
        <v>258</v>
      </c>
      <c r="J24" s="117" t="s">
        <v>272</v>
      </c>
    </row>
    <row r="25" spans="1:10" s="116" customFormat="1" ht="12.5" hidden="1" x14ac:dyDescent="0.25">
      <c r="A25" s="117" t="s">
        <v>362</v>
      </c>
      <c r="B25" s="136">
        <v>42909</v>
      </c>
      <c r="C25" s="117" t="s">
        <v>247</v>
      </c>
      <c r="D25" s="117"/>
      <c r="E25" s="117"/>
      <c r="F25" s="117" t="s">
        <v>227</v>
      </c>
      <c r="G25" s="117" t="s">
        <v>269</v>
      </c>
      <c r="H25" s="128" t="s">
        <v>264</v>
      </c>
      <c r="I25" s="117" t="s">
        <v>258</v>
      </c>
      <c r="J25" s="117" t="s">
        <v>272</v>
      </c>
    </row>
    <row r="26" spans="1:10" s="116" customFormat="1" ht="25" hidden="1" x14ac:dyDescent="0.25">
      <c r="A26" s="117" t="s">
        <v>362</v>
      </c>
      <c r="B26" s="136">
        <v>42909</v>
      </c>
      <c r="C26" s="117" t="s">
        <v>247</v>
      </c>
      <c r="D26" s="117"/>
      <c r="E26" s="117"/>
      <c r="F26" s="117" t="s">
        <v>227</v>
      </c>
      <c r="G26" s="117" t="s">
        <v>270</v>
      </c>
      <c r="H26" s="127" t="s">
        <v>271</v>
      </c>
      <c r="I26" s="117" t="s">
        <v>258</v>
      </c>
      <c r="J26" s="118" t="s">
        <v>272</v>
      </c>
    </row>
    <row r="27" spans="1:10" hidden="1" x14ac:dyDescent="0.3">
      <c r="A27" s="117" t="s">
        <v>362</v>
      </c>
      <c r="B27" s="136">
        <v>42915</v>
      </c>
      <c r="C27" s="117" t="s">
        <v>247</v>
      </c>
      <c r="D27" s="117"/>
      <c r="E27" s="129"/>
      <c r="F27" s="129" t="s">
        <v>227</v>
      </c>
      <c r="G27" s="129" t="s">
        <v>414</v>
      </c>
      <c r="H27" s="129"/>
      <c r="I27" s="117" t="s">
        <v>456</v>
      </c>
      <c r="J27" s="117" t="s">
        <v>457</v>
      </c>
    </row>
    <row r="28" spans="1:10" hidden="1" x14ac:dyDescent="0.3">
      <c r="A28" s="117" t="s">
        <v>362</v>
      </c>
      <c r="B28" s="136">
        <v>42915</v>
      </c>
      <c r="C28" s="117" t="s">
        <v>247</v>
      </c>
      <c r="D28" s="117"/>
      <c r="E28" s="129"/>
      <c r="F28" s="129" t="s">
        <v>227</v>
      </c>
      <c r="G28" s="129" t="s">
        <v>415</v>
      </c>
      <c r="H28" s="129"/>
      <c r="I28" s="117"/>
      <c r="J28" s="117" t="s">
        <v>460</v>
      </c>
    </row>
    <row r="29" spans="1:10" hidden="1" x14ac:dyDescent="0.3">
      <c r="A29" s="117" t="s">
        <v>362</v>
      </c>
      <c r="B29" s="136">
        <v>42915</v>
      </c>
      <c r="C29" s="117" t="s">
        <v>247</v>
      </c>
      <c r="D29" s="117"/>
      <c r="E29" s="129"/>
      <c r="F29" s="129" t="s">
        <v>227</v>
      </c>
      <c r="G29" s="129" t="s">
        <v>419</v>
      </c>
      <c r="H29" s="129"/>
      <c r="I29" s="117"/>
      <c r="J29" s="117" t="s">
        <v>459</v>
      </c>
    </row>
    <row r="30" spans="1:10" hidden="1" x14ac:dyDescent="0.3">
      <c r="A30" s="117" t="s">
        <v>362</v>
      </c>
      <c r="B30" s="136">
        <v>42915</v>
      </c>
      <c r="C30" s="117" t="s">
        <v>247</v>
      </c>
      <c r="D30" s="117"/>
      <c r="E30" s="129"/>
      <c r="F30" s="129" t="s">
        <v>227</v>
      </c>
      <c r="G30" s="129" t="s">
        <v>416</v>
      </c>
      <c r="H30" s="129">
        <v>10</v>
      </c>
      <c r="I30" s="117">
        <v>5</v>
      </c>
      <c r="J30" s="117" t="s">
        <v>458</v>
      </c>
    </row>
    <row r="31" spans="1:10" hidden="1" x14ac:dyDescent="0.3">
      <c r="A31" s="117" t="s">
        <v>362</v>
      </c>
      <c r="B31" s="136">
        <v>42915</v>
      </c>
      <c r="C31" s="117" t="s">
        <v>247</v>
      </c>
      <c r="D31" s="117"/>
      <c r="E31" s="129"/>
      <c r="F31" s="129" t="s">
        <v>227</v>
      </c>
      <c r="G31" s="129" t="s">
        <v>296</v>
      </c>
      <c r="H31" s="129" t="s">
        <v>413</v>
      </c>
      <c r="I31" s="129" t="s">
        <v>258</v>
      </c>
      <c r="J31" s="117" t="s">
        <v>461</v>
      </c>
    </row>
    <row r="32" spans="1:10" hidden="1" x14ac:dyDescent="0.3">
      <c r="A32" s="117" t="s">
        <v>362</v>
      </c>
      <c r="B32" s="136">
        <v>42915</v>
      </c>
      <c r="C32" s="117" t="s">
        <v>247</v>
      </c>
      <c r="D32" s="117"/>
      <c r="E32" s="129"/>
      <c r="F32" s="129" t="s">
        <v>227</v>
      </c>
      <c r="G32" s="129" t="s">
        <v>417</v>
      </c>
      <c r="H32" s="129">
        <v>5</v>
      </c>
      <c r="I32" s="129" t="s">
        <v>258</v>
      </c>
      <c r="J32" s="117" t="s">
        <v>461</v>
      </c>
    </row>
    <row r="33" spans="1:10" hidden="1" x14ac:dyDescent="0.3">
      <c r="A33" s="117" t="s">
        <v>362</v>
      </c>
      <c r="B33" s="136">
        <v>42915</v>
      </c>
      <c r="C33" s="117" t="s">
        <v>247</v>
      </c>
      <c r="D33" s="117"/>
      <c r="E33" s="129"/>
      <c r="F33" s="129" t="s">
        <v>227</v>
      </c>
      <c r="G33" s="129" t="s">
        <v>298</v>
      </c>
      <c r="H33" s="129">
        <v>2</v>
      </c>
      <c r="I33" s="129" t="s">
        <v>258</v>
      </c>
      <c r="J33" s="117" t="s">
        <v>461</v>
      </c>
    </row>
    <row r="34" spans="1:10" hidden="1" x14ac:dyDescent="0.3">
      <c r="A34" s="117" t="s">
        <v>362</v>
      </c>
      <c r="B34" s="136">
        <v>42915</v>
      </c>
      <c r="C34" s="117" t="s">
        <v>247</v>
      </c>
      <c r="D34" s="117"/>
      <c r="E34" s="129"/>
      <c r="F34" s="129" t="s">
        <v>227</v>
      </c>
      <c r="G34" s="129" t="s">
        <v>418</v>
      </c>
      <c r="H34" s="129" t="s">
        <v>235</v>
      </c>
      <c r="I34" s="129" t="s">
        <v>258</v>
      </c>
      <c r="J34" s="117" t="s">
        <v>462</v>
      </c>
    </row>
    <row r="35" spans="1:10" hidden="1" x14ac:dyDescent="0.3">
      <c r="A35" s="117" t="s">
        <v>362</v>
      </c>
      <c r="B35" s="136">
        <v>42915</v>
      </c>
      <c r="C35" s="117" t="s">
        <v>247</v>
      </c>
      <c r="D35" s="117"/>
      <c r="E35" s="129"/>
      <c r="F35" s="129" t="s">
        <v>227</v>
      </c>
      <c r="G35" s="129" t="s">
        <v>420</v>
      </c>
      <c r="H35" s="129" t="s">
        <v>421</v>
      </c>
      <c r="I35" s="129" t="s">
        <v>258</v>
      </c>
      <c r="J35" s="117" t="s">
        <v>463</v>
      </c>
    </row>
    <row r="36" spans="1:10" hidden="1" x14ac:dyDescent="0.3">
      <c r="A36" s="117" t="s">
        <v>362</v>
      </c>
      <c r="B36" s="136">
        <v>42915</v>
      </c>
      <c r="C36" s="117" t="s">
        <v>247</v>
      </c>
      <c r="D36" s="117"/>
      <c r="E36" s="129"/>
      <c r="F36" s="129" t="s">
        <v>227</v>
      </c>
      <c r="G36" s="129" t="s">
        <v>422</v>
      </c>
      <c r="H36" s="129" t="s">
        <v>445</v>
      </c>
      <c r="I36" s="129" t="s">
        <v>258</v>
      </c>
      <c r="J36" s="117" t="s">
        <v>463</v>
      </c>
    </row>
    <row r="37" spans="1:10" hidden="1" x14ac:dyDescent="0.3">
      <c r="A37" s="117" t="s">
        <v>362</v>
      </c>
      <c r="B37" s="136">
        <v>42915</v>
      </c>
      <c r="C37" s="117" t="s">
        <v>247</v>
      </c>
      <c r="D37" s="117"/>
      <c r="E37" s="129"/>
      <c r="F37" s="129" t="s">
        <v>227</v>
      </c>
      <c r="G37" s="129" t="s">
        <v>423</v>
      </c>
      <c r="H37" s="129" t="s">
        <v>424</v>
      </c>
      <c r="I37" s="129" t="s">
        <v>258</v>
      </c>
      <c r="J37" s="117" t="s">
        <v>463</v>
      </c>
    </row>
    <row r="38" spans="1:10" hidden="1" x14ac:dyDescent="0.3">
      <c r="A38" s="117" t="s">
        <v>362</v>
      </c>
      <c r="B38" s="136">
        <v>42915</v>
      </c>
      <c r="C38" s="117" t="s">
        <v>247</v>
      </c>
      <c r="D38" s="117"/>
      <c r="E38" s="129"/>
      <c r="F38" s="129" t="s">
        <v>227</v>
      </c>
      <c r="G38" s="129" t="s">
        <v>425</v>
      </c>
      <c r="H38" s="129" t="s">
        <v>426</v>
      </c>
      <c r="I38" s="117"/>
      <c r="J38" s="117" t="s">
        <v>464</v>
      </c>
    </row>
    <row r="39" spans="1:10" s="116" customFormat="1" ht="12.5" hidden="1" x14ac:dyDescent="0.25">
      <c r="A39" s="117" t="s">
        <v>362</v>
      </c>
      <c r="B39" s="136">
        <v>42909</v>
      </c>
      <c r="C39" s="117" t="s">
        <v>247</v>
      </c>
      <c r="D39" s="117"/>
      <c r="E39" s="117"/>
      <c r="F39" s="129" t="s">
        <v>228</v>
      </c>
      <c r="G39" s="129" t="s">
        <v>303</v>
      </c>
      <c r="H39" s="128" t="s">
        <v>304</v>
      </c>
      <c r="I39" s="129" t="s">
        <v>258</v>
      </c>
      <c r="J39" s="117" t="s">
        <v>272</v>
      </c>
    </row>
    <row r="40" spans="1:10" s="116" customFormat="1" ht="12.5" hidden="1" x14ac:dyDescent="0.25">
      <c r="A40" s="117" t="s">
        <v>362</v>
      </c>
      <c r="B40" s="136">
        <v>42909</v>
      </c>
      <c r="C40" s="117" t="s">
        <v>247</v>
      </c>
      <c r="D40" s="117"/>
      <c r="E40" s="117"/>
      <c r="F40" s="129" t="s">
        <v>228</v>
      </c>
      <c r="G40" s="129" t="s">
        <v>305</v>
      </c>
      <c r="H40" s="128" t="s">
        <v>306</v>
      </c>
      <c r="I40" s="129" t="s">
        <v>258</v>
      </c>
      <c r="J40" s="117" t="s">
        <v>272</v>
      </c>
    </row>
    <row r="41" spans="1:10" s="116" customFormat="1" ht="12.5" hidden="1" x14ac:dyDescent="0.25">
      <c r="A41" s="117" t="s">
        <v>362</v>
      </c>
      <c r="B41" s="136">
        <v>42909</v>
      </c>
      <c r="C41" s="117" t="s">
        <v>247</v>
      </c>
      <c r="D41" s="117"/>
      <c r="E41" s="117"/>
      <c r="F41" s="129" t="s">
        <v>228</v>
      </c>
      <c r="G41" s="129" t="s">
        <v>307</v>
      </c>
      <c r="H41" s="128" t="s">
        <v>308</v>
      </c>
      <c r="I41" s="129" t="s">
        <v>258</v>
      </c>
      <c r="J41" s="117" t="s">
        <v>272</v>
      </c>
    </row>
    <row r="42" spans="1:10" s="116" customFormat="1" ht="12.5" hidden="1" x14ac:dyDescent="0.25">
      <c r="A42" s="117" t="s">
        <v>362</v>
      </c>
      <c r="B42" s="136">
        <v>42909</v>
      </c>
      <c r="C42" s="117" t="s">
        <v>247</v>
      </c>
      <c r="D42" s="117"/>
      <c r="E42" s="117"/>
      <c r="F42" s="129" t="s">
        <v>228</v>
      </c>
      <c r="G42" s="129" t="s">
        <v>309</v>
      </c>
      <c r="H42" s="128" t="s">
        <v>310</v>
      </c>
      <c r="I42" s="129" t="s">
        <v>258</v>
      </c>
      <c r="J42" s="117" t="s">
        <v>272</v>
      </c>
    </row>
    <row r="43" spans="1:10" s="116" customFormat="1" ht="12.5" hidden="1" x14ac:dyDescent="0.25">
      <c r="A43" s="117" t="s">
        <v>362</v>
      </c>
      <c r="B43" s="136">
        <v>42909</v>
      </c>
      <c r="C43" s="117" t="s">
        <v>247</v>
      </c>
      <c r="D43" s="117"/>
      <c r="E43" s="117"/>
      <c r="F43" s="129" t="s">
        <v>228</v>
      </c>
      <c r="G43" s="129" t="s">
        <v>311</v>
      </c>
      <c r="H43" s="128" t="s">
        <v>312</v>
      </c>
      <c r="I43" s="129" t="s">
        <v>258</v>
      </c>
      <c r="J43" s="117" t="s">
        <v>272</v>
      </c>
    </row>
    <row r="44" spans="1:10" s="116" customFormat="1" ht="12.5" hidden="1" x14ac:dyDescent="0.25">
      <c r="A44" s="117" t="s">
        <v>362</v>
      </c>
      <c r="B44" s="136">
        <v>42909</v>
      </c>
      <c r="C44" s="117" t="s">
        <v>247</v>
      </c>
      <c r="D44" s="117"/>
      <c r="E44" s="117"/>
      <c r="F44" s="129" t="s">
        <v>228</v>
      </c>
      <c r="G44" s="129" t="s">
        <v>313</v>
      </c>
      <c r="H44" s="128" t="s">
        <v>264</v>
      </c>
      <c r="I44" s="129" t="s">
        <v>258</v>
      </c>
      <c r="J44" s="117" t="s">
        <v>272</v>
      </c>
    </row>
    <row r="45" spans="1:10" s="116" customFormat="1" ht="25" hidden="1" x14ac:dyDescent="0.25">
      <c r="A45" s="117" t="s">
        <v>362</v>
      </c>
      <c r="B45" s="136">
        <v>42909</v>
      </c>
      <c r="C45" s="117" t="s">
        <v>247</v>
      </c>
      <c r="D45" s="117"/>
      <c r="E45" s="117"/>
      <c r="F45" s="129" t="s">
        <v>228</v>
      </c>
      <c r="G45" s="129" t="s">
        <v>314</v>
      </c>
      <c r="H45" s="128" t="s">
        <v>315</v>
      </c>
      <c r="I45" s="129" t="s">
        <v>258</v>
      </c>
      <c r="J45" s="117" t="s">
        <v>272</v>
      </c>
    </row>
    <row r="46" spans="1:10" s="116" customFormat="1" ht="12.5" hidden="1" x14ac:dyDescent="0.25">
      <c r="A46" s="117" t="s">
        <v>362</v>
      </c>
      <c r="B46" s="136">
        <v>42909</v>
      </c>
      <c r="C46" s="117" t="s">
        <v>247</v>
      </c>
      <c r="D46" s="117"/>
      <c r="E46" s="117"/>
      <c r="F46" s="129" t="s">
        <v>228</v>
      </c>
      <c r="G46" s="117" t="s">
        <v>360</v>
      </c>
      <c r="H46" s="127" t="s">
        <v>359</v>
      </c>
      <c r="I46" s="129" t="s">
        <v>258</v>
      </c>
      <c r="J46" s="117" t="s">
        <v>368</v>
      </c>
    </row>
    <row r="47" spans="1:10" s="116" customFormat="1" ht="12.5" hidden="1" x14ac:dyDescent="0.25">
      <c r="A47" s="117" t="s">
        <v>362</v>
      </c>
      <c r="B47" s="136">
        <v>42909</v>
      </c>
      <c r="C47" s="117" t="s">
        <v>247</v>
      </c>
      <c r="D47" s="117"/>
      <c r="E47" s="117"/>
      <c r="F47" s="129" t="s">
        <v>228</v>
      </c>
      <c r="G47" s="117" t="s">
        <v>358</v>
      </c>
      <c r="H47" s="127" t="s">
        <v>361</v>
      </c>
      <c r="I47" s="129" t="s">
        <v>258</v>
      </c>
      <c r="J47" s="117" t="s">
        <v>368</v>
      </c>
    </row>
    <row r="48" spans="1:10" s="116" customFormat="1" ht="12.5" hidden="1" x14ac:dyDescent="0.25">
      <c r="A48" s="117" t="s">
        <v>362</v>
      </c>
      <c r="B48" s="136">
        <v>42909</v>
      </c>
      <c r="C48" s="117" t="s">
        <v>247</v>
      </c>
      <c r="D48" s="117"/>
      <c r="E48" s="117"/>
      <c r="F48" s="129" t="s">
        <v>228</v>
      </c>
      <c r="G48" s="129" t="s">
        <v>355</v>
      </c>
      <c r="H48" s="128" t="s">
        <v>356</v>
      </c>
      <c r="I48" s="129" t="s">
        <v>357</v>
      </c>
      <c r="J48" s="117" t="s">
        <v>368</v>
      </c>
    </row>
    <row r="49" spans="1:10" hidden="1" x14ac:dyDescent="0.3">
      <c r="A49" s="117" t="s">
        <v>362</v>
      </c>
      <c r="B49" s="136">
        <v>42915</v>
      </c>
      <c r="C49" s="117" t="s">
        <v>247</v>
      </c>
      <c r="D49" s="117"/>
      <c r="E49" s="129"/>
      <c r="F49" s="129" t="s">
        <v>228</v>
      </c>
      <c r="G49" s="129" t="s">
        <v>429</v>
      </c>
      <c r="H49" s="129"/>
      <c r="I49" s="117" t="s">
        <v>456</v>
      </c>
      <c r="J49" s="117" t="s">
        <v>457</v>
      </c>
    </row>
    <row r="50" spans="1:10" hidden="1" x14ac:dyDescent="0.3">
      <c r="A50" s="117" t="s">
        <v>362</v>
      </c>
      <c r="B50" s="136">
        <v>42915</v>
      </c>
      <c r="C50" s="117" t="s">
        <v>247</v>
      </c>
      <c r="D50" s="117"/>
      <c r="E50" s="129"/>
      <c r="F50" s="129" t="s">
        <v>228</v>
      </c>
      <c r="G50" s="129" t="s">
        <v>430</v>
      </c>
      <c r="H50" s="129"/>
      <c r="I50" s="117"/>
      <c r="J50" s="117" t="s">
        <v>460</v>
      </c>
    </row>
    <row r="51" spans="1:10" hidden="1" x14ac:dyDescent="0.3">
      <c r="A51" s="117" t="s">
        <v>362</v>
      </c>
      <c r="B51" s="136">
        <v>42915</v>
      </c>
      <c r="C51" s="117" t="s">
        <v>247</v>
      </c>
      <c r="D51" s="117"/>
      <c r="E51" s="129"/>
      <c r="F51" s="129" t="s">
        <v>228</v>
      </c>
      <c r="G51" s="129" t="s">
        <v>431</v>
      </c>
      <c r="H51" s="129">
        <v>16</v>
      </c>
      <c r="I51" s="117">
        <v>12</v>
      </c>
      <c r="J51" s="117" t="s">
        <v>458</v>
      </c>
    </row>
    <row r="52" spans="1:10" hidden="1" x14ac:dyDescent="0.3">
      <c r="A52" s="117" t="s">
        <v>362</v>
      </c>
      <c r="B52" s="136">
        <v>42915</v>
      </c>
      <c r="C52" s="117" t="s">
        <v>247</v>
      </c>
      <c r="D52" s="117"/>
      <c r="E52" s="129"/>
      <c r="F52" s="129" t="s">
        <v>228</v>
      </c>
      <c r="G52" s="129" t="s">
        <v>432</v>
      </c>
      <c r="H52" s="129" t="s">
        <v>235</v>
      </c>
      <c r="I52" s="117"/>
      <c r="J52" s="117" t="s">
        <v>462</v>
      </c>
    </row>
    <row r="53" spans="1:10" hidden="1" x14ac:dyDescent="0.3">
      <c r="A53" s="117" t="s">
        <v>362</v>
      </c>
      <c r="B53" s="136">
        <v>42915</v>
      </c>
      <c r="C53" s="117" t="s">
        <v>247</v>
      </c>
      <c r="D53" s="117"/>
      <c r="E53" s="129"/>
      <c r="F53" s="129" t="s">
        <v>228</v>
      </c>
      <c r="G53" s="129" t="s">
        <v>433</v>
      </c>
      <c r="H53" s="129">
        <v>2</v>
      </c>
      <c r="I53" s="117"/>
      <c r="J53" s="117" t="s">
        <v>461</v>
      </c>
    </row>
    <row r="54" spans="1:10" hidden="1" x14ac:dyDescent="0.3">
      <c r="A54" s="117" t="s">
        <v>362</v>
      </c>
      <c r="B54" s="136">
        <v>42915</v>
      </c>
      <c r="C54" s="117" t="s">
        <v>247</v>
      </c>
      <c r="D54" s="117"/>
      <c r="E54" s="129"/>
      <c r="F54" s="129" t="s">
        <v>228</v>
      </c>
      <c r="G54" s="129" t="s">
        <v>434</v>
      </c>
      <c r="H54" s="129">
        <v>5</v>
      </c>
      <c r="I54" s="117"/>
      <c r="J54" s="117" t="s">
        <v>461</v>
      </c>
    </row>
    <row r="55" spans="1:10" hidden="1" x14ac:dyDescent="0.3">
      <c r="A55" s="117" t="s">
        <v>362</v>
      </c>
      <c r="B55" s="136">
        <v>42915</v>
      </c>
      <c r="C55" s="117" t="s">
        <v>247</v>
      </c>
      <c r="D55" s="117"/>
      <c r="E55" s="129"/>
      <c r="F55" s="129" t="s">
        <v>228</v>
      </c>
      <c r="G55" s="129" t="s">
        <v>435</v>
      </c>
      <c r="H55" s="129" t="s">
        <v>427</v>
      </c>
      <c r="I55" s="117"/>
      <c r="J55" s="117" t="s">
        <v>461</v>
      </c>
    </row>
    <row r="56" spans="1:10" hidden="1" x14ac:dyDescent="0.3">
      <c r="A56" s="117" t="s">
        <v>362</v>
      </c>
      <c r="B56" s="136">
        <v>42915</v>
      </c>
      <c r="C56" s="117" t="s">
        <v>247</v>
      </c>
      <c r="D56" s="117"/>
      <c r="E56" s="129"/>
      <c r="F56" s="129" t="s">
        <v>228</v>
      </c>
      <c r="G56" s="129" t="s">
        <v>436</v>
      </c>
      <c r="H56" s="131" t="s">
        <v>455</v>
      </c>
      <c r="I56" s="117"/>
      <c r="J56" s="117" t="s">
        <v>463</v>
      </c>
    </row>
    <row r="57" spans="1:10" hidden="1" x14ac:dyDescent="0.3">
      <c r="A57" s="117" t="s">
        <v>362</v>
      </c>
      <c r="B57" s="136">
        <v>42915</v>
      </c>
      <c r="C57" s="117" t="s">
        <v>247</v>
      </c>
      <c r="D57" s="117"/>
      <c r="E57" s="129"/>
      <c r="F57" s="129" t="s">
        <v>228</v>
      </c>
      <c r="G57" s="129" t="s">
        <v>446</v>
      </c>
      <c r="H57" s="131" t="s">
        <v>454</v>
      </c>
      <c r="I57" s="117"/>
      <c r="J57" s="117" t="s">
        <v>463</v>
      </c>
    </row>
    <row r="58" spans="1:10" hidden="1" x14ac:dyDescent="0.3">
      <c r="A58" s="117" t="s">
        <v>362</v>
      </c>
      <c r="B58" s="136">
        <v>42915</v>
      </c>
      <c r="C58" s="117" t="s">
        <v>247</v>
      </c>
      <c r="D58" s="117"/>
      <c r="E58" s="129"/>
      <c r="F58" s="129" t="s">
        <v>228</v>
      </c>
      <c r="G58" s="129" t="s">
        <v>437</v>
      </c>
      <c r="H58" s="129" t="s">
        <v>438</v>
      </c>
      <c r="I58" s="117"/>
      <c r="J58" s="117" t="s">
        <v>463</v>
      </c>
    </row>
    <row r="59" spans="1:10" hidden="1" x14ac:dyDescent="0.3">
      <c r="A59" s="117" t="s">
        <v>362</v>
      </c>
      <c r="B59" s="136">
        <v>42915</v>
      </c>
      <c r="C59" s="117" t="s">
        <v>247</v>
      </c>
      <c r="D59" s="117"/>
      <c r="E59" s="129"/>
      <c r="F59" s="129" t="s">
        <v>228</v>
      </c>
      <c r="G59" s="129" t="s">
        <v>439</v>
      </c>
      <c r="H59" s="129" t="s">
        <v>440</v>
      </c>
      <c r="I59" s="117"/>
      <c r="J59" s="117" t="s">
        <v>464</v>
      </c>
    </row>
    <row r="60" spans="1:10" s="116" customFormat="1" ht="12.5" hidden="1" x14ac:dyDescent="0.25">
      <c r="A60" s="117" t="s">
        <v>362</v>
      </c>
      <c r="B60" s="136">
        <v>42909</v>
      </c>
      <c r="C60" s="117" t="s">
        <v>247</v>
      </c>
      <c r="D60" s="117"/>
      <c r="E60" s="117"/>
      <c r="F60" s="129" t="s">
        <v>229</v>
      </c>
      <c r="G60" s="129" t="s">
        <v>280</v>
      </c>
      <c r="H60" s="128" t="s">
        <v>281</v>
      </c>
      <c r="I60" s="129" t="s">
        <v>258</v>
      </c>
      <c r="J60" s="117" t="s">
        <v>272</v>
      </c>
    </row>
    <row r="61" spans="1:10" s="116" customFormat="1" ht="12.5" hidden="1" x14ac:dyDescent="0.25">
      <c r="A61" s="117" t="s">
        <v>362</v>
      </c>
      <c r="B61" s="136">
        <v>42909</v>
      </c>
      <c r="C61" s="117" t="s">
        <v>247</v>
      </c>
      <c r="D61" s="117"/>
      <c r="E61" s="117"/>
      <c r="F61" s="129" t="s">
        <v>229</v>
      </c>
      <c r="G61" s="129" t="s">
        <v>282</v>
      </c>
      <c r="H61" s="128" t="s">
        <v>283</v>
      </c>
      <c r="I61" s="129" t="s">
        <v>258</v>
      </c>
      <c r="J61" s="117" t="s">
        <v>272</v>
      </c>
    </row>
    <row r="62" spans="1:10" s="116" customFormat="1" ht="12.5" hidden="1" x14ac:dyDescent="0.25">
      <c r="A62" s="117" t="s">
        <v>362</v>
      </c>
      <c r="B62" s="136">
        <v>42909</v>
      </c>
      <c r="C62" s="117" t="s">
        <v>247</v>
      </c>
      <c r="D62" s="117"/>
      <c r="E62" s="117"/>
      <c r="F62" s="129" t="s">
        <v>229</v>
      </c>
      <c r="G62" s="129" t="s">
        <v>284</v>
      </c>
      <c r="H62" s="128" t="s">
        <v>285</v>
      </c>
      <c r="I62" s="129" t="s">
        <v>258</v>
      </c>
      <c r="J62" s="117" t="s">
        <v>272</v>
      </c>
    </row>
    <row r="63" spans="1:10" s="116" customFormat="1" ht="12.5" hidden="1" x14ac:dyDescent="0.25">
      <c r="A63" s="117" t="s">
        <v>362</v>
      </c>
      <c r="B63" s="136">
        <v>42909</v>
      </c>
      <c r="C63" s="117" t="s">
        <v>247</v>
      </c>
      <c r="D63" s="117"/>
      <c r="E63" s="117"/>
      <c r="F63" s="129" t="s">
        <v>229</v>
      </c>
      <c r="G63" s="129" t="s">
        <v>286</v>
      </c>
      <c r="H63" s="128" t="s">
        <v>264</v>
      </c>
      <c r="I63" s="129" t="s">
        <v>258</v>
      </c>
      <c r="J63" s="117" t="s">
        <v>272</v>
      </c>
    </row>
    <row r="64" spans="1:10" s="116" customFormat="1" ht="12.5" hidden="1" x14ac:dyDescent="0.25">
      <c r="A64" s="117" t="s">
        <v>362</v>
      </c>
      <c r="B64" s="136">
        <v>42909</v>
      </c>
      <c r="C64" s="117" t="s">
        <v>247</v>
      </c>
      <c r="D64" s="117"/>
      <c r="E64" s="117"/>
      <c r="F64" s="129" t="s">
        <v>229</v>
      </c>
      <c r="G64" s="129" t="s">
        <v>287</v>
      </c>
      <c r="H64" s="128" t="s">
        <v>288</v>
      </c>
      <c r="I64" s="129" t="s">
        <v>258</v>
      </c>
      <c r="J64" s="117" t="s">
        <v>272</v>
      </c>
    </row>
    <row r="65" spans="1:10" s="116" customFormat="1" ht="25" hidden="1" x14ac:dyDescent="0.25">
      <c r="A65" s="117" t="s">
        <v>362</v>
      </c>
      <c r="B65" s="136">
        <v>42909</v>
      </c>
      <c r="C65" s="117" t="s">
        <v>247</v>
      </c>
      <c r="D65" s="117"/>
      <c r="E65" s="117"/>
      <c r="F65" s="129" t="s">
        <v>229</v>
      </c>
      <c r="G65" s="129" t="s">
        <v>289</v>
      </c>
      <c r="H65" s="128" t="s">
        <v>290</v>
      </c>
      <c r="I65" s="129" t="s">
        <v>258</v>
      </c>
      <c r="J65" s="117" t="s">
        <v>272</v>
      </c>
    </row>
    <row r="66" spans="1:10" s="116" customFormat="1" ht="12.5" hidden="1" x14ac:dyDescent="0.25">
      <c r="A66" s="117" t="s">
        <v>362</v>
      </c>
      <c r="B66" s="136">
        <v>42909</v>
      </c>
      <c r="C66" s="117" t="s">
        <v>247</v>
      </c>
      <c r="D66" s="117"/>
      <c r="E66" s="117"/>
      <c r="F66" s="129" t="s">
        <v>229</v>
      </c>
      <c r="G66" s="129" t="s">
        <v>291</v>
      </c>
      <c r="H66" s="128" t="s">
        <v>279</v>
      </c>
      <c r="I66" s="129" t="s">
        <v>258</v>
      </c>
      <c r="J66" s="117" t="s">
        <v>272</v>
      </c>
    </row>
    <row r="67" spans="1:10" hidden="1" x14ac:dyDescent="0.3">
      <c r="A67" s="117" t="s">
        <v>362</v>
      </c>
      <c r="B67" s="136">
        <v>42915</v>
      </c>
      <c r="C67" s="117" t="s">
        <v>247</v>
      </c>
      <c r="D67" s="117"/>
      <c r="E67" s="129"/>
      <c r="F67" s="129" t="s">
        <v>229</v>
      </c>
      <c r="G67" s="129" t="s">
        <v>441</v>
      </c>
      <c r="H67" s="129" t="s">
        <v>235</v>
      </c>
      <c r="I67" s="117"/>
      <c r="J67" s="117" t="s">
        <v>462</v>
      </c>
    </row>
    <row r="68" spans="1:10" hidden="1" x14ac:dyDescent="0.3">
      <c r="A68" s="117" t="s">
        <v>362</v>
      </c>
      <c r="B68" s="136">
        <v>42915</v>
      </c>
      <c r="C68" s="117" t="s">
        <v>247</v>
      </c>
      <c r="D68" s="117"/>
      <c r="E68" s="129"/>
      <c r="F68" s="129" t="s">
        <v>229</v>
      </c>
      <c r="G68" s="129" t="s">
        <v>442</v>
      </c>
      <c r="H68" s="129" t="s">
        <v>428</v>
      </c>
      <c r="I68" s="117"/>
      <c r="J68" s="117" t="s">
        <v>461</v>
      </c>
    </row>
    <row r="69" spans="1:10" hidden="1" x14ac:dyDescent="0.3">
      <c r="A69" s="117" t="s">
        <v>362</v>
      </c>
      <c r="B69" s="136">
        <v>42915</v>
      </c>
      <c r="C69" s="117" t="s">
        <v>247</v>
      </c>
      <c r="D69" s="117"/>
      <c r="E69" s="129"/>
      <c r="F69" s="129" t="s">
        <v>229</v>
      </c>
      <c r="G69" s="129" t="s">
        <v>443</v>
      </c>
      <c r="H69" s="129">
        <v>2</v>
      </c>
      <c r="I69" s="117"/>
      <c r="J69" s="117" t="s">
        <v>461</v>
      </c>
    </row>
    <row r="70" spans="1:10" hidden="1" x14ac:dyDescent="0.3">
      <c r="A70" s="117" t="s">
        <v>362</v>
      </c>
      <c r="B70" s="136">
        <v>42915</v>
      </c>
      <c r="C70" s="117" t="s">
        <v>247</v>
      </c>
      <c r="D70" s="117"/>
      <c r="E70" s="129"/>
      <c r="F70" s="129" t="s">
        <v>229</v>
      </c>
      <c r="G70" s="129" t="s">
        <v>444</v>
      </c>
      <c r="H70" s="129">
        <v>5</v>
      </c>
      <c r="I70" s="117"/>
      <c r="J70" s="117" t="s">
        <v>461</v>
      </c>
    </row>
    <row r="71" spans="1:10" hidden="1" x14ac:dyDescent="0.3">
      <c r="A71" s="117" t="s">
        <v>362</v>
      </c>
      <c r="B71" s="136">
        <v>42915</v>
      </c>
      <c r="C71" s="117" t="s">
        <v>247</v>
      </c>
      <c r="D71" s="117"/>
      <c r="E71" s="129"/>
      <c r="F71" s="129" t="s">
        <v>229</v>
      </c>
      <c r="G71" s="129" t="s">
        <v>447</v>
      </c>
      <c r="H71" s="129" t="s">
        <v>448</v>
      </c>
      <c r="I71" s="117"/>
      <c r="J71" s="117" t="s">
        <v>463</v>
      </c>
    </row>
    <row r="72" spans="1:10" hidden="1" x14ac:dyDescent="0.3">
      <c r="A72" s="117" t="s">
        <v>362</v>
      </c>
      <c r="B72" s="136">
        <v>42915</v>
      </c>
      <c r="C72" s="117" t="s">
        <v>247</v>
      </c>
      <c r="D72" s="117"/>
      <c r="E72" s="129"/>
      <c r="F72" s="129" t="s">
        <v>229</v>
      </c>
      <c r="G72" s="129" t="s">
        <v>449</v>
      </c>
      <c r="H72" s="131" t="s">
        <v>465</v>
      </c>
      <c r="I72" s="117"/>
      <c r="J72" s="117" t="s">
        <v>463</v>
      </c>
    </row>
    <row r="73" spans="1:10" hidden="1" x14ac:dyDescent="0.3">
      <c r="A73" s="117" t="s">
        <v>362</v>
      </c>
      <c r="B73" s="136">
        <v>42915</v>
      </c>
      <c r="C73" s="117" t="s">
        <v>247</v>
      </c>
      <c r="D73" s="117"/>
      <c r="E73" s="129"/>
      <c r="F73" s="129" t="s">
        <v>229</v>
      </c>
      <c r="G73" s="129" t="s">
        <v>450</v>
      </c>
      <c r="H73" s="129" t="s">
        <v>451</v>
      </c>
      <c r="I73" s="117"/>
      <c r="J73" s="117" t="s">
        <v>463</v>
      </c>
    </row>
    <row r="74" spans="1:10" hidden="1" x14ac:dyDescent="0.3">
      <c r="A74" s="117" t="s">
        <v>362</v>
      </c>
      <c r="B74" s="136">
        <v>42915</v>
      </c>
      <c r="C74" s="117" t="s">
        <v>247</v>
      </c>
      <c r="D74" s="117"/>
      <c r="E74" s="129"/>
      <c r="F74" s="129" t="s">
        <v>229</v>
      </c>
      <c r="G74" s="129" t="s">
        <v>452</v>
      </c>
      <c r="H74" s="129" t="s">
        <v>453</v>
      </c>
      <c r="I74" s="117"/>
      <c r="J74" s="117" t="s">
        <v>464</v>
      </c>
    </row>
    <row r="75" spans="1:10" s="116" customFormat="1" ht="12.5" hidden="1" x14ac:dyDescent="0.25">
      <c r="A75" s="117" t="s">
        <v>362</v>
      </c>
      <c r="B75" s="136">
        <v>42909</v>
      </c>
      <c r="C75" s="117" t="s">
        <v>247</v>
      </c>
      <c r="D75" s="117"/>
      <c r="E75" s="117"/>
      <c r="F75" s="129" t="s">
        <v>230</v>
      </c>
      <c r="G75" s="129" t="s">
        <v>292</v>
      </c>
      <c r="H75" s="128" t="s">
        <v>293</v>
      </c>
      <c r="I75" s="129" t="s">
        <v>258</v>
      </c>
      <c r="J75" s="117" t="s">
        <v>272</v>
      </c>
    </row>
    <row r="76" spans="1:10" s="116" customFormat="1" ht="12.5" hidden="1" x14ac:dyDescent="0.25">
      <c r="A76" s="117" t="s">
        <v>362</v>
      </c>
      <c r="B76" s="136">
        <v>42909</v>
      </c>
      <c r="C76" s="117" t="s">
        <v>247</v>
      </c>
      <c r="D76" s="117"/>
      <c r="E76" s="117"/>
      <c r="F76" s="129" t="s">
        <v>230</v>
      </c>
      <c r="G76" s="129" t="s">
        <v>294</v>
      </c>
      <c r="H76" s="128" t="s">
        <v>295</v>
      </c>
      <c r="I76" s="129" t="s">
        <v>258</v>
      </c>
      <c r="J76" s="117" t="s">
        <v>272</v>
      </c>
    </row>
    <row r="77" spans="1:10" s="116" customFormat="1" ht="12.5" hidden="1" x14ac:dyDescent="0.25">
      <c r="A77" s="117" t="s">
        <v>362</v>
      </c>
      <c r="B77" s="136">
        <v>42909</v>
      </c>
      <c r="C77" s="117" t="s">
        <v>247</v>
      </c>
      <c r="D77" s="117"/>
      <c r="E77" s="117"/>
      <c r="F77" s="129" t="s">
        <v>230</v>
      </c>
      <c r="G77" s="129" t="s">
        <v>296</v>
      </c>
      <c r="H77" s="128" t="s">
        <v>297</v>
      </c>
      <c r="I77" s="129" t="s">
        <v>258</v>
      </c>
      <c r="J77" s="117" t="s">
        <v>272</v>
      </c>
    </row>
    <row r="78" spans="1:10" s="116" customFormat="1" ht="12.5" hidden="1" x14ac:dyDescent="0.25">
      <c r="A78" s="117" t="s">
        <v>362</v>
      </c>
      <c r="B78" s="136">
        <v>42909</v>
      </c>
      <c r="C78" s="117" t="s">
        <v>247</v>
      </c>
      <c r="D78" s="117"/>
      <c r="E78" s="117"/>
      <c r="F78" s="129" t="s">
        <v>230</v>
      </c>
      <c r="G78" s="129" t="s">
        <v>298</v>
      </c>
      <c r="H78" s="128" t="s">
        <v>299</v>
      </c>
      <c r="I78" s="129" t="s">
        <v>258</v>
      </c>
      <c r="J78" s="117" t="s">
        <v>272</v>
      </c>
    </row>
    <row r="79" spans="1:10" s="116" customFormat="1" ht="12.5" hidden="1" x14ac:dyDescent="0.25">
      <c r="A79" s="117" t="s">
        <v>362</v>
      </c>
      <c r="B79" s="136">
        <v>42909</v>
      </c>
      <c r="C79" s="117" t="s">
        <v>247</v>
      </c>
      <c r="D79" s="117"/>
      <c r="E79" s="117"/>
      <c r="F79" s="129" t="s">
        <v>230</v>
      </c>
      <c r="G79" s="129" t="s">
        <v>300</v>
      </c>
      <c r="H79" s="128" t="s">
        <v>264</v>
      </c>
      <c r="I79" s="129" t="s">
        <v>258</v>
      </c>
      <c r="J79" s="117" t="s">
        <v>272</v>
      </c>
    </row>
    <row r="80" spans="1:10" s="116" customFormat="1" ht="25" hidden="1" x14ac:dyDescent="0.25">
      <c r="A80" s="117" t="s">
        <v>362</v>
      </c>
      <c r="B80" s="136">
        <v>42909</v>
      </c>
      <c r="C80" s="117" t="s">
        <v>247</v>
      </c>
      <c r="D80" s="117"/>
      <c r="E80" s="117"/>
      <c r="F80" s="129" t="s">
        <v>230</v>
      </c>
      <c r="G80" s="129" t="s">
        <v>301</v>
      </c>
      <c r="H80" s="128" t="s">
        <v>302</v>
      </c>
      <c r="I80" s="129" t="s">
        <v>258</v>
      </c>
      <c r="J80" s="117" t="s">
        <v>272</v>
      </c>
    </row>
    <row r="81" spans="1:10" s="116" customFormat="1" ht="12.5" hidden="1" x14ac:dyDescent="0.25">
      <c r="A81" s="117" t="s">
        <v>362</v>
      </c>
      <c r="B81" s="136">
        <v>42909</v>
      </c>
      <c r="C81" s="117" t="s">
        <v>247</v>
      </c>
      <c r="D81" s="117"/>
      <c r="E81" s="117"/>
      <c r="F81" s="129" t="s">
        <v>230</v>
      </c>
      <c r="G81" s="129" t="s">
        <v>373</v>
      </c>
      <c r="H81" s="130" t="s">
        <v>468</v>
      </c>
      <c r="I81" s="131" t="s">
        <v>374</v>
      </c>
      <c r="J81" s="117" t="s">
        <v>375</v>
      </c>
    </row>
    <row r="82" spans="1:10" s="116" customFormat="1" ht="12.5" hidden="1" x14ac:dyDescent="0.25">
      <c r="A82" s="117"/>
      <c r="B82" s="136"/>
      <c r="C82" s="117" t="s">
        <v>247</v>
      </c>
      <c r="D82" s="117"/>
      <c r="E82" s="117"/>
      <c r="F82" s="129"/>
      <c r="G82" s="129" t="s">
        <v>466</v>
      </c>
      <c r="H82" s="130">
        <v>16</v>
      </c>
      <c r="I82" s="131">
        <v>20</v>
      </c>
      <c r="J82" s="117" t="s">
        <v>467</v>
      </c>
    </row>
    <row r="83" spans="1:10" s="116" customFormat="1" ht="12.5" hidden="1" x14ac:dyDescent="0.25">
      <c r="A83" s="117" t="s">
        <v>362</v>
      </c>
      <c r="B83" s="136">
        <v>42909</v>
      </c>
      <c r="C83" s="117" t="s">
        <v>247</v>
      </c>
      <c r="D83" s="117"/>
      <c r="E83" s="117"/>
      <c r="F83" s="129" t="s">
        <v>231</v>
      </c>
      <c r="G83" s="129" t="s">
        <v>330</v>
      </c>
      <c r="H83" s="128" t="s">
        <v>326</v>
      </c>
      <c r="I83" s="129" t="s">
        <v>258</v>
      </c>
      <c r="J83" s="117" t="s">
        <v>363</v>
      </c>
    </row>
    <row r="84" spans="1:10" s="116" customFormat="1" ht="12.5" hidden="1" x14ac:dyDescent="0.25">
      <c r="A84" s="117" t="s">
        <v>362</v>
      </c>
      <c r="B84" s="136">
        <v>42909</v>
      </c>
      <c r="C84" s="117" t="s">
        <v>247</v>
      </c>
      <c r="D84" s="117"/>
      <c r="E84" s="117"/>
      <c r="F84" s="129" t="s">
        <v>231</v>
      </c>
      <c r="G84" s="129" t="s">
        <v>331</v>
      </c>
      <c r="H84" s="128" t="s">
        <v>327</v>
      </c>
      <c r="I84" s="129" t="s">
        <v>258</v>
      </c>
      <c r="J84" s="117" t="s">
        <v>365</v>
      </c>
    </row>
    <row r="85" spans="1:10" s="116" customFormat="1" ht="12.5" hidden="1" x14ac:dyDescent="0.25">
      <c r="A85" s="117" t="s">
        <v>362</v>
      </c>
      <c r="B85" s="136">
        <v>42909</v>
      </c>
      <c r="C85" s="117" t="s">
        <v>247</v>
      </c>
      <c r="D85" s="117"/>
      <c r="E85" s="117"/>
      <c r="F85" s="129" t="s">
        <v>231</v>
      </c>
      <c r="G85" s="129" t="s">
        <v>332</v>
      </c>
      <c r="H85" s="128" t="s">
        <v>328</v>
      </c>
      <c r="I85" s="129" t="s">
        <v>258</v>
      </c>
      <c r="J85" s="117" t="s">
        <v>364</v>
      </c>
    </row>
    <row r="86" spans="1:10" s="116" customFormat="1" ht="25" hidden="1" x14ac:dyDescent="0.25">
      <c r="A86" s="117" t="s">
        <v>362</v>
      </c>
      <c r="B86" s="136">
        <v>42909</v>
      </c>
      <c r="C86" s="117" t="s">
        <v>247</v>
      </c>
      <c r="D86" s="117"/>
      <c r="E86" s="117"/>
      <c r="F86" s="129" t="s">
        <v>231</v>
      </c>
      <c r="G86" s="129" t="s">
        <v>333</v>
      </c>
      <c r="H86" s="128" t="s">
        <v>236</v>
      </c>
      <c r="I86" s="129" t="s">
        <v>258</v>
      </c>
      <c r="J86" s="117" t="s">
        <v>366</v>
      </c>
    </row>
    <row r="87" spans="1:10" s="116" customFormat="1" ht="12.5" hidden="1" x14ac:dyDescent="0.25">
      <c r="A87" s="117" t="s">
        <v>362</v>
      </c>
      <c r="B87" s="136">
        <v>42909</v>
      </c>
      <c r="C87" s="117" t="s">
        <v>247</v>
      </c>
      <c r="D87" s="117"/>
      <c r="E87" s="117"/>
      <c r="F87" s="129" t="s">
        <v>231</v>
      </c>
      <c r="G87" s="129" t="s">
        <v>334</v>
      </c>
      <c r="H87" s="128" t="s">
        <v>235</v>
      </c>
      <c r="I87" s="129" t="s">
        <v>258</v>
      </c>
      <c r="J87" s="117" t="s">
        <v>366</v>
      </c>
    </row>
    <row r="88" spans="1:10" hidden="1" x14ac:dyDescent="0.3">
      <c r="A88" s="117" t="s">
        <v>362</v>
      </c>
      <c r="B88" s="136">
        <v>42909</v>
      </c>
      <c r="C88" s="117" t="s">
        <v>247</v>
      </c>
      <c r="D88" s="117"/>
      <c r="E88" s="117"/>
      <c r="F88" s="129" t="s">
        <v>231</v>
      </c>
      <c r="G88" s="129" t="s">
        <v>335</v>
      </c>
      <c r="H88" s="128" t="s">
        <v>329</v>
      </c>
      <c r="I88" s="129" t="s">
        <v>258</v>
      </c>
      <c r="J88" s="117" t="s">
        <v>367</v>
      </c>
    </row>
    <row r="89" spans="1:10" hidden="1" x14ac:dyDescent="0.3">
      <c r="A89" s="117" t="s">
        <v>362</v>
      </c>
      <c r="B89" s="136">
        <v>42909</v>
      </c>
      <c r="C89" s="117" t="s">
        <v>247</v>
      </c>
      <c r="D89" s="117"/>
      <c r="E89" s="117"/>
      <c r="F89" s="129" t="s">
        <v>231</v>
      </c>
      <c r="G89" s="129" t="s">
        <v>336</v>
      </c>
      <c r="H89" s="138" t="s">
        <v>469</v>
      </c>
      <c r="I89" s="129" t="s">
        <v>258</v>
      </c>
      <c r="J89" s="117" t="s">
        <v>370</v>
      </c>
    </row>
    <row r="90" spans="1:10" ht="25.5" hidden="1" x14ac:dyDescent="0.3">
      <c r="A90" s="117" t="s">
        <v>362</v>
      </c>
      <c r="B90" s="136">
        <v>42909</v>
      </c>
      <c r="C90" s="117" t="s">
        <v>247</v>
      </c>
      <c r="D90" s="117"/>
      <c r="E90" s="117"/>
      <c r="F90" s="129" t="s">
        <v>231</v>
      </c>
      <c r="G90" s="129" t="s">
        <v>337</v>
      </c>
      <c r="H90" s="128" t="s">
        <v>338</v>
      </c>
      <c r="I90" s="128" t="s">
        <v>339</v>
      </c>
      <c r="J90" s="117" t="s">
        <v>369</v>
      </c>
    </row>
    <row r="91" spans="1:10" hidden="1" x14ac:dyDescent="0.3">
      <c r="A91" s="117" t="s">
        <v>362</v>
      </c>
      <c r="B91" s="136">
        <v>42909</v>
      </c>
      <c r="C91" s="117" t="s">
        <v>247</v>
      </c>
      <c r="D91" s="117"/>
      <c r="E91" s="117"/>
      <c r="F91" s="129" t="s">
        <v>231</v>
      </c>
      <c r="G91" s="129" t="s">
        <v>340</v>
      </c>
      <c r="H91" s="128" t="s">
        <v>279</v>
      </c>
      <c r="I91" s="128" t="s">
        <v>258</v>
      </c>
      <c r="J91" s="117" t="s">
        <v>371</v>
      </c>
    </row>
    <row r="92" spans="1:10" hidden="1" x14ac:dyDescent="0.3">
      <c r="A92" s="117" t="s">
        <v>362</v>
      </c>
      <c r="B92" s="136">
        <v>42909</v>
      </c>
      <c r="C92" s="117" t="s">
        <v>247</v>
      </c>
      <c r="D92" s="117"/>
      <c r="E92" s="117"/>
      <c r="F92" s="129" t="s">
        <v>231</v>
      </c>
      <c r="G92" s="129" t="s">
        <v>341</v>
      </c>
      <c r="H92" s="128" t="s">
        <v>276</v>
      </c>
      <c r="I92" s="128" t="s">
        <v>258</v>
      </c>
      <c r="J92" s="117" t="s">
        <v>372</v>
      </c>
    </row>
    <row r="93" spans="1:10" hidden="1" x14ac:dyDescent="0.3">
      <c r="A93" s="117" t="s">
        <v>362</v>
      </c>
      <c r="B93" s="136">
        <v>42909</v>
      </c>
      <c r="C93" s="117" t="s">
        <v>247</v>
      </c>
      <c r="D93" s="117"/>
      <c r="E93" s="117"/>
      <c r="F93" s="129" t="s">
        <v>231</v>
      </c>
      <c r="G93" s="129" t="s">
        <v>342</v>
      </c>
      <c r="H93" s="128" t="s">
        <v>277</v>
      </c>
      <c r="I93" s="128" t="s">
        <v>258</v>
      </c>
      <c r="J93" s="117" t="s">
        <v>372</v>
      </c>
    </row>
    <row r="94" spans="1:10" hidden="1" x14ac:dyDescent="0.3">
      <c r="A94" s="117" t="s">
        <v>362</v>
      </c>
      <c r="B94" s="136">
        <v>42909</v>
      </c>
      <c r="C94" s="117" t="s">
        <v>247</v>
      </c>
      <c r="D94" s="117"/>
      <c r="E94" s="117"/>
      <c r="F94" s="129" t="s">
        <v>231</v>
      </c>
      <c r="G94" s="129" t="s">
        <v>351</v>
      </c>
      <c r="H94" s="128" t="s">
        <v>278</v>
      </c>
      <c r="I94" s="128" t="s">
        <v>258</v>
      </c>
      <c r="J94" s="117" t="s">
        <v>372</v>
      </c>
    </row>
    <row r="95" spans="1:10" hidden="1" x14ac:dyDescent="0.3">
      <c r="A95" s="117" t="s">
        <v>362</v>
      </c>
      <c r="B95" s="136">
        <v>42909</v>
      </c>
      <c r="C95" s="117" t="s">
        <v>247</v>
      </c>
      <c r="D95" s="117"/>
      <c r="E95" s="117"/>
      <c r="F95" s="129" t="s">
        <v>231</v>
      </c>
      <c r="G95" s="129" t="s">
        <v>352</v>
      </c>
      <c r="H95" s="128" t="s">
        <v>343</v>
      </c>
      <c r="I95" s="128" t="s">
        <v>258</v>
      </c>
      <c r="J95" s="117" t="s">
        <v>272</v>
      </c>
    </row>
    <row r="96" spans="1:10" hidden="1" x14ac:dyDescent="0.3">
      <c r="A96" s="117" t="s">
        <v>362</v>
      </c>
      <c r="B96" s="136">
        <v>42909</v>
      </c>
      <c r="C96" s="117" t="s">
        <v>247</v>
      </c>
      <c r="D96" s="117"/>
      <c r="E96" s="117"/>
      <c r="F96" s="129" t="s">
        <v>231</v>
      </c>
      <c r="G96" s="129" t="s">
        <v>344</v>
      </c>
      <c r="H96" s="128" t="s">
        <v>345</v>
      </c>
      <c r="I96" s="128" t="s">
        <v>258</v>
      </c>
      <c r="J96" s="117" t="s">
        <v>272</v>
      </c>
    </row>
    <row r="97" spans="1:10" hidden="1" x14ac:dyDescent="0.3">
      <c r="A97" s="117" t="s">
        <v>362</v>
      </c>
      <c r="B97" s="136">
        <v>42909</v>
      </c>
      <c r="C97" s="117" t="s">
        <v>247</v>
      </c>
      <c r="D97" s="117"/>
      <c r="E97" s="117"/>
      <c r="F97" s="129" t="s">
        <v>231</v>
      </c>
      <c r="G97" s="129" t="s">
        <v>346</v>
      </c>
      <c r="H97" s="128" t="s">
        <v>347</v>
      </c>
      <c r="I97" s="128" t="s">
        <v>258</v>
      </c>
      <c r="J97" s="117" t="s">
        <v>272</v>
      </c>
    </row>
    <row r="98" spans="1:10" hidden="1" x14ac:dyDescent="0.3">
      <c r="A98" s="117" t="s">
        <v>362</v>
      </c>
      <c r="B98" s="136">
        <v>42909</v>
      </c>
      <c r="C98" s="117" t="s">
        <v>247</v>
      </c>
      <c r="D98" s="117"/>
      <c r="E98" s="117"/>
      <c r="F98" s="129" t="s">
        <v>231</v>
      </c>
      <c r="G98" s="129" t="s">
        <v>353</v>
      </c>
      <c r="H98" s="128" t="s">
        <v>348</v>
      </c>
      <c r="I98" s="128" t="s">
        <v>258</v>
      </c>
      <c r="J98" s="117" t="s">
        <v>272</v>
      </c>
    </row>
    <row r="99" spans="1:10" hidden="1" x14ac:dyDescent="0.3">
      <c r="A99" s="117" t="s">
        <v>362</v>
      </c>
      <c r="B99" s="136">
        <v>42909</v>
      </c>
      <c r="C99" s="117" t="s">
        <v>247</v>
      </c>
      <c r="D99" s="117"/>
      <c r="E99" s="117"/>
      <c r="F99" s="129" t="s">
        <v>231</v>
      </c>
      <c r="G99" s="129" t="s">
        <v>349</v>
      </c>
      <c r="H99" s="128" t="s">
        <v>264</v>
      </c>
      <c r="I99" s="128" t="s">
        <v>258</v>
      </c>
      <c r="J99" s="117" t="s">
        <v>272</v>
      </c>
    </row>
    <row r="100" spans="1:10" ht="25.5" hidden="1" x14ac:dyDescent="0.3">
      <c r="A100" s="117" t="s">
        <v>362</v>
      </c>
      <c r="B100" s="136">
        <v>42909</v>
      </c>
      <c r="C100" s="117" t="s">
        <v>247</v>
      </c>
      <c r="D100" s="117"/>
      <c r="E100" s="117"/>
      <c r="F100" s="129" t="s">
        <v>231</v>
      </c>
      <c r="G100" s="129" t="s">
        <v>354</v>
      </c>
      <c r="H100" s="128" t="s">
        <v>350</v>
      </c>
      <c r="I100" s="128" t="s">
        <v>258</v>
      </c>
      <c r="J100" s="117" t="s">
        <v>272</v>
      </c>
    </row>
    <row r="101" spans="1:10" hidden="1" x14ac:dyDescent="0.3">
      <c r="A101" s="117" t="s">
        <v>362</v>
      </c>
      <c r="B101" s="136">
        <v>42909</v>
      </c>
      <c r="C101" s="129" t="s">
        <v>248</v>
      </c>
      <c r="D101" s="129" t="s">
        <v>247</v>
      </c>
      <c r="E101" s="129" t="s">
        <v>252</v>
      </c>
      <c r="F101" s="128" t="s">
        <v>249</v>
      </c>
      <c r="G101" s="129" t="s">
        <v>250</v>
      </c>
      <c r="H101" s="132">
        <v>0.1</v>
      </c>
      <c r="I101" s="132">
        <v>0.2</v>
      </c>
      <c r="J101" s="128" t="s">
        <v>251</v>
      </c>
    </row>
    <row r="102" spans="1:10" ht="25.5" hidden="1" x14ac:dyDescent="0.3">
      <c r="A102" s="117" t="s">
        <v>362</v>
      </c>
      <c r="B102" s="136">
        <v>42909</v>
      </c>
      <c r="C102" s="117" t="s">
        <v>247</v>
      </c>
      <c r="D102" s="117"/>
      <c r="E102" s="117"/>
      <c r="F102" s="129" t="s">
        <v>231</v>
      </c>
      <c r="G102" s="129" t="s">
        <v>254</v>
      </c>
      <c r="H102" s="128" t="s">
        <v>255</v>
      </c>
      <c r="I102" s="128" t="s">
        <v>256</v>
      </c>
      <c r="J102" s="128" t="s">
        <v>274</v>
      </c>
    </row>
    <row r="103" spans="1:10" hidden="1" x14ac:dyDescent="0.3">
      <c r="A103" s="117" t="s">
        <v>362</v>
      </c>
      <c r="B103" s="136">
        <v>42909</v>
      </c>
      <c r="C103" s="117" t="s">
        <v>247</v>
      </c>
      <c r="D103" s="117"/>
      <c r="E103" s="117"/>
      <c r="F103" s="129" t="s">
        <v>231</v>
      </c>
      <c r="G103" s="129" t="s">
        <v>257</v>
      </c>
      <c r="H103" s="128" t="s">
        <v>253</v>
      </c>
      <c r="I103" s="128" t="s">
        <v>258</v>
      </c>
      <c r="J103" s="128" t="s">
        <v>275</v>
      </c>
    </row>
    <row r="104" spans="1:10" hidden="1" x14ac:dyDescent="0.3">
      <c r="A104" s="117" t="s">
        <v>362</v>
      </c>
      <c r="B104" s="136">
        <v>42909</v>
      </c>
      <c r="C104" s="117" t="s">
        <v>247</v>
      </c>
      <c r="D104" s="117"/>
      <c r="E104" s="117"/>
      <c r="F104" s="129" t="s">
        <v>231</v>
      </c>
      <c r="G104" s="129" t="s">
        <v>259</v>
      </c>
      <c r="H104" s="128" t="s">
        <v>260</v>
      </c>
      <c r="I104" s="128" t="s">
        <v>258</v>
      </c>
      <c r="J104" s="128" t="s">
        <v>275</v>
      </c>
    </row>
    <row r="105" spans="1:10" ht="25.5" hidden="1" x14ac:dyDescent="0.3">
      <c r="A105" s="117" t="s">
        <v>362</v>
      </c>
      <c r="B105" s="136">
        <v>42909</v>
      </c>
      <c r="C105" s="117" t="s">
        <v>247</v>
      </c>
      <c r="D105" s="117"/>
      <c r="E105" s="117"/>
      <c r="F105" s="129" t="s">
        <v>231</v>
      </c>
      <c r="G105" s="129" t="s">
        <v>261</v>
      </c>
      <c r="H105" s="128" t="s">
        <v>262</v>
      </c>
      <c r="I105" s="128" t="s">
        <v>263</v>
      </c>
      <c r="J105" s="117" t="s">
        <v>273</v>
      </c>
    </row>
    <row r="106" spans="1:10" hidden="1" x14ac:dyDescent="0.3">
      <c r="A106" s="117" t="s">
        <v>362</v>
      </c>
      <c r="B106" s="136">
        <v>42909</v>
      </c>
      <c r="C106" s="117" t="s">
        <v>247</v>
      </c>
      <c r="D106" s="117"/>
      <c r="E106" s="117"/>
      <c r="F106" s="117" t="s">
        <v>377</v>
      </c>
      <c r="G106" s="117" t="s">
        <v>395</v>
      </c>
      <c r="H106" s="134" t="s">
        <v>378</v>
      </c>
      <c r="I106" s="128" t="s">
        <v>258</v>
      </c>
      <c r="J106" s="117" t="s">
        <v>394</v>
      </c>
    </row>
    <row r="107" spans="1:10" hidden="1" x14ac:dyDescent="0.3">
      <c r="A107" s="117" t="s">
        <v>362</v>
      </c>
      <c r="B107" s="136">
        <v>42909</v>
      </c>
      <c r="C107" s="117" t="s">
        <v>247</v>
      </c>
      <c r="D107" s="117"/>
      <c r="E107" s="117"/>
      <c r="F107" s="117" t="s">
        <v>377</v>
      </c>
      <c r="G107" s="117" t="s">
        <v>397</v>
      </c>
      <c r="H107" s="134" t="s">
        <v>379</v>
      </c>
      <c r="I107" s="128" t="s">
        <v>258</v>
      </c>
      <c r="J107" s="117" t="s">
        <v>394</v>
      </c>
    </row>
    <row r="108" spans="1:10" hidden="1" x14ac:dyDescent="0.3">
      <c r="A108" s="117" t="s">
        <v>362</v>
      </c>
      <c r="B108" s="136">
        <v>42909</v>
      </c>
      <c r="C108" s="117" t="s">
        <v>247</v>
      </c>
      <c r="D108" s="117"/>
      <c r="E108" s="117"/>
      <c r="F108" s="117" t="s">
        <v>377</v>
      </c>
      <c r="G108" s="117" t="s">
        <v>398</v>
      </c>
      <c r="H108" s="134" t="s">
        <v>380</v>
      </c>
      <c r="I108" s="128" t="s">
        <v>258</v>
      </c>
      <c r="J108" s="117" t="s">
        <v>394</v>
      </c>
    </row>
    <row r="109" spans="1:10" hidden="1" x14ac:dyDescent="0.3">
      <c r="A109" s="117" t="s">
        <v>362</v>
      </c>
      <c r="B109" s="136">
        <v>42909</v>
      </c>
      <c r="C109" s="117" t="s">
        <v>247</v>
      </c>
      <c r="D109" s="117"/>
      <c r="E109" s="117"/>
      <c r="F109" s="117" t="s">
        <v>377</v>
      </c>
      <c r="G109" s="117" t="s">
        <v>396</v>
      </c>
      <c r="H109" s="117" t="s">
        <v>381</v>
      </c>
      <c r="I109" s="128" t="s">
        <v>258</v>
      </c>
      <c r="J109" s="117" t="s">
        <v>394</v>
      </c>
    </row>
    <row r="110" spans="1:10" hidden="1" x14ac:dyDescent="0.3">
      <c r="A110" s="117" t="s">
        <v>362</v>
      </c>
      <c r="B110" s="136">
        <v>42909</v>
      </c>
      <c r="C110" s="117" t="s">
        <v>247</v>
      </c>
      <c r="D110" s="117"/>
      <c r="E110" s="117"/>
      <c r="F110" s="117" t="s">
        <v>377</v>
      </c>
      <c r="G110" s="117" t="s">
        <v>399</v>
      </c>
      <c r="H110" s="117" t="s">
        <v>382</v>
      </c>
      <c r="I110" s="128" t="s">
        <v>258</v>
      </c>
      <c r="J110" s="117" t="s">
        <v>394</v>
      </c>
    </row>
    <row r="111" spans="1:10" hidden="1" x14ac:dyDescent="0.3">
      <c r="A111" s="117" t="s">
        <v>362</v>
      </c>
      <c r="B111" s="136">
        <v>42909</v>
      </c>
      <c r="C111" s="117" t="s">
        <v>247</v>
      </c>
      <c r="D111" s="117"/>
      <c r="E111" s="117"/>
      <c r="F111" s="117" t="s">
        <v>377</v>
      </c>
      <c r="G111" s="117" t="s">
        <v>400</v>
      </c>
      <c r="H111" s="134" t="s">
        <v>383</v>
      </c>
      <c r="I111" s="128" t="s">
        <v>258</v>
      </c>
      <c r="J111" s="117" t="s">
        <v>394</v>
      </c>
    </row>
    <row r="112" spans="1:10" hidden="1" x14ac:dyDescent="0.3">
      <c r="A112" s="117" t="s">
        <v>362</v>
      </c>
      <c r="B112" s="136">
        <v>42909</v>
      </c>
      <c r="C112" s="117" t="s">
        <v>247</v>
      </c>
      <c r="D112" s="117"/>
      <c r="E112" s="117"/>
      <c r="F112" s="117" t="s">
        <v>377</v>
      </c>
      <c r="G112" s="117" t="s">
        <v>401</v>
      </c>
      <c r="H112" s="134" t="s">
        <v>384</v>
      </c>
      <c r="I112" s="128" t="s">
        <v>258</v>
      </c>
      <c r="J112" s="117" t="s">
        <v>394</v>
      </c>
    </row>
    <row r="113" spans="1:10" hidden="1" x14ac:dyDescent="0.3">
      <c r="A113" s="117" t="s">
        <v>362</v>
      </c>
      <c r="B113" s="136">
        <v>42909</v>
      </c>
      <c r="C113" s="117" t="s">
        <v>247</v>
      </c>
      <c r="D113" s="117"/>
      <c r="E113" s="117"/>
      <c r="F113" s="117" t="s">
        <v>377</v>
      </c>
      <c r="G113" s="117" t="s">
        <v>402</v>
      </c>
      <c r="H113" s="134" t="s">
        <v>385</v>
      </c>
      <c r="I113" s="128" t="s">
        <v>258</v>
      </c>
      <c r="J113" s="117" t="s">
        <v>394</v>
      </c>
    </row>
    <row r="114" spans="1:10" hidden="1" x14ac:dyDescent="0.3">
      <c r="A114" s="117" t="s">
        <v>362</v>
      </c>
      <c r="B114" s="136">
        <v>42909</v>
      </c>
      <c r="C114" s="117" t="s">
        <v>247</v>
      </c>
      <c r="D114" s="117"/>
      <c r="E114" s="117"/>
      <c r="F114" s="117" t="s">
        <v>377</v>
      </c>
      <c r="G114" s="117" t="s">
        <v>403</v>
      </c>
      <c r="H114" s="134" t="s">
        <v>386</v>
      </c>
      <c r="I114" s="128" t="s">
        <v>258</v>
      </c>
      <c r="J114" s="117" t="s">
        <v>394</v>
      </c>
    </row>
    <row r="115" spans="1:10" hidden="1" x14ac:dyDescent="0.3">
      <c r="A115" s="117" t="s">
        <v>362</v>
      </c>
      <c r="B115" s="136">
        <v>42909</v>
      </c>
      <c r="C115" s="117" t="s">
        <v>247</v>
      </c>
      <c r="D115" s="117"/>
      <c r="E115" s="117"/>
      <c r="F115" s="117" t="s">
        <v>377</v>
      </c>
      <c r="G115" s="117" t="s">
        <v>404</v>
      </c>
      <c r="H115" s="134" t="s">
        <v>387</v>
      </c>
      <c r="I115" s="128" t="s">
        <v>258</v>
      </c>
      <c r="J115" s="117" t="s">
        <v>394</v>
      </c>
    </row>
    <row r="116" spans="1:10" hidden="1" x14ac:dyDescent="0.3">
      <c r="A116" s="117" t="s">
        <v>362</v>
      </c>
      <c r="B116" s="136">
        <v>42909</v>
      </c>
      <c r="C116" s="117" t="s">
        <v>247</v>
      </c>
      <c r="D116" s="117"/>
      <c r="E116" s="117"/>
      <c r="F116" s="117" t="s">
        <v>377</v>
      </c>
      <c r="G116" s="117" t="s">
        <v>405</v>
      </c>
      <c r="H116" s="134" t="s">
        <v>388</v>
      </c>
      <c r="I116" s="128" t="s">
        <v>258</v>
      </c>
      <c r="J116" s="117" t="s">
        <v>394</v>
      </c>
    </row>
    <row r="117" spans="1:10" hidden="1" x14ac:dyDescent="0.3">
      <c r="A117" s="117" t="s">
        <v>362</v>
      </c>
      <c r="B117" s="136">
        <v>42909</v>
      </c>
      <c r="C117" s="117" t="s">
        <v>247</v>
      </c>
      <c r="D117" s="117"/>
      <c r="E117" s="117"/>
      <c r="F117" s="117" t="s">
        <v>377</v>
      </c>
      <c r="G117" s="117" t="s">
        <v>406</v>
      </c>
      <c r="H117" s="131" t="s">
        <v>389</v>
      </c>
      <c r="I117" s="128" t="s">
        <v>258</v>
      </c>
      <c r="J117" s="117" t="s">
        <v>272</v>
      </c>
    </row>
    <row r="118" spans="1:10" hidden="1" x14ac:dyDescent="0.3">
      <c r="A118" s="117" t="s">
        <v>362</v>
      </c>
      <c r="B118" s="136">
        <v>42909</v>
      </c>
      <c r="C118" s="117" t="s">
        <v>247</v>
      </c>
      <c r="D118" s="117"/>
      <c r="E118" s="117"/>
      <c r="F118" s="117" t="s">
        <v>377</v>
      </c>
      <c r="G118" s="117" t="s">
        <v>407</v>
      </c>
      <c r="H118" s="131" t="s">
        <v>390</v>
      </c>
      <c r="I118" s="128" t="s">
        <v>258</v>
      </c>
      <c r="J118" s="117" t="s">
        <v>272</v>
      </c>
    </row>
    <row r="119" spans="1:10" hidden="1" x14ac:dyDescent="0.3">
      <c r="A119" s="117" t="s">
        <v>362</v>
      </c>
      <c r="B119" s="136">
        <v>42909</v>
      </c>
      <c r="C119" s="117" t="s">
        <v>247</v>
      </c>
      <c r="D119" s="117"/>
      <c r="E119" s="117"/>
      <c r="F119" s="117" t="s">
        <v>377</v>
      </c>
      <c r="G119" s="117" t="s">
        <v>408</v>
      </c>
      <c r="H119" s="131" t="s">
        <v>391</v>
      </c>
      <c r="I119" s="128" t="s">
        <v>258</v>
      </c>
      <c r="J119" s="117" t="s">
        <v>272</v>
      </c>
    </row>
    <row r="120" spans="1:10" hidden="1" x14ac:dyDescent="0.3">
      <c r="A120" s="117" t="s">
        <v>362</v>
      </c>
      <c r="B120" s="136">
        <v>42909</v>
      </c>
      <c r="C120" s="117" t="s">
        <v>247</v>
      </c>
      <c r="D120" s="117"/>
      <c r="E120" s="117"/>
      <c r="F120" s="117" t="s">
        <v>377</v>
      </c>
      <c r="G120" s="117" t="s">
        <v>409</v>
      </c>
      <c r="H120" s="131" t="s">
        <v>392</v>
      </c>
      <c r="I120" s="128" t="s">
        <v>258</v>
      </c>
      <c r="J120" s="117" t="s">
        <v>272</v>
      </c>
    </row>
    <row r="121" spans="1:10" hidden="1" x14ac:dyDescent="0.3">
      <c r="A121" s="117" t="s">
        <v>362</v>
      </c>
      <c r="B121" s="136">
        <v>42909</v>
      </c>
      <c r="C121" s="117" t="s">
        <v>247</v>
      </c>
      <c r="D121" s="117"/>
      <c r="E121" s="117"/>
      <c r="F121" s="117" t="s">
        <v>377</v>
      </c>
      <c r="G121" s="117" t="s">
        <v>410</v>
      </c>
      <c r="H121" s="117" t="s">
        <v>393</v>
      </c>
      <c r="I121" s="128" t="s">
        <v>258</v>
      </c>
      <c r="J121" s="117" t="s">
        <v>272</v>
      </c>
    </row>
    <row r="122" spans="1:10" hidden="1" x14ac:dyDescent="0.3">
      <c r="A122" s="117" t="s">
        <v>362</v>
      </c>
      <c r="B122" s="136">
        <v>42909</v>
      </c>
      <c r="C122" s="117" t="s">
        <v>247</v>
      </c>
      <c r="D122" s="117"/>
      <c r="E122" s="117"/>
      <c r="F122" s="117" t="s">
        <v>377</v>
      </c>
      <c r="G122" s="117" t="s">
        <v>411</v>
      </c>
      <c r="H122" s="129" t="s">
        <v>376</v>
      </c>
      <c r="I122" s="128" t="s">
        <v>258</v>
      </c>
      <c r="J122" s="117" t="s">
        <v>272</v>
      </c>
    </row>
    <row r="123" spans="1:10" hidden="1" x14ac:dyDescent="0.3">
      <c r="A123" s="117" t="s">
        <v>362</v>
      </c>
      <c r="B123" s="136">
        <v>42909</v>
      </c>
      <c r="C123" s="117" t="s">
        <v>247</v>
      </c>
      <c r="D123" s="117"/>
      <c r="E123" s="117"/>
      <c r="F123" s="117" t="s">
        <v>377</v>
      </c>
      <c r="G123" s="117" t="s">
        <v>412</v>
      </c>
      <c r="H123" s="135" t="s">
        <v>264</v>
      </c>
      <c r="I123" s="128" t="s">
        <v>258</v>
      </c>
      <c r="J123" s="117" t="s">
        <v>272</v>
      </c>
    </row>
    <row r="124" spans="1:10" x14ac:dyDescent="0.3">
      <c r="A124" s="116"/>
      <c r="B124" s="133"/>
      <c r="C124" s="116"/>
      <c r="D124" s="116"/>
      <c r="E124" s="116"/>
      <c r="F124" s="116"/>
      <c r="G124" s="116"/>
      <c r="H124" s="116"/>
      <c r="I124" s="116"/>
      <c r="J124" s="116"/>
    </row>
    <row r="125" spans="1:10" x14ac:dyDescent="0.3">
      <c r="A125" s="116"/>
      <c r="B125" s="133"/>
      <c r="C125" s="116"/>
      <c r="D125" s="116"/>
      <c r="E125" s="116"/>
      <c r="F125" s="116"/>
      <c r="G125" s="116"/>
      <c r="H125" s="116"/>
      <c r="I125" s="116"/>
      <c r="J125" s="116"/>
    </row>
    <row r="126" spans="1:10" x14ac:dyDescent="0.3">
      <c r="A126" s="116"/>
      <c r="B126" s="133"/>
      <c r="C126" s="116"/>
      <c r="D126" s="116"/>
      <c r="E126" s="116"/>
      <c r="F126" s="116"/>
      <c r="G126" s="116"/>
      <c r="H126" s="116"/>
      <c r="I126" s="116"/>
      <c r="J126" s="116"/>
    </row>
    <row r="127" spans="1:10" x14ac:dyDescent="0.3">
      <c r="A127" s="116"/>
      <c r="B127" s="133"/>
      <c r="C127" s="116"/>
      <c r="D127" s="116"/>
      <c r="E127" s="116"/>
      <c r="F127" s="116"/>
      <c r="G127" s="116"/>
      <c r="H127" s="116"/>
      <c r="I127" s="116"/>
      <c r="J127" s="116"/>
    </row>
  </sheetData>
  <sheetProtection algorithmName="SHA-512" hashValue="xceWJKczyYe0DWSvwCh4o0ECr56efKTSk+tdrjIrUlQmxrPr1jtXTFR4cxOZjkuYFVbHd1OLmRw0FXIucZ3ToA==" saltValue="IAuuBE6F8MKM03UzlHk9IQ==" spinCount="100000" sheet="1" objects="1" scenarios="1" selectLockedCells="1" selectUnlockedCells="1"/>
  <customSheetViews>
    <customSheetView guid="{67801018-A747-4E26-8E7A-AFD24B0E5C34}" showGridLines="0" topLeftCell="E100">
      <selection activeCell="J122" sqref="J122"/>
      <pageMargins left="0.7" right="0.7" top="0.75" bottom="0.75" header="0.3" footer="0.3"/>
      <pageSetup paperSize="9" orientation="portrait" r:id="rId1"/>
    </customSheetView>
    <customSheetView guid="{C44C7CB9-EB11-4601-9F52-A2EFBD8C5FF6}" showGridLines="0" showRowCol="0" hiddenRows="1">
      <selection activeCell="A128" sqref="A128"/>
      <pageMargins left="0.7" right="0.7" top="0.75" bottom="0.75" header="0.3" footer="0.3"/>
      <pageSetup paperSize="9" orientation="portrait" r:id="rId2"/>
    </customSheetView>
  </customSheetViews>
  <mergeCells count="4">
    <mergeCell ref="C13:G13"/>
    <mergeCell ref="A12:G12"/>
    <mergeCell ref="A17:H17"/>
    <mergeCell ref="C14:G14"/>
  </mergeCell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26"/>
  <sheetViews>
    <sheetView showGridLines="0" showRowColHeaders="0" tabSelected="1" topLeftCell="B71" zoomScaleNormal="100" workbookViewId="0">
      <selection activeCell="G91" sqref="G91"/>
    </sheetView>
  </sheetViews>
  <sheetFormatPr defaultRowHeight="12.5" x14ac:dyDescent="0.25"/>
  <cols>
    <col min="1" max="1" width="1.453125" hidden="1" customWidth="1"/>
    <col min="2" max="2" width="37.90625" style="2" customWidth="1"/>
    <col min="3" max="11" width="18.08984375" customWidth="1"/>
    <col min="12" max="12" width="50.36328125" customWidth="1"/>
    <col min="14" max="14" width="9.08984375" customWidth="1"/>
    <col min="15" max="16" width="9.08984375" hidden="1" customWidth="1"/>
    <col min="17" max="17" width="9.08984375" customWidth="1"/>
    <col min="18" max="23" width="8.90625" customWidth="1"/>
  </cols>
  <sheetData>
    <row r="1" spans="2:23" s="19" customFormat="1" ht="14" x14ac:dyDescent="0.3">
      <c r="D1" s="20"/>
      <c r="O1" s="19" t="s">
        <v>175</v>
      </c>
      <c r="P1" s="19" t="s">
        <v>175</v>
      </c>
      <c r="Q1" s="19" t="s">
        <v>175</v>
      </c>
      <c r="U1" s="19" t="s">
        <v>175</v>
      </c>
      <c r="V1" s="19" t="s">
        <v>175</v>
      </c>
      <c r="W1" s="19" t="s">
        <v>175</v>
      </c>
    </row>
    <row r="2" spans="2:23" s="19" customFormat="1" ht="103.5" customHeight="1" x14ac:dyDescent="0.5">
      <c r="B2" s="21"/>
      <c r="D2" s="20"/>
    </row>
    <row r="3" spans="2:23" s="19" customFormat="1" ht="46.5" customHeight="1" x14ac:dyDescent="0.5">
      <c r="B3" s="21"/>
      <c r="D3" s="20"/>
    </row>
    <row r="4" spans="2:23" s="19" customFormat="1" ht="9.75" hidden="1" customHeight="1" x14ac:dyDescent="0.5">
      <c r="B4" s="21"/>
      <c r="D4" s="20"/>
    </row>
    <row r="5" spans="2:23" s="19" customFormat="1" ht="14.5" x14ac:dyDescent="0.35">
      <c r="B5" s="78" t="s">
        <v>177</v>
      </c>
      <c r="C5" s="22"/>
      <c r="D5" s="20"/>
    </row>
    <row r="6" spans="2:23" ht="14" x14ac:dyDescent="0.3">
      <c r="B6"/>
      <c r="H6" s="19"/>
      <c r="L6" s="19"/>
      <c r="M6" s="19"/>
      <c r="N6" s="19"/>
      <c r="O6" s="19"/>
      <c r="P6" s="19"/>
      <c r="Q6" s="19"/>
      <c r="R6" s="19"/>
    </row>
    <row r="7" spans="2:23" ht="13" x14ac:dyDescent="0.3">
      <c r="B7" s="32" t="s">
        <v>471</v>
      </c>
    </row>
    <row r="8" spans="2:23" x14ac:dyDescent="0.25">
      <c r="B8"/>
    </row>
    <row r="9" spans="2:23" ht="25" x14ac:dyDescent="0.5">
      <c r="B9" s="30" t="s">
        <v>470</v>
      </c>
      <c r="C9" s="30"/>
      <c r="D9" s="31"/>
    </row>
    <row r="10" spans="2:23" ht="18" x14ac:dyDescent="0.4">
      <c r="B10" s="29" t="s">
        <v>174</v>
      </c>
      <c r="C10" s="29"/>
      <c r="D10" s="23"/>
      <c r="E10" s="23"/>
    </row>
    <row r="11" spans="2:23" ht="25" x14ac:dyDescent="0.5">
      <c r="B11" s="4" t="s">
        <v>265</v>
      </c>
      <c r="C11" s="139"/>
      <c r="D11" s="31"/>
    </row>
    <row r="12" spans="2:23" ht="18" customHeight="1" x14ac:dyDescent="0.5">
      <c r="B12" s="30"/>
      <c r="C12" s="30"/>
      <c r="D12" s="31"/>
    </row>
    <row r="13" spans="2:23" ht="22.5" customHeight="1" x14ac:dyDescent="0.4">
      <c r="B13" s="29" t="s">
        <v>178</v>
      </c>
      <c r="C13" s="29"/>
      <c r="D13" s="23"/>
      <c r="E13" s="23"/>
    </row>
    <row r="14" spans="2:23" s="1" customFormat="1" ht="18" customHeight="1" x14ac:dyDescent="0.25">
      <c r="B14" s="12"/>
    </row>
    <row r="15" spans="2:23" s="1" customFormat="1" ht="18" customHeight="1" x14ac:dyDescent="0.25">
      <c r="B15" s="12" t="s">
        <v>107</v>
      </c>
      <c r="D15" s="4" t="s">
        <v>154</v>
      </c>
    </row>
    <row r="16" spans="2:23" s="1" customFormat="1" ht="18" customHeight="1" x14ac:dyDescent="0.25">
      <c r="B16" s="24" t="s">
        <v>66</v>
      </c>
      <c r="C16" s="39">
        <v>0.129</v>
      </c>
      <c r="D16" s="24" t="s">
        <v>105</v>
      </c>
      <c r="O16" s="1" t="s">
        <v>67</v>
      </c>
    </row>
    <row r="17" spans="2:16" s="1" customFormat="1" ht="18" customHeight="1" x14ac:dyDescent="0.25">
      <c r="B17" s="24" t="s">
        <v>50</v>
      </c>
      <c r="C17" s="39">
        <v>6.4100000000000004E-2</v>
      </c>
      <c r="D17" s="24" t="s">
        <v>106</v>
      </c>
      <c r="O17" s="1" t="s">
        <v>67</v>
      </c>
    </row>
    <row r="18" spans="2:16" s="1" customFormat="1" ht="18" customHeight="1" x14ac:dyDescent="0.25">
      <c r="B18" s="24" t="s">
        <v>59</v>
      </c>
      <c r="C18" s="39">
        <f>64.9/1000</f>
        <v>6.4899999999999999E-2</v>
      </c>
      <c r="D18" s="24" t="s">
        <v>106</v>
      </c>
      <c r="O18" s="1" t="s">
        <v>104</v>
      </c>
    </row>
    <row r="19" spans="2:16" s="1" customFormat="1" ht="18" customHeight="1" x14ac:dyDescent="0.25">
      <c r="B19" s="24" t="s">
        <v>60</v>
      </c>
      <c r="C19" s="39">
        <f>74.8/1000</f>
        <v>7.4799999999999991E-2</v>
      </c>
      <c r="D19" s="24" t="s">
        <v>106</v>
      </c>
    </row>
    <row r="20" spans="2:16" s="1" customFormat="1" ht="18" customHeight="1" x14ac:dyDescent="0.25">
      <c r="B20" s="24" t="s">
        <v>61</v>
      </c>
      <c r="C20" s="39">
        <f>93.03/1000</f>
        <v>9.3030000000000002E-2</v>
      </c>
      <c r="D20" s="24" t="s">
        <v>106</v>
      </c>
    </row>
    <row r="21" spans="2:16" s="1" customFormat="1" ht="18" customHeight="1" x14ac:dyDescent="0.25">
      <c r="B21" s="24" t="s">
        <v>62</v>
      </c>
      <c r="C21" s="39">
        <f>1.8/1000</f>
        <v>1.8E-3</v>
      </c>
      <c r="D21" s="24" t="s">
        <v>106</v>
      </c>
    </row>
    <row r="22" spans="2:16" s="1" customFormat="1" ht="18" customHeight="1" x14ac:dyDescent="0.25">
      <c r="B22" s="24" t="s">
        <v>63</v>
      </c>
      <c r="C22" s="39">
        <f>0.26/1000</f>
        <v>2.6000000000000003E-4</v>
      </c>
      <c r="D22" s="24" t="s">
        <v>106</v>
      </c>
    </row>
    <row r="23" spans="2:16" s="1" customFormat="1" ht="18" customHeight="1" x14ac:dyDescent="0.25">
      <c r="B23" s="24" t="s">
        <v>64</v>
      </c>
      <c r="C23" s="39">
        <f>IF(ISBLANK(H29)=TRUE,P31,IF(H29="&lt;90%",C29,P31-F29/10*(P31-C29)))</f>
        <v>5.9722222222222225E-3</v>
      </c>
      <c r="D23" s="24" t="s">
        <v>106</v>
      </c>
      <c r="O23" s="1" t="s">
        <v>104</v>
      </c>
    </row>
    <row r="24" spans="2:16" s="1" customFormat="1" ht="18" customHeight="1" x14ac:dyDescent="0.25">
      <c r="B24" s="24" t="s">
        <v>65</v>
      </c>
      <c r="C24" s="39">
        <f>IF(ISBLANK(H30)=TRUE,P32,IF(H30="&lt;90%",C30,P32-F30/10*(P32-C30)))</f>
        <v>8.4951807228915682E-2</v>
      </c>
      <c r="D24" s="24" t="s">
        <v>106</v>
      </c>
      <c r="O24" s="1" t="s">
        <v>104</v>
      </c>
    </row>
    <row r="25" spans="2:16" s="1" customFormat="1" ht="18" customHeight="1" x14ac:dyDescent="0.25">
      <c r="B25" s="24" t="s">
        <v>158</v>
      </c>
      <c r="C25" s="39">
        <f>IF(ISBLANK(H31)=TRUE,P33,IF(H31="&lt;90%",C31,P33-F31/10*(P33-C31)))</f>
        <v>8.4951807228915682E-2</v>
      </c>
      <c r="D25" s="24" t="s">
        <v>106</v>
      </c>
      <c r="O25" s="1" t="s">
        <v>104</v>
      </c>
    </row>
    <row r="26" spans="2:16" s="1" customFormat="1" ht="18" customHeight="1" x14ac:dyDescent="0.25">
      <c r="B26" s="24" t="s">
        <v>169</v>
      </c>
      <c r="C26" s="39">
        <f>P34-F32/10*(P34-C32)</f>
        <v>0.129</v>
      </c>
      <c r="D26" s="24" t="s">
        <v>105</v>
      </c>
    </row>
    <row r="27" spans="2:16" s="1" customFormat="1" ht="18" customHeight="1" x14ac:dyDescent="0.25">
      <c r="B27" s="104"/>
      <c r="C27" s="105"/>
      <c r="D27" s="104"/>
    </row>
    <row r="28" spans="2:16" s="1" customFormat="1" ht="18" customHeight="1" x14ac:dyDescent="0.25">
      <c r="B28" s="4" t="s">
        <v>208</v>
      </c>
      <c r="D28" s="4" t="s">
        <v>154</v>
      </c>
      <c r="E28" s="4" t="s">
        <v>209</v>
      </c>
      <c r="G28" s="4" t="s">
        <v>210</v>
      </c>
      <c r="O28" s="1" t="s">
        <v>104</v>
      </c>
    </row>
    <row r="29" spans="2:16" s="1" customFormat="1" ht="18" customHeight="1" x14ac:dyDescent="0.25">
      <c r="B29" s="103" t="s">
        <v>179</v>
      </c>
      <c r="C29" s="102"/>
      <c r="D29" s="103" t="s">
        <v>106</v>
      </c>
      <c r="E29" s="103" t="s">
        <v>165</v>
      </c>
      <c r="F29" s="102"/>
      <c r="G29" s="103" t="s">
        <v>167</v>
      </c>
      <c r="H29" s="102"/>
    </row>
    <row r="30" spans="2:16" s="1" customFormat="1" ht="18" customHeight="1" x14ac:dyDescent="0.25">
      <c r="B30" s="103" t="s">
        <v>180</v>
      </c>
      <c r="C30" s="102"/>
      <c r="D30" s="103" t="s">
        <v>106</v>
      </c>
      <c r="E30" s="103" t="s">
        <v>165</v>
      </c>
      <c r="F30" s="102"/>
      <c r="G30" s="103" t="s">
        <v>167</v>
      </c>
      <c r="H30" s="102"/>
    </row>
    <row r="31" spans="2:16" s="1" customFormat="1" ht="18" customHeight="1" x14ac:dyDescent="0.25">
      <c r="B31" s="103" t="s">
        <v>181</v>
      </c>
      <c r="C31" s="102"/>
      <c r="D31" s="103" t="s">
        <v>106</v>
      </c>
      <c r="E31" s="103" t="s">
        <v>165</v>
      </c>
      <c r="F31" s="102"/>
      <c r="G31" s="103" t="s">
        <v>167</v>
      </c>
      <c r="H31" s="102"/>
      <c r="O31" s="4" t="s">
        <v>168</v>
      </c>
      <c r="P31" s="1">
        <f>C16/6/3.6</f>
        <v>5.9722222222222225E-3</v>
      </c>
    </row>
    <row r="32" spans="2:16" s="1" customFormat="1" ht="18" customHeight="1" x14ac:dyDescent="0.25">
      <c r="B32" s="53" t="s">
        <v>182</v>
      </c>
      <c r="C32" s="102"/>
      <c r="D32" s="103" t="s">
        <v>105</v>
      </c>
      <c r="E32" s="103" t="s">
        <v>164</v>
      </c>
      <c r="F32" s="102"/>
      <c r="O32" s="4" t="s">
        <v>168</v>
      </c>
      <c r="P32" s="1">
        <f>C17/0.83*1.1</f>
        <v>8.4951807228915682E-2</v>
      </c>
    </row>
    <row r="33" spans="2:16" ht="13" x14ac:dyDescent="0.25">
      <c r="O33" s="4" t="s">
        <v>168</v>
      </c>
      <c r="P33" s="1">
        <f>C17/0.83*1.1</f>
        <v>8.4951807228915682E-2</v>
      </c>
    </row>
    <row r="34" spans="2:16" s="1" customFormat="1" ht="22.5" customHeight="1" x14ac:dyDescent="0.25">
      <c r="B34" s="41"/>
      <c r="C34" s="147" t="s">
        <v>49</v>
      </c>
      <c r="D34" s="148"/>
      <c r="E34" s="148"/>
      <c r="F34" s="147" t="s">
        <v>74</v>
      </c>
      <c r="G34" s="149"/>
      <c r="H34" s="147" t="s">
        <v>187</v>
      </c>
      <c r="I34" s="148"/>
      <c r="J34" s="149"/>
      <c r="K34" s="148" t="s">
        <v>68</v>
      </c>
      <c r="L34" s="148" t="s">
        <v>202</v>
      </c>
      <c r="O34" s="4" t="s">
        <v>168</v>
      </c>
      <c r="P34" s="1">
        <f>C16</f>
        <v>0.129</v>
      </c>
    </row>
    <row r="35" spans="2:16" s="1" customFormat="1" ht="22.5" customHeight="1" x14ac:dyDescent="0.25">
      <c r="B35" s="42"/>
      <c r="C35" s="67" t="s">
        <v>53</v>
      </c>
      <c r="D35" s="99" t="s">
        <v>207</v>
      </c>
      <c r="E35" s="65" t="s">
        <v>43</v>
      </c>
      <c r="F35" s="99" t="s">
        <v>207</v>
      </c>
      <c r="G35" s="68" t="s">
        <v>43</v>
      </c>
      <c r="H35" s="67" t="s">
        <v>53</v>
      </c>
      <c r="I35" s="100" t="s">
        <v>207</v>
      </c>
      <c r="J35" s="68" t="s">
        <v>43</v>
      </c>
      <c r="K35" s="148"/>
      <c r="L35" s="148"/>
    </row>
    <row r="36" spans="2:16" s="1" customFormat="1" ht="18" customHeight="1" x14ac:dyDescent="0.25">
      <c r="B36" s="25" t="s">
        <v>1</v>
      </c>
      <c r="C36" s="69"/>
      <c r="D36" s="25"/>
      <c r="E36" s="25"/>
      <c r="F36" s="69"/>
      <c r="G36" s="70"/>
      <c r="H36" s="69"/>
      <c r="I36" s="25"/>
      <c r="J36" s="70"/>
      <c r="K36" s="25"/>
      <c r="L36" s="25"/>
    </row>
    <row r="37" spans="2:16" s="1" customFormat="1" ht="18" customHeight="1" x14ac:dyDescent="0.25">
      <c r="B37" s="48" t="s">
        <v>33</v>
      </c>
      <c r="C37" s="52"/>
      <c r="D37" s="52"/>
      <c r="E37" s="40" t="str">
        <f t="shared" ref="E37:E44" si="0">IFERROR(VLOOKUP(C37,$B$16:$C$26,2,FALSE)*D37,"")</f>
        <v/>
      </c>
      <c r="F37" s="52"/>
      <c r="G37" s="40" t="str">
        <f t="shared" ref="G37:G44" si="1">IFERROR(VLOOKUP(C37,$B$16:$C$26,2,FALSE)*F37,"")</f>
        <v/>
      </c>
      <c r="H37" s="52"/>
      <c r="I37" s="52"/>
      <c r="J37" s="40" t="str">
        <f t="shared" ref="J37:J44" si="2">IFERROR(VLOOKUP(H37,$B$16:$C$26,2,FALSE)*I37,"")</f>
        <v/>
      </c>
      <c r="K37" s="45" t="str">
        <f>IFERROR(IF(H37=$B$24,(D37-F37)/D37,(D37-I37)/D37),"")</f>
        <v/>
      </c>
      <c r="L37" s="72"/>
    </row>
    <row r="38" spans="2:16" s="1" customFormat="1" ht="18" customHeight="1" x14ac:dyDescent="0.25">
      <c r="B38" s="48" t="s">
        <v>33</v>
      </c>
      <c r="C38" s="52"/>
      <c r="D38" s="52"/>
      <c r="E38" s="40" t="str">
        <f t="shared" si="0"/>
        <v/>
      </c>
      <c r="F38" s="52"/>
      <c r="G38" s="40" t="str">
        <f t="shared" si="1"/>
        <v/>
      </c>
      <c r="H38" s="52"/>
      <c r="I38" s="52"/>
      <c r="J38" s="40" t="str">
        <f t="shared" si="2"/>
        <v/>
      </c>
      <c r="K38" s="45" t="str">
        <f>IFERROR(IF(H38=$B$24,(D38-F38)/D38,(D38-I38)/D38),"")</f>
        <v/>
      </c>
      <c r="L38" s="72"/>
    </row>
    <row r="39" spans="2:16" s="1" customFormat="1" ht="18" customHeight="1" x14ac:dyDescent="0.25">
      <c r="B39" s="48" t="s">
        <v>34</v>
      </c>
      <c r="C39" s="52"/>
      <c r="D39" s="52"/>
      <c r="E39" s="40" t="str">
        <f t="shared" si="0"/>
        <v/>
      </c>
      <c r="F39" s="52"/>
      <c r="G39" s="40" t="str">
        <f t="shared" si="1"/>
        <v/>
      </c>
      <c r="H39" s="52"/>
      <c r="I39" s="52"/>
      <c r="J39" s="40" t="str">
        <f t="shared" si="2"/>
        <v/>
      </c>
      <c r="K39" s="45" t="str">
        <f>IFERROR(IF(H39=$B$23,(D39-F39)/D39,(D39-I39)/D39),"")</f>
        <v/>
      </c>
      <c r="L39" s="72"/>
    </row>
    <row r="40" spans="2:16" s="1" customFormat="1" ht="18" customHeight="1" x14ac:dyDescent="0.25">
      <c r="B40" s="48" t="s">
        <v>34</v>
      </c>
      <c r="C40" s="52"/>
      <c r="D40" s="52"/>
      <c r="E40" s="40" t="str">
        <f t="shared" si="0"/>
        <v/>
      </c>
      <c r="F40" s="52"/>
      <c r="G40" s="40" t="str">
        <f t="shared" si="1"/>
        <v/>
      </c>
      <c r="H40" s="52"/>
      <c r="I40" s="52"/>
      <c r="J40" s="40" t="str">
        <f t="shared" si="2"/>
        <v/>
      </c>
      <c r="K40" s="45" t="str">
        <f>IFERROR(IF(H40=$B$23,(D40-F40)/D40,(D40-I40)/D40),"")</f>
        <v/>
      </c>
      <c r="L40" s="72"/>
    </row>
    <row r="41" spans="2:16" s="1" customFormat="1" ht="18" customHeight="1" x14ac:dyDescent="0.25">
      <c r="B41" s="48" t="s">
        <v>35</v>
      </c>
      <c r="C41" s="52"/>
      <c r="D41" s="52"/>
      <c r="E41" s="40" t="str">
        <f t="shared" si="0"/>
        <v/>
      </c>
      <c r="F41" s="52"/>
      <c r="G41" s="40" t="str">
        <f t="shared" si="1"/>
        <v/>
      </c>
      <c r="H41" s="52"/>
      <c r="I41" s="52"/>
      <c r="J41" s="40" t="str">
        <f t="shared" si="2"/>
        <v/>
      </c>
      <c r="K41" s="45" t="str">
        <f>IFERROR((D41-I41)/D41,"")</f>
        <v/>
      </c>
      <c r="L41" s="72"/>
    </row>
    <row r="42" spans="2:16" s="1" customFormat="1" ht="18" customHeight="1" x14ac:dyDescent="0.25">
      <c r="B42" s="48" t="s">
        <v>36</v>
      </c>
      <c r="C42" s="52"/>
      <c r="D42" s="52"/>
      <c r="E42" s="40" t="str">
        <f t="shared" si="0"/>
        <v/>
      </c>
      <c r="F42" s="52"/>
      <c r="G42" s="40" t="str">
        <f t="shared" si="1"/>
        <v/>
      </c>
      <c r="H42" s="52"/>
      <c r="I42" s="52"/>
      <c r="J42" s="40" t="str">
        <f t="shared" si="2"/>
        <v/>
      </c>
      <c r="K42" s="45" t="str">
        <f t="shared" ref="K42:K44" si="3">IFERROR((D42-I42)/D42,"")</f>
        <v/>
      </c>
      <c r="L42" s="72"/>
    </row>
    <row r="43" spans="2:16" s="1" customFormat="1" ht="18" customHeight="1" x14ac:dyDescent="0.25">
      <c r="B43" s="48" t="s">
        <v>37</v>
      </c>
      <c r="C43" s="52"/>
      <c r="D43" s="52"/>
      <c r="E43" s="40" t="str">
        <f t="shared" si="0"/>
        <v/>
      </c>
      <c r="F43" s="52"/>
      <c r="G43" s="40" t="str">
        <f t="shared" si="1"/>
        <v/>
      </c>
      <c r="H43" s="52"/>
      <c r="I43" s="52"/>
      <c r="J43" s="40" t="str">
        <f t="shared" si="2"/>
        <v/>
      </c>
      <c r="K43" s="45" t="str">
        <f t="shared" si="3"/>
        <v/>
      </c>
      <c r="L43" s="72"/>
    </row>
    <row r="44" spans="2:16" s="1" customFormat="1" ht="18" customHeight="1" x14ac:dyDescent="0.25">
      <c r="B44" s="48" t="s">
        <v>38</v>
      </c>
      <c r="C44" s="52"/>
      <c r="D44" s="52"/>
      <c r="E44" s="40" t="str">
        <f t="shared" si="0"/>
        <v/>
      </c>
      <c r="F44" s="52"/>
      <c r="G44" s="40" t="str">
        <f t="shared" si="1"/>
        <v/>
      </c>
      <c r="H44" s="52"/>
      <c r="I44" s="52"/>
      <c r="J44" s="40" t="str">
        <f t="shared" si="2"/>
        <v/>
      </c>
      <c r="K44" s="45" t="str">
        <f t="shared" si="3"/>
        <v/>
      </c>
      <c r="L44" s="72"/>
    </row>
    <row r="45" spans="2:16" s="1" customFormat="1" ht="18" customHeight="1" x14ac:dyDescent="0.25">
      <c r="B45" s="25" t="s">
        <v>39</v>
      </c>
      <c r="C45" s="69"/>
      <c r="D45" s="25"/>
      <c r="E45" s="25"/>
      <c r="F45" s="69"/>
      <c r="G45" s="70"/>
      <c r="H45" s="69"/>
      <c r="I45" s="25"/>
      <c r="J45" s="70"/>
      <c r="K45" s="25"/>
      <c r="L45" s="25"/>
    </row>
    <row r="46" spans="2:16" s="1" customFormat="1" ht="18" customHeight="1" x14ac:dyDescent="0.25">
      <c r="B46" s="48" t="s">
        <v>2</v>
      </c>
      <c r="C46" s="52"/>
      <c r="D46" s="52"/>
      <c r="E46" s="40" t="str">
        <f t="shared" ref="E46:E58" si="4">IFERROR(VLOOKUP(C46,$B$16:$C$26,2,FALSE)*D46,"")</f>
        <v/>
      </c>
      <c r="F46" s="73">
        <f>D46</f>
        <v>0</v>
      </c>
      <c r="G46" s="40" t="str">
        <f t="shared" ref="G46:G58" si="5">IFERROR(VLOOKUP(C46,$B$16:$C$26,2,FALSE)*F46,"")</f>
        <v/>
      </c>
      <c r="H46" s="52"/>
      <c r="I46" s="52"/>
      <c r="J46" s="40" t="str">
        <f t="shared" ref="J46:J58" si="6">IFERROR(VLOOKUP(H46,$B$16:$C$26,2,FALSE)*I46,"")</f>
        <v/>
      </c>
      <c r="K46" s="45" t="str">
        <f t="shared" ref="K46:K58" si="7">IFERROR((D46-I46)/D46,"")</f>
        <v/>
      </c>
      <c r="L46" s="72"/>
    </row>
    <row r="47" spans="2:16" s="1" customFormat="1" ht="18" customHeight="1" x14ac:dyDescent="0.25">
      <c r="B47" s="48" t="s">
        <v>71</v>
      </c>
      <c r="C47" s="52"/>
      <c r="D47" s="52"/>
      <c r="E47" s="40" t="str">
        <f t="shared" si="4"/>
        <v/>
      </c>
      <c r="F47" s="73">
        <f t="shared" ref="F47:F58" si="8">D47</f>
        <v>0</v>
      </c>
      <c r="G47" s="40" t="str">
        <f t="shared" si="5"/>
        <v/>
      </c>
      <c r="H47" s="52"/>
      <c r="I47" s="52"/>
      <c r="J47" s="40" t="str">
        <f t="shared" si="6"/>
        <v/>
      </c>
      <c r="K47" s="45" t="str">
        <f t="shared" si="7"/>
        <v/>
      </c>
      <c r="L47" s="72"/>
    </row>
    <row r="48" spans="2:16" s="1" customFormat="1" ht="18" customHeight="1" x14ac:dyDescent="0.25">
      <c r="B48" s="48" t="s">
        <v>72</v>
      </c>
      <c r="C48" s="52"/>
      <c r="D48" s="52"/>
      <c r="E48" s="40" t="str">
        <f t="shared" si="4"/>
        <v/>
      </c>
      <c r="F48" s="73">
        <f t="shared" si="8"/>
        <v>0</v>
      </c>
      <c r="G48" s="40" t="str">
        <f t="shared" si="5"/>
        <v/>
      </c>
      <c r="H48" s="52"/>
      <c r="I48" s="52"/>
      <c r="J48" s="40" t="str">
        <f t="shared" si="6"/>
        <v/>
      </c>
      <c r="K48" s="45" t="str">
        <f t="shared" si="7"/>
        <v/>
      </c>
      <c r="L48" s="72"/>
    </row>
    <row r="49" spans="2:12" s="1" customFormat="1" ht="18" customHeight="1" x14ac:dyDescent="0.25">
      <c r="B49" s="48" t="s">
        <v>40</v>
      </c>
      <c r="C49" s="52"/>
      <c r="D49" s="52"/>
      <c r="E49" s="40" t="str">
        <f t="shared" si="4"/>
        <v/>
      </c>
      <c r="F49" s="73">
        <f t="shared" si="8"/>
        <v>0</v>
      </c>
      <c r="G49" s="40" t="str">
        <f t="shared" si="5"/>
        <v/>
      </c>
      <c r="H49" s="52"/>
      <c r="I49" s="52"/>
      <c r="J49" s="40" t="str">
        <f t="shared" si="6"/>
        <v/>
      </c>
      <c r="K49" s="45" t="str">
        <f t="shared" si="7"/>
        <v/>
      </c>
      <c r="L49" s="72"/>
    </row>
    <row r="50" spans="2:12" s="1" customFormat="1" ht="18" customHeight="1" x14ac:dyDescent="0.25">
      <c r="B50" s="48" t="s">
        <v>41</v>
      </c>
      <c r="C50" s="52" t="s">
        <v>66</v>
      </c>
      <c r="D50" s="52"/>
      <c r="E50" s="40">
        <f t="shared" si="4"/>
        <v>0</v>
      </c>
      <c r="F50" s="73">
        <f t="shared" si="8"/>
        <v>0</v>
      </c>
      <c r="G50" s="40">
        <f t="shared" si="5"/>
        <v>0</v>
      </c>
      <c r="H50" s="52"/>
      <c r="I50" s="52"/>
      <c r="J50" s="40" t="str">
        <f t="shared" si="6"/>
        <v/>
      </c>
      <c r="K50" s="45" t="str">
        <f t="shared" si="7"/>
        <v/>
      </c>
      <c r="L50" s="72"/>
    </row>
    <row r="51" spans="2:12" s="1" customFormat="1" ht="18" customHeight="1" x14ac:dyDescent="0.25">
      <c r="B51" s="48" t="s">
        <v>42</v>
      </c>
      <c r="C51" s="52"/>
      <c r="D51" s="52"/>
      <c r="E51" s="40" t="str">
        <f t="shared" si="4"/>
        <v/>
      </c>
      <c r="F51" s="73">
        <f t="shared" si="8"/>
        <v>0</v>
      </c>
      <c r="G51" s="40" t="str">
        <f t="shared" si="5"/>
        <v/>
      </c>
      <c r="H51" s="52"/>
      <c r="I51" s="52"/>
      <c r="J51" s="40" t="str">
        <f t="shared" si="6"/>
        <v/>
      </c>
      <c r="K51" s="45" t="str">
        <f t="shared" si="7"/>
        <v/>
      </c>
      <c r="L51" s="72"/>
    </row>
    <row r="52" spans="2:12" s="1" customFormat="1" ht="18" customHeight="1" x14ac:dyDescent="0.25">
      <c r="B52" s="48" t="s">
        <v>160</v>
      </c>
      <c r="C52" s="52"/>
      <c r="D52" s="52"/>
      <c r="E52" s="40" t="str">
        <f t="shared" si="4"/>
        <v/>
      </c>
      <c r="F52" s="73">
        <f t="shared" si="8"/>
        <v>0</v>
      </c>
      <c r="G52" s="40" t="str">
        <f t="shared" si="5"/>
        <v/>
      </c>
      <c r="H52" s="52"/>
      <c r="I52" s="52"/>
      <c r="J52" s="40" t="str">
        <f t="shared" si="6"/>
        <v/>
      </c>
      <c r="K52" s="45" t="str">
        <f t="shared" si="7"/>
        <v/>
      </c>
      <c r="L52" s="72"/>
    </row>
    <row r="53" spans="2:12" s="1" customFormat="1" ht="18" customHeight="1" x14ac:dyDescent="0.25">
      <c r="B53" s="48" t="s">
        <v>166</v>
      </c>
      <c r="C53" s="52"/>
      <c r="D53" s="52"/>
      <c r="E53" s="40" t="str">
        <f t="shared" si="4"/>
        <v/>
      </c>
      <c r="F53" s="73">
        <f t="shared" si="8"/>
        <v>0</v>
      </c>
      <c r="G53" s="40" t="str">
        <f t="shared" si="5"/>
        <v/>
      </c>
      <c r="H53" s="52"/>
      <c r="I53" s="52"/>
      <c r="J53" s="40" t="str">
        <f t="shared" si="6"/>
        <v/>
      </c>
      <c r="K53" s="45" t="str">
        <f t="shared" si="7"/>
        <v/>
      </c>
      <c r="L53" s="72"/>
    </row>
    <row r="54" spans="2:12" s="1" customFormat="1" ht="18" customHeight="1" x14ac:dyDescent="0.25">
      <c r="B54" s="74" t="s">
        <v>54</v>
      </c>
      <c r="C54" s="52"/>
      <c r="D54" s="52"/>
      <c r="E54" s="40" t="str">
        <f t="shared" si="4"/>
        <v/>
      </c>
      <c r="F54" s="73">
        <f t="shared" si="8"/>
        <v>0</v>
      </c>
      <c r="G54" s="40" t="str">
        <f t="shared" si="5"/>
        <v/>
      </c>
      <c r="H54" s="52"/>
      <c r="I54" s="52"/>
      <c r="J54" s="40" t="str">
        <f t="shared" si="6"/>
        <v/>
      </c>
      <c r="K54" s="45" t="str">
        <f t="shared" si="7"/>
        <v/>
      </c>
      <c r="L54" s="72"/>
    </row>
    <row r="55" spans="2:12" s="1" customFormat="1" ht="18" customHeight="1" x14ac:dyDescent="0.25">
      <c r="B55" s="74" t="s">
        <v>55</v>
      </c>
      <c r="C55" s="52"/>
      <c r="D55" s="52"/>
      <c r="E55" s="40" t="str">
        <f t="shared" si="4"/>
        <v/>
      </c>
      <c r="F55" s="73">
        <f t="shared" si="8"/>
        <v>0</v>
      </c>
      <c r="G55" s="40" t="str">
        <f t="shared" si="5"/>
        <v/>
      </c>
      <c r="H55" s="52"/>
      <c r="I55" s="52"/>
      <c r="J55" s="40" t="str">
        <f t="shared" si="6"/>
        <v/>
      </c>
      <c r="K55" s="45" t="str">
        <f t="shared" si="7"/>
        <v/>
      </c>
      <c r="L55" s="72"/>
    </row>
    <row r="56" spans="2:12" s="1" customFormat="1" ht="18" customHeight="1" x14ac:dyDescent="0.25">
      <c r="B56" s="74" t="s">
        <v>56</v>
      </c>
      <c r="C56" s="52"/>
      <c r="D56" s="52"/>
      <c r="E56" s="40" t="str">
        <f t="shared" si="4"/>
        <v/>
      </c>
      <c r="F56" s="73">
        <f t="shared" si="8"/>
        <v>0</v>
      </c>
      <c r="G56" s="40" t="str">
        <f t="shared" si="5"/>
        <v/>
      </c>
      <c r="H56" s="52"/>
      <c r="I56" s="52"/>
      <c r="J56" s="40" t="str">
        <f t="shared" si="6"/>
        <v/>
      </c>
      <c r="K56" s="45" t="str">
        <f t="shared" si="7"/>
        <v/>
      </c>
      <c r="L56" s="72"/>
    </row>
    <row r="57" spans="2:12" s="1" customFormat="1" ht="18" customHeight="1" x14ac:dyDescent="0.25">
      <c r="B57" s="74" t="s">
        <v>57</v>
      </c>
      <c r="C57" s="52"/>
      <c r="D57" s="52"/>
      <c r="E57" s="40" t="str">
        <f t="shared" si="4"/>
        <v/>
      </c>
      <c r="F57" s="73">
        <f t="shared" si="8"/>
        <v>0</v>
      </c>
      <c r="G57" s="40" t="str">
        <f t="shared" si="5"/>
        <v/>
      </c>
      <c r="H57" s="52"/>
      <c r="I57" s="52"/>
      <c r="J57" s="40" t="str">
        <f t="shared" si="6"/>
        <v/>
      </c>
      <c r="K57" s="45" t="str">
        <f t="shared" si="7"/>
        <v/>
      </c>
      <c r="L57" s="72"/>
    </row>
    <row r="58" spans="2:12" s="1" customFormat="1" ht="18" customHeight="1" x14ac:dyDescent="0.25">
      <c r="B58" s="74" t="s">
        <v>58</v>
      </c>
      <c r="C58" s="52"/>
      <c r="D58" s="52"/>
      <c r="E58" s="40" t="str">
        <f t="shared" si="4"/>
        <v/>
      </c>
      <c r="F58" s="73">
        <f t="shared" si="8"/>
        <v>0</v>
      </c>
      <c r="G58" s="40" t="str">
        <f t="shared" si="5"/>
        <v/>
      </c>
      <c r="H58" s="52"/>
      <c r="I58" s="52"/>
      <c r="J58" s="40" t="str">
        <f t="shared" si="6"/>
        <v/>
      </c>
      <c r="K58" s="45" t="str">
        <f t="shared" si="7"/>
        <v/>
      </c>
      <c r="L58" s="72"/>
    </row>
    <row r="59" spans="2:12" s="1" customFormat="1" ht="18" customHeight="1" x14ac:dyDescent="0.25">
      <c r="B59" s="49" t="s">
        <v>188</v>
      </c>
      <c r="C59" s="59"/>
      <c r="D59" s="46">
        <f>SUMIF($C$37:$C$58,"Grid Electricity",D37:D58)*3.6+SUMIF($C$37:$C$58,"&lt;&gt;Grid Electricity",D37:D58)</f>
        <v>0</v>
      </c>
      <c r="E59" s="71">
        <f>SUM(E37:E58)</f>
        <v>0</v>
      </c>
      <c r="F59" s="46">
        <f>SUMIF($C$37:$C$58,"Grid Electricity",F37:F58)*3.6+SUMIF($C$37:$C$58,"&lt;&gt;Grid Electricity",F37:F58)</f>
        <v>0</v>
      </c>
      <c r="G59" s="46">
        <f>SUM(G37:G58)</f>
        <v>0</v>
      </c>
      <c r="H59" s="66"/>
      <c r="I59" s="46">
        <f>SUMIF($H$37:$H$58,"Grid Electricity",I37:I58)*3.6+SUMIF($H$37:$H$58,"&lt;&gt;Grid Electricity",I37:I58)</f>
        <v>0</v>
      </c>
      <c r="J59" s="46">
        <f>SUM(J37:J58)</f>
        <v>0</v>
      </c>
      <c r="K59" s="64"/>
    </row>
    <row r="60" spans="2:12" s="1" customFormat="1" x14ac:dyDescent="0.25">
      <c r="B60" s="8"/>
    </row>
    <row r="61" spans="2:12" s="1" customFormat="1" ht="18" customHeight="1" x14ac:dyDescent="0.25">
      <c r="B61" s="25" t="s">
        <v>44</v>
      </c>
      <c r="C61" s="25"/>
      <c r="D61" s="25"/>
      <c r="E61" s="25"/>
      <c r="F61" s="25"/>
      <c r="G61" s="25"/>
      <c r="H61" s="25"/>
      <c r="I61" s="25"/>
      <c r="J61" s="25"/>
      <c r="K61" s="25"/>
      <c r="L61" s="25"/>
    </row>
    <row r="62" spans="2:12" s="1" customFormat="1" ht="18" customHeight="1" x14ac:dyDescent="0.25">
      <c r="B62" s="50" t="s">
        <v>30</v>
      </c>
      <c r="C62" s="40"/>
      <c r="D62" s="52"/>
      <c r="E62" s="52"/>
      <c r="F62" s="52"/>
      <c r="G62" s="52"/>
      <c r="H62" s="52"/>
      <c r="I62" s="52"/>
      <c r="J62" s="40" t="str">
        <f>IFERROR(VLOOKUP(H62,$B$16:$C$26,2,FALSE)*I62,"")</f>
        <v/>
      </c>
      <c r="K62" s="40"/>
      <c r="L62" s="51"/>
    </row>
    <row r="63" spans="2:12" s="1" customFormat="1" ht="18" customHeight="1" x14ac:dyDescent="0.25">
      <c r="B63" s="50" t="s">
        <v>45</v>
      </c>
      <c r="C63" s="40"/>
      <c r="D63" s="52"/>
      <c r="E63" s="52"/>
      <c r="F63" s="52"/>
      <c r="G63" s="52"/>
      <c r="H63" s="52"/>
      <c r="I63" s="52"/>
      <c r="J63" s="40" t="str">
        <f>IFERROR(VLOOKUP(H63,$B$16:$C$26,2,FALSE)*I63,"")</f>
        <v/>
      </c>
      <c r="K63" s="40"/>
      <c r="L63" s="51"/>
    </row>
    <row r="64" spans="2:12" s="1" customFormat="1" ht="18" customHeight="1" x14ac:dyDescent="0.25">
      <c r="B64" s="25" t="s">
        <v>46</v>
      </c>
      <c r="C64" s="25"/>
      <c r="D64" s="25"/>
      <c r="E64" s="25"/>
      <c r="F64" s="25"/>
      <c r="G64" s="25"/>
      <c r="H64" s="25"/>
      <c r="I64" s="25"/>
      <c r="J64" s="25"/>
      <c r="K64" s="25"/>
      <c r="L64" s="25"/>
    </row>
    <row r="65" spans="2:12" s="1" customFormat="1" ht="18" customHeight="1" x14ac:dyDescent="0.25">
      <c r="B65" s="50" t="s">
        <v>47</v>
      </c>
      <c r="C65" s="40"/>
      <c r="D65" s="52"/>
      <c r="E65" s="52"/>
      <c r="F65" s="52"/>
      <c r="G65" s="52"/>
      <c r="H65" s="52"/>
      <c r="I65" s="52"/>
      <c r="J65" s="40" t="str">
        <f>IFERROR(VLOOKUP(H65,$B$16:$C$26,2,FALSE)*I65,"")</f>
        <v/>
      </c>
      <c r="K65" s="40"/>
      <c r="L65" s="51"/>
    </row>
    <row r="66" spans="2:12" s="1" customFormat="1" ht="18" customHeight="1" x14ac:dyDescent="0.25">
      <c r="B66" s="50" t="s">
        <v>48</v>
      </c>
      <c r="C66" s="40"/>
      <c r="D66" s="52"/>
      <c r="E66" s="52"/>
      <c r="F66" s="52"/>
      <c r="G66" s="52"/>
      <c r="H66" s="52"/>
      <c r="I66" s="52"/>
      <c r="J66" s="40" t="str">
        <f>IFERROR(VLOOKUP(H66,$B$16:$C$26,2,FALSE)*I66,"")</f>
        <v/>
      </c>
      <c r="K66" s="40"/>
      <c r="L66" s="51"/>
    </row>
    <row r="67" spans="2:12" s="1" customFormat="1" ht="18" customHeight="1" x14ac:dyDescent="0.25">
      <c r="B67" s="25" t="s">
        <v>51</v>
      </c>
      <c r="C67" s="25"/>
      <c r="D67" s="25"/>
      <c r="E67" s="25"/>
      <c r="F67" s="25"/>
      <c r="G67" s="25"/>
      <c r="H67" s="25"/>
      <c r="I67" s="25"/>
      <c r="J67" s="25"/>
      <c r="K67" s="25"/>
      <c r="L67" s="25"/>
    </row>
    <row r="68" spans="2:12" s="1" customFormat="1" ht="18" customHeight="1" x14ac:dyDescent="0.25">
      <c r="B68" s="50" t="s">
        <v>52</v>
      </c>
      <c r="C68" s="40"/>
      <c r="D68" s="52"/>
      <c r="E68" s="52"/>
      <c r="F68" s="52"/>
      <c r="G68" s="52"/>
      <c r="H68" s="52"/>
      <c r="I68" s="52"/>
      <c r="J68" s="40" t="str">
        <f>IFERROR(VLOOKUP(H68,$B$16:$C$26,2,FALSE)*I68,"")</f>
        <v/>
      </c>
      <c r="K68" s="40"/>
      <c r="L68" s="51"/>
    </row>
    <row r="69" spans="2:12" s="1" customFormat="1" ht="18" customHeight="1" x14ac:dyDescent="0.25">
      <c r="B69" s="8"/>
      <c r="C69" s="83"/>
      <c r="D69" s="83"/>
      <c r="E69" s="83"/>
      <c r="F69" s="83"/>
      <c r="G69" s="83"/>
      <c r="H69" s="83"/>
      <c r="I69" s="83"/>
      <c r="J69" s="83"/>
      <c r="K69" s="83"/>
    </row>
    <row r="70" spans="2:12" s="1" customFormat="1" ht="22.5" customHeight="1" x14ac:dyDescent="0.25">
      <c r="B70" s="155" t="s">
        <v>205</v>
      </c>
      <c r="C70" s="86"/>
      <c r="D70" s="152" t="s">
        <v>49</v>
      </c>
      <c r="E70" s="153"/>
      <c r="F70" s="152" t="s">
        <v>74</v>
      </c>
      <c r="G70" s="153"/>
      <c r="H70" s="86"/>
      <c r="I70" s="152" t="s">
        <v>187</v>
      </c>
      <c r="J70" s="154"/>
      <c r="K70" s="153"/>
    </row>
    <row r="71" spans="2:12" s="1" customFormat="1" ht="25.5" customHeight="1" x14ac:dyDescent="0.25">
      <c r="B71" s="155"/>
      <c r="C71" s="86"/>
      <c r="D71" s="101" t="s">
        <v>207</v>
      </c>
      <c r="E71" s="90" t="s">
        <v>43</v>
      </c>
      <c r="F71" s="101" t="s">
        <v>207</v>
      </c>
      <c r="G71" s="90" t="s">
        <v>43</v>
      </c>
      <c r="H71" s="86"/>
      <c r="I71" s="101" t="s">
        <v>207</v>
      </c>
      <c r="J71" s="86" t="s">
        <v>43</v>
      </c>
      <c r="K71" s="97" t="s">
        <v>206</v>
      </c>
    </row>
    <row r="72" spans="2:12" s="1" customFormat="1" ht="15" customHeight="1" x14ac:dyDescent="0.25">
      <c r="B72" s="89" t="s">
        <v>66</v>
      </c>
      <c r="D72" s="91">
        <f t="shared" ref="D72:G82" si="9">SUMIF($C$37:$C$58,$B72,D$37:D$58)+SUMIF($C$62:$C$68,$B72,D$62:D$68)</f>
        <v>0</v>
      </c>
      <c r="E72" s="92">
        <f t="shared" si="9"/>
        <v>0</v>
      </c>
      <c r="F72" s="91">
        <f t="shared" si="9"/>
        <v>0</v>
      </c>
      <c r="G72" s="92">
        <f t="shared" si="9"/>
        <v>0</v>
      </c>
      <c r="H72" s="84"/>
      <c r="I72" s="91">
        <f t="shared" ref="I72:J82" si="10">SUMIF($H$37:$H$58,$B72,I$37:I$58)+SUMIF($H$62:$H$68,$B72,I$62:I$68)</f>
        <v>0</v>
      </c>
      <c r="J72" s="26">
        <f t="shared" si="10"/>
        <v>0</v>
      </c>
      <c r="K72" s="92">
        <f t="shared" ref="K72:K78" si="11">I72*C16</f>
        <v>0</v>
      </c>
      <c r="L72" s="84"/>
    </row>
    <row r="73" spans="2:12" s="1" customFormat="1" ht="15" customHeight="1" x14ac:dyDescent="0.25">
      <c r="B73" s="47" t="s">
        <v>50</v>
      </c>
      <c r="D73" s="93">
        <f t="shared" si="9"/>
        <v>0</v>
      </c>
      <c r="E73" s="94">
        <f t="shared" si="9"/>
        <v>0</v>
      </c>
      <c r="F73" s="93">
        <f t="shared" si="9"/>
        <v>0</v>
      </c>
      <c r="G73" s="94">
        <f t="shared" si="9"/>
        <v>0</v>
      </c>
      <c r="H73" s="84"/>
      <c r="I73" s="93">
        <f t="shared" si="10"/>
        <v>0</v>
      </c>
      <c r="J73" s="27">
        <f t="shared" si="10"/>
        <v>0</v>
      </c>
      <c r="K73" s="94">
        <f t="shared" si="11"/>
        <v>0</v>
      </c>
      <c r="L73" s="84"/>
    </row>
    <row r="74" spans="2:12" s="1" customFormat="1" ht="15" customHeight="1" x14ac:dyDescent="0.25">
      <c r="B74" s="47" t="s">
        <v>59</v>
      </c>
      <c r="D74" s="93">
        <f t="shared" si="9"/>
        <v>0</v>
      </c>
      <c r="E74" s="94">
        <f t="shared" si="9"/>
        <v>0</v>
      </c>
      <c r="F74" s="93">
        <f t="shared" si="9"/>
        <v>0</v>
      </c>
      <c r="G74" s="94">
        <f t="shared" si="9"/>
        <v>0</v>
      </c>
      <c r="H74" s="84"/>
      <c r="I74" s="93">
        <f t="shared" si="10"/>
        <v>0</v>
      </c>
      <c r="J74" s="27">
        <f t="shared" si="10"/>
        <v>0</v>
      </c>
      <c r="K74" s="94">
        <f t="shared" si="11"/>
        <v>0</v>
      </c>
      <c r="L74" s="84"/>
    </row>
    <row r="75" spans="2:12" s="1" customFormat="1" ht="15" customHeight="1" x14ac:dyDescent="0.25">
      <c r="B75" s="47" t="s">
        <v>60</v>
      </c>
      <c r="D75" s="93">
        <f t="shared" si="9"/>
        <v>0</v>
      </c>
      <c r="E75" s="94">
        <f t="shared" si="9"/>
        <v>0</v>
      </c>
      <c r="F75" s="93">
        <f t="shared" si="9"/>
        <v>0</v>
      </c>
      <c r="G75" s="94">
        <f t="shared" si="9"/>
        <v>0</v>
      </c>
      <c r="H75" s="84"/>
      <c r="I75" s="93">
        <f t="shared" si="10"/>
        <v>0</v>
      </c>
      <c r="J75" s="27">
        <f t="shared" si="10"/>
        <v>0</v>
      </c>
      <c r="K75" s="94">
        <f t="shared" si="11"/>
        <v>0</v>
      </c>
      <c r="L75" s="84"/>
    </row>
    <row r="76" spans="2:12" s="1" customFormat="1" ht="15" customHeight="1" x14ac:dyDescent="0.25">
      <c r="B76" s="47" t="s">
        <v>61</v>
      </c>
      <c r="D76" s="93">
        <f t="shared" si="9"/>
        <v>0</v>
      </c>
      <c r="E76" s="94">
        <f t="shared" si="9"/>
        <v>0</v>
      </c>
      <c r="F76" s="93">
        <f t="shared" si="9"/>
        <v>0</v>
      </c>
      <c r="G76" s="94">
        <f t="shared" si="9"/>
        <v>0</v>
      </c>
      <c r="H76" s="84"/>
      <c r="I76" s="93">
        <f t="shared" si="10"/>
        <v>0</v>
      </c>
      <c r="J76" s="27">
        <f t="shared" si="10"/>
        <v>0</v>
      </c>
      <c r="K76" s="94">
        <f t="shared" si="11"/>
        <v>0</v>
      </c>
      <c r="L76" s="84"/>
    </row>
    <row r="77" spans="2:12" s="1" customFormat="1" ht="15" customHeight="1" x14ac:dyDescent="0.25">
      <c r="B77" s="47" t="s">
        <v>62</v>
      </c>
      <c r="D77" s="93">
        <f t="shared" si="9"/>
        <v>0</v>
      </c>
      <c r="E77" s="94">
        <f t="shared" si="9"/>
        <v>0</v>
      </c>
      <c r="F77" s="93">
        <f t="shared" si="9"/>
        <v>0</v>
      </c>
      <c r="G77" s="94">
        <f t="shared" si="9"/>
        <v>0</v>
      </c>
      <c r="H77" s="84"/>
      <c r="I77" s="93">
        <f t="shared" si="10"/>
        <v>0</v>
      </c>
      <c r="J77" s="27">
        <f t="shared" si="10"/>
        <v>0</v>
      </c>
      <c r="K77" s="94">
        <f t="shared" si="11"/>
        <v>0</v>
      </c>
      <c r="L77" s="84"/>
    </row>
    <row r="78" spans="2:12" s="1" customFormat="1" ht="15" customHeight="1" x14ac:dyDescent="0.25">
      <c r="B78" s="47" t="s">
        <v>63</v>
      </c>
      <c r="D78" s="93">
        <f t="shared" si="9"/>
        <v>0</v>
      </c>
      <c r="E78" s="94">
        <f t="shared" si="9"/>
        <v>0</v>
      </c>
      <c r="F78" s="93">
        <f t="shared" si="9"/>
        <v>0</v>
      </c>
      <c r="G78" s="94">
        <f t="shared" si="9"/>
        <v>0</v>
      </c>
      <c r="H78" s="84"/>
      <c r="I78" s="93">
        <f t="shared" si="10"/>
        <v>0</v>
      </c>
      <c r="J78" s="27">
        <f t="shared" si="10"/>
        <v>0</v>
      </c>
      <c r="K78" s="94">
        <f t="shared" si="11"/>
        <v>0</v>
      </c>
      <c r="L78" s="84"/>
    </row>
    <row r="79" spans="2:12" s="1" customFormat="1" ht="15" customHeight="1" x14ac:dyDescent="0.25">
      <c r="B79" s="47" t="s">
        <v>64</v>
      </c>
      <c r="D79" s="93">
        <f t="shared" si="9"/>
        <v>0</v>
      </c>
      <c r="E79" s="94">
        <f t="shared" si="9"/>
        <v>0</v>
      </c>
      <c r="F79" s="93">
        <f t="shared" si="9"/>
        <v>0</v>
      </c>
      <c r="G79" s="94">
        <f t="shared" si="9"/>
        <v>0</v>
      </c>
      <c r="H79" s="84"/>
      <c r="I79" s="93">
        <f t="shared" si="10"/>
        <v>0</v>
      </c>
      <c r="J79" s="27">
        <f t="shared" si="10"/>
        <v>0</v>
      </c>
      <c r="K79" s="94">
        <f>I79*P31</f>
        <v>0</v>
      </c>
      <c r="L79" s="84"/>
    </row>
    <row r="80" spans="2:12" s="1" customFormat="1" ht="15" customHeight="1" x14ac:dyDescent="0.25">
      <c r="B80" s="47" t="s">
        <v>65</v>
      </c>
      <c r="D80" s="93">
        <f t="shared" si="9"/>
        <v>0</v>
      </c>
      <c r="E80" s="94">
        <f t="shared" si="9"/>
        <v>0</v>
      </c>
      <c r="F80" s="93">
        <f t="shared" si="9"/>
        <v>0</v>
      </c>
      <c r="G80" s="94">
        <f t="shared" si="9"/>
        <v>0</v>
      </c>
      <c r="H80" s="84"/>
      <c r="I80" s="93">
        <f t="shared" si="10"/>
        <v>0</v>
      </c>
      <c r="J80" s="27">
        <f t="shared" si="10"/>
        <v>0</v>
      </c>
      <c r="K80" s="94">
        <f>I80*P32</f>
        <v>0</v>
      </c>
      <c r="L80" s="84"/>
    </row>
    <row r="81" spans="2:17" s="1" customFormat="1" ht="15" customHeight="1" x14ac:dyDescent="0.25">
      <c r="B81" s="47" t="s">
        <v>158</v>
      </c>
      <c r="D81" s="93">
        <f t="shared" si="9"/>
        <v>0</v>
      </c>
      <c r="E81" s="94">
        <f t="shared" si="9"/>
        <v>0</v>
      </c>
      <c r="F81" s="93">
        <f t="shared" si="9"/>
        <v>0</v>
      </c>
      <c r="G81" s="94">
        <f t="shared" si="9"/>
        <v>0</v>
      </c>
      <c r="H81" s="84"/>
      <c r="I81" s="93">
        <f t="shared" si="10"/>
        <v>0</v>
      </c>
      <c r="J81" s="27">
        <f t="shared" si="10"/>
        <v>0</v>
      </c>
      <c r="K81" s="94">
        <f>I81*P33</f>
        <v>0</v>
      </c>
      <c r="L81" s="84"/>
    </row>
    <row r="82" spans="2:17" s="1" customFormat="1" ht="13" x14ac:dyDescent="0.25">
      <c r="B82" s="87" t="s">
        <v>169</v>
      </c>
      <c r="C82" s="88"/>
      <c r="D82" s="95">
        <f t="shared" si="9"/>
        <v>0</v>
      </c>
      <c r="E82" s="96">
        <f t="shared" si="9"/>
        <v>0</v>
      </c>
      <c r="F82" s="95">
        <f t="shared" si="9"/>
        <v>0</v>
      </c>
      <c r="G82" s="96">
        <f t="shared" si="9"/>
        <v>0</v>
      </c>
      <c r="H82" s="85"/>
      <c r="I82" s="95">
        <f t="shared" si="10"/>
        <v>0</v>
      </c>
      <c r="J82" s="28">
        <f t="shared" si="10"/>
        <v>0</v>
      </c>
      <c r="K82" s="96">
        <f>I82*P34</f>
        <v>0</v>
      </c>
      <c r="L82" s="84"/>
    </row>
    <row r="83" spans="2:17" s="1" customFormat="1" ht="15" customHeight="1" thickBot="1" x14ac:dyDescent="0.3">
      <c r="B83" s="38" t="s">
        <v>29</v>
      </c>
      <c r="C83" s="38"/>
      <c r="D83" s="38"/>
      <c r="E83" s="38"/>
      <c r="F83" s="38"/>
      <c r="G83" s="38"/>
      <c r="H83" s="38"/>
      <c r="I83" s="36">
        <f>SUM(I72:I82)</f>
        <v>0</v>
      </c>
      <c r="J83" s="36">
        <f>SUM(J72:J82)</f>
        <v>0</v>
      </c>
      <c r="K83" s="36">
        <f>SUM(K72:K82)</f>
        <v>0</v>
      </c>
      <c r="L83" s="35"/>
    </row>
    <row r="84" spans="2:17" s="1" customFormat="1" ht="15" customHeight="1" thickTop="1" thickBot="1" x14ac:dyDescent="0.3">
      <c r="B84" s="38" t="s">
        <v>73</v>
      </c>
      <c r="C84" s="38"/>
      <c r="D84" s="38"/>
      <c r="E84" s="38"/>
      <c r="F84" s="38"/>
      <c r="G84" s="38"/>
      <c r="H84" s="38"/>
      <c r="I84" s="36">
        <f>SUM(I62:I63)</f>
        <v>0</v>
      </c>
      <c r="J84" s="36">
        <f>SUM(J62:J63)</f>
        <v>0</v>
      </c>
      <c r="K84" s="36"/>
      <c r="L84" s="35"/>
    </row>
    <row r="85" spans="2:17" s="1" customFormat="1" ht="13.5" thickTop="1" x14ac:dyDescent="0.25">
      <c r="B85" s="12"/>
      <c r="D85" s="4"/>
      <c r="E85" s="4"/>
      <c r="F85" s="4"/>
      <c r="G85" s="4"/>
      <c r="H85" s="4"/>
      <c r="I85" s="4"/>
      <c r="J85" s="4"/>
      <c r="K85" s="4"/>
    </row>
    <row r="86" spans="2:17" s="1" customFormat="1" ht="22.5" customHeight="1" x14ac:dyDescent="0.25">
      <c r="B86" s="79" t="s">
        <v>198</v>
      </c>
      <c r="C86" s="151" t="s">
        <v>199</v>
      </c>
      <c r="D86" s="151"/>
      <c r="E86" s="79"/>
      <c r="F86" s="79"/>
      <c r="G86" s="79"/>
      <c r="H86" s="151" t="s">
        <v>200</v>
      </c>
      <c r="I86" s="151"/>
      <c r="J86" s="79"/>
      <c r="K86" s="80" t="s">
        <v>68</v>
      </c>
      <c r="L86" s="80" t="s">
        <v>155</v>
      </c>
    </row>
    <row r="87" spans="2:17" s="1" customFormat="1" ht="18" customHeight="1" x14ac:dyDescent="0.25">
      <c r="B87" s="48" t="s">
        <v>156</v>
      </c>
      <c r="C87" s="51" t="s">
        <v>66</v>
      </c>
      <c r="D87" s="52"/>
      <c r="H87" s="51" t="s">
        <v>66</v>
      </c>
      <c r="I87" s="52"/>
      <c r="K87" s="81" t="str">
        <f>IFERROR((D87-I87)/D87,"")</f>
        <v/>
      </c>
      <c r="L87" s="82"/>
    </row>
    <row r="88" spans="2:17" s="1" customFormat="1" x14ac:dyDescent="0.25">
      <c r="B88" s="8"/>
    </row>
    <row r="89" spans="2:17" s="1" customFormat="1" x14ac:dyDescent="0.25">
      <c r="B89" s="8"/>
    </row>
    <row r="90" spans="2:17" s="1" customFormat="1" ht="18" customHeight="1" x14ac:dyDescent="0.25">
      <c r="B90" s="25" t="s">
        <v>189</v>
      </c>
      <c r="C90" s="25"/>
      <c r="D90" s="25"/>
    </row>
    <row r="91" spans="2:17" s="1" customFormat="1" ht="18" customHeight="1" x14ac:dyDescent="0.25">
      <c r="B91" s="25" t="s">
        <v>190</v>
      </c>
      <c r="C91" s="25"/>
      <c r="D91" s="25"/>
      <c r="E91" s="4"/>
      <c r="F91" s="4"/>
      <c r="G91" s="4"/>
      <c r="H91" s="4"/>
      <c r="I91" s="4"/>
      <c r="J91" s="4"/>
      <c r="K91" s="4"/>
    </row>
    <row r="92" spans="2:17" s="1" customFormat="1" ht="18" customHeight="1" x14ac:dyDescent="0.25">
      <c r="B92" s="53" t="s">
        <v>159</v>
      </c>
      <c r="C92" s="54">
        <f>D59</f>
        <v>0</v>
      </c>
      <c r="D92" s="53" t="s">
        <v>157</v>
      </c>
      <c r="H92" s="4"/>
      <c r="I92" s="4"/>
      <c r="J92" s="4"/>
      <c r="K92" s="4"/>
      <c r="O92" s="4"/>
      <c r="P92" s="4"/>
      <c r="Q92" s="4"/>
    </row>
    <row r="93" spans="2:17" s="1" customFormat="1" ht="18" customHeight="1" x14ac:dyDescent="0.25">
      <c r="B93" s="53" t="s">
        <v>75</v>
      </c>
      <c r="C93" s="54">
        <f>F59</f>
        <v>0</v>
      </c>
      <c r="D93" s="53" t="s">
        <v>157</v>
      </c>
      <c r="H93" s="4"/>
      <c r="I93" s="4"/>
      <c r="J93" s="4"/>
      <c r="O93" s="4"/>
      <c r="P93" s="4"/>
      <c r="Q93" s="4"/>
    </row>
    <row r="94" spans="2:17" s="1" customFormat="1" ht="18" customHeight="1" x14ac:dyDescent="0.25">
      <c r="B94" s="53" t="s">
        <v>68</v>
      </c>
      <c r="C94" s="60" t="str">
        <f>IFERROR((C92-C93)/C92,"")</f>
        <v/>
      </c>
      <c r="D94" s="4"/>
      <c r="H94" s="4"/>
      <c r="I94" s="4"/>
      <c r="J94" s="4"/>
      <c r="K94" s="4"/>
      <c r="O94" s="1" t="s">
        <v>328</v>
      </c>
      <c r="P94" s="4"/>
      <c r="Q94" s="4"/>
    </row>
    <row r="95" spans="2:17" s="1" customFormat="1" ht="18" customHeight="1" x14ac:dyDescent="0.25">
      <c r="B95" s="75" t="s">
        <v>196</v>
      </c>
      <c r="C95" s="76" t="str">
        <f>IF(C94&lt;0,0,IFERROR(MIN(C94/P95*O95,O95),""))</f>
        <v/>
      </c>
      <c r="O95" s="1">
        <f>$C$116*P95</f>
        <v>4</v>
      </c>
      <c r="P95" s="33">
        <v>0.2</v>
      </c>
      <c r="Q95" s="33">
        <v>0.25</v>
      </c>
    </row>
    <row r="96" spans="2:17" s="1" customFormat="1" ht="18" customHeight="1" x14ac:dyDescent="0.25">
      <c r="B96" s="8"/>
      <c r="C96" s="34"/>
    </row>
    <row r="97" spans="2:22" s="1" customFormat="1" ht="18" customHeight="1" x14ac:dyDescent="0.25">
      <c r="B97" s="25" t="s">
        <v>191</v>
      </c>
      <c r="C97" s="25"/>
      <c r="D97" s="25"/>
    </row>
    <row r="98" spans="2:22" s="1" customFormat="1" ht="18" customHeight="1" x14ac:dyDescent="0.25">
      <c r="B98" s="53" t="s">
        <v>69</v>
      </c>
      <c r="C98" s="54">
        <f>0.9*E59</f>
        <v>0</v>
      </c>
      <c r="D98" s="53" t="s">
        <v>70</v>
      </c>
    </row>
    <row r="99" spans="2:22" s="1" customFormat="1" ht="29.25" customHeight="1" x14ac:dyDescent="0.25">
      <c r="B99" s="53" t="s">
        <v>203</v>
      </c>
      <c r="C99" s="54">
        <f>K83</f>
        <v>0</v>
      </c>
      <c r="D99" s="53" t="s">
        <v>70</v>
      </c>
    </row>
    <row r="100" spans="2:22" s="1" customFormat="1" ht="18" customHeight="1" x14ac:dyDescent="0.25">
      <c r="B100" s="53" t="s">
        <v>204</v>
      </c>
      <c r="C100" s="54">
        <f>J83</f>
        <v>0</v>
      </c>
      <c r="D100" s="53" t="s">
        <v>70</v>
      </c>
      <c r="Q100" s="4"/>
    </row>
    <row r="101" spans="2:22" s="1" customFormat="1" ht="18" customHeight="1" x14ac:dyDescent="0.25">
      <c r="B101" s="8"/>
      <c r="C101" s="34"/>
    </row>
    <row r="102" spans="2:22" s="1" customFormat="1" ht="18" customHeight="1" x14ac:dyDescent="0.25">
      <c r="B102" s="53" t="s">
        <v>174</v>
      </c>
      <c r="C102" s="54" t="str">
        <f>IF(C100&lt;=C98,"PASS","FAIL")</f>
        <v>PASS</v>
      </c>
    </row>
    <row r="103" spans="2:22" s="1" customFormat="1" ht="18" customHeight="1" x14ac:dyDescent="0.25">
      <c r="B103" s="53" t="s">
        <v>68</v>
      </c>
      <c r="C103" s="60" t="str">
        <f>IFERROR((C98-C100)/C98,"")</f>
        <v/>
      </c>
      <c r="D103" s="4"/>
    </row>
    <row r="104" spans="2:22" s="1" customFormat="1" ht="18" customHeight="1" x14ac:dyDescent="0.25">
      <c r="B104" s="53" t="s">
        <v>170</v>
      </c>
      <c r="C104" s="61" t="str">
        <f>IFERROR(MIN((C98-C99)/C98/Q105,Q105)*O105,"")</f>
        <v/>
      </c>
      <c r="D104" s="4"/>
      <c r="O104" s="1" t="s">
        <v>327</v>
      </c>
    </row>
    <row r="105" spans="2:22" s="1" customFormat="1" ht="18" customHeight="1" x14ac:dyDescent="0.25">
      <c r="B105" s="75" t="s">
        <v>197</v>
      </c>
      <c r="C105" s="77" t="str">
        <f>IF(C103&lt;0, 0,IFERROR(MIN(MIN(C103/Q105*O105,2*C104),O105),""))</f>
        <v/>
      </c>
      <c r="O105" s="1">
        <f>$C$116*P105</f>
        <v>16</v>
      </c>
      <c r="P105" s="33">
        <f>1-P95</f>
        <v>0.8</v>
      </c>
      <c r="Q105" s="33">
        <v>1</v>
      </c>
    </row>
    <row r="106" spans="2:22" s="1" customFormat="1" ht="18" customHeight="1" x14ac:dyDescent="0.25">
      <c r="B106" s="12"/>
      <c r="C106" s="120"/>
      <c r="O106" s="1" t="s">
        <v>329</v>
      </c>
      <c r="P106" s="33"/>
      <c r="Q106" s="33"/>
    </row>
    <row r="107" spans="2:22" s="1" customFormat="1" ht="29.25" customHeight="1" x14ac:dyDescent="0.25">
      <c r="B107" s="150" t="s">
        <v>236</v>
      </c>
      <c r="C107" s="150"/>
      <c r="D107" s="140"/>
      <c r="E107" s="33"/>
      <c r="O107" s="1">
        <f>IF(AND(D107=0, D108=0), 0, MIN(C105,C105*D107*D108/10))</f>
        <v>0</v>
      </c>
      <c r="P107" s="33"/>
      <c r="Q107" s="33"/>
    </row>
    <row r="108" spans="2:22" s="1" customFormat="1" ht="18" customHeight="1" x14ac:dyDescent="0.25">
      <c r="B108" s="122" t="s">
        <v>235</v>
      </c>
      <c r="C108" s="123"/>
      <c r="D108" s="141"/>
      <c r="P108" s="33"/>
      <c r="Q108" s="33"/>
    </row>
    <row r="109" spans="2:22" s="1" customFormat="1" ht="18" customHeight="1" x14ac:dyDescent="0.25">
      <c r="B109" s="8"/>
      <c r="C109" s="34"/>
      <c r="U109" s="110" t="s">
        <v>279</v>
      </c>
      <c r="V109" s="119"/>
    </row>
    <row r="110" spans="2:22" s="1" customFormat="1" ht="34.5" customHeight="1" x14ac:dyDescent="0.25">
      <c r="B110" s="53" t="s">
        <v>195</v>
      </c>
      <c r="C110" s="54" t="str">
        <f>IFERROR((-1*J84)/J59,"")</f>
        <v/>
      </c>
      <c r="O110" s="1" t="s">
        <v>326</v>
      </c>
      <c r="U110" s="107" t="s">
        <v>276</v>
      </c>
      <c r="V110" s="1" t="e">
        <f>IF(AND($C$11=U110, ($C$95+$C$105)&gt;0), 1,0)</f>
        <v>#VALUE!</v>
      </c>
    </row>
    <row r="111" spans="2:22" s="1" customFormat="1" ht="18" customHeight="1" x14ac:dyDescent="0.25">
      <c r="B111" s="53" t="s">
        <v>173</v>
      </c>
      <c r="C111" s="54" t="str">
        <f>IFERROR(MIN(C110/Q111,1)*O111,"")</f>
        <v/>
      </c>
      <c r="O111" s="1">
        <v>2</v>
      </c>
      <c r="P111" s="33">
        <v>0.1</v>
      </c>
      <c r="Q111" s="33">
        <v>0.1</v>
      </c>
      <c r="U111" s="107" t="s">
        <v>277</v>
      </c>
      <c r="V111" s="1" t="e">
        <f>IF(AND($C$11=U111, ($C$95+$C$105)&gt;=3), 1,0)</f>
        <v>#VALUE!</v>
      </c>
    </row>
    <row r="112" spans="2:22" s="1" customFormat="1" ht="18" customHeight="1" x14ac:dyDescent="0.25">
      <c r="B112" s="8"/>
      <c r="C112" s="121"/>
      <c r="P112" s="33"/>
      <c r="Q112" s="33"/>
      <c r="U112" s="107" t="s">
        <v>278</v>
      </c>
      <c r="V112" s="1" t="e">
        <f>IF(AND($C$11=U112, ($C$95+$C$105)&gt;=6), 1,0)</f>
        <v>#VALUE!</v>
      </c>
    </row>
    <row r="113" spans="2:22" s="1" customFormat="1" ht="18" customHeight="1" x14ac:dyDescent="0.25">
      <c r="B113" s="103" t="s">
        <v>264</v>
      </c>
      <c r="C113" s="124"/>
      <c r="D113" s="125" t="str">
        <f>IF(V113=1, "Conditional Requirement Met", "Conditional Requirement not met")</f>
        <v>Conditional Requirement not met</v>
      </c>
      <c r="E113" s="103"/>
      <c r="P113" s="33"/>
      <c r="Q113" s="33"/>
      <c r="U113" s="108"/>
      <c r="V113" s="88" t="str">
        <f>IF(C11="", "", VLOOKUP(C11,U110:V112, 2,FALSE))</f>
        <v/>
      </c>
    </row>
    <row r="114" spans="2:22" s="1" customFormat="1" ht="18" customHeight="1" x14ac:dyDescent="0.25">
      <c r="B114" s="8"/>
      <c r="C114" s="7"/>
      <c r="P114" s="33"/>
      <c r="Q114" s="33"/>
    </row>
    <row r="115" spans="2:22" s="1" customFormat="1" ht="18" customHeight="1" x14ac:dyDescent="0.25">
      <c r="B115" s="63" t="s">
        <v>192</v>
      </c>
      <c r="C115" s="62">
        <f>IF(C102="FAIL",0,MIN(SUM(C95,C105,O107),C116))</f>
        <v>0</v>
      </c>
    </row>
    <row r="116" spans="2:22" s="1" customFormat="1" ht="18" customHeight="1" x14ac:dyDescent="0.25">
      <c r="B116" s="63" t="s">
        <v>193</v>
      </c>
      <c r="C116" s="62">
        <v>20</v>
      </c>
    </row>
    <row r="117" spans="2:22" s="1" customFormat="1" ht="18" customHeight="1" x14ac:dyDescent="0.25">
      <c r="B117" s="63" t="s">
        <v>253</v>
      </c>
      <c r="C117" s="62" t="str">
        <f>$C$111</f>
        <v/>
      </c>
    </row>
    <row r="118" spans="2:22" s="1" customFormat="1" ht="18" customHeight="1" x14ac:dyDescent="0.25">
      <c r="B118" s="55"/>
      <c r="C118" s="37"/>
    </row>
    <row r="119" spans="2:22" s="1" customFormat="1" ht="13" x14ac:dyDescent="0.25">
      <c r="B119" s="12"/>
      <c r="C119" s="43"/>
    </row>
    <row r="120" spans="2:22" s="1" customFormat="1" ht="25" x14ac:dyDescent="0.25">
      <c r="B120" s="30" t="s">
        <v>232</v>
      </c>
      <c r="C120" s="30"/>
      <c r="D120" s="30"/>
    </row>
    <row r="121" spans="2:22" ht="18" customHeight="1" x14ac:dyDescent="0.4">
      <c r="B121" s="29" t="s">
        <v>194</v>
      </c>
      <c r="C121" s="29"/>
      <c r="D121" s="23"/>
      <c r="E121" s="23"/>
      <c r="F121" s="1"/>
    </row>
    <row r="122" spans="2:22" s="1" customFormat="1" ht="18" customHeight="1" x14ac:dyDescent="0.25">
      <c r="B122" s="12"/>
      <c r="P122" s="1" t="s">
        <v>89</v>
      </c>
      <c r="Q122" s="1" t="s">
        <v>88</v>
      </c>
    </row>
    <row r="123" spans="2:22" s="1" customFormat="1" ht="18" customHeight="1" x14ac:dyDescent="0.25">
      <c r="B123" s="53" t="s">
        <v>201</v>
      </c>
      <c r="C123" s="60" t="str">
        <f>K87</f>
        <v/>
      </c>
      <c r="O123" s="44">
        <f>C126</f>
        <v>2</v>
      </c>
      <c r="P123" s="33">
        <v>0.1</v>
      </c>
      <c r="Q123" s="33">
        <v>0.3</v>
      </c>
    </row>
    <row r="124" spans="2:22" s="1" customFormat="1" ht="18" customHeight="1" x14ac:dyDescent="0.25">
      <c r="B124" s="8"/>
      <c r="C124" s="1" t="str">
        <f>IFERROR(IF(K88&lt;#REF!,0,MIN(F125*K88+G125,O124)),"")</f>
        <v/>
      </c>
      <c r="O124" s="44"/>
      <c r="P124" s="7">
        <f>C126/(Q123-P123)</f>
        <v>10</v>
      </c>
      <c r="Q124" s="7">
        <f>-1*P123*P124</f>
        <v>-1</v>
      </c>
    </row>
    <row r="125" spans="2:22" s="1" customFormat="1" ht="18" customHeight="1" x14ac:dyDescent="0.25">
      <c r="B125" s="63" t="s">
        <v>192</v>
      </c>
      <c r="C125" s="62">
        <f>IFERROR(IF(C123&lt;P123,0,MIN(P124*C123+Q124,O123)),0)</f>
        <v>0</v>
      </c>
    </row>
    <row r="126" spans="2:22" s="1" customFormat="1" ht="18" customHeight="1" x14ac:dyDescent="0.25">
      <c r="B126" s="63" t="s">
        <v>193</v>
      </c>
      <c r="C126" s="62">
        <v>2</v>
      </c>
    </row>
  </sheetData>
  <sheetProtection algorithmName="SHA-512" hashValue="fEIKn1ahN1fEk9o/FsDwIzxVeDnypEkX6mxIDLofKpwwdPEdC4Ai6Syxn/qLwVdnpmaHdl3+SflD7pR3FtKsDw==" saltValue="qYbDrTPI5V9N6mc0Gvi9wQ==" spinCount="100000" sheet="1" objects="1" scenarios="1"/>
  <customSheetViews>
    <customSheetView guid="{67801018-A747-4E26-8E7A-AFD24B0E5C34}" showGridLines="0" topLeftCell="A96">
      <selection activeCell="A109" sqref="A109"/>
      <pageMargins left="0.7" right="0.7" top="0.75" bottom="0.75" header="0.3" footer="0.3"/>
      <pageSetup paperSize="254" orientation="portrait" r:id="rId1"/>
    </customSheetView>
    <customSheetView guid="{C44C7CB9-EB11-4601-9F52-A2EFBD8C5FF6}" showGridLines="0" showRowCol="0" hiddenRows="1" hiddenColumns="1" topLeftCell="B50">
      <selection activeCell="B39" sqref="B39"/>
      <pageMargins left="0.7" right="0.7" top="0.75" bottom="0.75" header="0.3" footer="0.3"/>
      <pageSetup paperSize="254" orientation="portrait" r:id="rId2"/>
    </customSheetView>
  </customSheetViews>
  <mergeCells count="12">
    <mergeCell ref="B107:C107"/>
    <mergeCell ref="C86:D86"/>
    <mergeCell ref="H86:I86"/>
    <mergeCell ref="D70:E70"/>
    <mergeCell ref="F70:G70"/>
    <mergeCell ref="I70:K70"/>
    <mergeCell ref="B70:B71"/>
    <mergeCell ref="H34:J34"/>
    <mergeCell ref="C34:E34"/>
    <mergeCell ref="L34:L35"/>
    <mergeCell ref="F34:G34"/>
    <mergeCell ref="K34:K35"/>
  </mergeCells>
  <dataValidations xWindow="422" yWindow="649" count="10">
    <dataValidation type="decimal" allowBlank="1" showInputMessage="1" showErrorMessage="1" promptTitle="Utility Electricity" prompt="Enter the GHG intensity for electricity delivered from a shared utility service" sqref="C32" xr:uid="{00000000-0002-0000-0600-000000000000}">
      <formula1>0</formula1>
      <formula2>2</formula2>
    </dataValidation>
    <dataValidation type="decimal" allowBlank="1" showInputMessage="1" showErrorMessage="1" promptTitle="Utility HHW Thermal Energy" prompt="Enter the GHG intensity for HHW delivered from a shared utility service" sqref="C30" xr:uid="{00000000-0002-0000-0600-000001000000}">
      <formula1>0</formula1>
      <formula2>0.5</formula2>
    </dataValidation>
    <dataValidation type="decimal" allowBlank="1" showInputMessage="1" showErrorMessage="1" promptTitle="Utility CHW Thermal Energy" prompt="Enter the GHG intensity for CHW delivered from a shared utility service" sqref="C29" xr:uid="{00000000-0002-0000-0600-000002000000}">
      <formula1>0</formula1>
      <formula2>0.5</formula2>
    </dataValidation>
    <dataValidation type="decimal" allowBlank="1" showInputMessage="1" showErrorMessage="1" promptTitle="Utility DHW Thermal Energy" prompt="Enter the GHG intensity for HHW delivered from a shared utility service" sqref="C31" xr:uid="{00000000-0002-0000-0600-000003000000}">
      <formula1>0</formula1>
      <formula2>0.5</formula2>
    </dataValidation>
    <dataValidation type="list" allowBlank="1" showInputMessage="1" showErrorMessage="1" sqref="F29:F32" xr:uid="{00000000-0002-0000-0600-000004000000}">
      <formula1>ContractTerm</formula1>
    </dataValidation>
    <dataValidation type="list" allowBlank="1" showInputMessage="1" showErrorMessage="1" sqref="H62:H63 H68:H71 H65:H66 H37:H44 H46:H58 C37:C44 C46:C58" xr:uid="{00000000-0002-0000-0600-000005000000}">
      <formula1>Fuels</formula1>
    </dataValidation>
    <dataValidation type="decimal" allowBlank="1" showInputMessage="1" showErrorMessage="1" sqref="I69" xr:uid="{00000000-0002-0000-0600-000006000000}">
      <formula1>-1000000000</formula1>
      <formula2>0</formula2>
    </dataValidation>
    <dataValidation type="textLength" operator="lessThanOrEqual" allowBlank="1" showInputMessage="1" showErrorMessage="1" sqref="L37:L44 L46:L58" xr:uid="{00000000-0002-0000-0600-00000A000000}">
      <formula1>350</formula1>
    </dataValidation>
    <dataValidation type="list" allowBlank="1" showInputMessage="1" showErrorMessage="1" sqref="H29:H31" xr:uid="{00000000-0002-0000-0600-00000B000000}">
      <formula1>BldgCapacity</formula1>
    </dataValidation>
    <dataValidation type="list" allowBlank="1" showInputMessage="1" showErrorMessage="1" sqref="C11" xr:uid="{00000000-0002-0000-0600-00000C000000}">
      <formula1>$U$110:$U$112</formula1>
    </dataValidation>
  </dataValidations>
  <pageMargins left="0.7" right="0.7" top="0.75" bottom="0.75" header="0.3" footer="0.3"/>
  <pageSetup paperSize="254" orientation="portrait" r:id="rId3"/>
  <ignoredErrors>
    <ignoredError sqref="E59" formula="1"/>
  </ignoredErrors>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53"/>
  <sheetViews>
    <sheetView workbookViewId="0">
      <selection activeCell="B4" sqref="B4"/>
    </sheetView>
  </sheetViews>
  <sheetFormatPr defaultRowHeight="12.5" x14ac:dyDescent="0.25"/>
  <cols>
    <col min="1" max="1" width="1.453125" customWidth="1"/>
    <col min="2" max="2" width="26.453125" customWidth="1"/>
    <col min="3" max="3" width="55.90625" bestFit="1" customWidth="1"/>
    <col min="4" max="4" width="12.6328125" bestFit="1" customWidth="1"/>
    <col min="5" max="5" width="17.54296875" bestFit="1" customWidth="1"/>
    <col min="6" max="6" width="18.6328125" bestFit="1" customWidth="1"/>
  </cols>
  <sheetData>
    <row r="1" spans="2:6" ht="7.5" customHeight="1" x14ac:dyDescent="0.25"/>
    <row r="2" spans="2:6" ht="13" x14ac:dyDescent="0.3">
      <c r="B2" s="156" t="s">
        <v>91</v>
      </c>
      <c r="C2" s="156" t="s">
        <v>92</v>
      </c>
      <c r="D2" s="6" t="s">
        <v>101</v>
      </c>
      <c r="E2" s="6" t="s">
        <v>93</v>
      </c>
      <c r="F2" s="6" t="s">
        <v>94</v>
      </c>
    </row>
    <row r="3" spans="2:6" ht="15" x14ac:dyDescent="0.4">
      <c r="B3" s="157"/>
      <c r="C3" s="157"/>
      <c r="D3" s="9" t="s">
        <v>28</v>
      </c>
      <c r="E3" s="9" t="s">
        <v>102</v>
      </c>
      <c r="F3" s="9" t="s">
        <v>103</v>
      </c>
    </row>
    <row r="4" spans="2:6" x14ac:dyDescent="0.25">
      <c r="B4" s="10"/>
      <c r="C4" s="5"/>
      <c r="D4" s="5"/>
      <c r="E4" s="3">
        <f t="shared" ref="E4:E35" si="0">IFERROR(VLOOKUP(C4,SynthGHGRate,2,FALSE),0)</f>
        <v>0</v>
      </c>
      <c r="F4" s="3">
        <f>IFERROR(E4*D4,0)</f>
        <v>0</v>
      </c>
    </row>
    <row r="5" spans="2:6" x14ac:dyDescent="0.25">
      <c r="B5" s="10"/>
      <c r="C5" s="5"/>
      <c r="D5" s="5"/>
      <c r="E5" s="3">
        <f t="shared" si="0"/>
        <v>0</v>
      </c>
      <c r="F5" s="3">
        <f t="shared" ref="F5:F52" si="1">IFERROR(E5*D5,0)</f>
        <v>0</v>
      </c>
    </row>
    <row r="6" spans="2:6" x14ac:dyDescent="0.25">
      <c r="B6" s="10"/>
      <c r="C6" s="5"/>
      <c r="D6" s="5"/>
      <c r="E6" s="3">
        <f t="shared" si="0"/>
        <v>0</v>
      </c>
      <c r="F6" s="3">
        <f t="shared" si="1"/>
        <v>0</v>
      </c>
    </row>
    <row r="7" spans="2:6" x14ac:dyDescent="0.25">
      <c r="B7" s="10"/>
      <c r="C7" s="5"/>
      <c r="D7" s="5"/>
      <c r="E7" s="3">
        <f t="shared" si="0"/>
        <v>0</v>
      </c>
      <c r="F7" s="3">
        <f t="shared" si="1"/>
        <v>0</v>
      </c>
    </row>
    <row r="8" spans="2:6" x14ac:dyDescent="0.25">
      <c r="B8" s="10"/>
      <c r="C8" s="5"/>
      <c r="D8" s="5"/>
      <c r="E8" s="3">
        <f t="shared" si="0"/>
        <v>0</v>
      </c>
      <c r="F8" s="3">
        <f t="shared" si="1"/>
        <v>0</v>
      </c>
    </row>
    <row r="9" spans="2:6" x14ac:dyDescent="0.25">
      <c r="B9" s="10"/>
      <c r="C9" s="5"/>
      <c r="D9" s="5"/>
      <c r="E9" s="3">
        <f t="shared" si="0"/>
        <v>0</v>
      </c>
      <c r="F9" s="3">
        <f t="shared" si="1"/>
        <v>0</v>
      </c>
    </row>
    <row r="10" spans="2:6" x14ac:dyDescent="0.25">
      <c r="B10" s="10"/>
      <c r="C10" s="5"/>
      <c r="D10" s="5"/>
      <c r="E10" s="3">
        <f t="shared" si="0"/>
        <v>0</v>
      </c>
      <c r="F10" s="3">
        <f t="shared" si="1"/>
        <v>0</v>
      </c>
    </row>
    <row r="11" spans="2:6" x14ac:dyDescent="0.25">
      <c r="B11" s="10"/>
      <c r="C11" s="5"/>
      <c r="D11" s="5"/>
      <c r="E11" s="3">
        <f t="shared" si="0"/>
        <v>0</v>
      </c>
      <c r="F11" s="3">
        <f t="shared" si="1"/>
        <v>0</v>
      </c>
    </row>
    <row r="12" spans="2:6" x14ac:dyDescent="0.25">
      <c r="B12" s="10"/>
      <c r="C12" s="5"/>
      <c r="D12" s="5"/>
      <c r="E12" s="3">
        <f t="shared" si="0"/>
        <v>0</v>
      </c>
      <c r="F12" s="3">
        <f t="shared" si="1"/>
        <v>0</v>
      </c>
    </row>
    <row r="13" spans="2:6" x14ac:dyDescent="0.25">
      <c r="B13" s="10"/>
      <c r="C13" s="5"/>
      <c r="D13" s="5"/>
      <c r="E13" s="3">
        <f t="shared" si="0"/>
        <v>0</v>
      </c>
      <c r="F13" s="3">
        <f t="shared" si="1"/>
        <v>0</v>
      </c>
    </row>
    <row r="14" spans="2:6" x14ac:dyDescent="0.25">
      <c r="B14" s="10"/>
      <c r="C14" s="5"/>
      <c r="D14" s="5"/>
      <c r="E14" s="3">
        <f t="shared" si="0"/>
        <v>0</v>
      </c>
      <c r="F14" s="3">
        <f t="shared" si="1"/>
        <v>0</v>
      </c>
    </row>
    <row r="15" spans="2:6" x14ac:dyDescent="0.25">
      <c r="B15" s="10"/>
      <c r="C15" s="5"/>
      <c r="D15" s="5"/>
      <c r="E15" s="3">
        <f t="shared" si="0"/>
        <v>0</v>
      </c>
      <c r="F15" s="3">
        <f t="shared" si="1"/>
        <v>0</v>
      </c>
    </row>
    <row r="16" spans="2:6" x14ac:dyDescent="0.25">
      <c r="B16" s="10"/>
      <c r="C16" s="5"/>
      <c r="D16" s="5"/>
      <c r="E16" s="3">
        <f t="shared" si="0"/>
        <v>0</v>
      </c>
      <c r="F16" s="3">
        <f t="shared" si="1"/>
        <v>0</v>
      </c>
    </row>
    <row r="17" spans="2:6" x14ac:dyDescent="0.25">
      <c r="B17" s="10"/>
      <c r="C17" s="5"/>
      <c r="D17" s="5"/>
      <c r="E17" s="3">
        <f t="shared" si="0"/>
        <v>0</v>
      </c>
      <c r="F17" s="3">
        <f t="shared" si="1"/>
        <v>0</v>
      </c>
    </row>
    <row r="18" spans="2:6" x14ac:dyDescent="0.25">
      <c r="B18" s="10"/>
      <c r="C18" s="5"/>
      <c r="D18" s="5"/>
      <c r="E18" s="3">
        <f t="shared" si="0"/>
        <v>0</v>
      </c>
      <c r="F18" s="3">
        <f t="shared" si="1"/>
        <v>0</v>
      </c>
    </row>
    <row r="19" spans="2:6" x14ac:dyDescent="0.25">
      <c r="B19" s="10"/>
      <c r="C19" s="5"/>
      <c r="D19" s="5"/>
      <c r="E19" s="3">
        <f t="shared" si="0"/>
        <v>0</v>
      </c>
      <c r="F19" s="3">
        <f t="shared" si="1"/>
        <v>0</v>
      </c>
    </row>
    <row r="20" spans="2:6" x14ac:dyDescent="0.25">
      <c r="B20" s="10"/>
      <c r="C20" s="5"/>
      <c r="D20" s="5"/>
      <c r="E20" s="3">
        <f t="shared" si="0"/>
        <v>0</v>
      </c>
      <c r="F20" s="3">
        <f t="shared" si="1"/>
        <v>0</v>
      </c>
    </row>
    <row r="21" spans="2:6" x14ac:dyDescent="0.25">
      <c r="B21" s="10"/>
      <c r="C21" s="5"/>
      <c r="D21" s="5"/>
      <c r="E21" s="3">
        <f t="shared" si="0"/>
        <v>0</v>
      </c>
      <c r="F21" s="3">
        <f t="shared" si="1"/>
        <v>0</v>
      </c>
    </row>
    <row r="22" spans="2:6" x14ac:dyDescent="0.25">
      <c r="B22" s="10"/>
      <c r="C22" s="5"/>
      <c r="D22" s="5"/>
      <c r="E22" s="3">
        <f t="shared" si="0"/>
        <v>0</v>
      </c>
      <c r="F22" s="3">
        <f t="shared" si="1"/>
        <v>0</v>
      </c>
    </row>
    <row r="23" spans="2:6" x14ac:dyDescent="0.25">
      <c r="B23" s="10"/>
      <c r="C23" s="5"/>
      <c r="D23" s="5"/>
      <c r="E23" s="3">
        <f t="shared" si="0"/>
        <v>0</v>
      </c>
      <c r="F23" s="3">
        <f t="shared" si="1"/>
        <v>0</v>
      </c>
    </row>
    <row r="24" spans="2:6" x14ac:dyDescent="0.25">
      <c r="B24" s="10"/>
      <c r="C24" s="5"/>
      <c r="D24" s="5"/>
      <c r="E24" s="3">
        <f t="shared" si="0"/>
        <v>0</v>
      </c>
      <c r="F24" s="3">
        <f t="shared" si="1"/>
        <v>0</v>
      </c>
    </row>
    <row r="25" spans="2:6" x14ac:dyDescent="0.25">
      <c r="B25" s="10"/>
      <c r="C25" s="5"/>
      <c r="D25" s="5"/>
      <c r="E25" s="3">
        <f t="shared" si="0"/>
        <v>0</v>
      </c>
      <c r="F25" s="3">
        <f t="shared" si="1"/>
        <v>0</v>
      </c>
    </row>
    <row r="26" spans="2:6" x14ac:dyDescent="0.25">
      <c r="B26" s="10"/>
      <c r="C26" s="5"/>
      <c r="D26" s="5"/>
      <c r="E26" s="3">
        <f t="shared" si="0"/>
        <v>0</v>
      </c>
      <c r="F26" s="3">
        <f t="shared" si="1"/>
        <v>0</v>
      </c>
    </row>
    <row r="27" spans="2:6" x14ac:dyDescent="0.25">
      <c r="B27" s="10"/>
      <c r="C27" s="5"/>
      <c r="D27" s="5"/>
      <c r="E27" s="3">
        <f t="shared" si="0"/>
        <v>0</v>
      </c>
      <c r="F27" s="3">
        <f t="shared" si="1"/>
        <v>0</v>
      </c>
    </row>
    <row r="28" spans="2:6" x14ac:dyDescent="0.25">
      <c r="B28" s="10"/>
      <c r="C28" s="5"/>
      <c r="D28" s="5"/>
      <c r="E28" s="3">
        <f t="shared" si="0"/>
        <v>0</v>
      </c>
      <c r="F28" s="3">
        <f t="shared" si="1"/>
        <v>0</v>
      </c>
    </row>
    <row r="29" spans="2:6" x14ac:dyDescent="0.25">
      <c r="B29" s="10"/>
      <c r="C29" s="5"/>
      <c r="D29" s="5"/>
      <c r="E29" s="3">
        <f t="shared" si="0"/>
        <v>0</v>
      </c>
      <c r="F29" s="3">
        <f t="shared" si="1"/>
        <v>0</v>
      </c>
    </row>
    <row r="30" spans="2:6" x14ac:dyDescent="0.25">
      <c r="B30" s="10"/>
      <c r="C30" s="5"/>
      <c r="D30" s="5"/>
      <c r="E30" s="3">
        <f t="shared" si="0"/>
        <v>0</v>
      </c>
      <c r="F30" s="3">
        <f t="shared" si="1"/>
        <v>0</v>
      </c>
    </row>
    <row r="31" spans="2:6" x14ac:dyDescent="0.25">
      <c r="B31" s="10"/>
      <c r="C31" s="5"/>
      <c r="D31" s="5"/>
      <c r="E31" s="3">
        <f t="shared" si="0"/>
        <v>0</v>
      </c>
      <c r="F31" s="3">
        <f t="shared" si="1"/>
        <v>0</v>
      </c>
    </row>
    <row r="32" spans="2:6" x14ac:dyDescent="0.25">
      <c r="B32" s="10"/>
      <c r="C32" s="5"/>
      <c r="D32" s="5"/>
      <c r="E32" s="3">
        <f t="shared" si="0"/>
        <v>0</v>
      </c>
      <c r="F32" s="3">
        <f t="shared" si="1"/>
        <v>0</v>
      </c>
    </row>
    <row r="33" spans="2:6" x14ac:dyDescent="0.25">
      <c r="B33" s="10"/>
      <c r="C33" s="5"/>
      <c r="D33" s="5"/>
      <c r="E33" s="3">
        <f t="shared" si="0"/>
        <v>0</v>
      </c>
      <c r="F33" s="3">
        <f t="shared" si="1"/>
        <v>0</v>
      </c>
    </row>
    <row r="34" spans="2:6" x14ac:dyDescent="0.25">
      <c r="B34" s="10"/>
      <c r="C34" s="5"/>
      <c r="D34" s="5"/>
      <c r="E34" s="3">
        <f t="shared" si="0"/>
        <v>0</v>
      </c>
      <c r="F34" s="3">
        <f t="shared" si="1"/>
        <v>0</v>
      </c>
    </row>
    <row r="35" spans="2:6" x14ac:dyDescent="0.25">
      <c r="B35" s="10"/>
      <c r="C35" s="5"/>
      <c r="D35" s="5"/>
      <c r="E35" s="3">
        <f t="shared" si="0"/>
        <v>0</v>
      </c>
      <c r="F35" s="3">
        <f t="shared" si="1"/>
        <v>0</v>
      </c>
    </row>
    <row r="36" spans="2:6" x14ac:dyDescent="0.25">
      <c r="B36" s="10"/>
      <c r="C36" s="5"/>
      <c r="D36" s="5"/>
      <c r="E36" s="3">
        <f t="shared" ref="E36:E52" si="2">IFERROR(VLOOKUP(C36,SynthGHGRate,2,FALSE),0)</f>
        <v>0</v>
      </c>
      <c r="F36" s="3">
        <f t="shared" si="1"/>
        <v>0</v>
      </c>
    </row>
    <row r="37" spans="2:6" x14ac:dyDescent="0.25">
      <c r="B37" s="10"/>
      <c r="C37" s="5"/>
      <c r="D37" s="5"/>
      <c r="E37" s="3">
        <f t="shared" si="2"/>
        <v>0</v>
      </c>
      <c r="F37" s="3">
        <f t="shared" si="1"/>
        <v>0</v>
      </c>
    </row>
    <row r="38" spans="2:6" x14ac:dyDescent="0.25">
      <c r="B38" s="10"/>
      <c r="C38" s="5"/>
      <c r="D38" s="5"/>
      <c r="E38" s="3">
        <f t="shared" si="2"/>
        <v>0</v>
      </c>
      <c r="F38" s="3">
        <f t="shared" si="1"/>
        <v>0</v>
      </c>
    </row>
    <row r="39" spans="2:6" x14ac:dyDescent="0.25">
      <c r="B39" s="10"/>
      <c r="C39" s="5"/>
      <c r="D39" s="5"/>
      <c r="E39" s="3">
        <f t="shared" si="2"/>
        <v>0</v>
      </c>
      <c r="F39" s="3">
        <f t="shared" si="1"/>
        <v>0</v>
      </c>
    </row>
    <row r="40" spans="2:6" x14ac:dyDescent="0.25">
      <c r="B40" s="10"/>
      <c r="C40" s="5"/>
      <c r="D40" s="5"/>
      <c r="E40" s="3">
        <f t="shared" si="2"/>
        <v>0</v>
      </c>
      <c r="F40" s="3">
        <f t="shared" si="1"/>
        <v>0</v>
      </c>
    </row>
    <row r="41" spans="2:6" x14ac:dyDescent="0.25">
      <c r="B41" s="10"/>
      <c r="C41" s="5"/>
      <c r="D41" s="5"/>
      <c r="E41" s="3">
        <f t="shared" si="2"/>
        <v>0</v>
      </c>
      <c r="F41" s="3">
        <f t="shared" si="1"/>
        <v>0</v>
      </c>
    </row>
    <row r="42" spans="2:6" x14ac:dyDescent="0.25">
      <c r="B42" s="10"/>
      <c r="C42" s="5"/>
      <c r="D42" s="5"/>
      <c r="E42" s="3">
        <f t="shared" si="2"/>
        <v>0</v>
      </c>
      <c r="F42" s="3">
        <f t="shared" si="1"/>
        <v>0</v>
      </c>
    </row>
    <row r="43" spans="2:6" x14ac:dyDescent="0.25">
      <c r="B43" s="10"/>
      <c r="C43" s="5"/>
      <c r="D43" s="5"/>
      <c r="E43" s="3">
        <f t="shared" si="2"/>
        <v>0</v>
      </c>
      <c r="F43" s="3">
        <f t="shared" si="1"/>
        <v>0</v>
      </c>
    </row>
    <row r="44" spans="2:6" x14ac:dyDescent="0.25">
      <c r="B44" s="10"/>
      <c r="C44" s="5"/>
      <c r="D44" s="5"/>
      <c r="E44" s="3">
        <f t="shared" si="2"/>
        <v>0</v>
      </c>
      <c r="F44" s="3">
        <f t="shared" si="1"/>
        <v>0</v>
      </c>
    </row>
    <row r="45" spans="2:6" x14ac:dyDescent="0.25">
      <c r="B45" s="10"/>
      <c r="C45" s="5"/>
      <c r="D45" s="5"/>
      <c r="E45" s="3">
        <f t="shared" si="2"/>
        <v>0</v>
      </c>
      <c r="F45" s="3">
        <f t="shared" si="1"/>
        <v>0</v>
      </c>
    </row>
    <row r="46" spans="2:6" x14ac:dyDescent="0.25">
      <c r="B46" s="10"/>
      <c r="C46" s="5"/>
      <c r="D46" s="5"/>
      <c r="E46" s="3">
        <f t="shared" si="2"/>
        <v>0</v>
      </c>
      <c r="F46" s="3">
        <f t="shared" si="1"/>
        <v>0</v>
      </c>
    </row>
    <row r="47" spans="2:6" x14ac:dyDescent="0.25">
      <c r="B47" s="10"/>
      <c r="C47" s="5"/>
      <c r="D47" s="5"/>
      <c r="E47" s="3">
        <f t="shared" si="2"/>
        <v>0</v>
      </c>
      <c r="F47" s="3">
        <f t="shared" si="1"/>
        <v>0</v>
      </c>
    </row>
    <row r="48" spans="2:6" x14ac:dyDescent="0.25">
      <c r="B48" s="10"/>
      <c r="C48" s="5"/>
      <c r="D48" s="5"/>
      <c r="E48" s="3">
        <f t="shared" si="2"/>
        <v>0</v>
      </c>
      <c r="F48" s="3">
        <f t="shared" si="1"/>
        <v>0</v>
      </c>
    </row>
    <row r="49" spans="2:6" x14ac:dyDescent="0.25">
      <c r="B49" s="10"/>
      <c r="C49" s="5"/>
      <c r="D49" s="5"/>
      <c r="E49" s="3">
        <f t="shared" si="2"/>
        <v>0</v>
      </c>
      <c r="F49" s="3">
        <f t="shared" si="1"/>
        <v>0</v>
      </c>
    </row>
    <row r="50" spans="2:6" x14ac:dyDescent="0.25">
      <c r="B50" s="10"/>
      <c r="C50" s="5"/>
      <c r="D50" s="5"/>
      <c r="E50" s="3">
        <f t="shared" si="2"/>
        <v>0</v>
      </c>
      <c r="F50" s="3">
        <f t="shared" si="1"/>
        <v>0</v>
      </c>
    </row>
    <row r="51" spans="2:6" x14ac:dyDescent="0.25">
      <c r="B51" s="10"/>
      <c r="C51" s="5"/>
      <c r="D51" s="5"/>
      <c r="E51" s="3">
        <f t="shared" si="2"/>
        <v>0</v>
      </c>
      <c r="F51" s="3">
        <f t="shared" si="1"/>
        <v>0</v>
      </c>
    </row>
    <row r="52" spans="2:6" x14ac:dyDescent="0.25">
      <c r="B52" s="10"/>
      <c r="C52" s="5"/>
      <c r="D52" s="5"/>
      <c r="E52" s="3">
        <f t="shared" si="2"/>
        <v>0</v>
      </c>
      <c r="F52" s="3">
        <f t="shared" si="1"/>
        <v>0</v>
      </c>
    </row>
    <row r="53" spans="2:6" ht="13" x14ac:dyDescent="0.3">
      <c r="F53" s="11">
        <f>SUM(F4:F52)</f>
        <v>0</v>
      </c>
    </row>
  </sheetData>
  <customSheetViews>
    <customSheetView guid="{67801018-A747-4E26-8E7A-AFD24B0E5C34}" state="hidden">
      <selection activeCell="B4" sqref="B4"/>
      <pageMargins left="0.7" right="0.7" top="0.75" bottom="0.75" header="0.3" footer="0.3"/>
    </customSheetView>
    <customSheetView guid="{C44C7CB9-EB11-4601-9F52-A2EFBD8C5FF6}" state="hidden">
      <selection activeCell="B4" sqref="B4"/>
      <pageMargins left="0.7" right="0.7" top="0.75" bottom="0.75" header="0.3" footer="0.3"/>
    </customSheetView>
  </customSheetViews>
  <mergeCells count="2">
    <mergeCell ref="B2:B3"/>
    <mergeCell ref="C2:C3"/>
  </mergeCells>
  <dataValidations count="1">
    <dataValidation type="list" allowBlank="1" showInputMessage="1" showErrorMessage="1" sqref="C4:C52" xr:uid="{00000000-0002-0000-0800-000000000000}">
      <formula1>SynthGHGSource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F102"/>
  <sheetViews>
    <sheetView workbookViewId="0">
      <pane ySplit="3" topLeftCell="A4" activePane="bottomLeft" state="frozen"/>
      <selection pane="bottomLeft" activeCell="T95" sqref="T95"/>
    </sheetView>
  </sheetViews>
  <sheetFormatPr defaultRowHeight="12.5" x14ac:dyDescent="0.25"/>
  <cols>
    <col min="1" max="1" width="1.453125" customWidth="1"/>
    <col min="2" max="2" width="7.54296875" customWidth="1"/>
    <col min="3" max="3" width="15.453125" customWidth="1"/>
    <col min="4" max="23" width="5.36328125" customWidth="1"/>
    <col min="31" max="31" width="55.90625" bestFit="1" customWidth="1"/>
    <col min="32" max="32" width="11.6328125" bestFit="1" customWidth="1"/>
  </cols>
  <sheetData>
    <row r="1" spans="2:32" ht="7.5" customHeight="1" x14ac:dyDescent="0.25"/>
    <row r="2" spans="2:32" x14ac:dyDescent="0.25">
      <c r="B2" s="159" t="s">
        <v>0</v>
      </c>
      <c r="C2" s="158" t="s">
        <v>3</v>
      </c>
      <c r="D2" s="158" t="s">
        <v>4</v>
      </c>
      <c r="E2" s="158"/>
      <c r="F2" s="158"/>
      <c r="G2" s="158"/>
      <c r="H2" s="158"/>
      <c r="I2" s="158"/>
      <c r="J2" s="158"/>
      <c r="K2" s="158"/>
      <c r="L2" s="158"/>
      <c r="M2" s="158"/>
      <c r="N2" s="158"/>
      <c r="O2" s="158"/>
      <c r="P2" s="158"/>
      <c r="Q2" s="158"/>
      <c r="R2" s="158"/>
      <c r="S2" s="158"/>
      <c r="T2" s="158"/>
      <c r="U2" s="158"/>
      <c r="V2" s="158"/>
      <c r="W2" s="158"/>
      <c r="AC2" t="s">
        <v>86</v>
      </c>
      <c r="AD2" t="s">
        <v>87</v>
      </c>
      <c r="AE2" t="s">
        <v>99</v>
      </c>
      <c r="AF2" t="s">
        <v>100</v>
      </c>
    </row>
    <row r="3" spans="2:32" x14ac:dyDescent="0.25">
      <c r="B3" s="159"/>
      <c r="C3" s="158"/>
      <c r="D3" s="1">
        <v>0.5</v>
      </c>
      <c r="E3" s="1">
        <v>1</v>
      </c>
      <c r="F3" s="1">
        <v>1.5</v>
      </c>
      <c r="G3" s="1">
        <v>2</v>
      </c>
      <c r="H3" s="1">
        <v>2.5</v>
      </c>
      <c r="I3" s="1">
        <v>3</v>
      </c>
      <c r="J3" s="1">
        <v>3.5</v>
      </c>
      <c r="K3" s="1">
        <v>4</v>
      </c>
      <c r="L3" s="1">
        <v>4.5</v>
      </c>
      <c r="M3" s="1">
        <v>5</v>
      </c>
      <c r="N3" s="1">
        <v>5.5</v>
      </c>
      <c r="O3" s="1">
        <v>6</v>
      </c>
      <c r="P3" s="1">
        <v>6.5</v>
      </c>
      <c r="Q3" s="1">
        <v>7</v>
      </c>
      <c r="R3" s="1">
        <v>7.5</v>
      </c>
      <c r="S3" s="1">
        <v>8</v>
      </c>
      <c r="T3" s="1">
        <v>8.5</v>
      </c>
      <c r="U3" s="1">
        <v>9</v>
      </c>
      <c r="V3" s="1">
        <v>9.5</v>
      </c>
      <c r="W3" s="1">
        <v>10</v>
      </c>
      <c r="X3" s="1">
        <v>0.5</v>
      </c>
      <c r="Y3">
        <v>0</v>
      </c>
      <c r="Z3" t="s">
        <v>31</v>
      </c>
      <c r="AB3" t="s">
        <v>78</v>
      </c>
      <c r="AC3">
        <v>1.05</v>
      </c>
      <c r="AD3">
        <f>64.13/1000</f>
        <v>6.4129999999999993E-2</v>
      </c>
      <c r="AE3" t="s">
        <v>95</v>
      </c>
      <c r="AF3">
        <v>0.09</v>
      </c>
    </row>
    <row r="4" spans="2:32" x14ac:dyDescent="0.25">
      <c r="B4">
        <v>1</v>
      </c>
      <c r="C4" t="s">
        <v>5</v>
      </c>
      <c r="D4">
        <v>853</v>
      </c>
      <c r="E4">
        <v>773</v>
      </c>
      <c r="F4">
        <v>706</v>
      </c>
      <c r="G4">
        <v>648</v>
      </c>
      <c r="H4">
        <v>598</v>
      </c>
      <c r="I4">
        <v>555</v>
      </c>
      <c r="J4">
        <v>516</v>
      </c>
      <c r="K4">
        <v>480</v>
      </c>
      <c r="L4">
        <v>446</v>
      </c>
      <c r="M4">
        <v>413</v>
      </c>
      <c r="N4">
        <v>381</v>
      </c>
      <c r="O4">
        <v>349</v>
      </c>
      <c r="P4">
        <v>317</v>
      </c>
      <c r="Q4">
        <v>285</v>
      </c>
      <c r="R4">
        <v>253</v>
      </c>
      <c r="S4">
        <v>222</v>
      </c>
      <c r="T4">
        <v>192</v>
      </c>
      <c r="U4">
        <v>164</v>
      </c>
      <c r="V4">
        <v>140</v>
      </c>
      <c r="W4">
        <v>119</v>
      </c>
      <c r="X4">
        <v>1</v>
      </c>
      <c r="Y4">
        <v>0.5</v>
      </c>
      <c r="Z4" t="s">
        <v>32</v>
      </c>
      <c r="AB4" t="s">
        <v>79</v>
      </c>
      <c r="AC4">
        <v>1.05</v>
      </c>
      <c r="AD4">
        <f>64.13/1000</f>
        <v>6.4129999999999993E-2</v>
      </c>
      <c r="AE4" t="s">
        <v>96</v>
      </c>
      <c r="AF4">
        <v>0.23</v>
      </c>
    </row>
    <row r="5" spans="2:32" x14ac:dyDescent="0.25">
      <c r="B5">
        <v>2</v>
      </c>
      <c r="C5" t="s">
        <v>6</v>
      </c>
      <c r="D5">
        <v>643</v>
      </c>
      <c r="E5">
        <v>569</v>
      </c>
      <c r="F5">
        <v>507</v>
      </c>
      <c r="G5">
        <v>455</v>
      </c>
      <c r="H5">
        <v>411</v>
      </c>
      <c r="I5">
        <v>373</v>
      </c>
      <c r="J5">
        <v>340</v>
      </c>
      <c r="K5">
        <v>310</v>
      </c>
      <c r="L5">
        <v>284</v>
      </c>
      <c r="M5">
        <v>260</v>
      </c>
      <c r="N5">
        <v>237</v>
      </c>
      <c r="O5">
        <v>215</v>
      </c>
      <c r="P5">
        <v>194</v>
      </c>
      <c r="Q5">
        <v>172</v>
      </c>
      <c r="R5">
        <v>151</v>
      </c>
      <c r="S5">
        <v>131</v>
      </c>
      <c r="T5">
        <v>111</v>
      </c>
      <c r="U5">
        <v>93</v>
      </c>
      <c r="V5">
        <v>76</v>
      </c>
      <c r="W5">
        <v>62</v>
      </c>
      <c r="X5" s="1">
        <v>1.5</v>
      </c>
      <c r="Y5">
        <v>1</v>
      </c>
      <c r="Z5" t="s">
        <v>90</v>
      </c>
      <c r="AB5" t="s">
        <v>80</v>
      </c>
      <c r="AC5">
        <v>0.77</v>
      </c>
      <c r="AD5">
        <f>51.33/1000</f>
        <v>5.1330000000000001E-2</v>
      </c>
      <c r="AE5" t="s">
        <v>97</v>
      </c>
      <c r="AF5">
        <v>0.16</v>
      </c>
    </row>
    <row r="6" spans="2:32" x14ac:dyDescent="0.25">
      <c r="B6">
        <v>3</v>
      </c>
      <c r="C6" t="s">
        <v>7</v>
      </c>
      <c r="D6">
        <v>654</v>
      </c>
      <c r="E6">
        <v>550</v>
      </c>
      <c r="F6">
        <v>465</v>
      </c>
      <c r="G6">
        <v>396</v>
      </c>
      <c r="H6">
        <v>340</v>
      </c>
      <c r="I6">
        <v>294</v>
      </c>
      <c r="J6">
        <v>257</v>
      </c>
      <c r="K6">
        <v>226</v>
      </c>
      <c r="L6">
        <v>200</v>
      </c>
      <c r="M6">
        <v>178</v>
      </c>
      <c r="N6">
        <v>159</v>
      </c>
      <c r="O6">
        <v>141</v>
      </c>
      <c r="P6">
        <v>124</v>
      </c>
      <c r="Q6">
        <v>107</v>
      </c>
      <c r="R6">
        <v>90</v>
      </c>
      <c r="S6">
        <v>74</v>
      </c>
      <c r="T6">
        <v>58</v>
      </c>
      <c r="U6">
        <v>43</v>
      </c>
      <c r="V6">
        <v>29</v>
      </c>
      <c r="W6">
        <v>18</v>
      </c>
      <c r="X6">
        <v>2</v>
      </c>
      <c r="Y6">
        <v>1.5</v>
      </c>
      <c r="Z6" t="s">
        <v>233</v>
      </c>
      <c r="AB6" t="s">
        <v>85</v>
      </c>
      <c r="AC6">
        <v>0.95</v>
      </c>
      <c r="AD6">
        <f>60.03/1000</f>
        <v>6.003E-2</v>
      </c>
      <c r="AE6" t="s">
        <v>98</v>
      </c>
      <c r="AF6">
        <v>8.8999999999999999E-3</v>
      </c>
    </row>
    <row r="7" spans="2:32" x14ac:dyDescent="0.25">
      <c r="B7">
        <v>4</v>
      </c>
      <c r="C7" t="s">
        <v>8</v>
      </c>
      <c r="D7">
        <v>209</v>
      </c>
      <c r="E7">
        <v>181</v>
      </c>
      <c r="F7">
        <v>157</v>
      </c>
      <c r="G7">
        <v>137</v>
      </c>
      <c r="H7">
        <v>120</v>
      </c>
      <c r="I7">
        <v>105</v>
      </c>
      <c r="J7">
        <v>93</v>
      </c>
      <c r="K7">
        <v>82</v>
      </c>
      <c r="L7">
        <v>73</v>
      </c>
      <c r="M7">
        <v>66</v>
      </c>
      <c r="N7">
        <v>59</v>
      </c>
      <c r="O7">
        <v>53</v>
      </c>
      <c r="P7">
        <v>47</v>
      </c>
      <c r="Q7">
        <v>41</v>
      </c>
      <c r="R7">
        <v>36</v>
      </c>
      <c r="S7">
        <v>31</v>
      </c>
      <c r="T7">
        <v>27</v>
      </c>
      <c r="U7">
        <v>22</v>
      </c>
      <c r="V7">
        <v>18</v>
      </c>
      <c r="W7">
        <v>14</v>
      </c>
      <c r="X7" s="1">
        <v>2.5</v>
      </c>
      <c r="Y7">
        <v>2</v>
      </c>
      <c r="Z7" t="s">
        <v>76</v>
      </c>
      <c r="AB7" t="s">
        <v>83</v>
      </c>
      <c r="AC7">
        <v>0.73</v>
      </c>
      <c r="AD7">
        <f>61.73/1000</f>
        <v>6.173E-2</v>
      </c>
    </row>
    <row r="8" spans="2:32" x14ac:dyDescent="0.25">
      <c r="B8">
        <v>5</v>
      </c>
      <c r="C8" t="s">
        <v>9</v>
      </c>
      <c r="D8">
        <v>337</v>
      </c>
      <c r="E8">
        <v>309</v>
      </c>
      <c r="F8">
        <v>283</v>
      </c>
      <c r="G8">
        <v>259</v>
      </c>
      <c r="H8">
        <v>238</v>
      </c>
      <c r="I8">
        <v>218</v>
      </c>
      <c r="J8">
        <v>200</v>
      </c>
      <c r="K8">
        <v>183</v>
      </c>
      <c r="L8">
        <v>168</v>
      </c>
      <c r="M8">
        <v>153</v>
      </c>
      <c r="N8">
        <v>140</v>
      </c>
      <c r="O8">
        <v>127</v>
      </c>
      <c r="P8">
        <v>114</v>
      </c>
      <c r="Q8">
        <v>103</v>
      </c>
      <c r="R8">
        <v>92</v>
      </c>
      <c r="S8">
        <v>81</v>
      </c>
      <c r="T8">
        <v>71</v>
      </c>
      <c r="U8">
        <v>61</v>
      </c>
      <c r="V8">
        <v>52</v>
      </c>
      <c r="W8">
        <v>44</v>
      </c>
      <c r="X8">
        <v>3</v>
      </c>
      <c r="Y8">
        <v>2.5</v>
      </c>
      <c r="Z8" t="s">
        <v>77</v>
      </c>
      <c r="AB8" t="s">
        <v>84</v>
      </c>
      <c r="AC8">
        <v>0.22</v>
      </c>
      <c r="AD8">
        <f>51.33/1000</f>
        <v>5.1330000000000001E-2</v>
      </c>
    </row>
    <row r="9" spans="2:32" x14ac:dyDescent="0.25">
      <c r="B9">
        <v>6</v>
      </c>
      <c r="C9" t="s">
        <v>10</v>
      </c>
      <c r="D9">
        <v>681</v>
      </c>
      <c r="E9">
        <v>562</v>
      </c>
      <c r="F9">
        <v>464</v>
      </c>
      <c r="G9">
        <v>385</v>
      </c>
      <c r="H9">
        <v>321</v>
      </c>
      <c r="I9">
        <v>269</v>
      </c>
      <c r="J9">
        <v>228</v>
      </c>
      <c r="K9">
        <v>196</v>
      </c>
      <c r="L9">
        <v>170</v>
      </c>
      <c r="M9">
        <v>148</v>
      </c>
      <c r="N9">
        <v>130</v>
      </c>
      <c r="O9">
        <v>113</v>
      </c>
      <c r="P9">
        <v>99</v>
      </c>
      <c r="Q9">
        <v>84</v>
      </c>
      <c r="R9">
        <v>70</v>
      </c>
      <c r="S9">
        <v>56</v>
      </c>
      <c r="T9">
        <v>43</v>
      </c>
      <c r="U9">
        <v>29</v>
      </c>
      <c r="V9">
        <v>17</v>
      </c>
      <c r="W9">
        <v>7</v>
      </c>
      <c r="X9" s="1">
        <v>3.5</v>
      </c>
      <c r="Y9">
        <v>3</v>
      </c>
      <c r="Z9" t="s">
        <v>50</v>
      </c>
      <c r="AB9" t="s">
        <v>82</v>
      </c>
      <c r="AC9">
        <v>1.32</v>
      </c>
      <c r="AD9">
        <f>55.23/1000</f>
        <v>5.5229999999999994E-2</v>
      </c>
    </row>
    <row r="10" spans="2:32" x14ac:dyDescent="0.25">
      <c r="B10">
        <v>7</v>
      </c>
      <c r="C10" t="s">
        <v>11</v>
      </c>
      <c r="D10">
        <v>344</v>
      </c>
      <c r="E10">
        <v>295</v>
      </c>
      <c r="F10">
        <v>255</v>
      </c>
      <c r="G10">
        <v>222</v>
      </c>
      <c r="H10">
        <v>194</v>
      </c>
      <c r="I10">
        <v>171</v>
      </c>
      <c r="J10">
        <v>152</v>
      </c>
      <c r="K10">
        <v>136</v>
      </c>
      <c r="L10">
        <v>122</v>
      </c>
      <c r="M10">
        <v>110</v>
      </c>
      <c r="N10">
        <v>99</v>
      </c>
      <c r="O10">
        <v>90</v>
      </c>
      <c r="P10">
        <v>80</v>
      </c>
      <c r="Q10">
        <v>71</v>
      </c>
      <c r="R10">
        <v>63</v>
      </c>
      <c r="S10">
        <v>54</v>
      </c>
      <c r="T10">
        <v>46</v>
      </c>
      <c r="U10">
        <v>38</v>
      </c>
      <c r="V10">
        <v>31</v>
      </c>
      <c r="W10">
        <v>24</v>
      </c>
      <c r="X10">
        <v>4</v>
      </c>
      <c r="Y10">
        <v>3.5</v>
      </c>
      <c r="Z10" t="s">
        <v>161</v>
      </c>
      <c r="AB10" t="s">
        <v>81</v>
      </c>
      <c r="AC10">
        <v>0.84</v>
      </c>
      <c r="AD10">
        <f>55.33/1000</f>
        <v>5.5329999999999997E-2</v>
      </c>
    </row>
    <row r="11" spans="2:32" x14ac:dyDescent="0.25">
      <c r="B11">
        <v>8</v>
      </c>
      <c r="C11" t="s">
        <v>12</v>
      </c>
      <c r="D11">
        <v>597</v>
      </c>
      <c r="E11">
        <v>481</v>
      </c>
      <c r="F11">
        <v>388</v>
      </c>
      <c r="G11">
        <v>315</v>
      </c>
      <c r="H11">
        <v>258</v>
      </c>
      <c r="I11">
        <v>214</v>
      </c>
      <c r="J11">
        <v>180</v>
      </c>
      <c r="K11">
        <v>155</v>
      </c>
      <c r="L11">
        <v>135</v>
      </c>
      <c r="M11">
        <v>119</v>
      </c>
      <c r="N11">
        <v>106</v>
      </c>
      <c r="O11">
        <v>94</v>
      </c>
      <c r="P11">
        <v>83</v>
      </c>
      <c r="Q11">
        <v>71</v>
      </c>
      <c r="R11">
        <v>60</v>
      </c>
      <c r="S11">
        <v>47</v>
      </c>
      <c r="T11">
        <v>35</v>
      </c>
      <c r="U11">
        <v>24</v>
      </c>
      <c r="V11">
        <v>14</v>
      </c>
      <c r="W11">
        <v>7</v>
      </c>
      <c r="X11" s="1">
        <v>4.5</v>
      </c>
      <c r="Y11">
        <v>4</v>
      </c>
      <c r="Z11" t="s">
        <v>162</v>
      </c>
    </row>
    <row r="12" spans="2:32" x14ac:dyDescent="0.25">
      <c r="B12">
        <v>9</v>
      </c>
      <c r="C12" t="s">
        <v>13</v>
      </c>
      <c r="D12">
        <v>407</v>
      </c>
      <c r="E12">
        <v>334</v>
      </c>
      <c r="F12">
        <v>275</v>
      </c>
      <c r="G12">
        <v>226</v>
      </c>
      <c r="H12">
        <v>187</v>
      </c>
      <c r="I12">
        <v>157</v>
      </c>
      <c r="J12">
        <v>132</v>
      </c>
      <c r="K12">
        <v>113</v>
      </c>
      <c r="L12">
        <v>97</v>
      </c>
      <c r="M12">
        <v>85</v>
      </c>
      <c r="N12">
        <v>75</v>
      </c>
      <c r="O12">
        <v>67</v>
      </c>
      <c r="P12">
        <v>59</v>
      </c>
      <c r="Q12">
        <v>52</v>
      </c>
      <c r="R12">
        <v>45</v>
      </c>
      <c r="S12">
        <v>38</v>
      </c>
      <c r="T12">
        <v>31</v>
      </c>
      <c r="U12">
        <v>24</v>
      </c>
      <c r="V12">
        <v>18</v>
      </c>
      <c r="W12">
        <v>12</v>
      </c>
      <c r="X12">
        <v>5</v>
      </c>
      <c r="Y12">
        <v>4.5</v>
      </c>
      <c r="Z12" t="s">
        <v>163</v>
      </c>
    </row>
    <row r="13" spans="2:32" x14ac:dyDescent="0.25">
      <c r="B13">
        <v>10</v>
      </c>
      <c r="C13" t="s">
        <v>14</v>
      </c>
      <c r="D13">
        <v>245</v>
      </c>
      <c r="E13">
        <v>203</v>
      </c>
      <c r="F13">
        <v>167</v>
      </c>
      <c r="G13">
        <v>139</v>
      </c>
      <c r="H13">
        <v>116</v>
      </c>
      <c r="I13">
        <v>97</v>
      </c>
      <c r="J13">
        <v>83</v>
      </c>
      <c r="K13">
        <v>71</v>
      </c>
      <c r="L13">
        <v>62</v>
      </c>
      <c r="M13">
        <v>55</v>
      </c>
      <c r="N13">
        <v>48</v>
      </c>
      <c r="O13">
        <v>43</v>
      </c>
      <c r="P13">
        <v>38</v>
      </c>
      <c r="Q13">
        <v>34</v>
      </c>
      <c r="R13">
        <v>30</v>
      </c>
      <c r="S13">
        <v>25</v>
      </c>
      <c r="T13">
        <v>21</v>
      </c>
      <c r="U13">
        <v>17</v>
      </c>
      <c r="V13">
        <v>13</v>
      </c>
      <c r="W13">
        <v>10</v>
      </c>
      <c r="X13" s="1">
        <v>5.5</v>
      </c>
      <c r="Y13">
        <v>5</v>
      </c>
      <c r="Z13">
        <v>1</v>
      </c>
    </row>
    <row r="14" spans="2:32" x14ac:dyDescent="0.25">
      <c r="B14">
        <v>11</v>
      </c>
      <c r="C14" t="s">
        <v>15</v>
      </c>
      <c r="D14">
        <v>286</v>
      </c>
      <c r="E14">
        <v>232</v>
      </c>
      <c r="F14">
        <v>188</v>
      </c>
      <c r="G14">
        <v>153</v>
      </c>
      <c r="H14">
        <v>125</v>
      </c>
      <c r="I14">
        <v>103</v>
      </c>
      <c r="J14">
        <v>86</v>
      </c>
      <c r="K14">
        <v>73</v>
      </c>
      <c r="L14">
        <v>63</v>
      </c>
      <c r="M14">
        <v>55</v>
      </c>
      <c r="N14">
        <v>49</v>
      </c>
      <c r="O14">
        <v>44</v>
      </c>
      <c r="P14">
        <v>39</v>
      </c>
      <c r="Q14">
        <v>34</v>
      </c>
      <c r="R14">
        <v>29</v>
      </c>
      <c r="S14">
        <v>24</v>
      </c>
      <c r="T14">
        <v>19</v>
      </c>
      <c r="U14">
        <v>15</v>
      </c>
      <c r="V14">
        <v>11</v>
      </c>
      <c r="W14">
        <v>7</v>
      </c>
      <c r="X14">
        <v>6</v>
      </c>
      <c r="Y14">
        <v>5.5</v>
      </c>
      <c r="Z14">
        <v>2</v>
      </c>
    </row>
    <row r="15" spans="2:32" x14ac:dyDescent="0.25">
      <c r="B15">
        <v>12</v>
      </c>
      <c r="C15" t="s">
        <v>16</v>
      </c>
      <c r="D15">
        <v>349</v>
      </c>
      <c r="E15">
        <v>285</v>
      </c>
      <c r="F15">
        <v>233</v>
      </c>
      <c r="G15">
        <v>191</v>
      </c>
      <c r="H15">
        <v>158</v>
      </c>
      <c r="I15">
        <v>132</v>
      </c>
      <c r="J15">
        <v>112</v>
      </c>
      <c r="K15">
        <v>96</v>
      </c>
      <c r="L15">
        <v>83</v>
      </c>
      <c r="M15">
        <v>73</v>
      </c>
      <c r="N15">
        <v>64</v>
      </c>
      <c r="O15">
        <v>57</v>
      </c>
      <c r="P15">
        <v>50</v>
      </c>
      <c r="Q15">
        <v>43</v>
      </c>
      <c r="R15">
        <v>36</v>
      </c>
      <c r="S15">
        <v>29</v>
      </c>
      <c r="T15">
        <v>22</v>
      </c>
      <c r="U15">
        <v>16</v>
      </c>
      <c r="V15">
        <v>10</v>
      </c>
      <c r="W15">
        <v>5</v>
      </c>
      <c r="X15" s="1">
        <v>6.5</v>
      </c>
      <c r="Y15">
        <v>6</v>
      </c>
      <c r="Z15">
        <v>3</v>
      </c>
    </row>
    <row r="16" spans="2:32" x14ac:dyDescent="0.25">
      <c r="B16">
        <v>13</v>
      </c>
      <c r="C16" t="s">
        <v>17</v>
      </c>
      <c r="D16">
        <v>483</v>
      </c>
      <c r="E16">
        <v>387</v>
      </c>
      <c r="F16">
        <v>311</v>
      </c>
      <c r="G16">
        <v>251</v>
      </c>
      <c r="H16">
        <v>204</v>
      </c>
      <c r="I16">
        <v>167</v>
      </c>
      <c r="J16">
        <v>139</v>
      </c>
      <c r="K16">
        <v>118</v>
      </c>
      <c r="L16">
        <v>102</v>
      </c>
      <c r="M16">
        <v>89</v>
      </c>
      <c r="N16">
        <v>79</v>
      </c>
      <c r="O16">
        <v>70</v>
      </c>
      <c r="P16">
        <v>61</v>
      </c>
      <c r="Q16">
        <v>52</v>
      </c>
      <c r="R16">
        <v>44</v>
      </c>
      <c r="S16">
        <v>34</v>
      </c>
      <c r="T16">
        <v>25</v>
      </c>
      <c r="U16">
        <v>17</v>
      </c>
      <c r="V16">
        <v>9</v>
      </c>
      <c r="W16">
        <v>4</v>
      </c>
      <c r="X16">
        <v>7</v>
      </c>
      <c r="Y16">
        <v>7</v>
      </c>
      <c r="Z16">
        <v>4</v>
      </c>
    </row>
    <row r="17" spans="2:26" x14ac:dyDescent="0.25">
      <c r="B17">
        <v>14</v>
      </c>
      <c r="C17" t="s">
        <v>18</v>
      </c>
      <c r="D17">
        <v>801</v>
      </c>
      <c r="E17">
        <v>661</v>
      </c>
      <c r="F17">
        <v>545</v>
      </c>
      <c r="G17">
        <v>451</v>
      </c>
      <c r="H17">
        <v>375</v>
      </c>
      <c r="I17">
        <v>314</v>
      </c>
      <c r="J17">
        <v>266</v>
      </c>
      <c r="K17">
        <v>227</v>
      </c>
      <c r="L17">
        <v>195</v>
      </c>
      <c r="M17">
        <v>169</v>
      </c>
      <c r="N17">
        <v>147</v>
      </c>
      <c r="O17">
        <v>128</v>
      </c>
      <c r="P17">
        <v>110</v>
      </c>
      <c r="Q17">
        <v>93</v>
      </c>
      <c r="R17">
        <v>76</v>
      </c>
      <c r="S17">
        <v>60</v>
      </c>
      <c r="T17">
        <v>43</v>
      </c>
      <c r="U17">
        <v>27</v>
      </c>
      <c r="V17">
        <v>13</v>
      </c>
      <c r="W17">
        <v>1</v>
      </c>
      <c r="X17" s="1">
        <v>7.5</v>
      </c>
      <c r="Y17">
        <v>8</v>
      </c>
      <c r="Z17">
        <v>5</v>
      </c>
    </row>
    <row r="18" spans="2:26" x14ac:dyDescent="0.25">
      <c r="B18">
        <v>15</v>
      </c>
      <c r="C18" t="s">
        <v>19</v>
      </c>
      <c r="D18">
        <v>429</v>
      </c>
      <c r="E18">
        <v>349</v>
      </c>
      <c r="F18">
        <v>284</v>
      </c>
      <c r="G18">
        <v>232</v>
      </c>
      <c r="H18">
        <v>191</v>
      </c>
      <c r="I18">
        <v>159</v>
      </c>
      <c r="J18">
        <v>133</v>
      </c>
      <c r="K18">
        <v>114</v>
      </c>
      <c r="L18">
        <v>98</v>
      </c>
      <c r="M18">
        <v>86</v>
      </c>
      <c r="N18">
        <v>76</v>
      </c>
      <c r="O18">
        <v>67</v>
      </c>
      <c r="P18">
        <v>58</v>
      </c>
      <c r="Q18">
        <v>50</v>
      </c>
      <c r="R18">
        <v>42</v>
      </c>
      <c r="S18">
        <v>34</v>
      </c>
      <c r="T18">
        <v>26</v>
      </c>
      <c r="U18">
        <v>19</v>
      </c>
      <c r="V18">
        <v>12</v>
      </c>
      <c r="W18">
        <v>6</v>
      </c>
      <c r="X18">
        <v>8</v>
      </c>
      <c r="Y18">
        <v>9</v>
      </c>
      <c r="Z18">
        <v>6</v>
      </c>
    </row>
    <row r="19" spans="2:26" x14ac:dyDescent="0.25">
      <c r="B19">
        <v>16</v>
      </c>
      <c r="C19" t="s">
        <v>20</v>
      </c>
      <c r="D19">
        <v>584</v>
      </c>
      <c r="E19">
        <v>480</v>
      </c>
      <c r="F19">
        <v>394</v>
      </c>
      <c r="G19">
        <v>325</v>
      </c>
      <c r="H19">
        <v>270</v>
      </c>
      <c r="I19">
        <v>227</v>
      </c>
      <c r="J19">
        <v>192</v>
      </c>
      <c r="K19">
        <v>165</v>
      </c>
      <c r="L19">
        <v>143</v>
      </c>
      <c r="M19">
        <v>125</v>
      </c>
      <c r="N19">
        <v>109</v>
      </c>
      <c r="O19">
        <v>96</v>
      </c>
      <c r="P19">
        <v>83</v>
      </c>
      <c r="Q19">
        <v>70</v>
      </c>
      <c r="R19">
        <v>58</v>
      </c>
      <c r="S19">
        <v>46</v>
      </c>
      <c r="T19">
        <v>33</v>
      </c>
      <c r="U19">
        <v>22</v>
      </c>
      <c r="V19">
        <v>11</v>
      </c>
      <c r="W19">
        <v>3</v>
      </c>
      <c r="X19" s="1">
        <v>8.5</v>
      </c>
      <c r="Y19">
        <v>10</v>
      </c>
      <c r="Z19">
        <v>7</v>
      </c>
    </row>
    <row r="20" spans="2:26" x14ac:dyDescent="0.25">
      <c r="B20">
        <v>17</v>
      </c>
      <c r="C20" t="s">
        <v>21</v>
      </c>
      <c r="D20">
        <v>286</v>
      </c>
      <c r="E20">
        <v>230</v>
      </c>
      <c r="F20">
        <v>184</v>
      </c>
      <c r="G20">
        <v>148</v>
      </c>
      <c r="H20">
        <v>120</v>
      </c>
      <c r="I20">
        <v>98</v>
      </c>
      <c r="J20">
        <v>81</v>
      </c>
      <c r="K20">
        <v>68</v>
      </c>
      <c r="L20">
        <v>58</v>
      </c>
      <c r="M20">
        <v>50</v>
      </c>
      <c r="N20">
        <v>44</v>
      </c>
      <c r="O20">
        <v>39</v>
      </c>
      <c r="P20">
        <v>35</v>
      </c>
      <c r="Q20">
        <v>30</v>
      </c>
      <c r="R20">
        <v>26</v>
      </c>
      <c r="S20">
        <v>22</v>
      </c>
      <c r="T20">
        <v>17</v>
      </c>
      <c r="U20">
        <v>13</v>
      </c>
      <c r="V20">
        <v>9</v>
      </c>
      <c r="W20">
        <v>6</v>
      </c>
      <c r="X20">
        <v>9</v>
      </c>
      <c r="Z20">
        <v>8</v>
      </c>
    </row>
    <row r="21" spans="2:26" x14ac:dyDescent="0.25">
      <c r="B21">
        <v>18</v>
      </c>
      <c r="C21" t="s">
        <v>22</v>
      </c>
      <c r="D21">
        <v>517</v>
      </c>
      <c r="E21">
        <v>423</v>
      </c>
      <c r="F21">
        <v>346</v>
      </c>
      <c r="G21">
        <v>284</v>
      </c>
      <c r="H21">
        <v>235</v>
      </c>
      <c r="I21">
        <v>195</v>
      </c>
      <c r="J21">
        <v>164</v>
      </c>
      <c r="K21">
        <v>140</v>
      </c>
      <c r="L21">
        <v>121</v>
      </c>
      <c r="M21">
        <v>105</v>
      </c>
      <c r="N21">
        <v>92</v>
      </c>
      <c r="O21">
        <v>81</v>
      </c>
      <c r="P21">
        <v>70</v>
      </c>
      <c r="Q21">
        <v>60</v>
      </c>
      <c r="R21">
        <v>50</v>
      </c>
      <c r="S21">
        <v>40</v>
      </c>
      <c r="T21">
        <v>30</v>
      </c>
      <c r="U21">
        <v>20</v>
      </c>
      <c r="V21">
        <v>12</v>
      </c>
      <c r="W21">
        <v>5</v>
      </c>
      <c r="X21" s="1">
        <v>9.5</v>
      </c>
      <c r="Z21">
        <v>9</v>
      </c>
    </row>
    <row r="22" spans="2:26" x14ac:dyDescent="0.25">
      <c r="B22">
        <v>19</v>
      </c>
      <c r="C22" t="s">
        <v>23</v>
      </c>
      <c r="D22">
        <v>525</v>
      </c>
      <c r="E22">
        <v>434</v>
      </c>
      <c r="F22">
        <v>359</v>
      </c>
      <c r="G22">
        <v>298</v>
      </c>
      <c r="H22">
        <v>249</v>
      </c>
      <c r="I22">
        <v>209</v>
      </c>
      <c r="J22">
        <v>177</v>
      </c>
      <c r="K22">
        <v>151</v>
      </c>
      <c r="L22">
        <v>131</v>
      </c>
      <c r="M22">
        <v>114</v>
      </c>
      <c r="N22">
        <v>100</v>
      </c>
      <c r="O22">
        <v>87</v>
      </c>
      <c r="P22">
        <v>76</v>
      </c>
      <c r="Q22">
        <v>66</v>
      </c>
      <c r="R22">
        <v>56</v>
      </c>
      <c r="S22">
        <v>45</v>
      </c>
      <c r="T22">
        <v>35</v>
      </c>
      <c r="U22">
        <v>26</v>
      </c>
      <c r="V22">
        <v>17</v>
      </c>
      <c r="W22">
        <v>9</v>
      </c>
      <c r="X22">
        <v>10</v>
      </c>
      <c r="Z22">
        <v>10</v>
      </c>
    </row>
    <row r="23" spans="2:26" x14ac:dyDescent="0.25">
      <c r="B23">
        <v>20</v>
      </c>
      <c r="C23" t="s">
        <v>24</v>
      </c>
      <c r="D23">
        <v>804</v>
      </c>
      <c r="E23">
        <v>663</v>
      </c>
      <c r="F23">
        <v>548</v>
      </c>
      <c r="G23">
        <v>455</v>
      </c>
      <c r="H23">
        <v>380</v>
      </c>
      <c r="I23">
        <v>321</v>
      </c>
      <c r="J23">
        <v>273</v>
      </c>
      <c r="K23">
        <v>235</v>
      </c>
      <c r="L23">
        <v>204</v>
      </c>
      <c r="M23">
        <v>178</v>
      </c>
      <c r="N23">
        <v>156</v>
      </c>
      <c r="O23">
        <v>137</v>
      </c>
      <c r="P23">
        <v>118</v>
      </c>
      <c r="Q23">
        <v>100</v>
      </c>
      <c r="R23">
        <v>82</v>
      </c>
      <c r="S23">
        <v>64</v>
      </c>
      <c r="T23">
        <v>47</v>
      </c>
      <c r="U23">
        <v>30</v>
      </c>
      <c r="V23">
        <v>15</v>
      </c>
      <c r="W23">
        <v>3</v>
      </c>
      <c r="Z23" t="s">
        <v>171</v>
      </c>
    </row>
    <row r="24" spans="2:26" x14ac:dyDescent="0.25">
      <c r="B24">
        <v>21</v>
      </c>
      <c r="C24" t="s">
        <v>25</v>
      </c>
      <c r="D24">
        <v>676</v>
      </c>
      <c r="E24">
        <v>559</v>
      </c>
      <c r="F24">
        <v>462</v>
      </c>
      <c r="G24">
        <v>384</v>
      </c>
      <c r="H24">
        <v>321</v>
      </c>
      <c r="I24">
        <v>271</v>
      </c>
      <c r="J24">
        <v>230</v>
      </c>
      <c r="K24">
        <v>198</v>
      </c>
      <c r="L24">
        <v>171</v>
      </c>
      <c r="M24">
        <v>149</v>
      </c>
      <c r="N24">
        <v>131</v>
      </c>
      <c r="O24">
        <v>114</v>
      </c>
      <c r="P24">
        <v>98</v>
      </c>
      <c r="Q24">
        <v>83</v>
      </c>
      <c r="R24">
        <v>68</v>
      </c>
      <c r="S24">
        <v>54</v>
      </c>
      <c r="T24">
        <v>39</v>
      </c>
      <c r="U24">
        <v>25</v>
      </c>
      <c r="V24">
        <v>13</v>
      </c>
      <c r="W24">
        <v>2</v>
      </c>
      <c r="Z24" s="15" t="s">
        <v>172</v>
      </c>
    </row>
    <row r="25" spans="2:26" x14ac:dyDescent="0.25">
      <c r="B25">
        <v>22</v>
      </c>
      <c r="C25" t="s">
        <v>26</v>
      </c>
      <c r="D25">
        <v>791</v>
      </c>
      <c r="E25">
        <v>653</v>
      </c>
      <c r="F25">
        <v>541</v>
      </c>
      <c r="G25">
        <v>449</v>
      </c>
      <c r="H25">
        <v>376</v>
      </c>
      <c r="I25">
        <v>317</v>
      </c>
      <c r="J25">
        <v>269</v>
      </c>
      <c r="K25">
        <v>231</v>
      </c>
      <c r="L25">
        <v>201</v>
      </c>
      <c r="M25">
        <v>175</v>
      </c>
      <c r="N25">
        <v>153</v>
      </c>
      <c r="O25">
        <v>133</v>
      </c>
      <c r="P25">
        <v>115</v>
      </c>
      <c r="Q25">
        <v>98</v>
      </c>
      <c r="R25">
        <v>80</v>
      </c>
      <c r="S25">
        <v>63</v>
      </c>
      <c r="T25">
        <v>46</v>
      </c>
      <c r="U25">
        <v>30</v>
      </c>
      <c r="V25">
        <v>15</v>
      </c>
      <c r="W25">
        <v>2</v>
      </c>
    </row>
    <row r="26" spans="2:26" x14ac:dyDescent="0.25">
      <c r="B26">
        <v>23</v>
      </c>
      <c r="C26" t="s">
        <v>27</v>
      </c>
      <c r="D26">
        <v>895</v>
      </c>
      <c r="E26">
        <v>740</v>
      </c>
      <c r="F26">
        <v>615</v>
      </c>
      <c r="G26">
        <v>513</v>
      </c>
      <c r="H26">
        <v>431</v>
      </c>
      <c r="I26">
        <v>366</v>
      </c>
      <c r="J26">
        <v>314</v>
      </c>
      <c r="K26">
        <v>272</v>
      </c>
      <c r="L26">
        <v>237</v>
      </c>
      <c r="M26">
        <v>208</v>
      </c>
      <c r="N26">
        <v>183</v>
      </c>
      <c r="O26">
        <v>160</v>
      </c>
      <c r="P26">
        <v>138</v>
      </c>
      <c r="Q26">
        <v>117</v>
      </c>
      <c r="R26">
        <v>95</v>
      </c>
      <c r="S26">
        <v>74</v>
      </c>
      <c r="T26">
        <v>53</v>
      </c>
      <c r="U26">
        <v>33</v>
      </c>
      <c r="V26">
        <v>15</v>
      </c>
      <c r="W26">
        <v>1</v>
      </c>
    </row>
    <row r="27" spans="2:26" x14ac:dyDescent="0.25">
      <c r="B27">
        <v>24</v>
      </c>
      <c r="C27" s="13" t="s">
        <v>108</v>
      </c>
      <c r="D27" s="13">
        <v>957</v>
      </c>
      <c r="E27" s="13">
        <v>792</v>
      </c>
      <c r="F27" s="13">
        <v>657</v>
      </c>
      <c r="G27" s="13">
        <v>547</v>
      </c>
      <c r="H27" s="13">
        <v>458</v>
      </c>
      <c r="I27" s="13">
        <v>387</v>
      </c>
      <c r="J27" s="13">
        <v>330</v>
      </c>
      <c r="K27" s="13">
        <v>284</v>
      </c>
      <c r="L27" s="13">
        <v>247</v>
      </c>
      <c r="M27" s="13">
        <v>216</v>
      </c>
      <c r="N27" s="13">
        <v>189</v>
      </c>
      <c r="O27" s="13">
        <v>165</v>
      </c>
      <c r="P27" s="13">
        <v>142</v>
      </c>
      <c r="Q27" s="13">
        <v>120</v>
      </c>
      <c r="R27" s="13">
        <v>99</v>
      </c>
      <c r="S27" s="13">
        <v>77</v>
      </c>
      <c r="T27" s="13">
        <v>56</v>
      </c>
      <c r="U27" s="13">
        <v>35</v>
      </c>
      <c r="V27" s="13">
        <v>17</v>
      </c>
      <c r="W27" s="13">
        <v>2</v>
      </c>
      <c r="Z27" t="s">
        <v>33</v>
      </c>
    </row>
    <row r="28" spans="2:26" x14ac:dyDescent="0.25">
      <c r="B28">
        <v>25</v>
      </c>
      <c r="C28" s="13" t="s">
        <v>109</v>
      </c>
      <c r="D28" s="13">
        <v>1666</v>
      </c>
      <c r="E28" s="13">
        <v>1404</v>
      </c>
      <c r="F28" s="13">
        <v>1188</v>
      </c>
      <c r="G28" s="13">
        <v>1012</v>
      </c>
      <c r="H28" s="13">
        <v>870</v>
      </c>
      <c r="I28" s="13">
        <v>753</v>
      </c>
      <c r="J28" s="13">
        <v>658</v>
      </c>
      <c r="K28" s="13">
        <v>580</v>
      </c>
      <c r="L28" s="13">
        <v>513</v>
      </c>
      <c r="M28" s="13">
        <v>454</v>
      </c>
      <c r="N28" s="13">
        <v>401</v>
      </c>
      <c r="O28" s="13">
        <v>352</v>
      </c>
      <c r="P28" s="13">
        <v>303</v>
      </c>
      <c r="Q28" s="13">
        <v>255</v>
      </c>
      <c r="R28" s="13">
        <v>208</v>
      </c>
      <c r="S28" s="13">
        <v>160</v>
      </c>
      <c r="T28" s="13">
        <v>114</v>
      </c>
      <c r="U28" s="13">
        <v>71</v>
      </c>
      <c r="V28" s="13">
        <v>33</v>
      </c>
      <c r="W28" s="13">
        <v>1</v>
      </c>
      <c r="Z28" t="s">
        <v>34</v>
      </c>
    </row>
    <row r="29" spans="2:26" x14ac:dyDescent="0.25">
      <c r="B29">
        <v>26</v>
      </c>
      <c r="C29" s="13" t="s">
        <v>110</v>
      </c>
      <c r="D29" s="13">
        <v>876</v>
      </c>
      <c r="E29" s="13">
        <v>723</v>
      </c>
      <c r="F29" s="13">
        <v>598</v>
      </c>
      <c r="G29" s="13">
        <v>498</v>
      </c>
      <c r="H29" s="13">
        <v>417</v>
      </c>
      <c r="I29" s="13">
        <v>354</v>
      </c>
      <c r="J29" s="13">
        <v>303</v>
      </c>
      <c r="K29" s="13">
        <v>262</v>
      </c>
      <c r="L29" s="13">
        <v>229</v>
      </c>
      <c r="M29" s="13">
        <v>202</v>
      </c>
      <c r="N29" s="13">
        <v>177</v>
      </c>
      <c r="O29" s="13">
        <v>155</v>
      </c>
      <c r="P29" s="13">
        <v>134</v>
      </c>
      <c r="Q29" s="13">
        <v>113</v>
      </c>
      <c r="R29" s="13">
        <v>92</v>
      </c>
      <c r="S29" s="13">
        <v>71</v>
      </c>
      <c r="T29" s="13">
        <v>51</v>
      </c>
      <c r="U29" s="13">
        <v>31</v>
      </c>
      <c r="V29" s="13">
        <v>14</v>
      </c>
      <c r="W29" s="13">
        <v>0</v>
      </c>
      <c r="Z29" t="s">
        <v>234</v>
      </c>
    </row>
    <row r="30" spans="2:26" x14ac:dyDescent="0.25">
      <c r="B30">
        <v>27</v>
      </c>
      <c r="C30" s="13" t="s">
        <v>111</v>
      </c>
      <c r="D30" s="13">
        <v>660</v>
      </c>
      <c r="E30" s="13">
        <v>541</v>
      </c>
      <c r="F30" s="13">
        <v>444</v>
      </c>
      <c r="G30" s="13">
        <v>367</v>
      </c>
      <c r="H30" s="13">
        <v>305</v>
      </c>
      <c r="I30" s="13">
        <v>256</v>
      </c>
      <c r="J30" s="13">
        <v>218</v>
      </c>
      <c r="K30" s="13">
        <v>187</v>
      </c>
      <c r="L30" s="13">
        <v>163</v>
      </c>
      <c r="M30" s="13">
        <v>143</v>
      </c>
      <c r="N30" s="13">
        <v>126</v>
      </c>
      <c r="O30" s="13">
        <v>110</v>
      </c>
      <c r="P30" s="13">
        <v>96</v>
      </c>
      <c r="Q30" s="13">
        <v>81</v>
      </c>
      <c r="R30" s="13">
        <v>67</v>
      </c>
      <c r="S30" s="13">
        <v>53</v>
      </c>
      <c r="T30" s="13">
        <v>38</v>
      </c>
      <c r="U30" s="13">
        <v>25</v>
      </c>
      <c r="V30" s="13">
        <v>13</v>
      </c>
      <c r="W30" s="13">
        <v>3</v>
      </c>
    </row>
    <row r="31" spans="2:26" x14ac:dyDescent="0.25">
      <c r="B31">
        <v>28</v>
      </c>
      <c r="C31" s="13" t="s">
        <v>112</v>
      </c>
      <c r="D31" s="13">
        <v>555</v>
      </c>
      <c r="E31" s="13">
        <v>450</v>
      </c>
      <c r="F31" s="13">
        <v>365</v>
      </c>
      <c r="G31" s="13">
        <v>298</v>
      </c>
      <c r="H31" s="13">
        <v>245</v>
      </c>
      <c r="I31" s="13">
        <v>203</v>
      </c>
      <c r="J31" s="13">
        <v>171</v>
      </c>
      <c r="K31" s="13">
        <v>146</v>
      </c>
      <c r="L31" s="13">
        <v>127</v>
      </c>
      <c r="M31" s="13">
        <v>112</v>
      </c>
      <c r="N31" s="13">
        <v>99</v>
      </c>
      <c r="O31" s="13">
        <v>87</v>
      </c>
      <c r="P31" s="13">
        <v>77</v>
      </c>
      <c r="Q31" s="13">
        <v>66</v>
      </c>
      <c r="R31" s="13">
        <v>55</v>
      </c>
      <c r="S31" s="13">
        <v>44</v>
      </c>
      <c r="T31" s="13">
        <v>34</v>
      </c>
      <c r="U31" s="13">
        <v>23</v>
      </c>
      <c r="V31" s="13">
        <v>14</v>
      </c>
      <c r="W31" s="13">
        <v>7</v>
      </c>
    </row>
    <row r="32" spans="2:26" x14ac:dyDescent="0.25">
      <c r="B32">
        <v>29</v>
      </c>
      <c r="C32" s="13" t="s">
        <v>113</v>
      </c>
      <c r="D32" s="13">
        <v>830</v>
      </c>
      <c r="E32" s="13">
        <v>743</v>
      </c>
      <c r="F32" s="13">
        <v>671</v>
      </c>
      <c r="G32" s="13">
        <v>611</v>
      </c>
      <c r="H32" s="13">
        <v>560</v>
      </c>
      <c r="I32" s="13">
        <v>517</v>
      </c>
      <c r="J32" s="13">
        <v>479</v>
      </c>
      <c r="K32" s="13">
        <v>445</v>
      </c>
      <c r="L32" s="13">
        <v>414</v>
      </c>
      <c r="M32" s="13">
        <v>384</v>
      </c>
      <c r="N32" s="13">
        <v>355</v>
      </c>
      <c r="O32" s="13">
        <v>326</v>
      </c>
      <c r="P32" s="13">
        <v>296</v>
      </c>
      <c r="Q32" s="13">
        <v>266</v>
      </c>
      <c r="R32" s="13">
        <v>237</v>
      </c>
      <c r="S32" s="13">
        <v>207</v>
      </c>
      <c r="T32" s="13">
        <v>179</v>
      </c>
      <c r="U32" s="13">
        <v>153</v>
      </c>
      <c r="V32" s="13">
        <v>130</v>
      </c>
      <c r="W32" s="13">
        <v>111</v>
      </c>
    </row>
    <row r="33" spans="2:23" x14ac:dyDescent="0.25">
      <c r="B33">
        <v>30</v>
      </c>
      <c r="C33" s="13" t="s">
        <v>114</v>
      </c>
      <c r="D33" s="13">
        <v>1229</v>
      </c>
      <c r="E33" s="13">
        <v>1071</v>
      </c>
      <c r="F33" s="13">
        <v>943</v>
      </c>
      <c r="G33" s="13">
        <v>839</v>
      </c>
      <c r="H33" s="13">
        <v>754</v>
      </c>
      <c r="I33" s="13">
        <v>685</v>
      </c>
      <c r="J33" s="13">
        <v>626</v>
      </c>
      <c r="K33" s="13">
        <v>576</v>
      </c>
      <c r="L33" s="13">
        <v>530</v>
      </c>
      <c r="M33" s="13">
        <v>488</v>
      </c>
      <c r="N33" s="13">
        <v>447</v>
      </c>
      <c r="O33" s="13">
        <v>406</v>
      </c>
      <c r="P33" s="13">
        <v>364</v>
      </c>
      <c r="Q33" s="13">
        <v>321</v>
      </c>
      <c r="R33" s="13">
        <v>278</v>
      </c>
      <c r="S33" s="13">
        <v>234</v>
      </c>
      <c r="T33" s="13">
        <v>192</v>
      </c>
      <c r="U33" s="13">
        <v>154</v>
      </c>
      <c r="V33" s="13">
        <v>121</v>
      </c>
      <c r="W33" s="13">
        <v>95</v>
      </c>
    </row>
    <row r="34" spans="2:23" x14ac:dyDescent="0.25">
      <c r="B34">
        <v>31</v>
      </c>
      <c r="C34" s="13" t="s">
        <v>115</v>
      </c>
      <c r="D34" s="13">
        <v>427</v>
      </c>
      <c r="E34" s="13">
        <v>391</v>
      </c>
      <c r="F34" s="13">
        <v>359</v>
      </c>
      <c r="G34" s="13">
        <v>330</v>
      </c>
      <c r="H34" s="13">
        <v>305</v>
      </c>
      <c r="I34" s="13">
        <v>282</v>
      </c>
      <c r="J34" s="13">
        <v>261</v>
      </c>
      <c r="K34" s="13">
        <v>242</v>
      </c>
      <c r="L34" s="13">
        <v>224</v>
      </c>
      <c r="M34" s="13">
        <v>207</v>
      </c>
      <c r="N34" s="13">
        <v>191</v>
      </c>
      <c r="O34" s="13">
        <v>176</v>
      </c>
      <c r="P34" s="13">
        <v>160</v>
      </c>
      <c r="Q34" s="13">
        <v>146</v>
      </c>
      <c r="R34" s="13">
        <v>132</v>
      </c>
      <c r="S34" s="13">
        <v>118</v>
      </c>
      <c r="T34" s="13">
        <v>105</v>
      </c>
      <c r="U34" s="13">
        <v>93</v>
      </c>
      <c r="V34" s="13">
        <v>81</v>
      </c>
      <c r="W34" s="13">
        <v>71</v>
      </c>
    </row>
    <row r="35" spans="2:23" x14ac:dyDescent="0.25">
      <c r="B35">
        <v>32</v>
      </c>
      <c r="C35" s="13" t="s">
        <v>116</v>
      </c>
      <c r="D35" s="13">
        <v>330</v>
      </c>
      <c r="E35" s="13">
        <v>302</v>
      </c>
      <c r="F35" s="13">
        <v>276</v>
      </c>
      <c r="G35" s="13">
        <v>253</v>
      </c>
      <c r="H35" s="13">
        <v>232</v>
      </c>
      <c r="I35" s="13">
        <v>214</v>
      </c>
      <c r="J35" s="13">
        <v>197</v>
      </c>
      <c r="K35" s="13">
        <v>181</v>
      </c>
      <c r="L35" s="13">
        <v>167</v>
      </c>
      <c r="M35" s="13">
        <v>153</v>
      </c>
      <c r="N35" s="13">
        <v>140</v>
      </c>
      <c r="O35" s="13">
        <v>128</v>
      </c>
      <c r="P35" s="13">
        <v>117</v>
      </c>
      <c r="Q35" s="13">
        <v>105</v>
      </c>
      <c r="R35" s="13">
        <v>94</v>
      </c>
      <c r="S35" s="13">
        <v>84</v>
      </c>
      <c r="T35" s="13">
        <v>74</v>
      </c>
      <c r="U35" s="13">
        <v>64</v>
      </c>
      <c r="V35" s="13">
        <v>56</v>
      </c>
      <c r="W35" s="13">
        <v>48</v>
      </c>
    </row>
    <row r="36" spans="2:23" x14ac:dyDescent="0.25">
      <c r="B36">
        <v>33</v>
      </c>
      <c r="C36" s="13" t="s">
        <v>117</v>
      </c>
      <c r="D36" s="13">
        <v>732</v>
      </c>
      <c r="E36" s="13">
        <v>652</v>
      </c>
      <c r="F36" s="13">
        <v>585</v>
      </c>
      <c r="G36" s="13">
        <v>531</v>
      </c>
      <c r="H36" s="13">
        <v>486</v>
      </c>
      <c r="I36" s="13">
        <v>448</v>
      </c>
      <c r="J36" s="13">
        <v>416</v>
      </c>
      <c r="K36" s="13">
        <v>387</v>
      </c>
      <c r="L36" s="13">
        <v>360</v>
      </c>
      <c r="M36" s="13">
        <v>335</v>
      </c>
      <c r="N36" s="13">
        <v>310</v>
      </c>
      <c r="O36" s="13">
        <v>285</v>
      </c>
      <c r="P36" s="13">
        <v>260</v>
      </c>
      <c r="Q36" s="13">
        <v>234</v>
      </c>
      <c r="R36" s="13">
        <v>208</v>
      </c>
      <c r="S36" s="13">
        <v>182</v>
      </c>
      <c r="T36" s="13">
        <v>157</v>
      </c>
      <c r="U36" s="13">
        <v>134</v>
      </c>
      <c r="V36" s="13">
        <v>115</v>
      </c>
      <c r="W36" s="13">
        <v>99</v>
      </c>
    </row>
    <row r="37" spans="2:23" x14ac:dyDescent="0.25">
      <c r="B37">
        <v>34</v>
      </c>
      <c r="C37" s="13" t="s">
        <v>118</v>
      </c>
      <c r="D37" s="13">
        <v>511</v>
      </c>
      <c r="E37" s="13">
        <v>439</v>
      </c>
      <c r="F37" s="13">
        <v>379</v>
      </c>
      <c r="G37" s="13">
        <v>330</v>
      </c>
      <c r="H37" s="13">
        <v>290</v>
      </c>
      <c r="I37" s="13">
        <v>256</v>
      </c>
      <c r="J37" s="13">
        <v>228</v>
      </c>
      <c r="K37" s="13">
        <v>204</v>
      </c>
      <c r="L37" s="13">
        <v>184</v>
      </c>
      <c r="M37" s="13">
        <v>166</v>
      </c>
      <c r="N37" s="13">
        <v>149</v>
      </c>
      <c r="O37" s="13">
        <v>134</v>
      </c>
      <c r="P37" s="13">
        <v>119</v>
      </c>
      <c r="Q37" s="13">
        <v>104</v>
      </c>
      <c r="R37" s="13">
        <v>89</v>
      </c>
      <c r="S37" s="13">
        <v>74</v>
      </c>
      <c r="T37" s="13">
        <v>60</v>
      </c>
      <c r="U37" s="13">
        <v>47</v>
      </c>
      <c r="V37" s="13">
        <v>35</v>
      </c>
      <c r="W37" s="13">
        <v>25</v>
      </c>
    </row>
    <row r="38" spans="2:23" x14ac:dyDescent="0.25">
      <c r="B38">
        <v>35</v>
      </c>
      <c r="C38" s="13" t="s">
        <v>119</v>
      </c>
      <c r="D38" s="13">
        <v>275</v>
      </c>
      <c r="E38" s="13">
        <v>248</v>
      </c>
      <c r="F38" s="13">
        <v>224</v>
      </c>
      <c r="G38" s="13">
        <v>202</v>
      </c>
      <c r="H38" s="13">
        <v>183</v>
      </c>
      <c r="I38" s="13">
        <v>165</v>
      </c>
      <c r="J38" s="13">
        <v>150</v>
      </c>
      <c r="K38" s="13">
        <v>136</v>
      </c>
      <c r="L38" s="13">
        <v>123</v>
      </c>
      <c r="M38" s="13">
        <v>112</v>
      </c>
      <c r="N38" s="13">
        <v>102</v>
      </c>
      <c r="O38" s="13">
        <v>92</v>
      </c>
      <c r="P38" s="13">
        <v>83</v>
      </c>
      <c r="Q38" s="13">
        <v>75</v>
      </c>
      <c r="R38" s="13">
        <v>68</v>
      </c>
      <c r="S38" s="13">
        <v>60</v>
      </c>
      <c r="T38" s="13">
        <v>53</v>
      </c>
      <c r="U38" s="13">
        <v>47</v>
      </c>
      <c r="V38" s="13">
        <v>40</v>
      </c>
      <c r="W38" s="13">
        <v>34</v>
      </c>
    </row>
    <row r="39" spans="2:23" x14ac:dyDescent="0.25">
      <c r="B39">
        <v>36</v>
      </c>
      <c r="C39" s="13" t="s">
        <v>120</v>
      </c>
      <c r="D39" s="13">
        <v>220</v>
      </c>
      <c r="E39" s="13">
        <v>191</v>
      </c>
      <c r="F39" s="13">
        <v>167</v>
      </c>
      <c r="G39" s="13">
        <v>146</v>
      </c>
      <c r="H39" s="13">
        <v>129</v>
      </c>
      <c r="I39" s="13">
        <v>114</v>
      </c>
      <c r="J39" s="13">
        <v>101</v>
      </c>
      <c r="K39" s="13">
        <v>90</v>
      </c>
      <c r="L39" s="13">
        <v>81</v>
      </c>
      <c r="M39" s="13">
        <v>73</v>
      </c>
      <c r="N39" s="13">
        <v>66</v>
      </c>
      <c r="O39" s="13">
        <v>59</v>
      </c>
      <c r="P39" s="13">
        <v>53</v>
      </c>
      <c r="Q39" s="13">
        <v>48</v>
      </c>
      <c r="R39" s="13">
        <v>42</v>
      </c>
      <c r="S39" s="13">
        <v>37</v>
      </c>
      <c r="T39" s="13">
        <v>32</v>
      </c>
      <c r="U39" s="13">
        <v>28</v>
      </c>
      <c r="V39" s="13">
        <v>23</v>
      </c>
      <c r="W39" s="13">
        <v>19</v>
      </c>
    </row>
    <row r="40" spans="2:23" x14ac:dyDescent="0.25">
      <c r="B40">
        <v>37</v>
      </c>
      <c r="C40" s="13" t="s">
        <v>121</v>
      </c>
      <c r="D40" s="13">
        <v>755</v>
      </c>
      <c r="E40" s="13">
        <v>649</v>
      </c>
      <c r="F40" s="13">
        <v>563</v>
      </c>
      <c r="G40" s="13">
        <v>492</v>
      </c>
      <c r="H40" s="13">
        <v>434</v>
      </c>
      <c r="I40" s="13">
        <v>387</v>
      </c>
      <c r="J40" s="13">
        <v>348</v>
      </c>
      <c r="K40" s="13">
        <v>315</v>
      </c>
      <c r="L40" s="13">
        <v>286</v>
      </c>
      <c r="M40" s="13">
        <v>259</v>
      </c>
      <c r="N40" s="13">
        <v>235</v>
      </c>
      <c r="O40" s="13">
        <v>211</v>
      </c>
      <c r="P40" s="13">
        <v>187</v>
      </c>
      <c r="Q40" s="13">
        <v>162</v>
      </c>
      <c r="R40" s="13">
        <v>138</v>
      </c>
      <c r="S40" s="13">
        <v>114</v>
      </c>
      <c r="T40" s="13">
        <v>90</v>
      </c>
      <c r="U40" s="13">
        <v>69</v>
      </c>
      <c r="V40" s="13">
        <v>50</v>
      </c>
      <c r="W40" s="13">
        <v>34</v>
      </c>
    </row>
    <row r="41" spans="2:23" x14ac:dyDescent="0.25">
      <c r="B41">
        <v>38</v>
      </c>
      <c r="C41" s="13" t="s">
        <v>122</v>
      </c>
      <c r="D41" s="13">
        <v>631</v>
      </c>
      <c r="E41" s="13">
        <v>545</v>
      </c>
      <c r="F41" s="13">
        <v>473</v>
      </c>
      <c r="G41" s="13">
        <v>414</v>
      </c>
      <c r="H41" s="13">
        <v>366</v>
      </c>
      <c r="I41" s="13">
        <v>325</v>
      </c>
      <c r="J41" s="13">
        <v>291</v>
      </c>
      <c r="K41" s="13">
        <v>262</v>
      </c>
      <c r="L41" s="13">
        <v>236</v>
      </c>
      <c r="M41" s="13">
        <v>213</v>
      </c>
      <c r="N41" s="13">
        <v>191</v>
      </c>
      <c r="O41" s="13">
        <v>170</v>
      </c>
      <c r="P41" s="13">
        <v>150</v>
      </c>
      <c r="Q41" s="13">
        <v>129</v>
      </c>
      <c r="R41" s="13">
        <v>109</v>
      </c>
      <c r="S41" s="13">
        <v>89</v>
      </c>
      <c r="T41" s="13">
        <v>70</v>
      </c>
      <c r="U41" s="13">
        <v>52</v>
      </c>
      <c r="V41" s="13">
        <v>36</v>
      </c>
      <c r="W41" s="13">
        <v>22</v>
      </c>
    </row>
    <row r="42" spans="2:23" x14ac:dyDescent="0.25">
      <c r="B42">
        <v>39</v>
      </c>
      <c r="C42" s="13" t="s">
        <v>123</v>
      </c>
      <c r="D42" s="13">
        <v>656</v>
      </c>
      <c r="E42" s="13">
        <v>560</v>
      </c>
      <c r="F42" s="13">
        <v>481</v>
      </c>
      <c r="G42" s="13">
        <v>417</v>
      </c>
      <c r="H42" s="13">
        <v>363</v>
      </c>
      <c r="I42" s="13">
        <v>320</v>
      </c>
      <c r="J42" s="13">
        <v>284</v>
      </c>
      <c r="K42" s="13">
        <v>253</v>
      </c>
      <c r="L42" s="13">
        <v>227</v>
      </c>
      <c r="M42" s="13">
        <v>205</v>
      </c>
      <c r="N42" s="13">
        <v>184</v>
      </c>
      <c r="O42" s="13">
        <v>164</v>
      </c>
      <c r="P42" s="13">
        <v>145</v>
      </c>
      <c r="Q42" s="13">
        <v>126</v>
      </c>
      <c r="R42" s="13">
        <v>108</v>
      </c>
      <c r="S42" s="13">
        <v>90</v>
      </c>
      <c r="T42" s="13">
        <v>72</v>
      </c>
      <c r="U42" s="13">
        <v>55</v>
      </c>
      <c r="V42" s="13">
        <v>40</v>
      </c>
      <c r="W42" s="13">
        <v>28</v>
      </c>
    </row>
    <row r="43" spans="2:23" x14ac:dyDescent="0.25">
      <c r="B43">
        <v>40</v>
      </c>
      <c r="C43" s="13" t="s">
        <v>124</v>
      </c>
      <c r="D43" s="13">
        <v>631</v>
      </c>
      <c r="E43" s="13">
        <v>527</v>
      </c>
      <c r="F43" s="13">
        <v>442</v>
      </c>
      <c r="G43" s="13">
        <v>373</v>
      </c>
      <c r="H43" s="13">
        <v>318</v>
      </c>
      <c r="I43" s="13">
        <v>273</v>
      </c>
      <c r="J43" s="13">
        <v>237</v>
      </c>
      <c r="K43" s="13">
        <v>207</v>
      </c>
      <c r="L43" s="13">
        <v>183</v>
      </c>
      <c r="M43" s="13">
        <v>162</v>
      </c>
      <c r="N43" s="13">
        <v>144</v>
      </c>
      <c r="O43" s="13">
        <v>127</v>
      </c>
      <c r="P43" s="13">
        <v>111</v>
      </c>
      <c r="Q43" s="13">
        <v>95</v>
      </c>
      <c r="R43" s="13">
        <v>80</v>
      </c>
      <c r="S43" s="13">
        <v>64</v>
      </c>
      <c r="T43" s="13">
        <v>49</v>
      </c>
      <c r="U43" s="13">
        <v>35</v>
      </c>
      <c r="V43" s="13">
        <v>22</v>
      </c>
      <c r="W43" s="13">
        <v>11</v>
      </c>
    </row>
    <row r="44" spans="2:23" x14ac:dyDescent="0.25">
      <c r="B44">
        <v>41</v>
      </c>
      <c r="C44" s="13" t="s">
        <v>125</v>
      </c>
      <c r="D44" s="13">
        <v>517</v>
      </c>
      <c r="E44" s="13">
        <v>429</v>
      </c>
      <c r="F44" s="13">
        <v>357</v>
      </c>
      <c r="G44" s="13">
        <v>298</v>
      </c>
      <c r="H44" s="13">
        <v>252</v>
      </c>
      <c r="I44" s="13">
        <v>215</v>
      </c>
      <c r="J44" s="13">
        <v>185</v>
      </c>
      <c r="K44" s="13">
        <v>161</v>
      </c>
      <c r="L44" s="13">
        <v>142</v>
      </c>
      <c r="M44" s="13">
        <v>126</v>
      </c>
      <c r="N44" s="13">
        <v>111</v>
      </c>
      <c r="O44" s="13">
        <v>98</v>
      </c>
      <c r="P44" s="13">
        <v>86</v>
      </c>
      <c r="Q44" s="13">
        <v>73</v>
      </c>
      <c r="R44" s="13">
        <v>61</v>
      </c>
      <c r="S44" s="13">
        <v>49</v>
      </c>
      <c r="T44" s="13">
        <v>36</v>
      </c>
      <c r="U44" s="13">
        <v>25</v>
      </c>
      <c r="V44" s="13">
        <v>15</v>
      </c>
      <c r="W44" s="13">
        <v>7</v>
      </c>
    </row>
    <row r="45" spans="2:23" x14ac:dyDescent="0.25">
      <c r="B45">
        <v>42</v>
      </c>
      <c r="C45" s="13" t="s">
        <v>126</v>
      </c>
      <c r="D45" s="13">
        <v>437</v>
      </c>
      <c r="E45" s="13">
        <v>358</v>
      </c>
      <c r="F45" s="13">
        <v>293</v>
      </c>
      <c r="G45" s="13">
        <v>241</v>
      </c>
      <c r="H45" s="13">
        <v>200</v>
      </c>
      <c r="I45" s="13">
        <v>167</v>
      </c>
      <c r="J45" s="13">
        <v>141</v>
      </c>
      <c r="K45" s="13">
        <v>120</v>
      </c>
      <c r="L45" s="13">
        <v>104</v>
      </c>
      <c r="M45" s="13">
        <v>91</v>
      </c>
      <c r="N45" s="13">
        <v>79</v>
      </c>
      <c r="O45" s="13">
        <v>70</v>
      </c>
      <c r="P45" s="13">
        <v>60</v>
      </c>
      <c r="Q45" s="13">
        <v>52</v>
      </c>
      <c r="R45" s="13">
        <v>43</v>
      </c>
      <c r="S45" s="13">
        <v>34</v>
      </c>
      <c r="T45" s="13">
        <v>25</v>
      </c>
      <c r="U45" s="13">
        <v>17</v>
      </c>
      <c r="V45" s="13">
        <v>10</v>
      </c>
      <c r="W45" s="13">
        <v>4</v>
      </c>
    </row>
    <row r="46" spans="2:23" x14ac:dyDescent="0.25">
      <c r="B46">
        <v>43</v>
      </c>
      <c r="C46" s="13" t="s">
        <v>127</v>
      </c>
      <c r="D46" s="13">
        <v>596</v>
      </c>
      <c r="E46" s="13">
        <v>495</v>
      </c>
      <c r="F46" s="13">
        <v>412</v>
      </c>
      <c r="G46" s="13">
        <v>344</v>
      </c>
      <c r="H46" s="13">
        <v>289</v>
      </c>
      <c r="I46" s="13">
        <v>244</v>
      </c>
      <c r="J46" s="13">
        <v>208</v>
      </c>
      <c r="K46" s="13">
        <v>179</v>
      </c>
      <c r="L46" s="13">
        <v>155</v>
      </c>
      <c r="M46" s="13">
        <v>135</v>
      </c>
      <c r="N46" s="13">
        <v>118</v>
      </c>
      <c r="O46" s="13">
        <v>103</v>
      </c>
      <c r="P46" s="13">
        <v>90</v>
      </c>
      <c r="Q46" s="13">
        <v>77</v>
      </c>
      <c r="R46" s="13">
        <v>64</v>
      </c>
      <c r="S46" s="13">
        <v>51</v>
      </c>
      <c r="T46" s="13">
        <v>39</v>
      </c>
      <c r="U46" s="13">
        <v>27</v>
      </c>
      <c r="V46" s="13">
        <v>16</v>
      </c>
      <c r="W46" s="13">
        <v>7</v>
      </c>
    </row>
    <row r="47" spans="2:23" x14ac:dyDescent="0.25">
      <c r="B47">
        <v>44</v>
      </c>
      <c r="C47" s="13" t="s">
        <v>128</v>
      </c>
      <c r="D47" s="13">
        <v>490</v>
      </c>
      <c r="E47" s="13">
        <v>396</v>
      </c>
      <c r="F47" s="13">
        <v>320</v>
      </c>
      <c r="G47" s="13">
        <v>259</v>
      </c>
      <c r="H47" s="13">
        <v>211</v>
      </c>
      <c r="I47" s="13">
        <v>173</v>
      </c>
      <c r="J47" s="13">
        <v>144</v>
      </c>
      <c r="K47" s="13">
        <v>122</v>
      </c>
      <c r="L47" s="13">
        <v>105</v>
      </c>
      <c r="M47" s="13">
        <v>91</v>
      </c>
      <c r="N47" s="13">
        <v>80</v>
      </c>
      <c r="O47" s="13">
        <v>70</v>
      </c>
      <c r="P47" s="13">
        <v>61</v>
      </c>
      <c r="Q47" s="13">
        <v>52</v>
      </c>
      <c r="R47" s="13">
        <v>43</v>
      </c>
      <c r="S47" s="13">
        <v>34</v>
      </c>
      <c r="T47" s="13">
        <v>25</v>
      </c>
      <c r="U47" s="13">
        <v>17</v>
      </c>
      <c r="V47" s="13">
        <v>9</v>
      </c>
      <c r="W47" s="13">
        <v>3</v>
      </c>
    </row>
    <row r="48" spans="2:23" x14ac:dyDescent="0.25">
      <c r="B48">
        <v>45</v>
      </c>
      <c r="C48" s="13" t="s">
        <v>129</v>
      </c>
      <c r="D48" s="13">
        <v>552</v>
      </c>
      <c r="E48" s="13">
        <v>446</v>
      </c>
      <c r="F48" s="13">
        <v>362</v>
      </c>
      <c r="G48" s="13">
        <v>295</v>
      </c>
      <c r="H48" s="13">
        <v>243</v>
      </c>
      <c r="I48" s="13">
        <v>203</v>
      </c>
      <c r="J48" s="13">
        <v>172</v>
      </c>
      <c r="K48" s="13">
        <v>148</v>
      </c>
      <c r="L48" s="13">
        <v>130</v>
      </c>
      <c r="M48" s="13">
        <v>115</v>
      </c>
      <c r="N48" s="13">
        <v>102</v>
      </c>
      <c r="O48" s="13">
        <v>90</v>
      </c>
      <c r="P48" s="13">
        <v>79</v>
      </c>
      <c r="Q48" s="13">
        <v>67</v>
      </c>
      <c r="R48" s="13">
        <v>55</v>
      </c>
      <c r="S48" s="13">
        <v>43</v>
      </c>
      <c r="T48" s="13">
        <v>31</v>
      </c>
      <c r="U48" s="13">
        <v>20</v>
      </c>
      <c r="V48" s="13">
        <v>10</v>
      </c>
      <c r="W48" s="13">
        <v>3</v>
      </c>
    </row>
    <row r="49" spans="2:23" x14ac:dyDescent="0.25">
      <c r="B49">
        <v>46</v>
      </c>
      <c r="C49" s="13" t="s">
        <v>130</v>
      </c>
      <c r="D49" s="13">
        <v>580</v>
      </c>
      <c r="E49" s="13">
        <v>469</v>
      </c>
      <c r="F49" s="13">
        <v>379</v>
      </c>
      <c r="G49" s="13">
        <v>308</v>
      </c>
      <c r="H49" s="13">
        <v>253</v>
      </c>
      <c r="I49" s="13">
        <v>210</v>
      </c>
      <c r="J49" s="13">
        <v>176</v>
      </c>
      <c r="K49" s="13">
        <v>151</v>
      </c>
      <c r="L49" s="13">
        <v>131</v>
      </c>
      <c r="M49" s="13">
        <v>115</v>
      </c>
      <c r="N49" s="13">
        <v>101</v>
      </c>
      <c r="O49" s="13">
        <v>89</v>
      </c>
      <c r="P49" s="13">
        <v>78</v>
      </c>
      <c r="Q49" s="13">
        <v>67</v>
      </c>
      <c r="R49" s="13">
        <v>55</v>
      </c>
      <c r="S49" s="13">
        <v>44</v>
      </c>
      <c r="T49" s="13">
        <v>32</v>
      </c>
      <c r="U49" s="13">
        <v>21</v>
      </c>
      <c r="V49" s="13">
        <v>11</v>
      </c>
      <c r="W49" s="13">
        <v>4</v>
      </c>
    </row>
    <row r="50" spans="2:23" x14ac:dyDescent="0.25">
      <c r="B50">
        <v>47</v>
      </c>
      <c r="C50" s="13" t="s">
        <v>131</v>
      </c>
      <c r="D50" s="13">
        <v>595</v>
      </c>
      <c r="E50" s="13">
        <v>485</v>
      </c>
      <c r="F50" s="13">
        <v>397</v>
      </c>
      <c r="G50" s="13">
        <v>325</v>
      </c>
      <c r="H50" s="13">
        <v>269</v>
      </c>
      <c r="I50" s="13">
        <v>224</v>
      </c>
      <c r="J50" s="13">
        <v>189</v>
      </c>
      <c r="K50" s="13">
        <v>161</v>
      </c>
      <c r="L50" s="13">
        <v>140</v>
      </c>
      <c r="M50" s="13">
        <v>122</v>
      </c>
      <c r="N50" s="13">
        <v>107</v>
      </c>
      <c r="O50" s="13">
        <v>94</v>
      </c>
      <c r="P50" s="13">
        <v>82</v>
      </c>
      <c r="Q50" s="13">
        <v>70</v>
      </c>
      <c r="R50" s="13">
        <v>58</v>
      </c>
      <c r="S50" s="13">
        <v>46</v>
      </c>
      <c r="T50" s="13">
        <v>34</v>
      </c>
      <c r="U50" s="13">
        <v>22</v>
      </c>
      <c r="V50" s="13">
        <v>12</v>
      </c>
      <c r="W50" s="13">
        <v>4</v>
      </c>
    </row>
    <row r="51" spans="2:23" x14ac:dyDescent="0.25">
      <c r="B51">
        <v>48</v>
      </c>
      <c r="C51" s="13" t="s">
        <v>132</v>
      </c>
      <c r="D51" s="13">
        <v>627</v>
      </c>
      <c r="E51" s="13">
        <v>513</v>
      </c>
      <c r="F51" s="13">
        <v>421</v>
      </c>
      <c r="G51" s="13">
        <v>347</v>
      </c>
      <c r="H51" s="13">
        <v>288</v>
      </c>
      <c r="I51" s="13">
        <v>241</v>
      </c>
      <c r="J51" s="13">
        <v>205</v>
      </c>
      <c r="K51" s="13">
        <v>176</v>
      </c>
      <c r="L51" s="13">
        <v>153</v>
      </c>
      <c r="M51" s="13">
        <v>134</v>
      </c>
      <c r="N51" s="13">
        <v>118</v>
      </c>
      <c r="O51" s="13">
        <v>103</v>
      </c>
      <c r="P51" s="13">
        <v>90</v>
      </c>
      <c r="Q51" s="13">
        <v>76</v>
      </c>
      <c r="R51" s="13">
        <v>63</v>
      </c>
      <c r="S51" s="13">
        <v>49</v>
      </c>
      <c r="T51" s="13">
        <v>36</v>
      </c>
      <c r="U51" s="13">
        <v>23</v>
      </c>
      <c r="V51" s="13">
        <v>12</v>
      </c>
      <c r="W51" s="13">
        <v>3</v>
      </c>
    </row>
    <row r="52" spans="2:23" x14ac:dyDescent="0.25">
      <c r="B52">
        <v>49</v>
      </c>
      <c r="C52" s="13" t="s">
        <v>133</v>
      </c>
      <c r="D52" s="13">
        <v>664</v>
      </c>
      <c r="E52" s="13">
        <v>537</v>
      </c>
      <c r="F52" s="13">
        <v>436</v>
      </c>
      <c r="G52" s="13">
        <v>354</v>
      </c>
      <c r="H52" s="13">
        <v>290</v>
      </c>
      <c r="I52" s="13">
        <v>241</v>
      </c>
      <c r="J52" s="13">
        <v>202</v>
      </c>
      <c r="K52" s="13">
        <v>172</v>
      </c>
      <c r="L52" s="13">
        <v>149</v>
      </c>
      <c r="M52" s="13">
        <v>130</v>
      </c>
      <c r="N52" s="13">
        <v>114</v>
      </c>
      <c r="O52" s="13">
        <v>100</v>
      </c>
      <c r="P52" s="13">
        <v>87</v>
      </c>
      <c r="Q52" s="13">
        <v>74</v>
      </c>
      <c r="R52" s="13">
        <v>61</v>
      </c>
      <c r="S52" s="13">
        <v>48</v>
      </c>
      <c r="T52" s="13">
        <v>34</v>
      </c>
      <c r="U52" s="13">
        <v>22</v>
      </c>
      <c r="V52" s="13">
        <v>11</v>
      </c>
      <c r="W52" s="13">
        <v>2</v>
      </c>
    </row>
    <row r="53" spans="2:23" x14ac:dyDescent="0.25">
      <c r="B53">
        <v>50</v>
      </c>
      <c r="C53" s="13" t="s">
        <v>134</v>
      </c>
      <c r="D53" s="13">
        <v>485</v>
      </c>
      <c r="E53" s="13">
        <v>391</v>
      </c>
      <c r="F53" s="13">
        <v>315</v>
      </c>
      <c r="G53" s="13">
        <v>256</v>
      </c>
      <c r="H53" s="13">
        <v>210</v>
      </c>
      <c r="I53" s="13">
        <v>174</v>
      </c>
      <c r="J53" s="13">
        <v>147</v>
      </c>
      <c r="K53" s="13">
        <v>126</v>
      </c>
      <c r="L53" s="13">
        <v>110</v>
      </c>
      <c r="M53" s="13">
        <v>98</v>
      </c>
      <c r="N53" s="13">
        <v>87</v>
      </c>
      <c r="O53" s="13">
        <v>78</v>
      </c>
      <c r="P53" s="13">
        <v>69</v>
      </c>
      <c r="Q53" s="13">
        <v>60</v>
      </c>
      <c r="R53" s="13">
        <v>50</v>
      </c>
      <c r="S53" s="13">
        <v>41</v>
      </c>
      <c r="T53" s="13">
        <v>31</v>
      </c>
      <c r="U53" s="13">
        <v>22</v>
      </c>
      <c r="V53" s="13">
        <v>14</v>
      </c>
      <c r="W53" s="13">
        <v>8</v>
      </c>
    </row>
    <row r="54" spans="2:23" x14ac:dyDescent="0.25">
      <c r="B54">
        <v>51</v>
      </c>
      <c r="C54" s="13" t="s">
        <v>135</v>
      </c>
      <c r="D54" s="13">
        <v>498</v>
      </c>
      <c r="E54" s="13">
        <v>401</v>
      </c>
      <c r="F54" s="13">
        <v>324</v>
      </c>
      <c r="G54" s="13">
        <v>262</v>
      </c>
      <c r="H54" s="13">
        <v>213</v>
      </c>
      <c r="I54" s="13">
        <v>175</v>
      </c>
      <c r="J54" s="13">
        <v>146</v>
      </c>
      <c r="K54" s="13">
        <v>124</v>
      </c>
      <c r="L54" s="13">
        <v>107</v>
      </c>
      <c r="M54" s="13">
        <v>93</v>
      </c>
      <c r="N54" s="13">
        <v>82</v>
      </c>
      <c r="O54" s="13">
        <v>72</v>
      </c>
      <c r="P54" s="13">
        <v>63</v>
      </c>
      <c r="Q54" s="13">
        <v>53</v>
      </c>
      <c r="R54" s="13">
        <v>44</v>
      </c>
      <c r="S54" s="13">
        <v>35</v>
      </c>
      <c r="T54" s="13">
        <v>25</v>
      </c>
      <c r="U54" s="13">
        <v>16</v>
      </c>
      <c r="V54" s="13">
        <v>8</v>
      </c>
      <c r="W54" s="13">
        <v>2</v>
      </c>
    </row>
    <row r="55" spans="2:23" x14ac:dyDescent="0.25">
      <c r="B55">
        <v>52</v>
      </c>
      <c r="C55" s="13" t="s">
        <v>136</v>
      </c>
      <c r="D55" s="13">
        <v>284</v>
      </c>
      <c r="E55" s="13">
        <v>231</v>
      </c>
      <c r="F55" s="13">
        <v>187</v>
      </c>
      <c r="G55" s="13">
        <v>152</v>
      </c>
      <c r="H55" s="13">
        <v>124</v>
      </c>
      <c r="I55" s="13">
        <v>102</v>
      </c>
      <c r="J55" s="13">
        <v>84</v>
      </c>
      <c r="K55" s="13">
        <v>71</v>
      </c>
      <c r="L55" s="13">
        <v>60</v>
      </c>
      <c r="M55" s="13">
        <v>51</v>
      </c>
      <c r="N55" s="13">
        <v>45</v>
      </c>
      <c r="O55" s="13">
        <v>39</v>
      </c>
      <c r="P55" s="13">
        <v>34</v>
      </c>
      <c r="Q55" s="13">
        <v>29</v>
      </c>
      <c r="R55" s="13">
        <v>25</v>
      </c>
      <c r="S55" s="13">
        <v>20</v>
      </c>
      <c r="T55" s="13">
        <v>15</v>
      </c>
      <c r="U55" s="13">
        <v>11</v>
      </c>
      <c r="V55" s="13">
        <v>7</v>
      </c>
      <c r="W55" s="13">
        <v>3</v>
      </c>
    </row>
    <row r="56" spans="2:23" x14ac:dyDescent="0.25">
      <c r="B56">
        <v>53</v>
      </c>
      <c r="C56" s="13" t="s">
        <v>137</v>
      </c>
      <c r="D56" s="13">
        <v>499</v>
      </c>
      <c r="E56" s="13">
        <v>406</v>
      </c>
      <c r="F56" s="13">
        <v>331</v>
      </c>
      <c r="G56" s="13">
        <v>271</v>
      </c>
      <c r="H56" s="13">
        <v>223</v>
      </c>
      <c r="I56" s="13">
        <v>186</v>
      </c>
      <c r="J56" s="13">
        <v>157</v>
      </c>
      <c r="K56" s="13">
        <v>134</v>
      </c>
      <c r="L56" s="13">
        <v>116</v>
      </c>
      <c r="M56" s="13">
        <v>101</v>
      </c>
      <c r="N56" s="13">
        <v>89</v>
      </c>
      <c r="O56" s="13">
        <v>78</v>
      </c>
      <c r="P56" s="13">
        <v>68</v>
      </c>
      <c r="Q56" s="13">
        <v>58</v>
      </c>
      <c r="R56" s="13">
        <v>47</v>
      </c>
      <c r="S56" s="13">
        <v>37</v>
      </c>
      <c r="T56" s="13">
        <v>27</v>
      </c>
      <c r="U56" s="13">
        <v>17</v>
      </c>
      <c r="V56" s="13">
        <v>9</v>
      </c>
      <c r="W56" s="13">
        <v>2</v>
      </c>
    </row>
    <row r="57" spans="2:23" x14ac:dyDescent="0.25">
      <c r="B57">
        <v>54</v>
      </c>
      <c r="C57" s="13" t="s">
        <v>138</v>
      </c>
      <c r="D57" s="13">
        <v>412</v>
      </c>
      <c r="E57" s="13">
        <v>332</v>
      </c>
      <c r="F57" s="13">
        <v>269</v>
      </c>
      <c r="G57" s="13">
        <v>218</v>
      </c>
      <c r="H57" s="13">
        <v>179</v>
      </c>
      <c r="I57" s="13">
        <v>148</v>
      </c>
      <c r="J57" s="13">
        <v>125</v>
      </c>
      <c r="K57" s="13">
        <v>107</v>
      </c>
      <c r="L57" s="13">
        <v>93</v>
      </c>
      <c r="M57" s="13">
        <v>82</v>
      </c>
      <c r="N57" s="13">
        <v>73</v>
      </c>
      <c r="O57" s="13">
        <v>65</v>
      </c>
      <c r="P57" s="13">
        <v>57</v>
      </c>
      <c r="Q57" s="13">
        <v>49</v>
      </c>
      <c r="R57" s="13">
        <v>41</v>
      </c>
      <c r="S57" s="13">
        <v>33</v>
      </c>
      <c r="T57" s="13">
        <v>25</v>
      </c>
      <c r="U57" s="13">
        <v>17</v>
      </c>
      <c r="V57" s="13">
        <v>10</v>
      </c>
      <c r="W57" s="13">
        <v>5</v>
      </c>
    </row>
    <row r="58" spans="2:23" x14ac:dyDescent="0.25">
      <c r="B58" s="14">
        <v>55</v>
      </c>
      <c r="C58" s="13" t="s">
        <v>139</v>
      </c>
      <c r="D58" s="13">
        <v>430</v>
      </c>
      <c r="E58" s="13">
        <v>351</v>
      </c>
      <c r="F58" s="13">
        <v>286</v>
      </c>
      <c r="G58" s="13">
        <v>233</v>
      </c>
      <c r="H58" s="13">
        <v>191</v>
      </c>
      <c r="I58" s="13">
        <v>158</v>
      </c>
      <c r="J58" s="13">
        <v>132</v>
      </c>
      <c r="K58" s="13">
        <v>111</v>
      </c>
      <c r="L58" s="13">
        <v>95</v>
      </c>
      <c r="M58" s="13">
        <v>82</v>
      </c>
      <c r="N58" s="13">
        <v>71</v>
      </c>
      <c r="O58" s="13">
        <v>62</v>
      </c>
      <c r="P58" s="13">
        <v>54</v>
      </c>
      <c r="Q58" s="13">
        <v>46</v>
      </c>
      <c r="R58" s="13">
        <v>38</v>
      </c>
      <c r="S58" s="13">
        <v>30</v>
      </c>
      <c r="T58" s="13">
        <v>22</v>
      </c>
      <c r="U58" s="13">
        <v>14</v>
      </c>
      <c r="V58" s="13">
        <v>7</v>
      </c>
      <c r="W58" s="13">
        <v>1</v>
      </c>
    </row>
    <row r="59" spans="2:23" x14ac:dyDescent="0.25">
      <c r="B59" s="14">
        <v>56</v>
      </c>
      <c r="C59" s="13" t="s">
        <v>140</v>
      </c>
      <c r="D59" s="13">
        <v>352</v>
      </c>
      <c r="E59" s="13">
        <v>284</v>
      </c>
      <c r="F59" s="13">
        <v>230</v>
      </c>
      <c r="G59" s="13">
        <v>186</v>
      </c>
      <c r="H59" s="13">
        <v>151</v>
      </c>
      <c r="I59" s="13">
        <v>125</v>
      </c>
      <c r="J59" s="13">
        <v>104</v>
      </c>
      <c r="K59" s="13">
        <v>88</v>
      </c>
      <c r="L59" s="13">
        <v>75</v>
      </c>
      <c r="M59" s="13">
        <v>66</v>
      </c>
      <c r="N59" s="13">
        <v>58</v>
      </c>
      <c r="O59" s="13">
        <v>51</v>
      </c>
      <c r="P59" s="13">
        <v>45</v>
      </c>
      <c r="Q59" s="13">
        <v>39</v>
      </c>
      <c r="R59" s="13">
        <v>32</v>
      </c>
      <c r="S59" s="13">
        <v>26</v>
      </c>
      <c r="T59" s="13">
        <v>20</v>
      </c>
      <c r="U59" s="13">
        <v>14</v>
      </c>
      <c r="V59" s="13">
        <v>9</v>
      </c>
      <c r="W59" s="13">
        <v>5</v>
      </c>
    </row>
    <row r="60" spans="2:23" x14ac:dyDescent="0.25">
      <c r="B60" s="14">
        <v>57</v>
      </c>
      <c r="C60" s="13" t="s">
        <v>141</v>
      </c>
      <c r="D60" s="13">
        <v>687</v>
      </c>
      <c r="E60" s="13">
        <v>565</v>
      </c>
      <c r="F60" s="13">
        <v>465</v>
      </c>
      <c r="G60" s="13">
        <v>384</v>
      </c>
      <c r="H60" s="13">
        <v>318</v>
      </c>
      <c r="I60" s="13">
        <v>266</v>
      </c>
      <c r="J60" s="13">
        <v>224</v>
      </c>
      <c r="K60" s="13">
        <v>191</v>
      </c>
      <c r="L60" s="13">
        <v>164</v>
      </c>
      <c r="M60" s="13">
        <v>143</v>
      </c>
      <c r="N60" s="13">
        <v>124</v>
      </c>
      <c r="O60" s="13">
        <v>108</v>
      </c>
      <c r="P60" s="13">
        <v>93</v>
      </c>
      <c r="Q60" s="13">
        <v>79</v>
      </c>
      <c r="R60" s="13">
        <v>65</v>
      </c>
      <c r="S60" s="13">
        <v>51</v>
      </c>
      <c r="T60" s="13">
        <v>38</v>
      </c>
      <c r="U60" s="13">
        <v>24</v>
      </c>
      <c r="V60" s="13">
        <v>12</v>
      </c>
      <c r="W60" s="13">
        <v>2</v>
      </c>
    </row>
    <row r="61" spans="2:23" x14ac:dyDescent="0.25">
      <c r="B61" s="14">
        <v>58</v>
      </c>
      <c r="C61" s="13" t="s">
        <v>142</v>
      </c>
      <c r="D61" s="13">
        <v>558</v>
      </c>
      <c r="E61" s="13">
        <v>457</v>
      </c>
      <c r="F61" s="13">
        <v>374</v>
      </c>
      <c r="G61" s="13">
        <v>307</v>
      </c>
      <c r="H61" s="13">
        <v>253</v>
      </c>
      <c r="I61" s="13">
        <v>210</v>
      </c>
      <c r="J61" s="13">
        <v>176</v>
      </c>
      <c r="K61" s="13">
        <v>149</v>
      </c>
      <c r="L61" s="13">
        <v>127</v>
      </c>
      <c r="M61" s="13">
        <v>110</v>
      </c>
      <c r="N61" s="13">
        <v>95</v>
      </c>
      <c r="O61" s="13">
        <v>83</v>
      </c>
      <c r="P61" s="13">
        <v>71</v>
      </c>
      <c r="Q61" s="13">
        <v>60</v>
      </c>
      <c r="R61" s="13">
        <v>50</v>
      </c>
      <c r="S61" s="13">
        <v>39</v>
      </c>
      <c r="T61" s="13">
        <v>29</v>
      </c>
      <c r="U61" s="13">
        <v>19</v>
      </c>
      <c r="V61" s="13">
        <v>9</v>
      </c>
      <c r="W61" s="13">
        <v>1</v>
      </c>
    </row>
    <row r="62" spans="2:23" x14ac:dyDescent="0.25">
      <c r="B62" s="14">
        <v>59</v>
      </c>
      <c r="C62" s="13" t="s">
        <v>143</v>
      </c>
      <c r="D62" s="13">
        <v>1173</v>
      </c>
      <c r="E62" s="13">
        <v>987</v>
      </c>
      <c r="F62" s="13">
        <v>833</v>
      </c>
      <c r="G62" s="13">
        <v>706</v>
      </c>
      <c r="H62" s="13">
        <v>603</v>
      </c>
      <c r="I62" s="13">
        <v>518</v>
      </c>
      <c r="J62" s="13">
        <v>448</v>
      </c>
      <c r="K62" s="13">
        <v>391</v>
      </c>
      <c r="L62" s="13">
        <v>342</v>
      </c>
      <c r="M62" s="13">
        <v>301</v>
      </c>
      <c r="N62" s="13">
        <v>264</v>
      </c>
      <c r="O62" s="13">
        <v>230</v>
      </c>
      <c r="P62" s="13">
        <v>198</v>
      </c>
      <c r="Q62" s="13">
        <v>166</v>
      </c>
      <c r="R62" s="13">
        <v>136</v>
      </c>
      <c r="S62" s="13">
        <v>105</v>
      </c>
      <c r="T62" s="13">
        <v>76</v>
      </c>
      <c r="U62" s="13">
        <v>48</v>
      </c>
      <c r="V62" s="13">
        <v>22</v>
      </c>
      <c r="W62" s="13">
        <v>1</v>
      </c>
    </row>
    <row r="63" spans="2:23" x14ac:dyDescent="0.25">
      <c r="B63" s="14">
        <v>60</v>
      </c>
      <c r="C63" s="13" t="s">
        <v>144</v>
      </c>
      <c r="D63" s="13">
        <v>797</v>
      </c>
      <c r="E63" s="13">
        <v>663</v>
      </c>
      <c r="F63" s="13">
        <v>552</v>
      </c>
      <c r="G63" s="13">
        <v>462</v>
      </c>
      <c r="H63" s="13">
        <v>388</v>
      </c>
      <c r="I63" s="13">
        <v>328</v>
      </c>
      <c r="J63" s="13">
        <v>280</v>
      </c>
      <c r="K63" s="13">
        <v>241</v>
      </c>
      <c r="L63" s="13">
        <v>209</v>
      </c>
      <c r="M63" s="13">
        <v>182</v>
      </c>
      <c r="N63" s="13">
        <v>158</v>
      </c>
      <c r="O63" s="13">
        <v>138</v>
      </c>
      <c r="P63" s="13">
        <v>118</v>
      </c>
      <c r="Q63" s="13">
        <v>100</v>
      </c>
      <c r="R63" s="13">
        <v>82</v>
      </c>
      <c r="S63" s="13">
        <v>64</v>
      </c>
      <c r="T63" s="13">
        <v>47</v>
      </c>
      <c r="U63" s="13">
        <v>30</v>
      </c>
      <c r="V63" s="13">
        <v>15</v>
      </c>
      <c r="W63" s="13">
        <v>2</v>
      </c>
    </row>
    <row r="64" spans="2:23" x14ac:dyDescent="0.25">
      <c r="B64" s="14">
        <v>61</v>
      </c>
      <c r="C64" s="13" t="s">
        <v>145</v>
      </c>
      <c r="D64" s="13">
        <v>849</v>
      </c>
      <c r="E64" s="13">
        <v>702</v>
      </c>
      <c r="F64" s="13">
        <v>582</v>
      </c>
      <c r="G64" s="13">
        <v>484</v>
      </c>
      <c r="H64" s="13">
        <v>405</v>
      </c>
      <c r="I64" s="13">
        <v>341</v>
      </c>
      <c r="J64" s="13">
        <v>290</v>
      </c>
      <c r="K64" s="13">
        <v>250</v>
      </c>
      <c r="L64" s="13">
        <v>216</v>
      </c>
      <c r="M64" s="13">
        <v>189</v>
      </c>
      <c r="N64" s="13">
        <v>165</v>
      </c>
      <c r="O64" s="13">
        <v>144</v>
      </c>
      <c r="P64" s="13">
        <v>124</v>
      </c>
      <c r="Q64" s="13">
        <v>105</v>
      </c>
      <c r="R64" s="13">
        <v>86</v>
      </c>
      <c r="S64" s="13">
        <v>67</v>
      </c>
      <c r="T64" s="13">
        <v>48</v>
      </c>
      <c r="U64" s="13">
        <v>31</v>
      </c>
      <c r="V64" s="13">
        <v>15</v>
      </c>
      <c r="W64" s="13">
        <v>1</v>
      </c>
    </row>
    <row r="65" spans="2:23" x14ac:dyDescent="0.25">
      <c r="B65" s="14">
        <v>62</v>
      </c>
      <c r="C65" s="13" t="s">
        <v>146</v>
      </c>
      <c r="D65" s="13">
        <v>742</v>
      </c>
      <c r="E65" s="13">
        <v>615</v>
      </c>
      <c r="F65" s="13">
        <v>511</v>
      </c>
      <c r="G65" s="13">
        <v>426</v>
      </c>
      <c r="H65" s="13">
        <v>357</v>
      </c>
      <c r="I65" s="13">
        <v>301</v>
      </c>
      <c r="J65" s="13">
        <v>256</v>
      </c>
      <c r="K65" s="13">
        <v>220</v>
      </c>
      <c r="L65" s="13">
        <v>190</v>
      </c>
      <c r="M65" s="13">
        <v>165</v>
      </c>
      <c r="N65" s="13">
        <v>144</v>
      </c>
      <c r="O65" s="13">
        <v>125</v>
      </c>
      <c r="P65" s="13">
        <v>108</v>
      </c>
      <c r="Q65" s="13">
        <v>91</v>
      </c>
      <c r="R65" s="13">
        <v>75</v>
      </c>
      <c r="S65" s="13">
        <v>58</v>
      </c>
      <c r="T65" s="13">
        <v>43</v>
      </c>
      <c r="U65" s="13">
        <v>27</v>
      </c>
      <c r="V65" s="13">
        <v>13</v>
      </c>
      <c r="W65" s="13">
        <v>1</v>
      </c>
    </row>
    <row r="66" spans="2:23" x14ac:dyDescent="0.25">
      <c r="B66" s="14">
        <v>63</v>
      </c>
      <c r="C66" s="13" t="s">
        <v>147</v>
      </c>
      <c r="D66" s="13">
        <v>867</v>
      </c>
      <c r="E66" s="13">
        <v>716</v>
      </c>
      <c r="F66" s="13">
        <v>593</v>
      </c>
      <c r="G66" s="13">
        <v>493</v>
      </c>
      <c r="H66" s="13">
        <v>413</v>
      </c>
      <c r="I66" s="13">
        <v>349</v>
      </c>
      <c r="J66" s="13">
        <v>298</v>
      </c>
      <c r="K66" s="13">
        <v>258</v>
      </c>
      <c r="L66" s="13">
        <v>224</v>
      </c>
      <c r="M66" s="13">
        <v>197</v>
      </c>
      <c r="N66" s="13">
        <v>173</v>
      </c>
      <c r="O66" s="13">
        <v>151</v>
      </c>
      <c r="P66" s="13">
        <v>130</v>
      </c>
      <c r="Q66" s="13">
        <v>110</v>
      </c>
      <c r="R66" s="13">
        <v>90</v>
      </c>
      <c r="S66" s="13">
        <v>70</v>
      </c>
      <c r="T66" s="13">
        <v>51</v>
      </c>
      <c r="U66" s="13">
        <v>32</v>
      </c>
      <c r="V66" s="13">
        <v>15</v>
      </c>
      <c r="W66" s="13">
        <v>2</v>
      </c>
    </row>
    <row r="67" spans="2:23" x14ac:dyDescent="0.25">
      <c r="B67" s="14">
        <v>64</v>
      </c>
      <c r="C67" s="13" t="s">
        <v>148</v>
      </c>
      <c r="D67" s="13">
        <v>708</v>
      </c>
      <c r="E67" s="13">
        <v>593</v>
      </c>
      <c r="F67" s="13">
        <v>497</v>
      </c>
      <c r="G67" s="13">
        <v>418</v>
      </c>
      <c r="H67" s="13">
        <v>353</v>
      </c>
      <c r="I67" s="13">
        <v>301</v>
      </c>
      <c r="J67" s="13">
        <v>257</v>
      </c>
      <c r="K67" s="13">
        <v>222</v>
      </c>
      <c r="L67" s="13">
        <v>193</v>
      </c>
      <c r="M67" s="13">
        <v>168</v>
      </c>
      <c r="N67" s="13">
        <v>146</v>
      </c>
      <c r="O67" s="13">
        <v>127</v>
      </c>
      <c r="P67" s="13">
        <v>109</v>
      </c>
      <c r="Q67" s="13">
        <v>92</v>
      </c>
      <c r="R67" s="13">
        <v>76</v>
      </c>
      <c r="S67" s="13">
        <v>59</v>
      </c>
      <c r="T67" s="13">
        <v>43</v>
      </c>
      <c r="U67" s="13">
        <v>28</v>
      </c>
      <c r="V67" s="13">
        <v>14</v>
      </c>
      <c r="W67" s="13">
        <v>2</v>
      </c>
    </row>
    <row r="68" spans="2:23" x14ac:dyDescent="0.25">
      <c r="B68" s="14">
        <v>65</v>
      </c>
      <c r="C68" s="13" t="s">
        <v>149</v>
      </c>
      <c r="D68" s="13">
        <v>1156</v>
      </c>
      <c r="E68" s="13">
        <v>964</v>
      </c>
      <c r="F68" s="13">
        <v>807</v>
      </c>
      <c r="G68" s="13">
        <v>679</v>
      </c>
      <c r="H68" s="13">
        <v>575</v>
      </c>
      <c r="I68" s="13">
        <v>492</v>
      </c>
      <c r="J68" s="13">
        <v>424</v>
      </c>
      <c r="K68" s="13">
        <v>369</v>
      </c>
      <c r="L68" s="13">
        <v>324</v>
      </c>
      <c r="M68" s="13">
        <v>285</v>
      </c>
      <c r="N68" s="13">
        <v>250</v>
      </c>
      <c r="O68" s="13">
        <v>219</v>
      </c>
      <c r="P68" s="13">
        <v>189</v>
      </c>
      <c r="Q68" s="13">
        <v>159</v>
      </c>
      <c r="R68" s="13">
        <v>130</v>
      </c>
      <c r="S68" s="13">
        <v>101</v>
      </c>
      <c r="T68" s="13">
        <v>72</v>
      </c>
      <c r="U68" s="13">
        <v>46</v>
      </c>
      <c r="V68" s="13">
        <v>22</v>
      </c>
      <c r="W68" s="13">
        <v>2</v>
      </c>
    </row>
    <row r="69" spans="2:23" x14ac:dyDescent="0.25">
      <c r="B69" s="14">
        <v>66</v>
      </c>
      <c r="C69" s="13" t="s">
        <v>150</v>
      </c>
      <c r="D69" s="13">
        <v>1045</v>
      </c>
      <c r="E69" s="13">
        <v>874</v>
      </c>
      <c r="F69" s="13">
        <v>734</v>
      </c>
      <c r="G69" s="13">
        <v>618</v>
      </c>
      <c r="H69" s="13">
        <v>525</v>
      </c>
      <c r="I69" s="13">
        <v>448</v>
      </c>
      <c r="J69" s="13">
        <v>386</v>
      </c>
      <c r="K69" s="13">
        <v>335</v>
      </c>
      <c r="L69" s="13">
        <v>293</v>
      </c>
      <c r="M69" s="13">
        <v>257</v>
      </c>
      <c r="N69" s="13">
        <v>225</v>
      </c>
      <c r="O69" s="13">
        <v>197</v>
      </c>
      <c r="P69" s="13">
        <v>169</v>
      </c>
      <c r="Q69" s="13">
        <v>143</v>
      </c>
      <c r="R69" s="13">
        <v>117</v>
      </c>
      <c r="S69" s="13">
        <v>91</v>
      </c>
      <c r="T69" s="13">
        <v>66</v>
      </c>
      <c r="U69" s="13">
        <v>42</v>
      </c>
      <c r="V69" s="13">
        <v>20</v>
      </c>
      <c r="W69" s="13">
        <v>2</v>
      </c>
    </row>
    <row r="70" spans="2:23" x14ac:dyDescent="0.25">
      <c r="B70" s="14">
        <v>67</v>
      </c>
      <c r="C70" s="13" t="s">
        <v>151</v>
      </c>
      <c r="D70" s="13">
        <v>668</v>
      </c>
      <c r="E70" s="13">
        <v>554</v>
      </c>
      <c r="F70" s="13">
        <v>460</v>
      </c>
      <c r="G70" s="13">
        <v>384</v>
      </c>
      <c r="H70" s="13">
        <v>322</v>
      </c>
      <c r="I70" s="13">
        <v>273</v>
      </c>
      <c r="J70" s="13">
        <v>233</v>
      </c>
      <c r="K70" s="13">
        <v>201</v>
      </c>
      <c r="L70" s="13">
        <v>175</v>
      </c>
      <c r="M70" s="13">
        <v>153</v>
      </c>
      <c r="N70" s="13">
        <v>133</v>
      </c>
      <c r="O70" s="13">
        <v>116</v>
      </c>
      <c r="P70" s="13">
        <v>100</v>
      </c>
      <c r="Q70" s="13">
        <v>85</v>
      </c>
      <c r="R70" s="13">
        <v>69</v>
      </c>
      <c r="S70" s="13">
        <v>54</v>
      </c>
      <c r="T70" s="13">
        <v>39</v>
      </c>
      <c r="U70" s="13">
        <v>24</v>
      </c>
      <c r="V70" s="13">
        <v>11</v>
      </c>
      <c r="W70" s="13">
        <v>0</v>
      </c>
    </row>
    <row r="71" spans="2:23" x14ac:dyDescent="0.25">
      <c r="B71" s="14">
        <v>68</v>
      </c>
      <c r="C71" s="13" t="s">
        <v>152</v>
      </c>
      <c r="D71" s="13">
        <v>1048</v>
      </c>
      <c r="E71" s="13">
        <v>867</v>
      </c>
      <c r="F71" s="13">
        <v>719</v>
      </c>
      <c r="G71" s="13">
        <v>600</v>
      </c>
      <c r="H71" s="13">
        <v>505</v>
      </c>
      <c r="I71" s="13">
        <v>428</v>
      </c>
      <c r="J71" s="13">
        <v>367</v>
      </c>
      <c r="K71" s="13">
        <v>318</v>
      </c>
      <c r="L71" s="13">
        <v>278</v>
      </c>
      <c r="M71" s="13">
        <v>245</v>
      </c>
      <c r="N71" s="13">
        <v>215</v>
      </c>
      <c r="O71" s="13">
        <v>188</v>
      </c>
      <c r="P71" s="13">
        <v>162</v>
      </c>
      <c r="Q71" s="13">
        <v>137</v>
      </c>
      <c r="R71" s="13">
        <v>112</v>
      </c>
      <c r="S71" s="13">
        <v>86</v>
      </c>
      <c r="T71" s="13">
        <v>61</v>
      </c>
      <c r="U71" s="13">
        <v>38</v>
      </c>
      <c r="V71" s="13">
        <v>17</v>
      </c>
      <c r="W71" s="13">
        <v>0</v>
      </c>
    </row>
    <row r="72" spans="2:23" x14ac:dyDescent="0.25">
      <c r="B72" s="14">
        <v>69</v>
      </c>
      <c r="C72" s="13" t="s">
        <v>153</v>
      </c>
      <c r="D72" s="13">
        <v>1471</v>
      </c>
      <c r="E72" s="13">
        <v>1238</v>
      </c>
      <c r="F72" s="13">
        <v>1045</v>
      </c>
      <c r="G72" s="13">
        <v>888</v>
      </c>
      <c r="H72" s="13">
        <v>759</v>
      </c>
      <c r="I72" s="13">
        <v>655</v>
      </c>
      <c r="J72" s="13">
        <v>569</v>
      </c>
      <c r="K72" s="13">
        <v>499</v>
      </c>
      <c r="L72" s="13">
        <v>439</v>
      </c>
      <c r="M72" s="13">
        <v>387</v>
      </c>
      <c r="N72" s="13">
        <v>341</v>
      </c>
      <c r="O72" s="13">
        <v>298</v>
      </c>
      <c r="P72" s="13">
        <v>257</v>
      </c>
      <c r="Q72" s="13">
        <v>216</v>
      </c>
      <c r="R72" s="13">
        <v>176</v>
      </c>
      <c r="S72" s="13">
        <v>136</v>
      </c>
      <c r="T72" s="13">
        <v>98</v>
      </c>
      <c r="U72" s="13">
        <v>61</v>
      </c>
      <c r="V72" s="13">
        <v>28</v>
      </c>
      <c r="W72" s="13">
        <v>1</v>
      </c>
    </row>
    <row r="74" spans="2:23" x14ac:dyDescent="0.25">
      <c r="D74" t="s">
        <v>211</v>
      </c>
      <c r="F74" t="s">
        <v>212</v>
      </c>
    </row>
    <row r="75" spans="2:23" x14ac:dyDescent="0.25">
      <c r="B75" t="s">
        <v>213</v>
      </c>
      <c r="D75" t="s">
        <v>214</v>
      </c>
      <c r="E75" t="s">
        <v>215</v>
      </c>
      <c r="F75" t="s">
        <v>214</v>
      </c>
      <c r="G75" t="s">
        <v>215</v>
      </c>
    </row>
    <row r="76" spans="2:23" x14ac:dyDescent="0.25">
      <c r="B76">
        <v>8</v>
      </c>
      <c r="C76" t="s">
        <v>12</v>
      </c>
      <c r="D76">
        <v>68</v>
      </c>
      <c r="E76">
        <v>87</v>
      </c>
      <c r="F76">
        <v>88</v>
      </c>
      <c r="G76">
        <v>113</v>
      </c>
    </row>
    <row r="77" spans="2:23" x14ac:dyDescent="0.25">
      <c r="B77">
        <v>9</v>
      </c>
      <c r="C77" t="s">
        <v>13</v>
      </c>
      <c r="D77">
        <v>39.6</v>
      </c>
      <c r="E77">
        <v>73.5</v>
      </c>
      <c r="F77">
        <v>51.5</v>
      </c>
      <c r="G77">
        <v>95.6</v>
      </c>
    </row>
    <row r="78" spans="2:23" x14ac:dyDescent="0.25">
      <c r="B78">
        <v>10</v>
      </c>
      <c r="C78" t="s">
        <v>216</v>
      </c>
      <c r="D78">
        <v>33.200000000000003</v>
      </c>
      <c r="E78">
        <v>49.8</v>
      </c>
      <c r="F78">
        <v>43.6</v>
      </c>
      <c r="G78">
        <v>65.400000000000006</v>
      </c>
    </row>
    <row r="79" spans="2:23" x14ac:dyDescent="0.25">
      <c r="B79">
        <v>11</v>
      </c>
      <c r="C79" t="s">
        <v>15</v>
      </c>
      <c r="D79">
        <v>37</v>
      </c>
      <c r="E79">
        <v>37</v>
      </c>
      <c r="F79">
        <v>48</v>
      </c>
      <c r="G79">
        <v>48</v>
      </c>
    </row>
    <row r="80" spans="2:23" x14ac:dyDescent="0.25">
      <c r="B80">
        <v>14</v>
      </c>
      <c r="C80" t="s">
        <v>18</v>
      </c>
      <c r="D80">
        <v>180</v>
      </c>
      <c r="E80">
        <v>25</v>
      </c>
      <c r="F80">
        <v>234</v>
      </c>
      <c r="G80">
        <v>33</v>
      </c>
    </row>
    <row r="81" spans="2:7" x14ac:dyDescent="0.25">
      <c r="B81">
        <v>15</v>
      </c>
      <c r="C81" t="s">
        <v>217</v>
      </c>
      <c r="D81">
        <v>76</v>
      </c>
      <c r="E81">
        <v>37</v>
      </c>
      <c r="F81">
        <v>99</v>
      </c>
      <c r="G81">
        <v>47</v>
      </c>
    </row>
    <row r="82" spans="2:7" x14ac:dyDescent="0.25">
      <c r="B82">
        <v>17</v>
      </c>
      <c r="C82" t="s">
        <v>218</v>
      </c>
      <c r="D82">
        <v>40</v>
      </c>
      <c r="E82">
        <v>32</v>
      </c>
      <c r="F82">
        <v>50</v>
      </c>
      <c r="G82">
        <v>41</v>
      </c>
    </row>
    <row r="83" spans="2:7" x14ac:dyDescent="0.25">
      <c r="B83">
        <v>18</v>
      </c>
      <c r="C83" t="s">
        <v>22</v>
      </c>
      <c r="D83">
        <v>105</v>
      </c>
      <c r="E83">
        <v>30</v>
      </c>
      <c r="F83">
        <v>137</v>
      </c>
      <c r="G83">
        <v>39</v>
      </c>
    </row>
    <row r="84" spans="2:7" x14ac:dyDescent="0.25">
      <c r="B84">
        <v>19</v>
      </c>
      <c r="C84" t="s">
        <v>23</v>
      </c>
      <c r="D84">
        <v>39.6</v>
      </c>
      <c r="E84">
        <v>73.5</v>
      </c>
      <c r="F84">
        <v>51.5</v>
      </c>
      <c r="G84">
        <v>95.6</v>
      </c>
    </row>
    <row r="85" spans="2:7" x14ac:dyDescent="0.25">
      <c r="B85">
        <v>20</v>
      </c>
      <c r="C85" t="s">
        <v>24</v>
      </c>
      <c r="D85">
        <v>150</v>
      </c>
      <c r="E85">
        <v>50</v>
      </c>
      <c r="F85">
        <v>195</v>
      </c>
      <c r="G85">
        <v>65</v>
      </c>
    </row>
    <row r="86" spans="2:7" x14ac:dyDescent="0.25">
      <c r="B86">
        <v>24</v>
      </c>
      <c r="C86" t="s">
        <v>108</v>
      </c>
      <c r="D86">
        <v>240</v>
      </c>
      <c r="E86">
        <v>30</v>
      </c>
      <c r="F86">
        <v>312</v>
      </c>
      <c r="G86">
        <v>39</v>
      </c>
    </row>
    <row r="87" spans="2:7" x14ac:dyDescent="0.25">
      <c r="B87">
        <v>25</v>
      </c>
      <c r="C87" t="s">
        <v>109</v>
      </c>
      <c r="D87">
        <v>580</v>
      </c>
      <c r="E87">
        <v>72.5</v>
      </c>
      <c r="F87">
        <v>754</v>
      </c>
      <c r="G87">
        <v>94.25</v>
      </c>
    </row>
    <row r="88" spans="2:7" x14ac:dyDescent="0.25">
      <c r="B88">
        <v>27</v>
      </c>
      <c r="C88" t="s">
        <v>111</v>
      </c>
      <c r="D88">
        <v>95</v>
      </c>
      <c r="E88">
        <v>68</v>
      </c>
      <c r="F88">
        <v>124</v>
      </c>
      <c r="G88">
        <v>88</v>
      </c>
    </row>
    <row r="89" spans="2:7" x14ac:dyDescent="0.25">
      <c r="B89">
        <v>28</v>
      </c>
      <c r="C89" t="s">
        <v>219</v>
      </c>
      <c r="D89">
        <v>74</v>
      </c>
      <c r="E89">
        <v>70</v>
      </c>
      <c r="F89">
        <v>88</v>
      </c>
      <c r="G89">
        <v>91</v>
      </c>
    </row>
    <row r="90" spans="2:7" x14ac:dyDescent="0.25">
      <c r="B90">
        <v>46</v>
      </c>
      <c r="C90" t="s">
        <v>130</v>
      </c>
      <c r="D90">
        <v>60</v>
      </c>
      <c r="E90">
        <v>76</v>
      </c>
      <c r="F90">
        <v>78</v>
      </c>
      <c r="G90">
        <v>101</v>
      </c>
    </row>
    <row r="91" spans="2:7" x14ac:dyDescent="0.25">
      <c r="B91">
        <v>48</v>
      </c>
      <c r="C91" t="s">
        <v>132</v>
      </c>
      <c r="D91">
        <v>100</v>
      </c>
      <c r="E91">
        <v>50</v>
      </c>
      <c r="F91">
        <v>130</v>
      </c>
      <c r="G91">
        <v>65</v>
      </c>
    </row>
    <row r="92" spans="2:7" x14ac:dyDescent="0.25">
      <c r="B92">
        <v>50</v>
      </c>
      <c r="C92" t="s">
        <v>134</v>
      </c>
      <c r="D92">
        <v>60</v>
      </c>
      <c r="E92">
        <v>76</v>
      </c>
      <c r="F92">
        <v>78</v>
      </c>
      <c r="G92">
        <v>101</v>
      </c>
    </row>
    <row r="93" spans="2:7" x14ac:dyDescent="0.25">
      <c r="B93">
        <v>56</v>
      </c>
      <c r="C93" t="s">
        <v>220</v>
      </c>
      <c r="D93">
        <v>51</v>
      </c>
      <c r="E93">
        <v>45</v>
      </c>
      <c r="F93">
        <v>66</v>
      </c>
      <c r="G93">
        <v>59</v>
      </c>
    </row>
    <row r="94" spans="2:7" x14ac:dyDescent="0.25">
      <c r="B94">
        <v>65</v>
      </c>
      <c r="C94" t="s">
        <v>149</v>
      </c>
      <c r="D94">
        <v>290</v>
      </c>
      <c r="E94">
        <v>16</v>
      </c>
      <c r="F94">
        <v>377</v>
      </c>
      <c r="G94">
        <v>21</v>
      </c>
    </row>
    <row r="95" spans="2:7" x14ac:dyDescent="0.25">
      <c r="B95">
        <v>66</v>
      </c>
      <c r="C95" t="s">
        <v>150</v>
      </c>
      <c r="D95">
        <v>240</v>
      </c>
      <c r="E95">
        <v>30</v>
      </c>
      <c r="F95">
        <v>312</v>
      </c>
      <c r="G95">
        <v>39</v>
      </c>
    </row>
    <row r="96" spans="2:7" x14ac:dyDescent="0.25">
      <c r="B96">
        <v>69</v>
      </c>
      <c r="C96" t="s">
        <v>153</v>
      </c>
      <c r="D96">
        <v>499</v>
      </c>
      <c r="E96">
        <v>62.375</v>
      </c>
      <c r="F96">
        <v>649</v>
      </c>
      <c r="G96">
        <v>81.125</v>
      </c>
    </row>
    <row r="98" spans="2:7" x14ac:dyDescent="0.25">
      <c r="D98" s="160" t="s">
        <v>221</v>
      </c>
      <c r="E98" s="160"/>
      <c r="F98" s="160"/>
      <c r="G98" s="160"/>
    </row>
    <row r="99" spans="2:7" x14ac:dyDescent="0.25">
      <c r="B99" t="s">
        <v>222</v>
      </c>
      <c r="D99" t="s">
        <v>223</v>
      </c>
      <c r="E99" t="s">
        <v>224</v>
      </c>
      <c r="F99" t="s">
        <v>225</v>
      </c>
      <c r="G99" t="s">
        <v>226</v>
      </c>
    </row>
    <row r="100" spans="2:7" x14ac:dyDescent="0.25">
      <c r="B100">
        <v>1</v>
      </c>
      <c r="D100" s="106">
        <v>0.4</v>
      </c>
      <c r="E100" s="106">
        <v>0.35</v>
      </c>
      <c r="F100" s="106">
        <v>0.3</v>
      </c>
      <c r="G100" s="106">
        <v>0.2</v>
      </c>
    </row>
    <row r="101" spans="2:7" x14ac:dyDescent="0.25">
      <c r="B101">
        <v>2</v>
      </c>
      <c r="D101" s="106">
        <v>0.35</v>
      </c>
      <c r="E101" s="106">
        <v>0.3</v>
      </c>
      <c r="F101" s="106">
        <v>0.25</v>
      </c>
      <c r="G101" s="106">
        <v>0.15</v>
      </c>
    </row>
    <row r="102" spans="2:7" x14ac:dyDescent="0.25">
      <c r="B102">
        <v>3</v>
      </c>
      <c r="D102" s="106">
        <v>0.25</v>
      </c>
      <c r="E102" s="106">
        <v>0.2</v>
      </c>
      <c r="F102" s="106">
        <v>0.15</v>
      </c>
      <c r="G102" s="106">
        <v>0.05</v>
      </c>
    </row>
  </sheetData>
  <customSheetViews>
    <customSheetView guid="{67801018-A747-4E26-8E7A-AFD24B0E5C34}" state="hidden">
      <pane ySplit="3" topLeftCell="A4" activePane="bottomLeft" state="frozen"/>
      <selection pane="bottomLeft" activeCell="T95" sqref="T95"/>
      <pageMargins left="0.7" right="0.7" top="0.75" bottom="0.75" header="0.3" footer="0.3"/>
      <pageSetup paperSize="254" orientation="portrait" r:id="rId1"/>
    </customSheetView>
    <customSheetView guid="{C44C7CB9-EB11-4601-9F52-A2EFBD8C5FF6}" state="hidden">
      <pane ySplit="3" topLeftCell="A4" activePane="bottomLeft" state="frozen"/>
      <selection pane="bottomLeft" activeCell="T95" sqref="T95"/>
      <pageMargins left="0.7" right="0.7" top="0.75" bottom="0.75" header="0.3" footer="0.3"/>
      <pageSetup paperSize="254" orientation="portrait" r:id="rId2"/>
    </customSheetView>
  </customSheetViews>
  <mergeCells count="4">
    <mergeCell ref="D2:W2"/>
    <mergeCell ref="C2:C3"/>
    <mergeCell ref="B2:B3"/>
    <mergeCell ref="D98:G98"/>
  </mergeCells>
  <pageMargins left="0.7" right="0.7" top="0.75" bottom="0.75" header="0.3" footer="0.3"/>
  <pageSetup paperSize="254"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Disclaimer</vt:lpstr>
      <vt:lpstr>Change Log</vt:lpstr>
      <vt:lpstr>15 Modelled Pathway</vt:lpstr>
      <vt:lpstr>Synthetic GHG</vt:lpstr>
      <vt:lpstr>Reference</vt:lpstr>
      <vt:lpstr>ACStarRating</vt:lpstr>
      <vt:lpstr>BASIXDwellingType</vt:lpstr>
      <vt:lpstr>BldgCapacity</vt:lpstr>
      <vt:lpstr>ComfortControl</vt:lpstr>
      <vt:lpstr>ContractTerm</vt:lpstr>
      <vt:lpstr>DHWFuel</vt:lpstr>
      <vt:lpstr>Fuels</vt:lpstr>
      <vt:lpstr>GeoGHGFactor</vt:lpstr>
      <vt:lpstr>GeoLocation</vt:lpstr>
      <vt:lpstr>HeatingCooling</vt:lpstr>
      <vt:lpstr>NatHERSStar</vt:lpstr>
      <vt:lpstr>NatHERSZone</vt:lpstr>
      <vt:lpstr>Option</vt:lpstr>
      <vt:lpstr>OptionNA</vt:lpstr>
      <vt:lpstr>OptNA</vt:lpstr>
      <vt:lpstr>SynthGHGRate</vt:lpstr>
      <vt:lpstr>SynthGHGSource</vt:lpstr>
    </vt:vector>
  </TitlesOfParts>
  <Company>Norman Disney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richardj</dc:creator>
  <cp:lastModifiedBy>Ting Li</cp:lastModifiedBy>
  <cp:lastPrinted>2014-10-29T02:51:14Z</cp:lastPrinted>
  <dcterms:created xsi:type="dcterms:W3CDTF">2014-02-17T05:28:52Z</dcterms:created>
  <dcterms:modified xsi:type="dcterms:W3CDTF">2021-05-19T02:18:07Z</dcterms:modified>
</cp:coreProperties>
</file>