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mc:AlternateContent xmlns:mc="http://schemas.openxmlformats.org/markup-compatibility/2006">
    <mc:Choice Requires="x15">
      <x15ac:absPath xmlns:x15ac="http://schemas.microsoft.com/office/spreadsheetml/2010/11/ac" url="https://nzgbc-my.sharepoint.com/personal/bhumika_mistry_nzgbc_org_nz/Documents/Documents/002_Work/01_Scorecard/"/>
    </mc:Choice>
  </mc:AlternateContent>
  <xr:revisionPtr revIDLastSave="0" documentId="8_{4B292758-182D-49D0-9ADA-934F151AE465}" xr6:coauthVersionLast="47" xr6:coauthVersionMax="47" xr10:uidLastSave="{00000000-0000-0000-0000-000000000000}"/>
  <bookViews>
    <workbookView xWindow="28680" yWindow="-120" windowWidth="29040" windowHeight="15840" tabRatio="618" firstSheet="1" activeTab="3" xr2:uid="{00000000-000D-0000-FFFF-FFFF00000000}"/>
  </bookViews>
  <sheets>
    <sheet name="Disclaimer" sheetId="26" r:id="rId1"/>
    <sheet name="Change Log" sheetId="18" r:id="rId2"/>
    <sheet name="Instructions" sheetId="21" r:id="rId3"/>
    <sheet name="Building Input Sheet" sheetId="35" r:id="rId4"/>
    <sheet name="Design Review Scorecard" sheetId="40" r:id="rId5"/>
    <sheet name="As Built Scorecard" sheetId="32" r:id="rId6"/>
    <sheet name="Submission Planner" sheetId="27" state="hidden" r:id="rId7"/>
    <sheet name="ss - As Built Scorecard" sheetId="33" state="hidden" r:id="rId8"/>
  </sheets>
  <externalReferences>
    <externalReference r:id="rId9"/>
    <externalReference r:id="rId10"/>
    <externalReference r:id="rId11"/>
    <externalReference r:id="rId12"/>
  </externalReferences>
  <definedNames>
    <definedName name="Address">[1]Inputs!$C$3</definedName>
    <definedName name="Are_Urinals_installed?" localSheetId="5">#REF!</definedName>
    <definedName name="Are_Urinals_installed?" localSheetId="4">#REF!</definedName>
    <definedName name="Are_Urinals_installed?" localSheetId="7">#REF!</definedName>
    <definedName name="Are_Urinals_installed?" localSheetId="6">#REF!</definedName>
    <definedName name="Are_Urinals_installed?">#REF!</definedName>
    <definedName name="CAL_Cold.shell.area">'Building Input Sheet'!$D$105</definedName>
    <definedName name="CAL_Integrated.area">'Building Input Sheet'!$D$106</definedName>
    <definedName name="ene1_fields" localSheetId="5">'[2]Building Input'!$C$7:$C$11,'[2]Building Input'!$C$14:$C$15,'[2]Building Input'!$C$17,'[2]Building Input'!$C$19:$C$28,'[2]Building Input'!$C$30:$C$34,'[2]Building Input'!$C$45,'[2]Building Input'!$C$47,'[2]Building Input'!#REF!</definedName>
    <definedName name="ene1_fields" localSheetId="3">'[2]Building Input'!$C$7:$C$11,'[2]Building Input'!$C$14:$C$15,'[2]Building Input'!$C$17,'[2]Building Input'!$C$19:$C$28,'[2]Building Input'!$C$30:$C$34,'[2]Building Input'!$C$45,'[2]Building Input'!$C$47,'[2]Building Input'!#REF!</definedName>
    <definedName name="ene1_fields" localSheetId="4">'[2]Building Input'!$C$7:$C$11,'[2]Building Input'!$C$14:$C$15,'[2]Building Input'!$C$17,'[2]Building Input'!$C$19:$C$28,'[2]Building Input'!$C$30:$C$34,'[2]Building Input'!$C$45,'[2]Building Input'!$C$47,'[2]Building Input'!#REF!</definedName>
    <definedName name="ene1_fields" localSheetId="7">'[2]Building Input'!$C$7:$C$11,'[2]Building Input'!$C$14:$C$15,'[2]Building Input'!$C$17,'[2]Building Input'!$C$19:$C$28,'[2]Building Input'!$C$30:$C$34,'[2]Building Input'!$C$45,'[2]Building Input'!$C$47,'[2]Building Input'!#REF!</definedName>
    <definedName name="ene1_fields" localSheetId="6">'[2]Building Input'!$C$7:$C$11,'[2]Building Input'!$C$14:$C$15,'[2]Building Input'!$C$17,'[2]Building Input'!$C$19:$C$28,'[2]Building Input'!$C$30:$C$34,'[2]Building Input'!$C$45,'[2]Building Input'!$C$47,'[2]Building Input'!#REF!</definedName>
    <definedName name="ene1_fields">'[2]Building Input'!$C$7:$C$11,'[2]Building Input'!$C$14:$C$15,'[2]Building Input'!$C$17,'[2]Building Input'!$C$19:$C$28,'[2]Building Input'!$C$30:$C$34,'[2]Building Input'!$C$45,'[2]Building Input'!$C$47,'[2]Building Input'!#REF!</definedName>
    <definedName name="Ene1_headingsEC">'[2]Ecology Calculator'!$B$5,'[2]Ecology Calculator'!$B$7,'[2]Ecology Calculator'!$B$9:$F$10,'[2]Ecology Calculator'!$B$11:$B$31,'[2]Ecology Calculator'!$D$28:$F$31</definedName>
    <definedName name="Enecon_fields" localSheetId="5">'[2]Building Input'!$C$7:$C$11,'[2]Building Input'!$C$14:$C$15,'[2]Building Input'!$C$17,'[2]Building Input'!$C$19:$C$28,'[2]Building Input'!$C$30:$C$34,'[2]Building Input'!$C$45,'[2]Building Input'!$C$47,'[2]Building Input'!#REF!</definedName>
    <definedName name="Enecon_fields" localSheetId="4">'[2]Building Input'!$C$7:$C$11,'[2]Building Input'!$C$14:$C$15,'[2]Building Input'!$C$17,'[2]Building Input'!$C$19:$C$28,'[2]Building Input'!$C$30:$C$34,'[2]Building Input'!$C$45,'[2]Building Input'!$C$47,'[2]Building Input'!#REF!</definedName>
    <definedName name="Enecon_fields" localSheetId="7">'[2]Building Input'!$C$7:$C$11,'[2]Building Input'!$C$14:$C$15,'[2]Building Input'!$C$17,'[2]Building Input'!$C$19:$C$28,'[2]Building Input'!$C$30:$C$34,'[2]Building Input'!$C$45,'[2]Building Input'!$C$47,'[2]Building Input'!#REF!</definedName>
    <definedName name="Enecon_fields" localSheetId="6">'[2]Building Input'!$C$7:$C$11,'[2]Building Input'!$C$14:$C$15,'[2]Building Input'!$C$17,'[2]Building Input'!$C$19:$C$28,'[2]Building Input'!$C$30:$C$34,'[2]Building Input'!$C$45,'[2]Building Input'!$C$47,'[2]Building Input'!#REF!</definedName>
    <definedName name="Enecon_fields">'[2]Building Input'!$C$7:$C$11,'[2]Building Input'!$C$14:$C$15,'[2]Building Input'!$C$17,'[2]Building Input'!$C$19:$C$28,'[2]Building Input'!$C$30:$C$34,'[2]Building Input'!$C$45,'[2]Building Input'!$C$47,'[2]Building Input'!#REF!</definedName>
    <definedName name="Enecon_headingsEC">'[2]Ecology Calculator'!$B$5,'[2]Ecology Calculator'!$B$7,'[2]Ecology Calculator'!$B$9:$F$10,'[2]Ecology Calculator'!$B$11:$B$31,'[2]Ecology Calculator'!$D$28:$F$31</definedName>
    <definedName name="Fields" localSheetId="5">'[3]Building Input'!$C$9:$C$13,'[3]Building Input'!#REF!,'[3]Building Input'!#REF!,'[3]Building Input'!#REF!,'[3]Building Input'!$C$17:$C$17,'[3]Building Input'!#REF!,'[3]Building Input'!#REF!,'[3]Building Input'!#REF!</definedName>
    <definedName name="Fields" localSheetId="3">'[3]Building Input'!$C$9:$C$13,'[3]Building Input'!#REF!,'[3]Building Input'!#REF!,'[3]Building Input'!#REF!,'[3]Building Input'!$C$17:$C$17,'[3]Building Input'!#REF!,'[3]Building Input'!#REF!,'[3]Building Input'!#REF!</definedName>
    <definedName name="Fields" localSheetId="4">'[3]Building Input'!$C$9:$C$13,'[3]Building Input'!#REF!,'[3]Building Input'!#REF!,'[3]Building Input'!#REF!,'[3]Building Input'!$C$17:$C$17,'[3]Building Input'!#REF!,'[3]Building Input'!#REF!,'[3]Building Input'!#REF!</definedName>
    <definedName name="Fields" localSheetId="7">'[3]Building Input'!$C$9:$C$13,'[3]Building Input'!#REF!,'[3]Building Input'!#REF!,'[3]Building Input'!#REF!,'[3]Building Input'!$C$17:$C$17,'[3]Building Input'!#REF!,'[3]Building Input'!#REF!,'[3]Building Input'!#REF!</definedName>
    <definedName name="Fields" localSheetId="6">'[3]Building Input'!$C$9:$C$13,'[3]Building Input'!#REF!,'[3]Building Input'!#REF!,'[3]Building Input'!#REF!,'[3]Building Input'!$C$17:$C$17,'[3]Building Input'!#REF!,'[3]Building Input'!#REF!,'[3]Building Input'!#REF!</definedName>
    <definedName name="Fields">'[3]Building Input'!$C$9:$C$13,'[3]Building Input'!#REF!,'[3]Building Input'!#REF!,'[3]Building Input'!#REF!,'[3]Building Input'!$C$17:$C$17,'[3]Building Input'!#REF!,'[3]Building Input'!#REF!,'[3]Building Input'!#REF!</definedName>
    <definedName name="fields2">'[4]Building Input'!$C$7:$C$11,'[4]Building Input'!$C$14:$C$15,'[4]Building Input'!$C$17,'[4]Building Input'!$C$19:$C$28,'[4]Building Input'!$C$35:$C$37,'[4]Building Input'!$C$39,'[4]Building Input'!$C$41,'[4]Building Input'!$C$43:$C$44</definedName>
    <definedName name="Fields3">'[4]Building Input'!$C$7:$C$11,'[4]Building Input'!$C$14:$C$15,'[4]Building Input'!$C$17,'[4]Building Input'!$C$19:$C$28,'[4]Building Input'!$C$35:$C$37,'[4]Building Input'!$C$39,'[4]Building Input'!$C$41,'[4]Building Input'!$C$43:$C$44</definedName>
    <definedName name="Headings" localSheetId="5">#REF!,#REF!,#REF!,#REF!,#REF!</definedName>
    <definedName name="Headings" localSheetId="4">#REF!,#REF!,#REF!,#REF!,#REF!</definedName>
    <definedName name="Headings" localSheetId="7">#REF!,#REF!,#REF!,#REF!,#REF!</definedName>
    <definedName name="Headings" localSheetId="6">#REF!,#REF!,#REF!,#REF!,#REF!</definedName>
    <definedName name="Headings">#REF!,#REF!,#REF!,#REF!,#REF!</definedName>
    <definedName name="Headings2">'[4]Transport Calculator'!$B$5:$B$11,'[4]Transport Calculator'!$C$5:$D$7,'[4]Transport Calculator'!$B$14:$B$20,'[4]Transport Calculator'!$C$14:$D$16,'[4]Transport Calculator'!$C$22:$D$22</definedName>
    <definedName name="HeadingsEC" localSheetId="5">#REF!,#REF!,#REF!,#REF!,#REF!</definedName>
    <definedName name="HeadingsEC" localSheetId="4">#REF!,#REF!,#REF!,#REF!,#REF!</definedName>
    <definedName name="HeadingsEC" localSheetId="7">#REF!,#REF!,#REF!,#REF!,#REF!</definedName>
    <definedName name="HeadingsEC" localSheetId="6">#REF!,#REF!,#REF!,#REF!,#REF!</definedName>
    <definedName name="HeadingsEC">#REF!,#REF!,#REF!,#REF!,#REF!</definedName>
    <definedName name="Headingsec2">'[4]Ecology Calculator'!$B$5,'[4]Ecology Calculator'!$B$7,'[4]Ecology Calculator'!$B$9:$F$10,'[4]Ecology Calculator'!$B$11:$B$31,'[4]Ecology Calculator'!$D$28:$F$31</definedName>
    <definedName name="Labels" localSheetId="5">#REF!,#REF!</definedName>
    <definedName name="Labels" localSheetId="4">#REF!,#REF!</definedName>
    <definedName name="Labels" localSheetId="7">#REF!,#REF!</definedName>
    <definedName name="Labels" localSheetId="6">#REF!,#REF!</definedName>
    <definedName name="Labels">#REF!,#REF!</definedName>
    <definedName name="method" localSheetId="5">#REF!</definedName>
    <definedName name="method" localSheetId="4">#REF!</definedName>
    <definedName name="method" localSheetId="7">#REF!</definedName>
    <definedName name="method" localSheetId="6">#REF!</definedName>
    <definedName name="method">#REF!</definedName>
    <definedName name="Pal_Workbook_GUID" hidden="1">"NZ8LMWRV7V7KZYBEMNIRIE8E"</definedName>
    <definedName name="_xlnm.Print_Area" localSheetId="5">'As Built Scorecard'!$E$5:$L$122</definedName>
    <definedName name="_xlnm.Print_Area" localSheetId="3">'Building Input Sheet'!$A$1:$D$53</definedName>
    <definedName name="_xlnm.Print_Area" localSheetId="1">'Change Log'!$A$3:$C$4</definedName>
    <definedName name="_xlnm.Print_Area" localSheetId="4">'Design Review Scorecard'!$E$5:$L$122</definedName>
    <definedName name="_xlnm.Print_Area" localSheetId="2">Instructions!$A$1:$F$15</definedName>
    <definedName name="_xlnm.Print_Area" localSheetId="7">'ss - As Built Scorecard'!$F$26:$J$44</definedName>
    <definedName name="_xlnm.Print_Area" localSheetId="6">'Submission Planner'!$F$26:$J$44</definedName>
    <definedName name="SEL_YN_Industrial">'Building Input Sheet'!$D$22</definedName>
    <definedName name="SEL_YN_Int.Credit">'Building Input Sheet'!$D$86</definedName>
    <definedName name="SEL_YN_NA.Credit">'Building Input Sheet'!$D$53</definedName>
    <definedName name="VITMZone">[1]Inputs!$I$5</definedName>
    <definedName name="WhiteSpace" localSheetId="5">#REF!,#REF!</definedName>
    <definedName name="WhiteSpace" localSheetId="4">#REF!,#REF!</definedName>
    <definedName name="WhiteSpace" localSheetId="7">#REF!,#REF!</definedName>
    <definedName name="WhiteSpace" localSheetId="6">#REF!,#REF!</definedName>
    <definedName name="WhiteSpace">#REF!,#REF!</definedName>
    <definedName name="yes" localSheetId="5">#REF!</definedName>
    <definedName name="yes" localSheetId="4">#REF!</definedName>
    <definedName name="yes" localSheetId="7">#REF!</definedName>
    <definedName name="yes" localSheetId="6">#REF!</definedName>
    <definedName name="yes">#REF!</definedName>
    <definedName name="Z_5B166E33_C23C_4E5C_8B21_CE56D48ED689_.wvu.Cols" localSheetId="3" hidden="1">'Building Input Sheet'!$F:$F</definedName>
    <definedName name="Z_5B166E33_C23C_4E5C_8B21_CE56D48ED689_.wvu.PrintArea" localSheetId="3" hidden="1">'Building Input Sheet'!$A$1:$D$53</definedName>
    <definedName name="Z_635BAF2E_CC78_4BB3_8ED6_F2BACFB0EFD1_.wvu.Cols" localSheetId="3" hidden="1">'Building Input Sheet'!$F:$F</definedName>
    <definedName name="Z_635BAF2E_CC78_4BB3_8ED6_F2BACFB0EFD1_.wvu.PrintArea" localSheetId="3" hidden="1">'Building Input Sheet'!$A$1:$D$53</definedName>
    <definedName name="Z_82ACB1B5_C66C_4165_B562_96900CA3BD47_.wvu.Cols" localSheetId="3" hidden="1">'Building Input Sheet'!$F:$F</definedName>
    <definedName name="Z_82ACB1B5_C66C_4165_B562_96900CA3BD47_.wvu.PrintArea" localSheetId="3" hidden="1">'Building Input Sheet'!$A$1:$D$53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4" i="40" l="1"/>
  <c r="AP34" i="40" s="1"/>
  <c r="U132" i="40"/>
  <c r="U131" i="40"/>
  <c r="T131" i="40"/>
  <c r="S131" i="40"/>
  <c r="U130" i="40"/>
  <c r="T130" i="40"/>
  <c r="S130" i="40"/>
  <c r="U129" i="40"/>
  <c r="V129" i="40" s="1"/>
  <c r="T129" i="40"/>
  <c r="S129" i="40"/>
  <c r="U128" i="40"/>
  <c r="T128" i="40"/>
  <c r="L116" i="40"/>
  <c r="L121" i="40" s="1"/>
  <c r="K116" i="40"/>
  <c r="R115" i="40"/>
  <c r="Q115" i="40"/>
  <c r="R114" i="40"/>
  <c r="Q114" i="40"/>
  <c r="R113" i="40"/>
  <c r="Q113" i="40"/>
  <c r="R112" i="40"/>
  <c r="Q112" i="40"/>
  <c r="R111" i="40"/>
  <c r="Q111" i="40"/>
  <c r="N108" i="40"/>
  <c r="L108" i="40"/>
  <c r="K108" i="40"/>
  <c r="R107" i="40"/>
  <c r="Q107" i="40"/>
  <c r="K107" i="40"/>
  <c r="B107" i="40"/>
  <c r="K101" i="40" s="1"/>
  <c r="R106" i="40"/>
  <c r="Q106" i="40"/>
  <c r="R105" i="40"/>
  <c r="Q105" i="40"/>
  <c r="O105" i="40"/>
  <c r="R104" i="40"/>
  <c r="Q104" i="40"/>
  <c r="R103" i="40"/>
  <c r="Q103" i="40"/>
  <c r="R102" i="40"/>
  <c r="Q102" i="40"/>
  <c r="N99" i="40"/>
  <c r="L99" i="40"/>
  <c r="R98" i="40"/>
  <c r="Q98" i="40"/>
  <c r="O98" i="40"/>
  <c r="R97" i="40"/>
  <c r="Q97" i="40"/>
  <c r="O97" i="40"/>
  <c r="R96" i="40"/>
  <c r="Q96" i="40"/>
  <c r="O96" i="40"/>
  <c r="R95" i="40"/>
  <c r="Q95" i="40"/>
  <c r="N92" i="40"/>
  <c r="L92" i="40"/>
  <c r="O92" i="40" s="1"/>
  <c r="K92" i="40"/>
  <c r="R91" i="40"/>
  <c r="Q91" i="40"/>
  <c r="O91" i="40"/>
  <c r="K91" i="40"/>
  <c r="O90" i="40"/>
  <c r="K90" i="40"/>
  <c r="R88" i="40"/>
  <c r="Q88" i="40"/>
  <c r="R87" i="40"/>
  <c r="Q87" i="40"/>
  <c r="R86" i="40"/>
  <c r="Q86" i="40"/>
  <c r="R85" i="40"/>
  <c r="Q85" i="40"/>
  <c r="R84" i="40"/>
  <c r="Q84" i="40"/>
  <c r="K84" i="40"/>
  <c r="B84" i="40"/>
  <c r="K83" i="40"/>
  <c r="R82" i="40"/>
  <c r="Q82" i="40"/>
  <c r="K82" i="40"/>
  <c r="R81" i="40"/>
  <c r="Q81" i="40"/>
  <c r="O81" i="40"/>
  <c r="K81" i="40"/>
  <c r="R80" i="40"/>
  <c r="Q80" i="40"/>
  <c r="O80" i="40"/>
  <c r="R79" i="40"/>
  <c r="Q79" i="40"/>
  <c r="O79" i="40"/>
  <c r="K79" i="40"/>
  <c r="N76" i="40"/>
  <c r="L76" i="40"/>
  <c r="R75" i="40"/>
  <c r="Q75" i="40"/>
  <c r="R74" i="40"/>
  <c r="Q74" i="40"/>
  <c r="R73" i="40"/>
  <c r="Q73" i="40"/>
  <c r="K73" i="40"/>
  <c r="R72" i="40"/>
  <c r="Q72" i="40"/>
  <c r="K72" i="40"/>
  <c r="R71" i="40"/>
  <c r="Q71" i="40"/>
  <c r="K71" i="40"/>
  <c r="R70" i="40"/>
  <c r="R76" i="40" s="1"/>
  <c r="Q70" i="40"/>
  <c r="Q76" i="40" s="1"/>
  <c r="K70" i="40"/>
  <c r="N67" i="40"/>
  <c r="L67" i="40"/>
  <c r="R66" i="40"/>
  <c r="Q66" i="40"/>
  <c r="K66" i="40"/>
  <c r="R65" i="40"/>
  <c r="Q65" i="40"/>
  <c r="K65" i="40"/>
  <c r="R64" i="40"/>
  <c r="Q64" i="40"/>
  <c r="K64" i="40"/>
  <c r="R63" i="40"/>
  <c r="Q63" i="40"/>
  <c r="K63" i="40"/>
  <c r="R62" i="40"/>
  <c r="Q62" i="40"/>
  <c r="K62" i="40"/>
  <c r="R61" i="40"/>
  <c r="Q61" i="40"/>
  <c r="K61" i="40"/>
  <c r="R60" i="40"/>
  <c r="Q60" i="40"/>
  <c r="K60" i="40"/>
  <c r="R59" i="40"/>
  <c r="Q59" i="40"/>
  <c r="R58" i="40"/>
  <c r="Q58" i="40"/>
  <c r="R57" i="40"/>
  <c r="Q57" i="40"/>
  <c r="K57" i="40"/>
  <c r="R56" i="40"/>
  <c r="Q56" i="40"/>
  <c r="K56" i="40"/>
  <c r="N53" i="40"/>
  <c r="M53" i="40"/>
  <c r="L53" i="40"/>
  <c r="R52" i="40"/>
  <c r="Q52" i="40"/>
  <c r="K52" i="40"/>
  <c r="R51" i="40"/>
  <c r="Q51" i="40"/>
  <c r="K51" i="40"/>
  <c r="R50" i="40"/>
  <c r="Q50" i="40"/>
  <c r="O50" i="40"/>
  <c r="R49" i="40"/>
  <c r="Q49" i="40"/>
  <c r="O49" i="40"/>
  <c r="K48" i="40"/>
  <c r="AS47" i="40"/>
  <c r="AL47" i="40"/>
  <c r="AR47" i="40" s="1"/>
  <c r="AS46" i="40"/>
  <c r="AL46" i="40"/>
  <c r="AR46" i="40" s="1"/>
  <c r="AS45" i="40"/>
  <c r="AL45" i="40"/>
  <c r="C87" i="40" s="1"/>
  <c r="N45" i="40"/>
  <c r="L45" i="40"/>
  <c r="AS44" i="40"/>
  <c r="AL44" i="40"/>
  <c r="AR44" i="40" s="1"/>
  <c r="R44" i="40"/>
  <c r="Q44" i="40"/>
  <c r="AS43" i="40"/>
  <c r="AL43" i="40"/>
  <c r="AP43" i="40" s="1"/>
  <c r="M85" i="40" s="1"/>
  <c r="R43" i="40"/>
  <c r="Q43" i="40"/>
  <c r="AS42" i="40"/>
  <c r="AL42" i="40"/>
  <c r="AR42" i="40" s="1"/>
  <c r="R42" i="40"/>
  <c r="Q42" i="40"/>
  <c r="AS41" i="40"/>
  <c r="AL41" i="40"/>
  <c r="AP41" i="40" s="1"/>
  <c r="M74" i="40" s="1"/>
  <c r="R41" i="40"/>
  <c r="Q41" i="40"/>
  <c r="AS40" i="40"/>
  <c r="AL40" i="40"/>
  <c r="AR40" i="40" s="1"/>
  <c r="R40" i="40"/>
  <c r="Q40" i="40"/>
  <c r="AS39" i="40"/>
  <c r="AL39" i="40"/>
  <c r="C58" i="40" s="1"/>
  <c r="R39" i="40"/>
  <c r="Q39" i="40"/>
  <c r="AL38" i="40"/>
  <c r="AR38" i="40" s="1"/>
  <c r="R38" i="40"/>
  <c r="Q38" i="40"/>
  <c r="AL37" i="40"/>
  <c r="AR37" i="40" s="1"/>
  <c r="R37" i="40"/>
  <c r="Q37" i="40"/>
  <c r="AM36" i="40"/>
  <c r="AL36" i="40"/>
  <c r="AS36" i="40" s="1"/>
  <c r="R36" i="40"/>
  <c r="Q36" i="40"/>
  <c r="AM35" i="40"/>
  <c r="AL35" i="40"/>
  <c r="AS35" i="40" s="1"/>
  <c r="R35" i="40"/>
  <c r="Q35" i="40"/>
  <c r="R34" i="40"/>
  <c r="Q34" i="40"/>
  <c r="AL33" i="40"/>
  <c r="AP33" i="40" s="1"/>
  <c r="R33" i="40"/>
  <c r="Q33" i="40"/>
  <c r="AS32" i="40"/>
  <c r="AR32" i="40"/>
  <c r="AQ32" i="40"/>
  <c r="AP32" i="40"/>
  <c r="R32" i="40"/>
  <c r="Q32" i="40"/>
  <c r="AM31" i="40"/>
  <c r="AL31" i="40"/>
  <c r="AS31" i="40" s="1"/>
  <c r="R31" i="40"/>
  <c r="Q31" i="40"/>
  <c r="AM30" i="40"/>
  <c r="AL30" i="40"/>
  <c r="AS30" i="40" s="1"/>
  <c r="R30" i="40"/>
  <c r="Q30" i="40"/>
  <c r="AM29" i="40"/>
  <c r="AL29" i="40"/>
  <c r="R29" i="40"/>
  <c r="Q29" i="40"/>
  <c r="AS28" i="40"/>
  <c r="AR28" i="40"/>
  <c r="AQ28" i="40"/>
  <c r="AP28" i="40"/>
  <c r="R28" i="40"/>
  <c r="Q28" i="40"/>
  <c r="AM27" i="40"/>
  <c r="AL27" i="40"/>
  <c r="AM26" i="40"/>
  <c r="AL26" i="40"/>
  <c r="C32" i="40" s="1"/>
  <c r="AL25" i="40"/>
  <c r="AR25" i="40" s="1"/>
  <c r="N25" i="40"/>
  <c r="M25" i="40"/>
  <c r="L25" i="40"/>
  <c r="AL24" i="40"/>
  <c r="AS24" i="40" s="1"/>
  <c r="R24" i="40"/>
  <c r="Q24" i="40"/>
  <c r="O24" i="40"/>
  <c r="K24" i="40"/>
  <c r="AL23" i="40"/>
  <c r="C29" i="40" s="1"/>
  <c r="R23" i="40"/>
  <c r="Q23" i="40"/>
  <c r="O23" i="40"/>
  <c r="K23" i="40"/>
  <c r="AL22" i="40"/>
  <c r="AO22" i="40" s="1"/>
  <c r="O22" i="40"/>
  <c r="R21" i="40"/>
  <c r="Q21" i="40"/>
  <c r="O21" i="40"/>
  <c r="R20" i="40"/>
  <c r="Q20" i="40"/>
  <c r="R19" i="40"/>
  <c r="Q19" i="40"/>
  <c r="O19" i="40"/>
  <c r="R18" i="40"/>
  <c r="Q18" i="40"/>
  <c r="R17" i="40"/>
  <c r="Q17" i="40"/>
  <c r="R16" i="40"/>
  <c r="Q16" i="40"/>
  <c r="R15" i="40"/>
  <c r="Q15" i="40"/>
  <c r="R14" i="40"/>
  <c r="Q14" i="40"/>
  <c r="AL13" i="40"/>
  <c r="R13" i="40"/>
  <c r="Q13" i="40"/>
  <c r="R12" i="40"/>
  <c r="Q12" i="40"/>
  <c r="O12" i="40"/>
  <c r="R11" i="40"/>
  <c r="Q11" i="40"/>
  <c r="O11" i="40"/>
  <c r="R10" i="40"/>
  <c r="Q10" i="40"/>
  <c r="O10" i="40"/>
  <c r="AL9" i="40"/>
  <c r="R9" i="40"/>
  <c r="Q9" i="40"/>
  <c r="O9" i="40"/>
  <c r="AL8" i="40"/>
  <c r="R8" i="40"/>
  <c r="Q8" i="40"/>
  <c r="AL7" i="40"/>
  <c r="R7" i="40"/>
  <c r="Q7" i="40"/>
  <c r="K6" i="40"/>
  <c r="T3" i="40"/>
  <c r="AS47" i="32"/>
  <c r="AL47" i="32"/>
  <c r="O22" i="32"/>
  <c r="O21" i="32"/>
  <c r="O19" i="32"/>
  <c r="O11" i="32"/>
  <c r="O10" i="32"/>
  <c r="O9" i="32"/>
  <c r="O96" i="32"/>
  <c r="O49" i="32"/>
  <c r="Q116" i="40" l="1"/>
  <c r="R116" i="40"/>
  <c r="R108" i="40"/>
  <c r="Q99" i="40"/>
  <c r="R99" i="40"/>
  <c r="R92" i="40"/>
  <c r="Q92" i="40"/>
  <c r="R67" i="40"/>
  <c r="Q67" i="40"/>
  <c r="K53" i="40"/>
  <c r="R53" i="40"/>
  <c r="Q53" i="40"/>
  <c r="K25" i="40"/>
  <c r="O25" i="40" s="1"/>
  <c r="L119" i="40"/>
  <c r="M40" i="40"/>
  <c r="O40" i="40" s="1"/>
  <c r="M39" i="40"/>
  <c r="O39" i="40" s="1"/>
  <c r="Q108" i="40"/>
  <c r="O108" i="40"/>
  <c r="R25" i="40"/>
  <c r="Q25" i="40"/>
  <c r="Q45" i="40"/>
  <c r="R45" i="40"/>
  <c r="AR35" i="40"/>
  <c r="AR34" i="40"/>
  <c r="C43" i="40"/>
  <c r="B43" i="40" s="1"/>
  <c r="AS38" i="40"/>
  <c r="AP25" i="40"/>
  <c r="M31" i="40" s="1"/>
  <c r="AP37" i="40"/>
  <c r="M43" i="40" s="1"/>
  <c r="AO40" i="40"/>
  <c r="AQ43" i="40"/>
  <c r="AR22" i="40"/>
  <c r="AQ25" i="40"/>
  <c r="AQ37" i="40"/>
  <c r="AS37" i="40"/>
  <c r="AP39" i="40"/>
  <c r="M58" i="40" s="1"/>
  <c r="AR45" i="40"/>
  <c r="AO44" i="40"/>
  <c r="AQ41" i="40"/>
  <c r="AQ38" i="40"/>
  <c r="AL11" i="40"/>
  <c r="C41" i="40"/>
  <c r="C42" i="40"/>
  <c r="C44" i="40"/>
  <c r="B44" i="40" s="1"/>
  <c r="AP23" i="40"/>
  <c r="M29" i="40" s="1"/>
  <c r="AR33" i="40"/>
  <c r="AO38" i="40"/>
  <c r="AR23" i="40"/>
  <c r="C31" i="40"/>
  <c r="AO37" i="40"/>
  <c r="AP38" i="40"/>
  <c r="M44" i="40" s="1"/>
  <c r="C59" i="40"/>
  <c r="AO25" i="40"/>
  <c r="AO41" i="40"/>
  <c r="AO42" i="40"/>
  <c r="AO43" i="40"/>
  <c r="AR41" i="40"/>
  <c r="AR43" i="40"/>
  <c r="AP46" i="40"/>
  <c r="M98" i="40" s="1"/>
  <c r="M99" i="40" s="1"/>
  <c r="AS25" i="40"/>
  <c r="AL10" i="40"/>
  <c r="V132" i="40"/>
  <c r="V130" i="40"/>
  <c r="B87" i="40"/>
  <c r="B29" i="40"/>
  <c r="B58" i="40"/>
  <c r="O53" i="40"/>
  <c r="AP22" i="40"/>
  <c r="AQ22" i="40" s="1"/>
  <c r="AO23" i="40"/>
  <c r="K29" i="40" s="1"/>
  <c r="C33" i="40"/>
  <c r="AQ33" i="40"/>
  <c r="AQ34" i="40"/>
  <c r="C37" i="40"/>
  <c r="AR26" i="40"/>
  <c r="C86" i="40"/>
  <c r="AR27" i="40"/>
  <c r="AR29" i="40"/>
  <c r="AS22" i="40"/>
  <c r="AO24" i="40"/>
  <c r="AS26" i="40"/>
  <c r="AS49" i="40" s="1"/>
  <c r="AS27" i="40"/>
  <c r="AS29" i="40"/>
  <c r="AS33" i="40"/>
  <c r="AS34" i="40"/>
  <c r="C36" i="40"/>
  <c r="C40" i="40"/>
  <c r="AP40" i="40"/>
  <c r="M59" i="40" s="1"/>
  <c r="AP42" i="40"/>
  <c r="M75" i="40" s="1"/>
  <c r="M76" i="40" s="1"/>
  <c r="AP44" i="40"/>
  <c r="M86" i="40" s="1"/>
  <c r="AO47" i="40"/>
  <c r="C75" i="40"/>
  <c r="AP24" i="40"/>
  <c r="M30" i="40" s="1"/>
  <c r="AR31" i="40"/>
  <c r="AP47" i="40"/>
  <c r="M107" i="40" s="1"/>
  <c r="M108" i="40" s="1"/>
  <c r="C85" i="40"/>
  <c r="AS23" i="40"/>
  <c r="AQ24" i="40"/>
  <c r="C30" i="40"/>
  <c r="C35" i="40"/>
  <c r="AO39" i="40"/>
  <c r="K58" i="40" s="1"/>
  <c r="AO46" i="40"/>
  <c r="AQ47" i="40"/>
  <c r="C74" i="40"/>
  <c r="AR36" i="40"/>
  <c r="C39" i="40"/>
  <c r="C98" i="40"/>
  <c r="AR24" i="40"/>
  <c r="C28" i="40"/>
  <c r="AR30" i="40"/>
  <c r="AO33" i="40"/>
  <c r="AO34" i="40"/>
  <c r="AQ39" i="40"/>
  <c r="AO45" i="40"/>
  <c r="K87" i="40" s="1"/>
  <c r="AQ46" i="40"/>
  <c r="O116" i="40"/>
  <c r="AR39" i="40"/>
  <c r="AP45" i="40"/>
  <c r="M87" i="40" s="1"/>
  <c r="AO47" i="32"/>
  <c r="AP47" i="32"/>
  <c r="M107" i="32" s="1"/>
  <c r="AR47" i="32"/>
  <c r="AQ32" i="32"/>
  <c r="AQ28" i="32"/>
  <c r="AS46" i="32"/>
  <c r="AS45" i="32"/>
  <c r="AS44" i="32"/>
  <c r="AS43" i="32"/>
  <c r="AS42" i="32"/>
  <c r="AS41" i="32"/>
  <c r="AS40" i="32"/>
  <c r="AS39" i="32"/>
  <c r="AS32" i="32"/>
  <c r="AS28" i="32"/>
  <c r="AR32" i="32"/>
  <c r="AR28" i="32"/>
  <c r="AR49" i="40" l="1"/>
  <c r="AL18" i="40" s="1"/>
  <c r="U3" i="40" s="1"/>
  <c r="AQ44" i="40"/>
  <c r="AQ45" i="40"/>
  <c r="AQ42" i="40"/>
  <c r="AQ40" i="40"/>
  <c r="AQ23" i="40"/>
  <c r="M67" i="40"/>
  <c r="K59" i="40"/>
  <c r="K67" i="40" s="1"/>
  <c r="O67" i="40" s="1"/>
  <c r="K43" i="40"/>
  <c r="B59" i="40"/>
  <c r="K55" i="40" s="1"/>
  <c r="K31" i="40"/>
  <c r="AL12" i="40"/>
  <c r="M92" i="40"/>
  <c r="K44" i="40"/>
  <c r="B31" i="40"/>
  <c r="AL19" i="40"/>
  <c r="V3" i="40" s="1"/>
  <c r="K28" i="40"/>
  <c r="K85" i="40"/>
  <c r="B85" i="40"/>
  <c r="M28" i="40"/>
  <c r="K98" i="40"/>
  <c r="K99" i="40" s="1"/>
  <c r="O99" i="40" s="1"/>
  <c r="B98" i="40"/>
  <c r="K94" i="40" s="1"/>
  <c r="K86" i="40"/>
  <c r="B86" i="40"/>
  <c r="K40" i="40"/>
  <c r="B40" i="40"/>
  <c r="K39" i="40"/>
  <c r="B39" i="40"/>
  <c r="K74" i="40"/>
  <c r="B74" i="40"/>
  <c r="K30" i="40"/>
  <c r="B30" i="40"/>
  <c r="K75" i="40"/>
  <c r="B75" i="40"/>
  <c r="AQ47" i="32"/>
  <c r="K69" i="40" l="1"/>
  <c r="K78" i="40"/>
  <c r="A28" i="40"/>
  <c r="B28" i="40" s="1"/>
  <c r="K76" i="40"/>
  <c r="O76" i="40" s="1"/>
  <c r="M108" i="32"/>
  <c r="M53" i="32"/>
  <c r="AM36" i="32" l="1"/>
  <c r="AM35" i="32"/>
  <c r="AM31" i="32"/>
  <c r="AM30" i="32"/>
  <c r="AM29" i="32"/>
  <c r="AM27" i="32"/>
  <c r="AM26" i="32"/>
  <c r="D106" i="35"/>
  <c r="D105" i="35"/>
  <c r="AL13" i="32"/>
  <c r="AL9" i="32"/>
  <c r="AL14" i="40" l="1"/>
  <c r="AL15" i="40"/>
  <c r="AL15" i="32"/>
  <c r="D107" i="35"/>
  <c r="D108" i="35"/>
  <c r="AL14" i="32"/>
  <c r="AO31" i="40" l="1"/>
  <c r="AO36" i="40"/>
  <c r="AO30" i="40"/>
  <c r="AO35" i="40"/>
  <c r="AO26" i="40"/>
  <c r="AO29" i="40"/>
  <c r="AO27" i="40"/>
  <c r="AL26" i="32"/>
  <c r="AL34" i="32"/>
  <c r="AP34" i="32" s="1"/>
  <c r="AL35" i="32"/>
  <c r="AL36" i="32"/>
  <c r="AL37" i="32"/>
  <c r="AL38" i="32"/>
  <c r="AL39" i="32"/>
  <c r="AL40" i="32"/>
  <c r="AL41" i="32"/>
  <c r="AL42" i="32"/>
  <c r="AR42" i="32" s="1"/>
  <c r="AL43" i="32"/>
  <c r="AR43" i="32" s="1"/>
  <c r="AL44" i="32"/>
  <c r="AR44" i="32" s="1"/>
  <c r="AL45" i="32"/>
  <c r="AL46" i="32"/>
  <c r="AL33" i="32"/>
  <c r="AP33" i="32" s="1"/>
  <c r="AL30" i="32"/>
  <c r="AL31" i="32"/>
  <c r="AL29" i="32"/>
  <c r="AL23" i="32"/>
  <c r="AL24" i="32"/>
  <c r="AL25" i="32"/>
  <c r="AL27" i="32"/>
  <c r="AL22" i="32"/>
  <c r="B107" i="32"/>
  <c r="K107" i="32"/>
  <c r="K57" i="32"/>
  <c r="AL8" i="32"/>
  <c r="AL7" i="32"/>
  <c r="AL11" i="32" s="1"/>
  <c r="AP32" i="32"/>
  <c r="AP28" i="32"/>
  <c r="M25" i="32"/>
  <c r="N25" i="32"/>
  <c r="N45" i="32"/>
  <c r="N53" i="32"/>
  <c r="N67" i="32"/>
  <c r="N76" i="32"/>
  <c r="N92" i="32"/>
  <c r="N99" i="32"/>
  <c r="N108" i="32"/>
  <c r="O12" i="32"/>
  <c r="O23" i="32"/>
  <c r="O24" i="32"/>
  <c r="O50" i="32"/>
  <c r="O79" i="32"/>
  <c r="O80" i="32"/>
  <c r="O81" i="32"/>
  <c r="O90" i="32"/>
  <c r="O91" i="32"/>
  <c r="O97" i="32"/>
  <c r="O98" i="32"/>
  <c r="O105" i="32"/>
  <c r="E53" i="35"/>
  <c r="D32" i="35"/>
  <c r="D24" i="35"/>
  <c r="AP27" i="40" l="1"/>
  <c r="K33" i="40"/>
  <c r="B33" i="40" s="1"/>
  <c r="AP29" i="40"/>
  <c r="K35" i="40"/>
  <c r="B35" i="40" s="1"/>
  <c r="AP31" i="40"/>
  <c r="K37" i="40"/>
  <c r="B37" i="40" s="1"/>
  <c r="AP26" i="40"/>
  <c r="AQ26" i="40" s="1"/>
  <c r="K32" i="40"/>
  <c r="AP35" i="40"/>
  <c r="K41" i="40"/>
  <c r="B41" i="40" s="1"/>
  <c r="AP30" i="40"/>
  <c r="K36" i="40"/>
  <c r="B36" i="40" s="1"/>
  <c r="AP36" i="40"/>
  <c r="K42" i="40"/>
  <c r="B42" i="40" s="1"/>
  <c r="AR40" i="32"/>
  <c r="AP40" i="32"/>
  <c r="M59" i="32" s="1"/>
  <c r="AS30" i="32"/>
  <c r="AR30" i="32"/>
  <c r="C39" i="32"/>
  <c r="B39" i="32" s="1"/>
  <c r="AS33" i="32"/>
  <c r="AR33" i="32"/>
  <c r="C58" i="32"/>
  <c r="B58" i="32" s="1"/>
  <c r="AR39" i="32"/>
  <c r="AS27" i="32"/>
  <c r="AR27" i="32"/>
  <c r="AP46" i="32"/>
  <c r="M98" i="32" s="1"/>
  <c r="M99" i="32" s="1"/>
  <c r="AR46" i="32"/>
  <c r="AS38" i="32"/>
  <c r="AR38" i="32"/>
  <c r="AO25" i="32"/>
  <c r="AS25" i="32"/>
  <c r="AR25" i="32"/>
  <c r="AP25" i="32"/>
  <c r="M31" i="32" s="1"/>
  <c r="AR45" i="32"/>
  <c r="C43" i="32"/>
  <c r="B43" i="32" s="1"/>
  <c r="AS37" i="32"/>
  <c r="AR37" i="32"/>
  <c r="AO24" i="32"/>
  <c r="AS24" i="32"/>
  <c r="AR24" i="32"/>
  <c r="AP24" i="32"/>
  <c r="M30" i="32" s="1"/>
  <c r="AO36" i="32"/>
  <c r="AP36" i="32" s="1"/>
  <c r="M42" i="32" s="1"/>
  <c r="AS36" i="32"/>
  <c r="AR36" i="32"/>
  <c r="C29" i="32"/>
  <c r="AP23" i="32"/>
  <c r="M29" i="32" s="1"/>
  <c r="AO23" i="32"/>
  <c r="AS23" i="32"/>
  <c r="AR23" i="32"/>
  <c r="AS35" i="32"/>
  <c r="AR35" i="32"/>
  <c r="AS34" i="32"/>
  <c r="AR34" i="32"/>
  <c r="AS29" i="32"/>
  <c r="AR29" i="32"/>
  <c r="AS31" i="32"/>
  <c r="AR31" i="32"/>
  <c r="AP41" i="32"/>
  <c r="M74" i="32" s="1"/>
  <c r="AR41" i="32"/>
  <c r="AS26" i="32"/>
  <c r="AR26" i="32"/>
  <c r="AO26" i="32"/>
  <c r="AO22" i="32"/>
  <c r="AS22" i="32"/>
  <c r="AR22" i="32"/>
  <c r="AP22" i="32"/>
  <c r="M28" i="32" s="1"/>
  <c r="C28" i="32"/>
  <c r="AO27" i="32"/>
  <c r="AP27" i="32" s="1"/>
  <c r="AQ27" i="32" s="1"/>
  <c r="AO35" i="32"/>
  <c r="AO31" i="32"/>
  <c r="C35" i="32"/>
  <c r="AO29" i="32"/>
  <c r="C36" i="32"/>
  <c r="AO30" i="32"/>
  <c r="AL10" i="32"/>
  <c r="AL12" i="32" s="1"/>
  <c r="C75" i="32"/>
  <c r="AO40" i="32"/>
  <c r="C41" i="32"/>
  <c r="C59" i="32"/>
  <c r="B59" i="32" s="1"/>
  <c r="C85" i="32"/>
  <c r="B85" i="32" s="1"/>
  <c r="C30" i="32"/>
  <c r="B30" i="32" s="1"/>
  <c r="C31" i="32"/>
  <c r="B31" i="32" s="1"/>
  <c r="C37" i="32"/>
  <c r="C40" i="32"/>
  <c r="B40" i="32" s="1"/>
  <c r="AP43" i="32"/>
  <c r="M85" i="32" s="1"/>
  <c r="C32" i="32"/>
  <c r="C42" i="32"/>
  <c r="C87" i="32"/>
  <c r="C33" i="32"/>
  <c r="C86" i="32"/>
  <c r="C44" i="32"/>
  <c r="C98" i="32"/>
  <c r="C74" i="32"/>
  <c r="AP39" i="32"/>
  <c r="M58" i="32" s="1"/>
  <c r="AO42" i="32"/>
  <c r="M40" i="32"/>
  <c r="O40" i="32" s="1"/>
  <c r="AO39" i="32"/>
  <c r="AO46" i="32"/>
  <c r="AP45" i="32"/>
  <c r="M87" i="32" s="1"/>
  <c r="AP42" i="32"/>
  <c r="M75" i="32" s="1"/>
  <c r="AP38" i="32"/>
  <c r="M44" i="32" s="1"/>
  <c r="AO34" i="32"/>
  <c r="AO38" i="32"/>
  <c r="AO41" i="32"/>
  <c r="AO45" i="32"/>
  <c r="AQ46" i="32"/>
  <c r="AO33" i="32"/>
  <c r="AO44" i="32"/>
  <c r="M39" i="32"/>
  <c r="O39" i="32" s="1"/>
  <c r="AP37" i="32"/>
  <c r="M43" i="32" s="1"/>
  <c r="AP44" i="32"/>
  <c r="M86" i="32" s="1"/>
  <c r="AO43" i="32"/>
  <c r="AO37" i="32"/>
  <c r="AP49" i="40" l="1"/>
  <c r="AL16" i="40" s="1"/>
  <c r="M36" i="40"/>
  <c r="O36" i="40" s="1"/>
  <c r="AQ30" i="40"/>
  <c r="M33" i="40"/>
  <c r="AQ27" i="40"/>
  <c r="M35" i="40"/>
  <c r="O35" i="40" s="1"/>
  <c r="AQ29" i="40"/>
  <c r="M41" i="40"/>
  <c r="AQ35" i="40"/>
  <c r="AQ40" i="32"/>
  <c r="M42" i="40"/>
  <c r="AQ36" i="40"/>
  <c r="M37" i="40"/>
  <c r="O37" i="40" s="1"/>
  <c r="AQ31" i="40"/>
  <c r="B32" i="40"/>
  <c r="K45" i="40"/>
  <c r="O45" i="40" s="1"/>
  <c r="M32" i="40"/>
  <c r="M67" i="32"/>
  <c r="K75" i="32"/>
  <c r="AQ42" i="32"/>
  <c r="AQ22" i="32"/>
  <c r="AQ39" i="32"/>
  <c r="AQ37" i="32"/>
  <c r="AQ41" i="32"/>
  <c r="AQ23" i="32"/>
  <c r="AP26" i="32"/>
  <c r="M32" i="32" s="1"/>
  <c r="M76" i="32"/>
  <c r="AQ45" i="32"/>
  <c r="AQ44" i="32"/>
  <c r="AQ43" i="32"/>
  <c r="AQ38" i="32"/>
  <c r="AQ36" i="32"/>
  <c r="AQ34" i="32"/>
  <c r="AQ33" i="32"/>
  <c r="AQ25" i="32"/>
  <c r="AQ24" i="32"/>
  <c r="K39" i="32"/>
  <c r="K58" i="32"/>
  <c r="K29" i="32"/>
  <c r="K43" i="32"/>
  <c r="B29" i="32"/>
  <c r="M92" i="32"/>
  <c r="K30" i="32"/>
  <c r="K40" i="32"/>
  <c r="K85" i="32"/>
  <c r="AP29" i="32"/>
  <c r="AP35" i="32"/>
  <c r="AP31" i="32"/>
  <c r="M33" i="32"/>
  <c r="K36" i="32"/>
  <c r="B36" i="32" s="1"/>
  <c r="B75" i="32"/>
  <c r="K59" i="32"/>
  <c r="K31" i="32"/>
  <c r="K98" i="32"/>
  <c r="K28" i="32"/>
  <c r="A28" i="32" s="1"/>
  <c r="B28" i="32" s="1"/>
  <c r="B74" i="32"/>
  <c r="K74" i="32"/>
  <c r="B86" i="32"/>
  <c r="K86" i="32"/>
  <c r="K44" i="32"/>
  <c r="B44" i="32"/>
  <c r="B87" i="32"/>
  <c r="K87" i="32"/>
  <c r="K42" i="32"/>
  <c r="B42" i="32" s="1"/>
  <c r="K32" i="32"/>
  <c r="B32" i="32" s="1"/>
  <c r="AQ49" i="40" l="1"/>
  <c r="M3" i="40"/>
  <c r="M45" i="40"/>
  <c r="K27" i="40"/>
  <c r="B119" i="40"/>
  <c r="AQ26" i="32"/>
  <c r="M41" i="32"/>
  <c r="AQ35" i="32"/>
  <c r="M37" i="32"/>
  <c r="O37" i="32" s="1"/>
  <c r="AQ31" i="32"/>
  <c r="M35" i="32"/>
  <c r="O35" i="32" s="1"/>
  <c r="AQ29" i="32"/>
  <c r="K37" i="32"/>
  <c r="B37" i="32" s="1"/>
  <c r="K41" i="32"/>
  <c r="B41" i="32" s="1"/>
  <c r="K35" i="32"/>
  <c r="B35" i="32" s="1"/>
  <c r="AP30" i="32"/>
  <c r="K33" i="32"/>
  <c r="B33" i="32" s="1"/>
  <c r="AL17" i="40" l="1"/>
  <c r="K119" i="40"/>
  <c r="K3" i="40" s="1"/>
  <c r="M36" i="32"/>
  <c r="O36" i="32" s="1"/>
  <c r="AQ30" i="32"/>
  <c r="R66" i="32"/>
  <c r="Q66" i="32"/>
  <c r="R65" i="32"/>
  <c r="Q65" i="32"/>
  <c r="R64" i="32"/>
  <c r="Q64" i="32"/>
  <c r="R63" i="32"/>
  <c r="Q63" i="32"/>
  <c r="R62" i="32"/>
  <c r="Q62" i="32"/>
  <c r="L108" i="32"/>
  <c r="R56" i="32"/>
  <c r="Q56" i="32"/>
  <c r="L67" i="32"/>
  <c r="K66" i="32"/>
  <c r="K65" i="32"/>
  <c r="K64" i="32"/>
  <c r="K63" i="32"/>
  <c r="K62" i="32"/>
  <c r="K61" i="32"/>
  <c r="K60" i="32"/>
  <c r="K56" i="32"/>
  <c r="K52" i="32"/>
  <c r="K90" i="32"/>
  <c r="K91" i="32"/>
  <c r="R119" i="40" l="1"/>
  <c r="R3" i="40" s="1"/>
  <c r="Q119" i="40"/>
  <c r="Q3" i="40" s="1"/>
  <c r="L120" i="40"/>
  <c r="L122" i="40" s="1"/>
  <c r="L3" i="40" s="1"/>
  <c r="G3" i="40" s="1"/>
  <c r="M45" i="32"/>
  <c r="K55" i="32"/>
  <c r="K67" i="32"/>
  <c r="O67" i="32" s="1"/>
  <c r="Q14" i="32"/>
  <c r="R14" i="32"/>
  <c r="L74" i="27" l="1"/>
  <c r="J77" i="27"/>
  <c r="K84" i="32"/>
  <c r="L98" i="27"/>
  <c r="L91" i="27"/>
  <c r="L90" i="27"/>
  <c r="L88" i="27"/>
  <c r="L73" i="27"/>
  <c r="L72" i="27"/>
  <c r="L49" i="27"/>
  <c r="L40" i="27"/>
  <c r="L39" i="27"/>
  <c r="L37" i="27"/>
  <c r="L36" i="27"/>
  <c r="L35" i="27"/>
  <c r="L24" i="27"/>
  <c r="L23" i="27"/>
  <c r="L22" i="27"/>
  <c r="L21" i="27"/>
  <c r="L19" i="27"/>
  <c r="L17" i="27"/>
  <c r="L16" i="27"/>
  <c r="L15" i="27"/>
  <c r="L13" i="27"/>
  <c r="L12" i="27"/>
  <c r="L11" i="27"/>
  <c r="L10" i="27"/>
  <c r="L9" i="27"/>
  <c r="J83" i="27"/>
  <c r="J82" i="27"/>
  <c r="J84" i="27"/>
  <c r="Y12" i="27" s="1"/>
  <c r="J76" i="27"/>
  <c r="J75" i="27"/>
  <c r="J74" i="27"/>
  <c r="J73" i="27"/>
  <c r="J72" i="27"/>
  <c r="J109" i="27"/>
  <c r="L109" i="27" s="1"/>
  <c r="K109" i="27"/>
  <c r="J68" i="27"/>
  <c r="J67" i="27"/>
  <c r="B68" i="27"/>
  <c r="B67" i="27"/>
  <c r="J66" i="27"/>
  <c r="J65" i="27"/>
  <c r="J64" i="27"/>
  <c r="J63" i="27"/>
  <c r="J51" i="27"/>
  <c r="J50" i="27"/>
  <c r="J23" i="27"/>
  <c r="J24" i="27"/>
  <c r="K101" i="27" l="1"/>
  <c r="J101" i="27"/>
  <c r="Y14" i="27" s="1"/>
  <c r="J94" i="27"/>
  <c r="K92" i="27"/>
  <c r="J91" i="27"/>
  <c r="J92" i="27" s="1"/>
  <c r="Y13" i="27" s="1"/>
  <c r="B91" i="27"/>
  <c r="J86" i="27" s="1"/>
  <c r="K84" i="27"/>
  <c r="J80" i="27"/>
  <c r="B80" i="27"/>
  <c r="J79" i="27"/>
  <c r="B79" i="27"/>
  <c r="J78" i="27"/>
  <c r="B78" i="27"/>
  <c r="B77" i="27"/>
  <c r="K69" i="27"/>
  <c r="K60" i="27"/>
  <c r="J57" i="27"/>
  <c r="B57" i="27"/>
  <c r="J56" i="27"/>
  <c r="B56" i="27"/>
  <c r="K52" i="27"/>
  <c r="J52" i="27"/>
  <c r="Y9" i="27" s="1"/>
  <c r="J47" i="27"/>
  <c r="K45" i="27"/>
  <c r="J44" i="27"/>
  <c r="B44" i="27"/>
  <c r="J43" i="27"/>
  <c r="B43" i="27"/>
  <c r="J42" i="27"/>
  <c r="B42" i="27"/>
  <c r="J41" i="27"/>
  <c r="B41" i="27"/>
  <c r="J40" i="27"/>
  <c r="B40" i="27"/>
  <c r="J39" i="27"/>
  <c r="B39" i="27"/>
  <c r="J37" i="27"/>
  <c r="B37" i="27"/>
  <c r="J36" i="27"/>
  <c r="B36" i="27"/>
  <c r="J35" i="27"/>
  <c r="B35" i="27"/>
  <c r="J33" i="27"/>
  <c r="B33" i="27"/>
  <c r="J32" i="27"/>
  <c r="B32" i="27"/>
  <c r="J31" i="27"/>
  <c r="B31" i="27"/>
  <c r="J30" i="27"/>
  <c r="B30" i="27"/>
  <c r="J29" i="27"/>
  <c r="B29" i="27"/>
  <c r="J28" i="27"/>
  <c r="B28" i="27"/>
  <c r="K25" i="27"/>
  <c r="J6" i="27"/>
  <c r="K83" i="32"/>
  <c r="K51" i="32"/>
  <c r="K23" i="32"/>
  <c r="K24" i="32"/>
  <c r="K6" i="32"/>
  <c r="Z8" i="27" l="1"/>
  <c r="Z10" i="27"/>
  <c r="Z13" i="27"/>
  <c r="L92" i="27"/>
  <c r="Z7" i="27"/>
  <c r="Z11" i="27"/>
  <c r="Z12" i="27"/>
  <c r="L84" i="27"/>
  <c r="L52" i="27"/>
  <c r="Z9" i="27"/>
  <c r="Z14" i="27"/>
  <c r="L101" i="27"/>
  <c r="K112" i="27"/>
  <c r="J62" i="27"/>
  <c r="J60" i="27"/>
  <c r="Y10" i="27" s="1"/>
  <c r="J27" i="27"/>
  <c r="J45" i="27"/>
  <c r="Y8" i="27" s="1"/>
  <c r="J69" i="27"/>
  <c r="Y11" i="27" s="1"/>
  <c r="J54" i="27"/>
  <c r="J25" i="27"/>
  <c r="L25" i="27" s="1"/>
  <c r="J71" i="27"/>
  <c r="Q138" i="33"/>
  <c r="Q137" i="33"/>
  <c r="P137" i="33"/>
  <c r="O137" i="33"/>
  <c r="Q136" i="33"/>
  <c r="P136" i="33"/>
  <c r="O136" i="33"/>
  <c r="Q135" i="33"/>
  <c r="P135" i="33"/>
  <c r="O135" i="33"/>
  <c r="Q134" i="33"/>
  <c r="P134" i="33"/>
  <c r="K122" i="33"/>
  <c r="J122" i="33"/>
  <c r="N121" i="33"/>
  <c r="M121" i="33"/>
  <c r="N120" i="33"/>
  <c r="M120" i="33"/>
  <c r="N119" i="33"/>
  <c r="M119" i="33"/>
  <c r="N118" i="33"/>
  <c r="M118" i="33"/>
  <c r="N117" i="33"/>
  <c r="M117" i="33"/>
  <c r="K114" i="33"/>
  <c r="J114" i="33"/>
  <c r="N113" i="33"/>
  <c r="M113" i="33"/>
  <c r="N112" i="33"/>
  <c r="M112" i="33"/>
  <c r="N111" i="33"/>
  <c r="M111" i="33"/>
  <c r="L111" i="33"/>
  <c r="N110" i="33"/>
  <c r="M110" i="33"/>
  <c r="N109" i="33"/>
  <c r="M109" i="33"/>
  <c r="N108" i="33"/>
  <c r="M108" i="33"/>
  <c r="J107" i="33"/>
  <c r="K105" i="33"/>
  <c r="N104" i="33"/>
  <c r="M104" i="33"/>
  <c r="N103" i="33"/>
  <c r="M103" i="33"/>
  <c r="L103" i="33"/>
  <c r="J103" i="33"/>
  <c r="J105" i="33" s="1"/>
  <c r="B103" i="33"/>
  <c r="J98" i="33" s="1"/>
  <c r="N102" i="33"/>
  <c r="M102" i="33"/>
  <c r="L102" i="33"/>
  <c r="N101" i="33"/>
  <c r="M101" i="33"/>
  <c r="N100" i="33"/>
  <c r="M100" i="33"/>
  <c r="L100" i="33"/>
  <c r="N99" i="33"/>
  <c r="M99" i="33"/>
  <c r="K96" i="33"/>
  <c r="J96" i="33"/>
  <c r="N95" i="33"/>
  <c r="M95" i="33"/>
  <c r="J95" i="33"/>
  <c r="J94" i="33"/>
  <c r="N93" i="33"/>
  <c r="M93" i="33"/>
  <c r="N92" i="33"/>
  <c r="M92" i="33"/>
  <c r="J92" i="33"/>
  <c r="B92" i="33"/>
  <c r="N91" i="33"/>
  <c r="M91" i="33"/>
  <c r="J91" i="33"/>
  <c r="B91" i="33"/>
  <c r="N90" i="33"/>
  <c r="M90" i="33"/>
  <c r="J90" i="33"/>
  <c r="B90" i="33"/>
  <c r="N89" i="33"/>
  <c r="M89" i="33"/>
  <c r="J89" i="33"/>
  <c r="B89" i="33"/>
  <c r="J84" i="33" s="1"/>
  <c r="N88" i="33"/>
  <c r="M88" i="33"/>
  <c r="J88" i="33"/>
  <c r="N87" i="33"/>
  <c r="M87" i="33"/>
  <c r="L87" i="33"/>
  <c r="J87" i="33"/>
  <c r="N86" i="33"/>
  <c r="M86" i="33"/>
  <c r="L86" i="33"/>
  <c r="N85" i="33"/>
  <c r="M85" i="33"/>
  <c r="L85" i="33"/>
  <c r="J85" i="33"/>
  <c r="K82" i="33"/>
  <c r="N81" i="33"/>
  <c r="M81" i="33"/>
  <c r="J81" i="33"/>
  <c r="B81" i="33"/>
  <c r="N80" i="33"/>
  <c r="M80" i="33"/>
  <c r="J80" i="33"/>
  <c r="B80" i="33"/>
  <c r="J75" i="33" s="1"/>
  <c r="N79" i="33"/>
  <c r="M79" i="33"/>
  <c r="J79" i="33"/>
  <c r="N78" i="33"/>
  <c r="M78" i="33"/>
  <c r="J78" i="33"/>
  <c r="N77" i="33"/>
  <c r="M77" i="33"/>
  <c r="J77" i="33"/>
  <c r="N76" i="33"/>
  <c r="M76" i="33"/>
  <c r="J76" i="33"/>
  <c r="K73" i="33"/>
  <c r="N72" i="33"/>
  <c r="M72" i="33"/>
  <c r="J72" i="33"/>
  <c r="N71" i="33"/>
  <c r="M71" i="33"/>
  <c r="J71" i="33"/>
  <c r="N70" i="33"/>
  <c r="M70" i="33"/>
  <c r="J70" i="33"/>
  <c r="B70" i="33"/>
  <c r="N69" i="33"/>
  <c r="M69" i="33"/>
  <c r="J69" i="33"/>
  <c r="B69" i="33"/>
  <c r="J66" i="33" s="1"/>
  <c r="N68" i="33"/>
  <c r="M68" i="33"/>
  <c r="J68" i="33"/>
  <c r="N67" i="33"/>
  <c r="M67" i="33"/>
  <c r="J67" i="33"/>
  <c r="K64" i="33"/>
  <c r="N63" i="33"/>
  <c r="M63" i="33"/>
  <c r="J63" i="33"/>
  <c r="N62" i="33"/>
  <c r="M62" i="33"/>
  <c r="J62" i="33"/>
  <c r="N61" i="33"/>
  <c r="M61" i="33"/>
  <c r="L61" i="33"/>
  <c r="J61" i="33"/>
  <c r="N60" i="33"/>
  <c r="M60" i="33"/>
  <c r="N59" i="33"/>
  <c r="M59" i="33"/>
  <c r="L59" i="33"/>
  <c r="J59" i="33"/>
  <c r="N58" i="33"/>
  <c r="M58" i="33"/>
  <c r="N57" i="33"/>
  <c r="M57" i="33"/>
  <c r="L57" i="33"/>
  <c r="J57" i="33"/>
  <c r="N56" i="33"/>
  <c r="M56" i="33"/>
  <c r="N55" i="33"/>
  <c r="M55" i="33"/>
  <c r="L55" i="33"/>
  <c r="J55" i="33"/>
  <c r="N54" i="33"/>
  <c r="M54" i="33"/>
  <c r="N53" i="33"/>
  <c r="M53" i="33"/>
  <c r="J53" i="33"/>
  <c r="N52" i="33"/>
  <c r="M52" i="33"/>
  <c r="J52" i="33"/>
  <c r="N51" i="33"/>
  <c r="M51" i="33"/>
  <c r="J51" i="33"/>
  <c r="N50" i="33"/>
  <c r="M50" i="33"/>
  <c r="J50" i="33"/>
  <c r="N49" i="33"/>
  <c r="M49" i="33"/>
  <c r="J49" i="33"/>
  <c r="N48" i="33"/>
  <c r="M48" i="33"/>
  <c r="J48" i="33"/>
  <c r="N47" i="33"/>
  <c r="M47" i="33"/>
  <c r="J46" i="33"/>
  <c r="K44" i="33"/>
  <c r="N43" i="33"/>
  <c r="M43" i="33"/>
  <c r="J43" i="33"/>
  <c r="B43" i="33"/>
  <c r="N42" i="33"/>
  <c r="M42" i="33"/>
  <c r="J42" i="33"/>
  <c r="B42" i="33"/>
  <c r="N41" i="33"/>
  <c r="M41" i="33"/>
  <c r="J41" i="33"/>
  <c r="B41" i="33"/>
  <c r="N40" i="33"/>
  <c r="M40" i="33"/>
  <c r="J40" i="33"/>
  <c r="B40" i="33"/>
  <c r="N39" i="33"/>
  <c r="M39" i="33"/>
  <c r="L39" i="33"/>
  <c r="J39" i="33"/>
  <c r="B39" i="33"/>
  <c r="N38" i="33"/>
  <c r="M38" i="33"/>
  <c r="L38" i="33"/>
  <c r="J38" i="33"/>
  <c r="B38" i="33"/>
  <c r="N37" i="33"/>
  <c r="M37" i="33"/>
  <c r="N36" i="33"/>
  <c r="M36" i="33"/>
  <c r="L36" i="33"/>
  <c r="J36" i="33"/>
  <c r="B36" i="33"/>
  <c r="N35" i="33"/>
  <c r="M35" i="33"/>
  <c r="L35" i="33"/>
  <c r="J35" i="33"/>
  <c r="B35" i="33"/>
  <c r="N34" i="33"/>
  <c r="M34" i="33"/>
  <c r="L34" i="33"/>
  <c r="J34" i="33"/>
  <c r="B34" i="33"/>
  <c r="N33" i="33"/>
  <c r="M33" i="33"/>
  <c r="N32" i="33"/>
  <c r="M32" i="33"/>
  <c r="J32" i="33"/>
  <c r="B32" i="33"/>
  <c r="N31" i="33"/>
  <c r="M31" i="33"/>
  <c r="J31" i="33"/>
  <c r="B31" i="33"/>
  <c r="N30" i="33"/>
  <c r="M30" i="33"/>
  <c r="J30" i="33"/>
  <c r="B30" i="33"/>
  <c r="N29" i="33"/>
  <c r="M29" i="33"/>
  <c r="J29" i="33"/>
  <c r="B29" i="33"/>
  <c r="N28" i="33"/>
  <c r="M28" i="33"/>
  <c r="J28" i="33"/>
  <c r="B28" i="33"/>
  <c r="N27" i="33"/>
  <c r="M27" i="33"/>
  <c r="J27" i="33"/>
  <c r="B27" i="33"/>
  <c r="K24" i="33"/>
  <c r="N23" i="33"/>
  <c r="M23" i="33"/>
  <c r="L23" i="33"/>
  <c r="J23" i="33"/>
  <c r="N22" i="33"/>
  <c r="M22" i="33"/>
  <c r="L22" i="33"/>
  <c r="J22" i="33"/>
  <c r="J24" i="33" s="1"/>
  <c r="N20" i="33"/>
  <c r="M20" i="33"/>
  <c r="L20" i="33"/>
  <c r="N19" i="33"/>
  <c r="M19" i="33"/>
  <c r="N18" i="33"/>
  <c r="M18" i="33"/>
  <c r="L18" i="33"/>
  <c r="N17" i="33"/>
  <c r="M17" i="33"/>
  <c r="N16" i="33"/>
  <c r="M16" i="33"/>
  <c r="L16" i="33"/>
  <c r="N15" i="33"/>
  <c r="M15" i="33"/>
  <c r="L15" i="33"/>
  <c r="N14" i="33"/>
  <c r="M14" i="33"/>
  <c r="L14" i="33"/>
  <c r="N13" i="33"/>
  <c r="M13" i="33"/>
  <c r="L13" i="33"/>
  <c r="N12" i="33"/>
  <c r="M12" i="33"/>
  <c r="L12" i="33"/>
  <c r="N11" i="33"/>
  <c r="M11" i="33"/>
  <c r="L11" i="33"/>
  <c r="N10" i="33"/>
  <c r="M10" i="33"/>
  <c r="L10" i="33"/>
  <c r="N9" i="33"/>
  <c r="M9" i="33"/>
  <c r="L9" i="33"/>
  <c r="N8" i="33"/>
  <c r="M8" i="33"/>
  <c r="N7" i="33"/>
  <c r="M7" i="33"/>
  <c r="J6" i="33"/>
  <c r="G2" i="33"/>
  <c r="K92" i="32"/>
  <c r="M122" i="33" l="1"/>
  <c r="J64" i="33"/>
  <c r="L64" i="33" s="1"/>
  <c r="L96" i="33"/>
  <c r="L60" i="27"/>
  <c r="L69" i="27"/>
  <c r="N105" i="33"/>
  <c r="N114" i="33"/>
  <c r="L114" i="33"/>
  <c r="J26" i="33"/>
  <c r="N73" i="33"/>
  <c r="M82" i="33"/>
  <c r="L45" i="27"/>
  <c r="L122" i="33"/>
  <c r="M44" i="33"/>
  <c r="J73" i="33"/>
  <c r="L73" i="33" s="1"/>
  <c r="M96" i="33"/>
  <c r="N96" i="33"/>
  <c r="M24" i="33"/>
  <c r="J44" i="33"/>
  <c r="L44" i="33" s="1"/>
  <c r="N82" i="33"/>
  <c r="L105" i="33"/>
  <c r="N44" i="33"/>
  <c r="B125" i="33"/>
  <c r="J125" i="33" s="1"/>
  <c r="J3" i="33" s="1"/>
  <c r="M64" i="33"/>
  <c r="N64" i="33"/>
  <c r="M73" i="33"/>
  <c r="J82" i="33"/>
  <c r="L82" i="33" s="1"/>
  <c r="M105" i="33"/>
  <c r="M114" i="33"/>
  <c r="N122" i="33"/>
  <c r="P3" i="33"/>
  <c r="R135" i="33"/>
  <c r="R136" i="33" s="1"/>
  <c r="N24" i="33"/>
  <c r="L24" i="33"/>
  <c r="K125" i="33"/>
  <c r="K127" i="33"/>
  <c r="R138" i="33" l="1"/>
  <c r="M125" i="33"/>
  <c r="M3" i="33" s="1"/>
  <c r="K126" i="33"/>
  <c r="K128" i="33" s="1"/>
  <c r="K3" i="33" s="1"/>
  <c r="G3" i="33" s="1"/>
  <c r="N125" i="33"/>
  <c r="N3" i="33" s="1"/>
  <c r="U132" i="32"/>
  <c r="U131" i="32"/>
  <c r="T131" i="32"/>
  <c r="S131" i="32"/>
  <c r="U130" i="32"/>
  <c r="T130" i="32"/>
  <c r="S130" i="32"/>
  <c r="U129" i="32"/>
  <c r="T129" i="32"/>
  <c r="S129" i="32"/>
  <c r="U128" i="32"/>
  <c r="T128" i="32"/>
  <c r="L116" i="32"/>
  <c r="K116" i="32"/>
  <c r="R115" i="32"/>
  <c r="Q115" i="32"/>
  <c r="R114" i="32"/>
  <c r="Q114" i="32"/>
  <c r="R113" i="32"/>
  <c r="Q113" i="32"/>
  <c r="R112" i="32"/>
  <c r="Q112" i="32"/>
  <c r="R111" i="32"/>
  <c r="Q111" i="32"/>
  <c r="K108" i="32"/>
  <c r="O108" i="32" s="1"/>
  <c r="R107" i="32"/>
  <c r="Q107" i="32"/>
  <c r="R106" i="32"/>
  <c r="Q106" i="32"/>
  <c r="R105" i="32"/>
  <c r="Q105" i="32"/>
  <c r="R104" i="32"/>
  <c r="Q104" i="32"/>
  <c r="R103" i="32"/>
  <c r="Q103" i="32"/>
  <c r="R102" i="32"/>
  <c r="Q102" i="32"/>
  <c r="K101" i="32"/>
  <c r="L99" i="32"/>
  <c r="R98" i="32"/>
  <c r="Q98" i="32"/>
  <c r="K99" i="32"/>
  <c r="B98" i="32"/>
  <c r="R97" i="32"/>
  <c r="Q97" i="32"/>
  <c r="R96" i="32"/>
  <c r="Q96" i="32"/>
  <c r="R95" i="32"/>
  <c r="Q95" i="32"/>
  <c r="L92" i="32"/>
  <c r="O92" i="32" s="1"/>
  <c r="R91" i="32"/>
  <c r="Q91" i="32"/>
  <c r="R88" i="32"/>
  <c r="Q88" i="32"/>
  <c r="R87" i="32"/>
  <c r="Q87" i="32"/>
  <c r="R86" i="32"/>
  <c r="Q86" i="32"/>
  <c r="R85" i="32"/>
  <c r="Q85" i="32"/>
  <c r="R84" i="32"/>
  <c r="Q84" i="32"/>
  <c r="B84" i="32"/>
  <c r="R82" i="32"/>
  <c r="Q82" i="32"/>
  <c r="K82" i="32"/>
  <c r="R81" i="32"/>
  <c r="Q81" i="32"/>
  <c r="K81" i="32"/>
  <c r="R80" i="32"/>
  <c r="Q80" i="32"/>
  <c r="R79" i="32"/>
  <c r="Q79" i="32"/>
  <c r="K79" i="32"/>
  <c r="L76" i="32"/>
  <c r="R75" i="32"/>
  <c r="Q75" i="32"/>
  <c r="R74" i="32"/>
  <c r="Q74" i="32"/>
  <c r="R73" i="32"/>
  <c r="Q73" i="32"/>
  <c r="K73" i="32"/>
  <c r="R72" i="32"/>
  <c r="Q72" i="32"/>
  <c r="K72" i="32"/>
  <c r="R71" i="32"/>
  <c r="Q71" i="32"/>
  <c r="K71" i="32"/>
  <c r="R70" i="32"/>
  <c r="Q70" i="32"/>
  <c r="K70" i="32"/>
  <c r="R61" i="32"/>
  <c r="Q61" i="32"/>
  <c r="R60" i="32"/>
  <c r="Q60" i="32"/>
  <c r="R59" i="32"/>
  <c r="Q59" i="32"/>
  <c r="R58" i="32"/>
  <c r="Q58" i="32"/>
  <c r="R57" i="32"/>
  <c r="Q57" i="32"/>
  <c r="L53" i="32"/>
  <c r="R52" i="32"/>
  <c r="Q52" i="32"/>
  <c r="R51" i="32"/>
  <c r="Q51" i="32"/>
  <c r="R50" i="32"/>
  <c r="Q50" i="32"/>
  <c r="R49" i="32"/>
  <c r="Q49" i="32"/>
  <c r="K48" i="32"/>
  <c r="L45" i="32"/>
  <c r="R44" i="32"/>
  <c r="Q44" i="32"/>
  <c r="R43" i="32"/>
  <c r="Q43" i="32"/>
  <c r="R42" i="32"/>
  <c r="Q42" i="32"/>
  <c r="R41" i="32"/>
  <c r="Q41" i="32"/>
  <c r="R40" i="32"/>
  <c r="Q40" i="32"/>
  <c r="R39" i="32"/>
  <c r="Q39" i="32"/>
  <c r="R38" i="32"/>
  <c r="Q38" i="32"/>
  <c r="R37" i="32"/>
  <c r="Q37" i="32"/>
  <c r="R36" i="32"/>
  <c r="Q36" i="32"/>
  <c r="R35" i="32"/>
  <c r="Q35" i="32"/>
  <c r="R34" i="32"/>
  <c r="Q34" i="32"/>
  <c r="R33" i="32"/>
  <c r="Q33" i="32"/>
  <c r="R32" i="32"/>
  <c r="Q32" i="32"/>
  <c r="R31" i="32"/>
  <c r="Q31" i="32"/>
  <c r="R30" i="32"/>
  <c r="Q30" i="32"/>
  <c r="R29" i="32"/>
  <c r="Q29" i="32"/>
  <c r="R28" i="32"/>
  <c r="Q28" i="32"/>
  <c r="L25" i="32"/>
  <c r="R24" i="32"/>
  <c r="Q24" i="32"/>
  <c r="R23" i="32"/>
  <c r="Q23" i="32"/>
  <c r="K25" i="32"/>
  <c r="R21" i="32"/>
  <c r="Q21" i="32"/>
  <c r="R20" i="32"/>
  <c r="Q20" i="32"/>
  <c r="R19" i="32"/>
  <c r="Q19" i="32"/>
  <c r="R18" i="32"/>
  <c r="Q18" i="32"/>
  <c r="R17" i="32"/>
  <c r="Q17" i="32"/>
  <c r="R16" i="32"/>
  <c r="Q16" i="32"/>
  <c r="R15" i="32"/>
  <c r="Q15" i="32"/>
  <c r="R13" i="32"/>
  <c r="Q13" i="32"/>
  <c r="R12" i="32"/>
  <c r="Q12" i="32"/>
  <c r="R11" i="32"/>
  <c r="Q11" i="32"/>
  <c r="R10" i="32"/>
  <c r="Q10" i="32"/>
  <c r="R9" i="32"/>
  <c r="Q9" i="32"/>
  <c r="R8" i="32"/>
  <c r="Q8" i="32"/>
  <c r="R7" i="32"/>
  <c r="Q7" i="32"/>
  <c r="K94" i="32" l="1"/>
  <c r="B119" i="32"/>
  <c r="O99" i="32"/>
  <c r="O25" i="32"/>
  <c r="L121" i="32"/>
  <c r="O116" i="32"/>
  <c r="Q67" i="32"/>
  <c r="R67" i="32"/>
  <c r="K78" i="32"/>
  <c r="R116" i="32"/>
  <c r="Q99" i="32"/>
  <c r="K53" i="32"/>
  <c r="O53" i="32" s="1"/>
  <c r="Q116" i="32"/>
  <c r="R108" i="32"/>
  <c r="R99" i="32"/>
  <c r="Q108" i="32"/>
  <c r="V129" i="32"/>
  <c r="V130" i="32" s="1"/>
  <c r="R76" i="32"/>
  <c r="Q76" i="32"/>
  <c r="L119" i="32"/>
  <c r="Q92" i="32"/>
  <c r="R92" i="32"/>
  <c r="K69" i="32"/>
  <c r="K76" i="32"/>
  <c r="O76" i="32" s="1"/>
  <c r="R45" i="32"/>
  <c r="Q45" i="32"/>
  <c r="R25" i="32"/>
  <c r="Q25" i="32"/>
  <c r="K27" i="32"/>
  <c r="K45" i="32"/>
  <c r="O45" i="32" s="1"/>
  <c r="R53" i="32"/>
  <c r="Q53" i="32"/>
  <c r="AB14" i="27"/>
  <c r="AC14" i="27"/>
  <c r="AP49" i="32" l="1"/>
  <c r="AL16" i="32" s="1"/>
  <c r="AR49" i="32"/>
  <c r="AL18" i="32" s="1"/>
  <c r="U3" i="32" s="1"/>
  <c r="AS49" i="32"/>
  <c r="AL19" i="32" s="1"/>
  <c r="V3" i="32" s="1"/>
  <c r="AQ49" i="32"/>
  <c r="K119" i="32" s="1"/>
  <c r="K3" i="32" s="1"/>
  <c r="V132" i="32"/>
  <c r="T3" i="32" s="1"/>
  <c r="K114" i="27"/>
  <c r="AC17" i="27"/>
  <c r="AB17" i="27"/>
  <c r="AC13" i="27"/>
  <c r="AB13" i="27"/>
  <c r="AC12" i="27"/>
  <c r="AB12" i="27"/>
  <c r="AC11" i="27"/>
  <c r="AB11" i="27"/>
  <c r="AC10" i="27"/>
  <c r="AB10" i="27"/>
  <c r="AC9" i="27"/>
  <c r="AB9" i="27"/>
  <c r="AC8" i="27"/>
  <c r="AB8" i="27"/>
  <c r="AC7" i="27"/>
  <c r="AB7" i="27"/>
  <c r="G2" i="27"/>
  <c r="L120" i="32" l="1"/>
  <c r="L122" i="32" s="1"/>
  <c r="L3" i="32" s="1"/>
  <c r="G3" i="32" s="1"/>
  <c r="M3" i="32"/>
  <c r="AL17" i="32"/>
  <c r="R119" i="32"/>
  <c r="R3" i="32" s="1"/>
  <c r="Q119" i="32"/>
  <c r="Q3" i="32" s="1"/>
  <c r="B112" i="27"/>
  <c r="J112" i="27" s="1"/>
  <c r="J3" i="27" s="1"/>
  <c r="X15" i="27" l="1"/>
  <c r="AB16" i="27" s="1"/>
  <c r="AB18" i="27" s="1"/>
  <c r="K113" i="27"/>
  <c r="K115" i="27" s="1"/>
  <c r="K3" i="27" s="1"/>
  <c r="G3" i="27" s="1"/>
  <c r="AC16" i="27" l="1"/>
  <c r="AC18"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Walmsley</author>
    <author>Edwin Chu</author>
    <author>Deejan Ferrao</author>
    <author>Karl Desai</author>
    <author>Ulises Demeneghi Cervantes</author>
  </authors>
  <commentList>
    <comment ref="K2" authorId="0" shapeId="0" xr:uid="{518985D9-3EF9-49F3-90A4-842B0FFF8DE8}">
      <text>
        <r>
          <rPr>
            <sz val="9"/>
            <color indexed="81"/>
            <rFont val="Tahoma"/>
            <family val="2"/>
          </rPr>
          <t>This is the total points available minus the total points claimed as 'Not Applicable' by the project team. This section DOES NOT include the 10 points available in the Innovation Category.</t>
        </r>
      </text>
    </comment>
    <comment ref="M2" authorId="1" shapeId="0" xr:uid="{4836070C-0075-4D8A-BBFB-7786B9877195}">
      <text>
        <r>
          <rPr>
            <sz val="12"/>
            <color indexed="81"/>
            <rFont val="Arial"/>
            <family val="2"/>
            <scheme val="major"/>
          </rPr>
          <t>This is the total number of points that have been claimed as 'Not applicable' by the project team including: 
1. Available NA Credits as selected in the 'Building Input Sheet'
2. Type C credits that have been targeted in line with the Fitout Scope guidance document.</t>
        </r>
      </text>
    </comment>
    <comment ref="U2" authorId="2" shapeId="0" xr:uid="{FD6E6412-0FF3-4AA6-882F-BA37428AEADE}">
      <text>
        <r>
          <rPr>
            <sz val="12"/>
            <color indexed="81"/>
            <rFont val="Arial"/>
            <family val="2"/>
            <scheme val="major"/>
          </rPr>
          <t>This is the total points that have been awarded as 'Not Applicable' by the Certified Assessor. This includes:
1. Available NA Credits as selected in the 'Building Input Sheet' and awarded by the Certified Assessor.
2. Type C credits that have been targeted in line with the Fitout Scope guidance document and awarded by the Certified Assessor.</t>
        </r>
      </text>
    </comment>
    <comment ref="V2" authorId="2" shapeId="0" xr:uid="{84BCEA66-8FAE-4F1F-B396-3A4F36432925}">
      <text>
        <r>
          <rPr>
            <sz val="12"/>
            <color indexed="81"/>
            <rFont val="Arial"/>
            <family val="2"/>
            <scheme val="major"/>
          </rPr>
          <t xml:space="preserve">This is the total 'Not Applicable' points that have NOT been awarded by the Certified Assessor. This includes:
1. Available NA credits that have been targeted and  NOT awarded. 
2. Type C credits that have been targeted and NOT awarded. </t>
        </r>
      </text>
    </comment>
    <comment ref="L120" authorId="3" shapeId="0" xr:uid="{1EA09875-0032-461A-98CA-2EF9F7F91B48}">
      <text>
        <r>
          <rPr>
            <sz val="11"/>
            <color indexed="81"/>
            <rFont val="Arial"/>
            <family val="2"/>
          </rPr>
          <t xml:space="preserve">This is the number of points targeted divided by the number of points available. </t>
        </r>
      </text>
    </comment>
    <comment ref="L122" authorId="3" shapeId="0" xr:uid="{FB3A51F8-2605-4701-8FFC-51D3570F62C4}">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 ref="S129" authorId="4" shapeId="0" xr:uid="{0A1ED18A-3EBC-4CAC-9E4E-272DA04ED970}">
      <text>
        <r>
          <rPr>
            <b/>
            <sz val="10"/>
            <color indexed="81"/>
            <rFont val="Tahoma"/>
            <family val="2"/>
          </rPr>
          <t xml:space="preserve">Ulises Demeneghi: Changed interval to exclude innovation points
</t>
        </r>
      </text>
    </comment>
    <comment ref="S130" authorId="4" shapeId="0" xr:uid="{7CBD6077-E851-45C9-8AF3-24A771035944}">
      <text>
        <r>
          <rPr>
            <b/>
            <sz val="10"/>
            <color indexed="81"/>
            <rFont val="Tahoma"/>
            <family val="2"/>
          </rPr>
          <t xml:space="preserve">Ulises Demeneghi: Changed interval to exclude innovation points
</t>
        </r>
      </text>
    </comment>
    <comment ref="S131" authorId="4" shapeId="0" xr:uid="{B78E0F54-C5AB-4A94-9A5A-EEDC7E2A9FEC}">
      <text>
        <r>
          <rPr>
            <b/>
            <sz val="10"/>
            <color indexed="81"/>
            <rFont val="Tahoma"/>
            <family val="2"/>
          </rPr>
          <t xml:space="preserve">Ulises Demeneghi: Changed interval to exclude innovation points
</t>
        </r>
      </text>
    </comment>
    <comment ref="U131" authorId="4" shapeId="0" xr:uid="{D50679A0-111F-478D-9DAA-5C94E3EFDFB9}">
      <text>
        <r>
          <rPr>
            <b/>
            <sz val="10"/>
            <color indexed="81"/>
            <rFont val="Tahoma"/>
            <family val="2"/>
          </rPr>
          <t xml:space="preserve">Ulises Demeneghi: Changed interval to exclude innovation points
</t>
        </r>
      </text>
    </comment>
    <comment ref="V132" authorId="4" shapeId="0" xr:uid="{E5BAF219-DB68-4381-B3E9-B3D586281540}">
      <text>
        <r>
          <rPr>
            <b/>
            <sz val="10"/>
            <color indexed="81"/>
            <rFont val="Tahoma"/>
            <family val="2"/>
          </rPr>
          <t xml:space="preserve">Ulises Demeneghi </t>
        </r>
        <r>
          <rPr>
            <sz val="10"/>
            <color indexed="81"/>
            <rFont val="Tahoma"/>
            <family val="2"/>
          </rPr>
          <t xml:space="preserve">
Corrected formula according to the one in Interiors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Walmsley</author>
    <author>Edwin Chu</author>
    <author>Deejan Ferrao</author>
    <author>Karl Desai</author>
    <author>Ulises Demeneghi Cervantes</author>
  </authors>
  <commentList>
    <comment ref="K2" authorId="0" shapeId="0" xr:uid="{5B647B10-B772-4EDD-B821-12561FEB9827}">
      <text>
        <r>
          <rPr>
            <sz val="9"/>
            <color indexed="81"/>
            <rFont val="Tahoma"/>
            <family val="2"/>
          </rPr>
          <t>This is the total points available minus the total points claimed as 'Not Applicable' by the project team. This section DOES NOT include the 10 points available in the Innovation Category.</t>
        </r>
      </text>
    </comment>
    <comment ref="M2" authorId="1" shapeId="0" xr:uid="{9A00F959-89C9-403A-ACEC-AA6D1A5A1F28}">
      <text>
        <r>
          <rPr>
            <sz val="12"/>
            <color indexed="81"/>
            <rFont val="Arial"/>
            <family val="2"/>
            <scheme val="major"/>
          </rPr>
          <t>This is the total number of points that have been claimed as 'Not applicable' by the project team including: 
1. Available NA Credits as selected in the 'Building Input Sheet'
2. Type C credits that have been targeted in line with the Fitout Scope guidance document.</t>
        </r>
      </text>
    </comment>
    <comment ref="U2" authorId="2" shapeId="0" xr:uid="{528E37E4-D17A-4439-B455-AE7B5D2B2C36}">
      <text>
        <r>
          <rPr>
            <sz val="12"/>
            <color indexed="81"/>
            <rFont val="Arial"/>
            <family val="2"/>
            <scheme val="major"/>
          </rPr>
          <t>This is the total points that have been awarded as 'Not Applicable' by the Certified Assessor. This includes:
1. Available NA Credits as selected in the 'Building Input Sheet' and awarded by the Certified Assessor.
2. Type C credits that have been targeted in line with the Fitout Scope guidance document and awarded by the Certified Assessor.</t>
        </r>
      </text>
    </comment>
    <comment ref="V2" authorId="2" shapeId="0" xr:uid="{5FFB4E44-85DD-463D-AD42-D75AFA07A284}">
      <text>
        <r>
          <rPr>
            <sz val="12"/>
            <color indexed="81"/>
            <rFont val="Arial"/>
            <family val="2"/>
            <scheme val="major"/>
          </rPr>
          <t xml:space="preserve">This is the total 'Not Applicable' points that have NOT been awarded by the Certified Assessor. This includes:
1. Available NA credits that have been targeted and  NOT awarded. 
2. Type C credits that have been targeted and NOT awarded. </t>
        </r>
      </text>
    </comment>
    <comment ref="L120" authorId="3" shapeId="0" xr:uid="{00000000-0006-0000-0400-000001000000}">
      <text>
        <r>
          <rPr>
            <sz val="11"/>
            <color indexed="81"/>
            <rFont val="Arial"/>
            <family val="2"/>
          </rPr>
          <t xml:space="preserve">This is the number of points targeted divided by the number of points available. </t>
        </r>
      </text>
    </comment>
    <comment ref="L122" authorId="3" shapeId="0" xr:uid="{00000000-0006-0000-0400-00000200000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 ref="S129" authorId="4" shapeId="0" xr:uid="{00000000-0006-0000-0400-000003000000}">
      <text>
        <r>
          <rPr>
            <b/>
            <sz val="10"/>
            <color indexed="81"/>
            <rFont val="Tahoma"/>
            <family val="2"/>
          </rPr>
          <t xml:space="preserve">Ulises Demeneghi: Changed interval to exclude innovation points
</t>
        </r>
      </text>
    </comment>
    <comment ref="S130" authorId="4" shapeId="0" xr:uid="{00000000-0006-0000-0400-000004000000}">
      <text>
        <r>
          <rPr>
            <b/>
            <sz val="10"/>
            <color indexed="81"/>
            <rFont val="Tahoma"/>
            <family val="2"/>
          </rPr>
          <t xml:space="preserve">Ulises Demeneghi: Changed interval to exclude innovation points
</t>
        </r>
      </text>
    </comment>
    <comment ref="S131" authorId="4" shapeId="0" xr:uid="{00000000-0006-0000-0400-000005000000}">
      <text>
        <r>
          <rPr>
            <b/>
            <sz val="10"/>
            <color indexed="81"/>
            <rFont val="Tahoma"/>
            <family val="2"/>
          </rPr>
          <t xml:space="preserve">Ulises Demeneghi: Changed interval to exclude innovation points
</t>
        </r>
      </text>
    </comment>
    <comment ref="U131" authorId="4" shapeId="0" xr:uid="{00000000-0006-0000-0400-000006000000}">
      <text>
        <r>
          <rPr>
            <b/>
            <sz val="10"/>
            <color indexed="81"/>
            <rFont val="Tahoma"/>
            <family val="2"/>
          </rPr>
          <t xml:space="preserve">Ulises Demeneghi: Changed interval to exclude innovation points
</t>
        </r>
      </text>
    </comment>
    <comment ref="V132" authorId="4" shapeId="0" xr:uid="{00000000-0006-0000-0400-000007000000}">
      <text>
        <r>
          <rPr>
            <b/>
            <sz val="10"/>
            <color indexed="81"/>
            <rFont val="Tahoma"/>
            <family val="2"/>
          </rPr>
          <t xml:space="preserve">Ulises Demeneghi </t>
        </r>
        <r>
          <rPr>
            <sz val="10"/>
            <color indexed="81"/>
            <rFont val="Tahoma"/>
            <family val="2"/>
          </rPr>
          <t xml:space="preserve">
Corrected formula according to the one in Interiors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K113" authorId="0" shapeId="0" xr:uid="{00000000-0006-0000-0600-000001000000}">
      <text>
        <r>
          <rPr>
            <sz val="11"/>
            <color indexed="81"/>
            <rFont val="Arial"/>
            <family val="2"/>
          </rPr>
          <t xml:space="preserve">This is the number of points targeted divided by the number of points available. </t>
        </r>
      </text>
    </comment>
    <comment ref="K115" authorId="0" shapeId="0" xr:uid="{00000000-0006-0000-0600-00000200000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 Desai</author>
    <author>Ulises Demeneghi Cervantes</author>
  </authors>
  <commentList>
    <comment ref="K126" authorId="0" shapeId="0" xr:uid="{00000000-0006-0000-0500-000001000000}">
      <text>
        <r>
          <rPr>
            <sz val="11"/>
            <color indexed="81"/>
            <rFont val="Arial"/>
            <family val="2"/>
          </rPr>
          <t xml:space="preserve">This is the number of points targeted divided by the number of points available. </t>
        </r>
      </text>
    </comment>
    <comment ref="K128" authorId="0" shapeId="0" xr:uid="{00000000-0006-0000-0500-00000200000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 ref="O135" authorId="1" shapeId="0" xr:uid="{00000000-0006-0000-0500-000003000000}">
      <text>
        <r>
          <rPr>
            <b/>
            <sz val="10"/>
            <color indexed="81"/>
            <rFont val="Tahoma"/>
            <family val="2"/>
          </rPr>
          <t xml:space="preserve">Ulises Demeneghi: Changed interval to exclude innovation points
</t>
        </r>
      </text>
    </comment>
    <comment ref="O136" authorId="1" shapeId="0" xr:uid="{00000000-0006-0000-0500-000004000000}">
      <text>
        <r>
          <rPr>
            <b/>
            <sz val="10"/>
            <color indexed="81"/>
            <rFont val="Tahoma"/>
            <family val="2"/>
          </rPr>
          <t xml:space="preserve">Ulises Demeneghi: Changed interval to exclude innovation points
</t>
        </r>
      </text>
    </comment>
    <comment ref="O137" authorId="1" shapeId="0" xr:uid="{00000000-0006-0000-0500-000005000000}">
      <text>
        <r>
          <rPr>
            <b/>
            <sz val="10"/>
            <color indexed="81"/>
            <rFont val="Tahoma"/>
            <family val="2"/>
          </rPr>
          <t xml:space="preserve">Ulises Demeneghi: Changed interval to exclude innovation points
</t>
        </r>
      </text>
    </comment>
    <comment ref="Q137" authorId="1" shapeId="0" xr:uid="{00000000-0006-0000-0500-000006000000}">
      <text>
        <r>
          <rPr>
            <b/>
            <sz val="10"/>
            <color indexed="81"/>
            <rFont val="Tahoma"/>
            <family val="2"/>
          </rPr>
          <t xml:space="preserve">Ulises Demeneghi: Changed interval to exclude innovation points
</t>
        </r>
      </text>
    </comment>
    <comment ref="R138" authorId="1" shapeId="0" xr:uid="{00000000-0006-0000-0500-000007000000}">
      <text>
        <r>
          <rPr>
            <b/>
            <sz val="10"/>
            <color indexed="81"/>
            <rFont val="Tahoma"/>
            <family val="2"/>
          </rPr>
          <t xml:space="preserve">Ulises Demeneghi </t>
        </r>
        <r>
          <rPr>
            <sz val="10"/>
            <color indexed="81"/>
            <rFont val="Tahoma"/>
            <family val="2"/>
          </rPr>
          <t xml:space="preserve">
Corrected formula according to the one in Interiors</t>
        </r>
      </text>
    </comment>
  </commentList>
</comments>
</file>

<file path=xl/sharedStrings.xml><?xml version="1.0" encoding="utf-8"?>
<sst xmlns="http://schemas.openxmlformats.org/spreadsheetml/2006/main" count="1724" uniqueCount="457">
  <si>
    <t>Disclaimer, Authorisation and Acknowledgment</t>
  </si>
  <si>
    <t>Change Log</t>
  </si>
  <si>
    <t xml:space="preserve">Please ensure that you use the most up to date version of Green Star NZ scorecards. They are routinely updated, and using the most current version will make filling in your scorecard easier, clearer and accurate.
</t>
  </si>
  <si>
    <t>Scorecard Release</t>
  </si>
  <si>
    <t>Summary of Changes</t>
  </si>
  <si>
    <t>Green Star - Design &amp; As Built NZv1.0</t>
  </si>
  <si>
    <t>Initial release.</t>
  </si>
  <si>
    <t xml:space="preserve">Adding pathways/options set out by the Green Star Design &amp; As Built Guidance for industrial projects </t>
  </si>
  <si>
    <t xml:space="preserve">Enabling % of NA claim according to the Fitout Scope Guidance </t>
  </si>
  <si>
    <t>Instructions</t>
  </si>
  <si>
    <t>Definitions</t>
  </si>
  <si>
    <t xml:space="preserve">Use the tabs at the bottom of the worksheets to navigate. 
     1. Fill in the appropriate Scorecard based on the stage of the project (either Design Review or As Built).
     2. Fill in the targeted points in the ‘Points Targeted’ column.
     3. Conditional Requirements in the 'Greenhouse Gas Emissions' and 'Sustainable Sites' credits, and the minimum requirements in other credits, are required to be selected as 'Complies'.
     4. Credits which have multiple compliance pathways are listed below. Pathways for these credits need to be selected in order to unlock the associated criteria.  
Credits which have alternative compliance pathways:      
• Operational Waste
• Peak Electricity Demand Reduction
• Potable Water
• Sustainable Transport 
• Life Cycle Assessment/Impacts
• Construction and Demolition Waste
</t>
  </si>
  <si>
    <t xml:space="preserve">The classifications of Points Targeted, Awarded, Available, Not Applicable, and Project Score used in the scorecard are defined below:
Points Available (Targeted) - This is the total points available minus the total points claimed as 'Not Applicable' by the project team. This section DOES NOT include the 10 points available in the Innovation Category.
Points Available (Awarded) - This is the total points available minus the 'Not Applicable' credit points awarded by the Certified Assessor.
This DOES NOT include the Innovation points that have been awarded.
Project Score (Targeted) - This is points targeted by the project team plus the total points targeted in the Innovation category.
Project Score (Awarded) - This is the final score awarded to the project. It is a summation of the percentage of points awarded and the total Innovation points awarded i.e. Project score = (Points Awarded / Points Available (Awarded)) * 100 + Innovation Points.
Points TBC - This is the total points that have NOT been awarded. This section also includes Innovation points that have NOT been awarded.
NA Targeted - This is the total number of points that have been claimed as 'Not applicable' by the project team including: 
   1. Available NA Credits as selected in the 'Building Input Sheet'
   2. Type C credits that have been targeted in line with the Fitout Scope guidance document.
NA Awarded - This is the total points that have been awarded as 'Not Applicable' by the Certified Assessor. This includes:
   1. Available NA Credits as selected in the 'Building Input Sheet' and awarded by the Certified Assessor.
   2. Type C credits that have been targeted in line with the Fitout Scope guidance document and awarded by the Certified Assessor.
NA TBC - This is the total 'Not Applicable' points that have NOT been awarded by the Certified Assessor. This includes:
   1. Available NA credits that have been targeted and  NOT awarded. 
   2. Type C credits that have been targeted and NOT awarded. </t>
  </si>
  <si>
    <t>Important Notes</t>
  </si>
  <si>
    <r>
      <rPr>
        <b/>
        <sz val="10"/>
        <color rgb="FF000000"/>
        <rFont val="Arial"/>
        <family val="2"/>
        <scheme val="minor"/>
      </rPr>
      <t xml:space="preserve">
</t>
    </r>
    <r>
      <rPr>
        <sz val="10"/>
        <color rgb="FF000000"/>
        <rFont val="Arial"/>
        <family val="2"/>
        <scheme val="minor"/>
      </rPr>
      <t>• As stated in the Submission Guidelines, some criteria will be considered 'Not Applicable' for certain projects. These credits have a check box in the 'N/A' column of the Scorecard. Criteria should only be selected as 'N/A' where NZGBC approval has been granted. If a criteria is approved as 'Not Applicable', please select the relevant tick box under the 'N/A' column. This will affect the total number of points available and the project's final score. 
• Some credits contain multiple pathways. In these cases project teams are required to select the pathway they have chosen to follow, in doing so the relevant criteria for that pathway will be ‘unlocked’ within the spreadsheet.
• The total number of points within each category is indicated in the headings row at the top of the category. The number of points able to be targeted by the project is dependent on the relevant pathways selected by the project team. The numbers of points able to be targeted are shown in the totals row at the bottom of the category.
EXAMPLE: there are 22 points available in the Energy category. A maximum of 20 points are available for the ‘Greenhouse Gas Emissions’ credit and a maximum of 2 points are available for the ‘Peak Electricity Demand Reduction’ credit. 
If the Reference Building Pathway (15.2) is chosen for the 'Greenhouse Gas Emissions' credit (20 points available) and the Prescriptive Pathway (16A) is chosen for the 'Peak Energy Demand' credit (1 point available), the total number of points able to be targeted by the project will be 21. However, the total number of points available in the category remains at 22 points.</t>
    </r>
    <r>
      <rPr>
        <sz val="10"/>
        <color rgb="FF000000"/>
        <rFont val="Arial"/>
        <family val="2"/>
      </rPr>
      <t xml:space="preserve">
</t>
    </r>
  </si>
  <si>
    <t>Clarification of Assessment Comments</t>
  </si>
  <si>
    <t>A section has been provided within the scorecard worksheet to enable project teams to query assessment comments prior to the following round of assessment. The three types of queries that may be submitted are:
     1. Clarifying the documentation requested in the assessment comment. 
     2. Clarifying apparent inconsistencies between the assessment comment and the Submission Guideline's requirements.
     3. Documentation was included but missed during the assessment.
This section is hidden prior to the project's assessment. The section will be unhidden when project teams receive their project's assessment results.</t>
  </si>
  <si>
    <t>Integrated Fitout and Cold Shell Spaces</t>
  </si>
  <si>
    <r>
      <rPr>
        <b/>
        <sz val="10"/>
        <rFont val="Arial"/>
        <family val="2"/>
      </rPr>
      <t>Building Input Sheet</t>
    </r>
    <r>
      <rPr>
        <sz val="10"/>
        <rFont val="Arial"/>
        <family val="2"/>
      </rPr>
      <t xml:space="preserve">
A section has been provided within the Building Input Sheet to enable project teams to identify the amount of space within the project which is being delivered as 'Cold Shell' or 'Integrated Fitout'.
     1. Enter the total amount of Primary and Secondary Spaces within the project
     2. Enter the total amount of Primary and Secondary Spaces within the project being delivered as Cold Shell.
     3. Enter the total amount of Primary and Secondary Spaces within the project being delivered as Integrated Fitout.
     3. Complete table for Integrated Fitout where full compliance is being sort for Integrated Fitout Areas.
The number of points available are for cold shell spaces and integrated fitout are based upon the ratio determined by the above inputs. The remaining points are able to be claimed as 'Not Applicable' within the Design Review and As Built Scorecard sheets. 
Note: If the points claimed in the Scorecard has been populated and the Cold Shell percentage changes, the Scorecard inputs will need to be manually updated
Refer to the 'Green Star – Design &amp; As Built Fitout Scope: Guidance for Integrated, Cold Shell and Warm Shell Fitouts' document for further guidance on Primary and Secondary spaces in a building being delivered as Cold Shell or Integrated Fitout. </t>
    </r>
  </si>
  <si>
    <t>x</t>
  </si>
  <si>
    <t xml:space="preserve">Building Input </t>
  </si>
  <si>
    <t>NSW</t>
  </si>
  <si>
    <t>Name of Building:</t>
  </si>
  <si>
    <t>ACT</t>
  </si>
  <si>
    <t>Address of Building:</t>
  </si>
  <si>
    <t>NT</t>
  </si>
  <si>
    <t>QLD</t>
  </si>
  <si>
    <t>SA</t>
  </si>
  <si>
    <t>Postcode:</t>
  </si>
  <si>
    <t>TAS</t>
  </si>
  <si>
    <t>City:</t>
  </si>
  <si>
    <t>VIC</t>
  </si>
  <si>
    <t>WA</t>
  </si>
  <si>
    <t>Project Timeline</t>
  </si>
  <si>
    <t>Date (MM/YYYY)</t>
  </si>
  <si>
    <t>Site purchase date</t>
  </si>
  <si>
    <t>Start of design</t>
  </si>
  <si>
    <t>Design completed</t>
  </si>
  <si>
    <t>Start of construction</t>
  </si>
  <si>
    <t>Practical Completion</t>
  </si>
  <si>
    <t>Building Description</t>
  </si>
  <si>
    <t>Description of building</t>
  </si>
  <si>
    <r>
      <t xml:space="preserve">Industrial projects: 
</t>
    </r>
    <r>
      <rPr>
        <sz val="10"/>
        <color theme="1"/>
        <rFont val="Arial"/>
        <family val="2"/>
        <scheme val="major"/>
      </rPr>
      <t>Is the project claiming Industrial specific pathways and credits inline with the Green Star Design &amp; As Built Guidance for industrial projects document?</t>
    </r>
  </si>
  <si>
    <t>Note: Projects choosing to use Green Star Design &amp; As Built Guidance for Industrial projects cannot claim "Not Applicable" for cold shell compliance as per the Green Star – Design &amp; As Built NZv1.0 Fitout Scope: Guidance for Integrated, Cold Shell and Warm Shell Fitouts document.</t>
  </si>
  <si>
    <t>Yes</t>
  </si>
  <si>
    <t>No</t>
  </si>
  <si>
    <t>Area Listing (GFA in m²)</t>
  </si>
  <si>
    <t>Office</t>
  </si>
  <si>
    <t>Residential</t>
  </si>
  <si>
    <t>Retail</t>
  </si>
  <si>
    <t>Healthcare</t>
  </si>
  <si>
    <t>Education</t>
  </si>
  <si>
    <t>Industrial</t>
  </si>
  <si>
    <t>Other</t>
  </si>
  <si>
    <t>Total</t>
  </si>
  <si>
    <t>Applicant Details</t>
  </si>
  <si>
    <t>Applicant:</t>
  </si>
  <si>
    <t>Contact Person:</t>
  </si>
  <si>
    <t>Project Team Details</t>
  </si>
  <si>
    <t>Company/Organisation</t>
  </si>
  <si>
    <t>Acoustic Consultant</t>
  </si>
  <si>
    <t>Architect</t>
  </si>
  <si>
    <t>Building Services Engineer</t>
  </si>
  <si>
    <t>Building Surveyor</t>
  </si>
  <si>
    <t>ESD Consultant</t>
  </si>
  <si>
    <t>Landscaping Consultant</t>
  </si>
  <si>
    <t>Local Planning Authority</t>
  </si>
  <si>
    <t>Main Contractor</t>
  </si>
  <si>
    <t>Project Manager</t>
  </si>
  <si>
    <t>Quantity Surveyor</t>
  </si>
  <si>
    <t>Structural/Civil Engineer</t>
  </si>
  <si>
    <t>Credits being claimed as 'Not Applicable'</t>
  </si>
  <si>
    <t>This section is used to indicate credits or specific criteria which may not be considered relevant to the sustainability outcomes of the project. Such credits can be claimed as 'Not Applicable' below. Refer to the Submission Guidelines for more information. 
Please note that this section does not cover "Not Applicable" credits for cold shell compliance as allowed in the Green Star – Design &amp; As Built NZv1.0 Fitout Scope: Guidance for Integrated, Cold Shell and Warm Shell Fitouts document. "Not applicable" credits for cold shell compliance are separately addressed in the following sections.</t>
  </si>
  <si>
    <t>Are any credits being claimed as 'Not Applicable'?</t>
  </si>
  <si>
    <t xml:space="preserve">Please select the credits below which are "Not Applicable" for your project. </t>
  </si>
  <si>
    <t>Available 'Not Applicable' (NA) Credits</t>
  </si>
  <si>
    <t>Select Yes below</t>
  </si>
  <si>
    <t>Credit</t>
  </si>
  <si>
    <t>Code</t>
  </si>
  <si>
    <t>Credit Criteria</t>
  </si>
  <si>
    <t>Not Applicable</t>
  </si>
  <si>
    <t>Indoor Air Quality</t>
  </si>
  <si>
    <t>Ventilation System Attributes</t>
  </si>
  <si>
    <t>Provision of Outdoor Air</t>
  </si>
  <si>
    <t>Exhaust or Elimination of Pollutants</t>
  </si>
  <si>
    <t>Acoustic Comfort</t>
  </si>
  <si>
    <t>Internal Noise Levels</t>
  </si>
  <si>
    <t>Reverberation</t>
  </si>
  <si>
    <t>Acoustic Separation</t>
  </si>
  <si>
    <t>Lighting Comfort</t>
  </si>
  <si>
    <t>General Illuminance and Glare Reduction</t>
  </si>
  <si>
    <t>Surface Illuminance</t>
  </si>
  <si>
    <t>Localised Lighting Control</t>
  </si>
  <si>
    <t>Visual Comfort</t>
  </si>
  <si>
    <t>Daylight</t>
  </si>
  <si>
    <t>Views</t>
  </si>
  <si>
    <t>Indoor Pollutants</t>
  </si>
  <si>
    <t>Paints, Adhesives, Sealants and Carpets</t>
  </si>
  <si>
    <t>Engineered Wood Products</t>
  </si>
  <si>
    <t>Thermal Comfort</t>
  </si>
  <si>
    <t>Advanced Thermal Comfort</t>
  </si>
  <si>
    <t>Sustainable Transport</t>
  </si>
  <si>
    <t>17B.2</t>
  </si>
  <si>
    <t>Reduced Car Parking Provision</t>
  </si>
  <si>
    <t>17B.3</t>
  </si>
  <si>
    <t>Low Emission Vehicle Infrastructure</t>
  </si>
  <si>
    <t>Potable Water</t>
  </si>
  <si>
    <t>18B.4</t>
  </si>
  <si>
    <t>Landscape Irrigation</t>
  </si>
  <si>
    <t>18B.5</t>
  </si>
  <si>
    <t>Fire System Test Water</t>
  </si>
  <si>
    <t>Responsible Building Materials</t>
  </si>
  <si>
    <t>Structural and Reinforcing Steel</t>
  </si>
  <si>
    <t>Timber Products</t>
  </si>
  <si>
    <t>Permanent Formwork, Pipes, Flooring, Blinds and Cables</t>
  </si>
  <si>
    <t>Sustainable Sites</t>
  </si>
  <si>
    <t>Contamination and Hazardous Materials</t>
  </si>
  <si>
    <t xml:space="preserve">Refrigerant Impacts </t>
  </si>
  <si>
    <t xml:space="preserve">Note 1: Where project teams are claiming credit criteria as 'Not Applicable', project teams must provide evidence to demonstrate that the credit criteria are not applicable or not relevant to the project. The Certified Assessor will determine whether the credit criteria claimed is complaint in line with the evidence provided. 
</t>
  </si>
  <si>
    <t>Credits being claiming Full Compliance for Integrated Fitout</t>
  </si>
  <si>
    <r>
      <t xml:space="preserve">This section is used to indicate credits that are claiming Full Compliance for the Integrated Fitout Areas (i.e where the credit requirements are also being achieved by the tenant fitout). Refer to the </t>
    </r>
    <r>
      <rPr>
        <i/>
        <sz val="11"/>
        <color rgb="FF3F4450"/>
        <rFont val="Arial"/>
        <family val="2"/>
        <scheme val="major"/>
      </rPr>
      <t>Green Star – Design &amp; As Built NZv1.0 Fitout Scope: Guidance for Integrated, Cold Shell and Warm Shell Fitouts</t>
    </r>
    <r>
      <rPr>
        <sz val="11"/>
        <color rgb="FF3F4450"/>
        <rFont val="Arial"/>
        <family val="2"/>
        <scheme val="major"/>
      </rPr>
      <t xml:space="preserve"> document for more details.</t>
    </r>
  </si>
  <si>
    <t>Are any credits being claiming Full Compliance for Integrated Fitout?</t>
  </si>
  <si>
    <t>Please select the credits below which are claiming Full Compliance for Integrated Fitout for your project.</t>
  </si>
  <si>
    <t>Available Integrated Fitout Credits</t>
  </si>
  <si>
    <t xml:space="preserve">Note 2: Where project teams are claiming credit criteria as Integrated Fitout full compliance, project teams must provide evidence to demonstrate that the credit criteria is achieved in both the base building and fitout. The Certified Assessor will determine whether the credit criteria claimed is complaint in line with the evidence provided. 
</t>
  </si>
  <si>
    <t>Cold Shell and Integrated Fitout Spaces</t>
  </si>
  <si>
    <r>
      <t xml:space="preserve">This section is used to calculate the percentage of Cold Shell and Integrated Fitout spaces and determines how Type C credits will be treated for the project. 
</t>
    </r>
    <r>
      <rPr>
        <b/>
        <sz val="11"/>
        <color rgb="FF3F4450"/>
        <rFont val="Arial"/>
        <family val="2"/>
        <scheme val="major"/>
      </rPr>
      <t>IMPORTANT:</t>
    </r>
    <r>
      <rPr>
        <sz val="11"/>
        <color rgb="FF3F4450"/>
        <rFont val="Arial"/>
        <family val="2"/>
        <scheme val="major"/>
      </rPr>
      <t xml:space="preserve"> Projects which are being delivered as Cold Shell and Integrated Fitout must first complete the 'Area Definition Form' and use those outputs as the areas in the cells below. Refer to the </t>
    </r>
    <r>
      <rPr>
        <i/>
        <sz val="11"/>
        <color rgb="FF3F4450"/>
        <rFont val="Arial"/>
        <family val="2"/>
        <scheme val="major"/>
      </rPr>
      <t>Green Star – Design &amp; As Built NZv1.0 Fitout Scope: Guidance for Integrated, Cold Shell and Warm Shell Fitouts</t>
    </r>
    <r>
      <rPr>
        <sz val="11"/>
        <color rgb="FF3F4450"/>
        <rFont val="Arial"/>
        <family val="2"/>
        <scheme val="major"/>
      </rPr>
      <t xml:space="preserve"> document for more details.
Where Integrated Fitouts and Cold Shell Spaces make up between 5% - 95% of Primary and Secondary Spaces, they may be excluded on submission of relevant documentation, and the scorecard is adjusted to reflect this exclusions in the credit's points available value. Refer to the </t>
    </r>
    <r>
      <rPr>
        <i/>
        <sz val="11"/>
        <color rgb="FF3F4450"/>
        <rFont val="Arial"/>
        <family val="2"/>
        <scheme val="major"/>
      </rPr>
      <t>'Green Star - Design &amp; As Built Fitout Scope: Guidance for Integrated, Cold Shell and Warm Shell Fitouts'</t>
    </r>
    <r>
      <rPr>
        <sz val="11"/>
        <color rgb="FF3F4450"/>
        <rFont val="Arial"/>
        <family val="2"/>
        <scheme val="major"/>
      </rPr>
      <t xml:space="preserve"> document for more information.</t>
    </r>
  </si>
  <si>
    <r>
      <t>Total Primary &amp; Secondary space (m</t>
    </r>
    <r>
      <rPr>
        <b/>
        <vertAlign val="superscript"/>
        <sz val="11"/>
        <color rgb="FF3F4450"/>
        <rFont val="Arial"/>
        <family val="2"/>
        <scheme val="major"/>
      </rPr>
      <t>2</t>
    </r>
    <r>
      <rPr>
        <b/>
        <sz val="11"/>
        <color rgb="FF3F4450"/>
        <rFont val="Arial"/>
        <family val="2"/>
        <scheme val="major"/>
      </rPr>
      <t>)</t>
    </r>
  </si>
  <si>
    <r>
      <t>Total Cold Shell Area (m</t>
    </r>
    <r>
      <rPr>
        <b/>
        <vertAlign val="superscript"/>
        <sz val="11"/>
        <color rgb="FF3F4450"/>
        <rFont val="Arial"/>
        <family val="2"/>
        <scheme val="major"/>
      </rPr>
      <t>2</t>
    </r>
    <r>
      <rPr>
        <b/>
        <sz val="11"/>
        <color rgb="FF3F4450"/>
        <rFont val="Arial"/>
        <family val="2"/>
        <scheme val="major"/>
      </rPr>
      <t>)</t>
    </r>
  </si>
  <si>
    <r>
      <t>Total Integrated Fitout Area (m</t>
    </r>
    <r>
      <rPr>
        <b/>
        <vertAlign val="superscript"/>
        <sz val="11"/>
        <color rgb="FF3F4450"/>
        <rFont val="Arial"/>
        <family val="2"/>
        <scheme val="major"/>
      </rPr>
      <t>2</t>
    </r>
    <r>
      <rPr>
        <b/>
        <sz val="11"/>
        <color rgb="FF3F4450"/>
        <rFont val="Arial"/>
        <family val="2"/>
        <scheme val="major"/>
      </rPr>
      <t>)</t>
    </r>
  </si>
  <si>
    <t>Total Cold Shell Areas (%)</t>
  </si>
  <si>
    <t>Integrated Fitout Areas (%)</t>
  </si>
  <si>
    <t>Scaling of Type C Credits - N/A Pathway</t>
  </si>
  <si>
    <t>Scaling of Type C Credits - Compliance Pathway (Integrated Fitout)</t>
  </si>
  <si>
    <t>Green Star - Design &amp; As Built NZv1.0 Scorecard</t>
  </si>
  <si>
    <t>X</t>
  </si>
  <si>
    <t>R1</t>
  </si>
  <si>
    <t>Points Available</t>
  </si>
  <si>
    <t>NA Points</t>
  </si>
  <si>
    <t>NA - T/F</t>
  </si>
  <si>
    <t>Project:</t>
  </si>
  <si>
    <t>Points Available (Targeted)</t>
  </si>
  <si>
    <t>Project Score (Targeted)</t>
  </si>
  <si>
    <t>NA Targeted</t>
  </si>
  <si>
    <t>Total Points Awarded</t>
  </si>
  <si>
    <t>Total Points TBC</t>
  </si>
  <si>
    <t>NA Awarded</t>
  </si>
  <si>
    <t>NA TBC</t>
  </si>
  <si>
    <r>
      <rPr>
        <b/>
        <sz val="11"/>
        <color theme="1"/>
        <rFont val="Arial"/>
        <family val="2"/>
      </rPr>
      <t>Query Type</t>
    </r>
    <r>
      <rPr>
        <sz val="11"/>
        <color theme="1"/>
        <rFont val="Arial"/>
        <family val="2"/>
      </rPr>
      <t xml:space="preserve">
1. Clarifying the documentation requested in the assessment comment. 
2. Clarifying apparent inconsistencies between the assessment comment and Submission Guideline requirements.
3. Documentation was included but missed during the assessment.</t>
    </r>
  </si>
  <si>
    <t>Targeted Rating:</t>
  </si>
  <si>
    <t>NA</t>
  </si>
  <si>
    <t>CATEGORY / CREDIT</t>
  </si>
  <si>
    <t>AIM OF THE CREDIT / SELECTION</t>
  </si>
  <si>
    <t>CODE</t>
  </si>
  <si>
    <t>CREDIT CRITERIA</t>
  </si>
  <si>
    <t>INTEGRATED/ COLD SHELL CREDIT TYPE</t>
  </si>
  <si>
    <t>POINTS AVAILABLE</t>
  </si>
  <si>
    <t>POINTS TARGETED</t>
  </si>
  <si>
    <t>NA AVAILABLE</t>
  </si>
  <si>
    <t>NA TARGETED</t>
  </si>
  <si>
    <t xml:space="preserve"> POINTS AWARDED</t>
  </si>
  <si>
    <t xml:space="preserve"> POINTS 
TBC</t>
  </si>
  <si>
    <t>ASSIGNED STAGE</t>
  </si>
  <si>
    <t>ASSESSOR COMPLETED STAGE</t>
  </si>
  <si>
    <t>POINTS OUTCOME</t>
  </si>
  <si>
    <t>NA OUTCOME</t>
  </si>
  <si>
    <t xml:space="preserve"> ASSESSMENT COMMENTS</t>
  </si>
  <si>
    <t>QUERY TYPE</t>
  </si>
  <si>
    <t>Round 1 Query</t>
  </si>
  <si>
    <t>Requested Action by the project team</t>
  </si>
  <si>
    <t>NZGBC Comments</t>
  </si>
  <si>
    <t>Assessor Response</t>
  </si>
  <si>
    <t>Management</t>
  </si>
  <si>
    <t>1,2 or 3</t>
  </si>
  <si>
    <t>Provide an explanation of the project team’s questions/comments regarding the assessment comments.</t>
  </si>
  <si>
    <t>Explain what action the project would like taken, e.g. comment be clarified, comment be removed, point awarded, etc.</t>
  </si>
  <si>
    <t>NA Points Calculations</t>
  </si>
  <si>
    <t>Green Star Accredited Professional</t>
  </si>
  <si>
    <t>To recognise projects that engage a Green Star Accredited Professional to support the Green Star certification process.</t>
  </si>
  <si>
    <t>A</t>
  </si>
  <si>
    <t>-</t>
  </si>
  <si>
    <t>Please enter the Total Primary &amp; Secondary Spaces for your project (m2)</t>
  </si>
  <si>
    <t>Commissioning and Tuning</t>
  </si>
  <si>
    <t>To encourage and recognise commissioning, handover and tuning initiatives that ensure all building services operate to their full potential and as designed.</t>
  </si>
  <si>
    <t>Environmental Performance Targets</t>
  </si>
  <si>
    <t>Minimum Requirement</t>
  </si>
  <si>
    <t>Performance Pathway</t>
  </si>
  <si>
    <t>Complies</t>
  </si>
  <si>
    <t>Please enter the Total Primary &amp; Secondary Spaces for your project that are delivered as Cold shell (m2)</t>
  </si>
  <si>
    <t>Services and Maintainability Review</t>
  </si>
  <si>
    <t>Prescriptive Pathway</t>
  </si>
  <si>
    <t>Core</t>
  </si>
  <si>
    <t>Awarded - Compliant</t>
  </si>
  <si>
    <t>Does not comply</t>
  </si>
  <si>
    <t>Please enter the Total Primary &amp; Secondary Spaces for your project that are delivered as Integrated Fitout (m2)</t>
  </si>
  <si>
    <t>Building Commissioning</t>
  </si>
  <si>
    <t>Stage 1</t>
  </si>
  <si>
    <t>Awarded - Minor non-compliance</t>
  </si>
  <si>
    <t>Total Primary &amp; Secondary areas delivered as Cold Shell(%)</t>
  </si>
  <si>
    <t>Building Systems Tuning</t>
  </si>
  <si>
    <t>Stage 2</t>
  </si>
  <si>
    <t>Not Awarded - Major non-compliance</t>
  </si>
  <si>
    <t>Total Primary &amp; Secondary areas delivered as Integrated Fitout (%)</t>
  </si>
  <si>
    <t>Independent Commissioning Agent</t>
  </si>
  <si>
    <t>Stage 3</t>
  </si>
  <si>
    <t>Is the Cold Shell guidance delivery scope applicable?</t>
  </si>
  <si>
    <t>Adaptation and Resilience</t>
  </si>
  <si>
    <t>To encourage and recognise projects that are resilient to the impacts of a changing climate and natural disasters.</t>
  </si>
  <si>
    <t>Implementation of a Climate Adaptation Plan</t>
  </si>
  <si>
    <t>Are there any Traditional "NA" Credits being targeted</t>
  </si>
  <si>
    <t>Adaptation &amp; Resilience: Earthquake Resilience</t>
  </si>
  <si>
    <t>Points ratio for type C credits based on Cold Shell and Integrated area</t>
  </si>
  <si>
    <t>Building Information</t>
  </si>
  <si>
    <t>To recognise the development and provision of building information that facilitates operator and user understanding of a building's systems, their operation and maintenance requirements, and their environmental targets, to enable optimised performance.</t>
  </si>
  <si>
    <t>Points ratio for type C credits based on Cold Shell area (Integrated fitout full compliance)</t>
  </si>
  <si>
    <t>Commitment to Performance</t>
  </si>
  <si>
    <t>To recognise practices that encourage building owners, building occupants and facilities management teams to set targets and monitor environmental performance in a collaborative way.</t>
  </si>
  <si>
    <t>Environmental Building Performance</t>
  </si>
  <si>
    <t>Total points that have been made NA by the project team</t>
  </si>
  <si>
    <t>End of Life Waste Performance</t>
  </si>
  <si>
    <t>Total NA points that have been targeted</t>
  </si>
  <si>
    <t>Metering and Monitoring</t>
  </si>
  <si>
    <t>To recognise the implementation of effective energy and water metering and monitoring systems.</t>
  </si>
  <si>
    <t>Metering</t>
  </si>
  <si>
    <t xml:space="preserve">Total NA points that have been awarded </t>
  </si>
  <si>
    <t>Monitoring Systems</t>
  </si>
  <si>
    <t>Total NA points that have not been awarded</t>
  </si>
  <si>
    <t>Responsible Construction Practices</t>
  </si>
  <si>
    <t>To reward responsible construction practices that manage environmental impacts, enhance staff health and wellbeing, and improve sustainability knowledge on site.</t>
  </si>
  <si>
    <t>Environmental Management Plan</t>
  </si>
  <si>
    <t>B</t>
  </si>
  <si>
    <t>Formalised Environmental Management System</t>
  </si>
  <si>
    <t>Available NA Credits</t>
  </si>
  <si>
    <t>Integrated Fitout Compliance</t>
  </si>
  <si>
    <t>Type C Credits overlap</t>
  </si>
  <si>
    <t>NA Points Available</t>
  </si>
  <si>
    <t>NA points Targeted</t>
  </si>
  <si>
    <t>NA Not Awarded</t>
  </si>
  <si>
    <t>High Quality Staff Support</t>
  </si>
  <si>
    <t>Operational Waste</t>
  </si>
  <si>
    <t>8A</t>
  </si>
  <si>
    <t>Performance Pathway - Specialist Plan</t>
  </si>
  <si>
    <t>8B</t>
  </si>
  <si>
    <t>Prescriptive Pathway - Facilities</t>
  </si>
  <si>
    <t>Indoor Environment Quality</t>
  </si>
  <si>
    <t>To recognise projects that provide high indoor air quality to occupants.</t>
  </si>
  <si>
    <t>To reward projects that provide appropriate and comfortable acoustic conditions for occupants.</t>
  </si>
  <si>
    <t>C</t>
  </si>
  <si>
    <t>To encourage and recognise well-lit spaces that provide a high degree of comfort to users.</t>
  </si>
  <si>
    <t>Minimum Lighting Comfort</t>
  </si>
  <si>
    <t>To recognise the delivery of well-lit spaces that provide high levels of visual comfort to building occupants.</t>
  </si>
  <si>
    <t>Glare Reduction</t>
  </si>
  <si>
    <t>To recognise projects that safeguard occupant health through the reduction in internal air pollutant levels.</t>
  </si>
  <si>
    <t>To recognise projects that achieve high levels of thermal comfort.</t>
  </si>
  <si>
    <t>Energy</t>
  </si>
  <si>
    <t>TOTAL</t>
  </si>
  <si>
    <t>NA Available</t>
  </si>
  <si>
    <t>Greenhouse Gas Emissions</t>
  </si>
  <si>
    <t>To encourage energy efficient buildings and the reduction of greenhouse gas (GHG) emissions associated with the use of energy in building operations.</t>
  </si>
  <si>
    <t>Conditional Requirement</t>
  </si>
  <si>
    <t>GHG Emissions Reduction: Reference Building Pathway</t>
  </si>
  <si>
    <t>Peak Electricity Demand Reduction</t>
  </si>
  <si>
    <t>16A</t>
  </si>
  <si>
    <t>Prescriptive Pathway: On-site Energy Generation</t>
  </si>
  <si>
    <t>16B</t>
  </si>
  <si>
    <t>Modelled Performance Pathway: Reference Building</t>
  </si>
  <si>
    <t>Transport</t>
  </si>
  <si>
    <t>17B Prescriptive pathway</t>
  </si>
  <si>
    <t>17A</t>
  </si>
  <si>
    <t xml:space="preserve">Performance pathway </t>
  </si>
  <si>
    <t>17B.1</t>
  </si>
  <si>
    <t>Access by Public Transport</t>
  </si>
  <si>
    <t>17A Performance Pathway</t>
  </si>
  <si>
    <t>17C Industrial pathway</t>
  </si>
  <si>
    <t>17B.4</t>
  </si>
  <si>
    <t>Active Transport Facilities</t>
  </si>
  <si>
    <t>17B.5</t>
  </si>
  <si>
    <t>Walkable Neighbourhoods</t>
  </si>
  <si>
    <t>17C.1</t>
  </si>
  <si>
    <t>17C.2</t>
  </si>
  <si>
    <t>17C.3</t>
  </si>
  <si>
    <t>17C.4</t>
  </si>
  <si>
    <t>17C.5</t>
  </si>
  <si>
    <t xml:space="preserve">Proximity to Amenities </t>
  </si>
  <si>
    <t>Water</t>
  </si>
  <si>
    <t>18A</t>
  </si>
  <si>
    <t>Potable Water - Performance Pathway</t>
  </si>
  <si>
    <t>18B.1</t>
  </si>
  <si>
    <t>Sanitary Fixture Efficiency</t>
  </si>
  <si>
    <t>18B.2</t>
  </si>
  <si>
    <t>Rainwater Reuse</t>
  </si>
  <si>
    <t>18B.3</t>
  </si>
  <si>
    <t>Heat Rejection</t>
  </si>
  <si>
    <t>Materials</t>
  </si>
  <si>
    <t>Life Cycle Assessment/Impacts</t>
  </si>
  <si>
    <t>Performance Pathway - Life Cycle Assessment</t>
  </si>
  <si>
    <t>19A.1</t>
  </si>
  <si>
    <t>Comparative Life Cycle Assessment</t>
  </si>
  <si>
    <t>19A.2</t>
  </si>
  <si>
    <t>Additional Reporting</t>
  </si>
  <si>
    <t>Prescriptive Pathway - Life Cycle Impacts</t>
  </si>
  <si>
    <t>19B.1</t>
  </si>
  <si>
    <t>Concrete</t>
  </si>
  <si>
    <t>19B.2</t>
  </si>
  <si>
    <t>Steel</t>
  </si>
  <si>
    <t>19B.3</t>
  </si>
  <si>
    <t>Building Reuse</t>
  </si>
  <si>
    <t>19B.4</t>
  </si>
  <si>
    <t>Structural Timber</t>
  </si>
  <si>
    <t>To reward projects that include building materials that are responsibly sourced or have a sustainable supply chain.</t>
  </si>
  <si>
    <t xml:space="preserve">Timber </t>
  </si>
  <si>
    <t>Sustainable Products</t>
  </si>
  <si>
    <t>To encourage sustainability and transparency in product specification.</t>
  </si>
  <si>
    <t>Product Transparency and Sustainability</t>
  </si>
  <si>
    <t>Construction and Demolition Waste</t>
  </si>
  <si>
    <t>Reporting Accuracy</t>
  </si>
  <si>
    <t>Fixed Benchmark</t>
  </si>
  <si>
    <t>22..2A</t>
  </si>
  <si>
    <t>22.2B</t>
  </si>
  <si>
    <t>Percentage Benchmark</t>
  </si>
  <si>
    <t>Land Use &amp; Ecology</t>
  </si>
  <si>
    <t>Ecological Value</t>
  </si>
  <si>
    <t>To reward projects that improve the ecological value of their site.</t>
  </si>
  <si>
    <t>To reward projects that choose to develop sites that have limited ecological value, that reuse previously developed land, and that remediate contaminated land.</t>
  </si>
  <si>
    <t>Conditional Requirement: Ecological Protection</t>
  </si>
  <si>
    <t>Reuse of Land</t>
  </si>
  <si>
    <t>Emissions</t>
  </si>
  <si>
    <t>Stormwater</t>
  </si>
  <si>
    <t>To reward projects that minimise peak storm water outflows from the site and reduce pollutants entering the public sewer infrastructure or other water bodies.</t>
  </si>
  <si>
    <t>Stormwater Peak Discharge</t>
  </si>
  <si>
    <t>Stormwater Pollution Targets</t>
  </si>
  <si>
    <t>Light Pollution</t>
  </si>
  <si>
    <t>To reward projects that minimise light pollution.</t>
  </si>
  <si>
    <t>Light Pollution to Neighbouring Bodies</t>
  </si>
  <si>
    <t>Light Pollution to Night Sky</t>
  </si>
  <si>
    <t>Microbial Control</t>
  </si>
  <si>
    <t>To recognise projects that implement systems to minimise the impacts associated with harmful microbes in building cooling systems.</t>
  </si>
  <si>
    <t>Legionella Impacts from Cooling Systems</t>
  </si>
  <si>
    <t>Refrigerant Impacts</t>
  </si>
  <si>
    <t>To encourage practices that minimise the environmental impacts of refrigeration and air conditioning equipment.</t>
  </si>
  <si>
    <t>Refrigerants Impacts</t>
  </si>
  <si>
    <t>Innovation</t>
  </si>
  <si>
    <t>Innovative Technology or Process</t>
  </si>
  <si>
    <t>The project meets the aims of an existing credit using a technology or process that is considered innovative in New Zealand or the world.</t>
  </si>
  <si>
    <t>Market Transformation</t>
  </si>
  <si>
    <t>The project has undertaken a sustainability initiative that substantially contributes to the broader market transformation towards sustainable development in New Zealand or in the world.</t>
  </si>
  <si>
    <t>Improving on Green Star Benchmarks</t>
  </si>
  <si>
    <t>The project has achieved full points in a Green Star credit and demonstrates a substantial improvement on the benchmark required to achieve full points.
For credits where this Innovation criterion is applicable, improved benchmarks are included in the ‘Innovation’ section of the credit.</t>
  </si>
  <si>
    <t>Innovation Challenge</t>
  </si>
  <si>
    <t>The project can target any of the current Innovation Challenges that are published on the NZGBC and GBCA website. Alternatively, where the project addresses a sustainability issue not included within any of the credits in the existing Green Star rating tools, projects may propose a new Innovation Challenge.</t>
  </si>
  <si>
    <t>Global Sustainability</t>
  </si>
  <si>
    <t>Project teams may adopt an approved credit from a Global Green Building Rating tool that addresses a sustainability issue that is currently outside the scope of this Green Star rating tool.</t>
  </si>
  <si>
    <t>TOTAL NA POINTS</t>
  </si>
  <si>
    <t>TOTALS</t>
  </si>
  <si>
    <t>AVAILABLE</t>
  </si>
  <si>
    <t>TARGETED</t>
  </si>
  <si>
    <t>AWARDED</t>
  </si>
  <si>
    <t>TBC</t>
  </si>
  <si>
    <t>CORE POINTS</t>
  </si>
  <si>
    <t>CATEGORY PERCENTAGE SCORE</t>
  </si>
  <si>
    <t>INNOVATION POINTS</t>
  </si>
  <si>
    <t>TOTAL SCORE TARGETED</t>
  </si>
  <si>
    <t>Stage Count</t>
  </si>
  <si>
    <t>Assessor Stage Count</t>
  </si>
  <si>
    <t>Outcome Count</t>
  </si>
  <si>
    <t>Assessment result</t>
  </si>
  <si>
    <t>Core Points Available</t>
  </si>
  <si>
    <t xml:space="preserve">Total Score Targeted </t>
  </si>
  <si>
    <t>SUBMISSION PLANNING</t>
  </si>
  <si>
    <t>Category</t>
  </si>
  <si>
    <t>Fixed Total</t>
  </si>
  <si>
    <t>Variable Total</t>
  </si>
  <si>
    <t>Points Claimed</t>
  </si>
  <si>
    <t>Points Awarded</t>
  </si>
  <si>
    <t>Points TBC</t>
  </si>
  <si>
    <t>Accredited Professional</t>
  </si>
  <si>
    <t>Land Use and Ecology</t>
  </si>
  <si>
    <t>Total Points Available</t>
  </si>
  <si>
    <t>Total Score</t>
  </si>
  <si>
    <t>Weight score i.e. accounting for N/As.</t>
  </si>
  <si>
    <t>Total Final Score</t>
  </si>
  <si>
    <t>Final score i.e. weighted score + Innovation</t>
  </si>
  <si>
    <t>Responsible Building Practices</t>
  </si>
  <si>
    <t>15E.0</t>
  </si>
  <si>
    <t>Conditional Requirement: Reference Building Pathway</t>
  </si>
  <si>
    <t>15E.1</t>
  </si>
  <si>
    <t>Reference Building Pathway</t>
  </si>
  <si>
    <t>To reward projects that implement design and operational measures that reduce the carbon emissions arising from occupant travel to and from the project, when compared to a reference building. This also promotes the health and fitness of commuters, and the increased liveability of the location.</t>
  </si>
  <si>
    <t>18A.1</t>
  </si>
  <si>
    <t>22A</t>
  </si>
  <si>
    <t>22B</t>
  </si>
  <si>
    <t>Endangered, Threatened or Vulnerable Species</t>
  </si>
  <si>
    <t>The project meets the aims of an existing credit using a technology or process that is considered innovative in Australia or the world.</t>
  </si>
  <si>
    <t>30A</t>
  </si>
  <si>
    <t>The project has undertaken a sustainability initiative that substantially contributes to the broader market transformation towards sustainable development in Australia or in the world.</t>
  </si>
  <si>
    <t>30B</t>
  </si>
  <si>
    <t>The project has achieved full points in a Green Star credit and demonstrates a substantial improvement on the benchmark required to achieve full points.</t>
  </si>
  <si>
    <t>30C</t>
  </si>
  <si>
    <t>Where the project addresses an sustainability issue not included within any of the Credits in the existing Green Star rating tools.</t>
  </si>
  <si>
    <t>30D</t>
  </si>
  <si>
    <t>Project teams may adopt an approved credit from a Global Green Building Rating tool that addresses a sustainability issue that is currently outside the scope of this Green Star rating tools.</t>
  </si>
  <si>
    <t>30E</t>
  </si>
  <si>
    <t>Green Star NZ - Design &amp; As Built Pilot Scorecard</t>
  </si>
  <si>
    <t>OUTCOME</t>
  </si>
  <si>
    <t>To recognise the appointment and active involvement of a Green Star Accredited Professional in order to ensure that the rating tool is applied effectively and as intended.</t>
  </si>
  <si>
    <t>To encourage and recognise commissioning, handover and tuning initiatives that ensure all building services operate to their full potential.</t>
  </si>
  <si>
    <t>To recognise the development and provision of building information that facilitates understanding of a building's systems, operation and maintenance requirements, and environmental targets to enable the optimised performance.</t>
  </si>
  <si>
    <t>To reward projects that use best practice formal environmental management procedures during construction.</t>
  </si>
  <si>
    <t>To recognise projects that provide high air quality to occupants.</t>
  </si>
  <si>
    <t>To encourage and recognise projects that achieve high levels of thermal comfort.</t>
  </si>
  <si>
    <t>A. Prescriptive Pathway</t>
  </si>
  <si>
    <t>15A.0</t>
  </si>
  <si>
    <t>Conditional Requirement: Prescriptive Pathway</t>
  </si>
  <si>
    <t>15A.1</t>
  </si>
  <si>
    <t>Building Envelope</t>
  </si>
  <si>
    <t xml:space="preserve">B. NatHERS Pathway </t>
  </si>
  <si>
    <t>15A.2</t>
  </si>
  <si>
    <t>Glazing</t>
  </si>
  <si>
    <t>C. BASIX Pathway</t>
  </si>
  <si>
    <t>15A.3</t>
  </si>
  <si>
    <t>Lighting</t>
  </si>
  <si>
    <t>D. NABERS Pathway</t>
  </si>
  <si>
    <t>15A.4</t>
  </si>
  <si>
    <t>Ventilation and Air-conditioning</t>
  </si>
  <si>
    <t>E. Modelled Performance Pathway</t>
  </si>
  <si>
    <t>15A.5</t>
  </si>
  <si>
    <t>Domestic Hot Water Systems</t>
  </si>
  <si>
    <t>15A.6</t>
  </si>
  <si>
    <t>Accredited GreenPower</t>
  </si>
  <si>
    <t>15B.0</t>
  </si>
  <si>
    <t>Conditional Requirement: NatHERS Pathway</t>
  </si>
  <si>
    <t>15B.1</t>
  </si>
  <si>
    <t>NatHERS Pathway</t>
  </si>
  <si>
    <t>15C.0</t>
  </si>
  <si>
    <t>Conditional Requirement: BASIX Pathway</t>
  </si>
  <si>
    <t>15C.1</t>
  </si>
  <si>
    <t>BASIX Pathway</t>
  </si>
  <si>
    <t>15D.0</t>
  </si>
  <si>
    <t>Conditional Requirement: NABERS Pathway</t>
  </si>
  <si>
    <t>15D.1</t>
  </si>
  <si>
    <t>NABERS Energy Commitment Agreement Pathway</t>
  </si>
  <si>
    <t>Comparison to a Reference Building Pathway</t>
  </si>
  <si>
    <t>Prescriptive Pathway - On-site Energy Generation</t>
  </si>
  <si>
    <t>Performance Pathway - Reference Building</t>
  </si>
  <si>
    <t>17A.1</t>
  </si>
  <si>
    <t>Life Cycle Impacts</t>
  </si>
  <si>
    <t>Additional Life Cycle Impact Reporting</t>
  </si>
  <si>
    <t xml:space="preserve">To reward projects that include materials that are responsibly sourced or have a sustainable supply chain. </t>
  </si>
  <si>
    <t xml:space="preserve">To encourage sustainability and transparency in product specification. </t>
  </si>
  <si>
    <t>To reward projects that choose to develop sites that have limited ecological value, re-use previously developed land and remediate contaminate land.</t>
  </si>
  <si>
    <t>Heat Island Effect</t>
  </si>
  <si>
    <t>To encourage and recognise projects that reduce the contribution of the project site to the heat island effect.</t>
  </si>
  <si>
    <t>Heat Island Effect Reduction</t>
  </si>
  <si>
    <t>To reward projects that minimise peak stormwater flows and reduce pollutants entering public sewer infrastructure.</t>
  </si>
  <si>
    <t>To recognise projects that implement systems to minimise the impacts associated with harmful microbes in building systems.</t>
  </si>
  <si>
    <t>To encourage operational practices that minimise the environmental impacts of refrigeration equipment.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</si>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</sst>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0.0%"/>
  </numFmts>
  <fonts count="98" x14ac:knownFonts="1">
    <font>
      <sz val="11"/>
      <color theme="1"/>
      <name val="Arial"/>
      <family val="2"/>
      <scheme val="minor"/>
    </font>
    <font>
      <b/>
      <sz val="12"/>
      <color theme="0"/>
      <name val="Arial"/>
      <family val="2"/>
      <scheme val="minor"/>
    </font>
    <font>
      <sz val="10"/>
      <color theme="1"/>
      <name val="Arial"/>
      <family val="2"/>
      <scheme val="minor"/>
    </font>
    <font>
      <sz val="12"/>
      <color theme="1"/>
      <name val="Arial"/>
      <family val="2"/>
      <scheme val="minor"/>
    </font>
    <font>
      <b/>
      <sz val="11"/>
      <color theme="0"/>
      <name val="Arial"/>
      <family val="2"/>
      <scheme val="minor"/>
    </font>
    <font>
      <b/>
      <sz val="14"/>
      <color theme="0"/>
      <name val="Arial"/>
      <family val="2"/>
      <scheme val="minor"/>
    </font>
    <font>
      <sz val="10"/>
      <name val="Arial"/>
      <family val="2"/>
      <scheme val="minor"/>
    </font>
    <font>
      <sz val="14"/>
      <color theme="1"/>
      <name val="Arial"/>
      <family val="2"/>
      <scheme val="minor"/>
    </font>
    <font>
      <b/>
      <sz val="12"/>
      <name val="Arial"/>
      <family val="2"/>
      <scheme val="minor"/>
    </font>
    <font>
      <sz val="11"/>
      <color theme="1"/>
      <name val="Arial"/>
      <family val="2"/>
      <scheme val="minor"/>
    </font>
    <font>
      <sz val="11"/>
      <name val="Arial"/>
      <family val="2"/>
      <scheme val="minor"/>
    </font>
    <font>
      <sz val="10"/>
      <name val="Arial"/>
      <family val="2"/>
    </font>
    <font>
      <sz val="11"/>
      <color theme="0"/>
      <name val="Arial"/>
      <family val="2"/>
      <scheme val="minor"/>
    </font>
    <font>
      <sz val="11"/>
      <color theme="8" tint="0.39997558519241921"/>
      <name val="Arial"/>
      <family val="2"/>
      <scheme val="minor"/>
    </font>
    <font>
      <b/>
      <sz val="12"/>
      <color theme="1"/>
      <name val="Arial"/>
      <family val="2"/>
      <scheme val="minor"/>
    </font>
    <font>
      <b/>
      <sz val="14"/>
      <color theme="1"/>
      <name val="Century Gothic"/>
      <family val="2"/>
    </font>
    <font>
      <b/>
      <sz val="11"/>
      <color theme="1"/>
      <name val="Arial"/>
      <family val="2"/>
      <scheme val="minor"/>
    </font>
    <font>
      <b/>
      <sz val="10"/>
      <color rgb="FFFF0000"/>
      <name val="Arial"/>
      <family val="2"/>
      <scheme val="minor"/>
    </font>
    <font>
      <b/>
      <sz val="11"/>
      <name val="Arial"/>
      <family val="2"/>
      <scheme val="minor"/>
    </font>
    <font>
      <b/>
      <sz val="12"/>
      <color rgb="FFFF0000"/>
      <name val="Arial"/>
      <family val="2"/>
      <scheme val="minor"/>
    </font>
    <font>
      <sz val="10"/>
      <name val="Verdana"/>
      <family val="2"/>
    </font>
    <font>
      <sz val="8"/>
      <name val="Arial"/>
      <family val="2"/>
    </font>
    <font>
      <b/>
      <sz val="11"/>
      <color rgb="FFFF0000"/>
      <name val="Arial"/>
      <family val="2"/>
      <scheme val="minor"/>
    </font>
    <font>
      <b/>
      <sz val="12"/>
      <color theme="1"/>
      <name val="Century Gothic"/>
      <family val="2"/>
    </font>
    <font>
      <b/>
      <sz val="12"/>
      <color rgb="FFFF0000"/>
      <name val="Century Gothic"/>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color indexed="81"/>
      <name val="Tahoma"/>
      <family val="2"/>
    </font>
    <font>
      <b/>
      <sz val="24"/>
      <color rgb="FF1F3860"/>
      <name val="Arial Black"/>
      <family val="2"/>
    </font>
    <font>
      <sz val="24"/>
      <color rgb="FF002060"/>
      <name val="Arial Black"/>
      <family val="2"/>
    </font>
    <font>
      <b/>
      <sz val="14"/>
      <color theme="1"/>
      <name val="Arial Black"/>
      <family val="2"/>
    </font>
    <font>
      <b/>
      <sz val="14"/>
      <color theme="1"/>
      <name val="Arial"/>
      <family val="2"/>
      <scheme val="minor"/>
    </font>
    <font>
      <sz val="11"/>
      <color indexed="81"/>
      <name val="Tahoma"/>
      <family val="2"/>
    </font>
    <font>
      <sz val="11"/>
      <color indexed="81"/>
      <name val="Arial"/>
      <family val="2"/>
    </font>
    <font>
      <b/>
      <sz val="10"/>
      <name val="Arial"/>
      <family val="2"/>
    </font>
    <font>
      <b/>
      <sz val="14"/>
      <name val="Arial"/>
      <family val="2"/>
    </font>
    <font>
      <sz val="9"/>
      <color theme="1"/>
      <name val="Arial"/>
      <family val="2"/>
    </font>
    <font>
      <b/>
      <sz val="12"/>
      <name val="Arial"/>
      <family val="2"/>
    </font>
    <font>
      <b/>
      <sz val="10"/>
      <color theme="0"/>
      <name val="Arial"/>
      <family val="2"/>
    </font>
    <font>
      <sz val="10"/>
      <color rgb="FF000000"/>
      <name val="Arial"/>
      <family val="2"/>
      <scheme val="minor"/>
    </font>
    <font>
      <sz val="10"/>
      <color theme="0"/>
      <name val="Arial"/>
      <family val="2"/>
    </font>
    <font>
      <sz val="11"/>
      <color theme="1"/>
      <name val="Arial"/>
      <family val="2"/>
    </font>
    <font>
      <b/>
      <sz val="11"/>
      <color theme="1"/>
      <name val="Arial"/>
      <family val="2"/>
    </font>
    <font>
      <sz val="11"/>
      <color rgb="FF000000"/>
      <name val="Arial"/>
      <family val="2"/>
    </font>
    <font>
      <b/>
      <sz val="14"/>
      <color theme="0"/>
      <name val="Arial"/>
      <family val="2"/>
    </font>
    <font>
      <sz val="10"/>
      <name val="Century Gothic"/>
      <family val="2"/>
    </font>
    <font>
      <sz val="9"/>
      <name val="Arial"/>
      <family val="2"/>
      <scheme val="minor"/>
    </font>
    <font>
      <b/>
      <sz val="10"/>
      <name val="Arial"/>
      <family val="2"/>
      <scheme val="minor"/>
    </font>
    <font>
      <b/>
      <sz val="10"/>
      <color indexed="81"/>
      <name val="Tahoma"/>
      <family val="2"/>
    </font>
    <font>
      <sz val="10"/>
      <color indexed="81"/>
      <name val="Tahoma"/>
      <family val="2"/>
    </font>
    <font>
      <b/>
      <sz val="20"/>
      <color rgb="FF1F3860"/>
      <name val="Arial Black"/>
      <family val="2"/>
    </font>
    <font>
      <sz val="10"/>
      <color rgb="FFFF0000"/>
      <name val="Arial"/>
      <family val="2"/>
      <scheme val="minor"/>
    </font>
    <font>
      <b/>
      <sz val="10"/>
      <color rgb="FF000000"/>
      <name val="Arial"/>
      <family val="2"/>
      <scheme val="minor"/>
    </font>
    <font>
      <sz val="10"/>
      <color rgb="FF000000"/>
      <name val="Arial"/>
      <family val="2"/>
    </font>
    <font>
      <sz val="11"/>
      <name val="Arial"/>
      <family val="2"/>
      <scheme val="major"/>
    </font>
    <font>
      <b/>
      <sz val="11"/>
      <color theme="0"/>
      <name val="Arial"/>
      <family val="2"/>
      <scheme val="major"/>
    </font>
    <font>
      <b/>
      <sz val="10"/>
      <color theme="1"/>
      <name val="Arial"/>
      <family val="2"/>
      <scheme val="major"/>
    </font>
    <font>
      <sz val="10"/>
      <color theme="1"/>
      <name val="Arial"/>
      <family val="2"/>
      <scheme val="major"/>
    </font>
    <font>
      <b/>
      <sz val="11"/>
      <name val="Arial"/>
      <family val="2"/>
      <scheme val="major"/>
    </font>
    <font>
      <i/>
      <sz val="11"/>
      <color rgb="FF1F3862"/>
      <name val="Arial"/>
      <family val="2"/>
      <scheme val="major"/>
    </font>
    <font>
      <sz val="11"/>
      <color rgb="FF1F3862"/>
      <name val="Arial"/>
      <family val="2"/>
      <scheme val="major"/>
    </font>
    <font>
      <i/>
      <sz val="11"/>
      <color theme="0"/>
      <name val="Arial"/>
      <family val="2"/>
      <scheme val="major"/>
    </font>
    <font>
      <b/>
      <sz val="11"/>
      <color theme="1"/>
      <name val="Arial"/>
      <family val="2"/>
      <scheme val="major"/>
    </font>
    <font>
      <b/>
      <sz val="12"/>
      <color rgb="FFFFFFFF"/>
      <name val="Arial"/>
      <family val="2"/>
      <scheme val="major"/>
    </font>
    <font>
      <sz val="11"/>
      <color rgb="FF3F4450"/>
      <name val="Arial"/>
      <family val="2"/>
      <scheme val="major"/>
    </font>
    <font>
      <i/>
      <sz val="11"/>
      <color rgb="FF3F4450"/>
      <name val="Arial"/>
      <family val="2"/>
      <scheme val="major"/>
    </font>
    <font>
      <b/>
      <sz val="11"/>
      <color rgb="FF3F4450"/>
      <name val="Arial"/>
      <family val="2"/>
      <scheme val="major"/>
    </font>
    <font>
      <b/>
      <sz val="10"/>
      <name val="Arial"/>
      <family val="2"/>
      <scheme val="major"/>
    </font>
    <font>
      <b/>
      <sz val="11"/>
      <color rgb="FFFF0000"/>
      <name val="Arial"/>
      <family val="2"/>
      <scheme val="major"/>
    </font>
    <font>
      <sz val="11"/>
      <color theme="1"/>
      <name val="Arial"/>
      <family val="2"/>
      <scheme val="major"/>
    </font>
    <font>
      <b/>
      <sz val="11"/>
      <color rgb="FFFFFFFF"/>
      <name val="Arial"/>
      <family val="2"/>
      <scheme val="major"/>
    </font>
    <font>
      <sz val="10"/>
      <name val="Arial"/>
      <family val="2"/>
      <scheme val="major"/>
    </font>
    <font>
      <b/>
      <vertAlign val="superscript"/>
      <sz val="11"/>
      <color rgb="FF3F4450"/>
      <name val="Arial"/>
      <family val="2"/>
      <scheme val="major"/>
    </font>
    <font>
      <sz val="10"/>
      <color rgb="FF3F4450"/>
      <name val="Arial"/>
      <family val="2"/>
      <scheme val="major"/>
    </font>
    <font>
      <b/>
      <sz val="12"/>
      <color rgb="FFFFFFFF"/>
      <name val="Arial"/>
      <family val="2"/>
    </font>
    <font>
      <sz val="9"/>
      <color indexed="81"/>
      <name val="Tahoma"/>
      <family val="2"/>
    </font>
    <font>
      <b/>
      <sz val="12"/>
      <color rgb="FF3F4450"/>
      <name val="Arial"/>
      <family val="2"/>
    </font>
    <font>
      <sz val="12"/>
      <color indexed="81"/>
      <name val="Arial"/>
      <family val="2"/>
      <scheme val="major"/>
    </font>
    <font>
      <sz val="12"/>
      <name val="Arial"/>
      <family val="2"/>
    </font>
    <font>
      <sz val="12"/>
      <color theme="0"/>
      <name val="Arial"/>
      <family val="2"/>
      <scheme val="minor"/>
    </font>
    <font>
      <b/>
      <sz val="11"/>
      <color rgb="FFFFFFFF"/>
      <name val="Arial"/>
      <family val="2"/>
    </font>
    <font>
      <b/>
      <sz val="10"/>
      <color rgb="FFFFFFFF"/>
      <name val="Arial"/>
      <family val="2"/>
    </font>
    <font>
      <sz val="12"/>
      <color theme="1"/>
      <name val="Arial"/>
      <family val="2"/>
    </font>
  </fonts>
  <fills count="41">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39997558519241921"/>
        <bgColor indexed="65"/>
      </patternFill>
    </fill>
    <fill>
      <patternFill patternType="solid">
        <fgColor theme="3" tint="0.79998168889431442"/>
        <bgColor indexed="64"/>
      </patternFill>
    </fill>
    <fill>
      <patternFill patternType="solid">
        <fgColor rgb="FF000000"/>
        <bgColor indexed="64"/>
      </patternFill>
    </fill>
    <fill>
      <patternFill patternType="solid">
        <fgColor rgb="FF1F3862"/>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3" tint="-0.499984740745262"/>
        <bgColor indexed="64"/>
      </patternFill>
    </fill>
    <fill>
      <patternFill patternType="solid">
        <fgColor theme="1"/>
        <bgColor indexed="64"/>
      </patternFill>
    </fill>
    <fill>
      <patternFill patternType="solid">
        <fgColor rgb="FF1F3862"/>
        <bgColor rgb="FF000000"/>
      </patternFill>
    </fill>
    <fill>
      <patternFill patternType="solid">
        <fgColor rgb="FFC5D3ED"/>
        <bgColor rgb="FF000000"/>
      </patternFill>
    </fill>
    <fill>
      <patternFill patternType="solid">
        <fgColor rgb="FFC5D3ED"/>
        <bgColor rgb="FFFFFFFF"/>
      </patternFill>
    </fill>
    <fill>
      <patternFill patternType="solid">
        <fgColor rgb="FFFFFFFF"/>
        <bgColor rgb="FF000000"/>
      </patternFill>
    </fill>
    <fill>
      <patternFill patternType="solid">
        <fgColor rgb="FF000000"/>
        <bgColor rgb="FF000000"/>
      </patternFill>
    </fill>
    <fill>
      <patternFill patternType="solid">
        <fgColor theme="5" tint="0.39997558519241921"/>
        <bgColor rgb="FF000000"/>
      </patternFill>
    </fill>
    <fill>
      <patternFill patternType="solid">
        <fgColor theme="4"/>
        <bgColor rgb="FF000000"/>
      </patternFill>
    </fill>
    <fill>
      <patternFill patternType="solid">
        <fgColor theme="3" tint="0.39997558519241921"/>
        <bgColor rgb="FF000000"/>
      </patternFill>
    </fill>
    <fill>
      <patternFill patternType="solid">
        <fgColor theme="3" tint="0.39997558519241921"/>
        <bgColor indexed="64"/>
      </patternFill>
    </fill>
    <fill>
      <patternFill patternType="solid">
        <fgColor theme="0" tint="-0.14999847407452621"/>
        <bgColor indexed="64"/>
      </patternFill>
    </fill>
    <fill>
      <patternFill patternType="solid">
        <fgColor theme="4" tint="0.79998168889431442"/>
        <bgColor rgb="FFFFFFFF"/>
      </patternFill>
    </fill>
  </fills>
  <borders count="61">
    <border>
      <left/>
      <right/>
      <top/>
      <bottom/>
      <diagonal/>
    </border>
    <border>
      <left/>
      <right style="hair">
        <color theme="4"/>
      </right>
      <top/>
      <bottom/>
      <diagonal/>
    </border>
    <border>
      <left style="hair">
        <color theme="4"/>
      </left>
      <right style="hair">
        <color theme="4"/>
      </right>
      <top/>
      <bottom style="hair">
        <color theme="4"/>
      </bottom>
      <diagonal/>
    </border>
    <border>
      <left/>
      <right/>
      <top/>
      <bottom style="thin">
        <color theme="6"/>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hair">
        <color theme="4"/>
      </left>
      <right style="hair">
        <color auto="1"/>
      </right>
      <top/>
      <bottom style="hair">
        <color theme="4"/>
      </bottom>
      <diagonal/>
    </border>
    <border>
      <left style="hair">
        <color auto="1"/>
      </left>
      <right style="hair">
        <color auto="1"/>
      </right>
      <top/>
      <bottom style="hair">
        <color theme="4"/>
      </bottom>
      <diagonal/>
    </border>
    <border>
      <left style="hair">
        <color auto="1"/>
      </left>
      <right style="hair">
        <color theme="4"/>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theme="4"/>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theme="4"/>
      </bottom>
      <diagonal/>
    </border>
    <border>
      <left style="hair">
        <color auto="1"/>
      </left>
      <right style="hair">
        <color auto="1"/>
      </right>
      <top/>
      <bottom/>
      <diagonal/>
    </border>
    <border>
      <left style="hair">
        <color auto="1"/>
      </left>
      <right style="hair">
        <color theme="4"/>
      </right>
      <top style="hair">
        <color auto="1"/>
      </top>
      <bottom/>
      <diagonal/>
    </border>
    <border>
      <left style="hair">
        <color theme="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theme="4"/>
      </right>
      <top style="hair">
        <color auto="1"/>
      </top>
      <bottom style="hair">
        <color auto="1"/>
      </bottom>
      <diagonal/>
    </border>
    <border>
      <left style="hair">
        <color auto="1"/>
      </left>
      <right/>
      <top/>
      <bottom/>
      <diagonal/>
    </border>
    <border>
      <left style="hair">
        <color auto="1"/>
      </left>
      <right style="hair">
        <color auto="1"/>
      </right>
      <top style="hair">
        <color theme="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hair">
        <color auto="1"/>
      </top>
      <bottom style="thin">
        <color indexed="64"/>
      </bottom>
      <diagonal/>
    </border>
    <border>
      <left style="hair">
        <color indexed="64"/>
      </left>
      <right/>
      <top style="thin">
        <color indexed="64"/>
      </top>
      <bottom style="hair">
        <color auto="1"/>
      </bottom>
      <diagonal/>
    </border>
    <border>
      <left/>
      <right/>
      <top style="thin">
        <color indexed="64"/>
      </top>
      <bottom style="hair">
        <color indexed="64"/>
      </bottom>
      <diagonal/>
    </border>
    <border>
      <left/>
      <right style="hair">
        <color indexed="64"/>
      </right>
      <top style="thin">
        <color indexed="64"/>
      </top>
      <bottom style="hair">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auto="1"/>
      </top>
      <bottom/>
      <diagonal/>
    </border>
    <border>
      <left/>
      <right style="thin">
        <color indexed="64"/>
      </right>
      <top/>
      <bottom/>
      <diagonal/>
    </border>
  </borders>
  <cellStyleXfs count="235">
    <xf numFmtId="0" fontId="0" fillId="0" borderId="0"/>
    <xf numFmtId="165" fontId="11" fillId="0" borderId="0"/>
    <xf numFmtId="0" fontId="9" fillId="4" borderId="4" applyNumberFormat="0" applyAlignment="0" applyProtection="0"/>
    <xf numFmtId="0" fontId="12" fillId="5" borderId="0" applyNumberFormat="0" applyBorder="0" applyAlignment="0" applyProtection="0"/>
    <xf numFmtId="0" fontId="4" fillId="7" borderId="0">
      <alignment horizontal="center" vertical="center" wrapText="1"/>
      <protection locked="0"/>
    </xf>
    <xf numFmtId="0" fontId="13" fillId="9" borderId="4">
      <alignment vertical="center"/>
    </xf>
    <xf numFmtId="165" fontId="11" fillId="0" borderId="0"/>
    <xf numFmtId="165" fontId="20" fillId="0" borderId="0"/>
    <xf numFmtId="0" fontId="20" fillId="0" borderId="0"/>
    <xf numFmtId="165" fontId="9" fillId="0" borderId="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0"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2"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1"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4"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3"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5" fillId="15"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5" borderId="0" applyNumberFormat="0" applyBorder="0" applyAlignment="0" applyProtection="0"/>
    <xf numFmtId="165" fontId="26" fillId="15" borderId="0" applyNumberFormat="0" applyBorder="0" applyAlignment="0" applyProtection="0"/>
    <xf numFmtId="165" fontId="26" fillId="15" borderId="0" applyNumberFormat="0" applyBorder="0" applyAlignment="0" applyProtection="0"/>
    <xf numFmtId="165" fontId="26" fillId="15" borderId="0" applyNumberFormat="0" applyBorder="0" applyAlignment="0" applyProtection="0"/>
    <xf numFmtId="165" fontId="26" fillId="15" borderId="0" applyNumberFormat="0" applyBorder="0" applyAlignment="0" applyProtection="0"/>
    <xf numFmtId="165" fontId="26" fillId="14" borderId="0" applyNumberFormat="0" applyBorder="0" applyAlignment="0" applyProtection="0"/>
    <xf numFmtId="165" fontId="26" fillId="14" borderId="0" applyNumberFormat="0" applyBorder="0" applyAlignment="0" applyProtection="0"/>
    <xf numFmtId="165" fontId="26" fillId="14" borderId="0" applyNumberFormat="0" applyBorder="0" applyAlignment="0" applyProtection="0"/>
    <xf numFmtId="165" fontId="26" fillId="14" borderId="0" applyNumberFormat="0" applyBorder="0" applyAlignment="0" applyProtection="0"/>
    <xf numFmtId="165" fontId="26" fillId="14"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1"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7" borderId="0" applyNumberFormat="0" applyBorder="0" applyAlignment="0" applyProtection="0"/>
    <xf numFmtId="165" fontId="26" fillId="17" borderId="0" applyNumberFormat="0" applyBorder="0" applyAlignment="0" applyProtection="0"/>
    <xf numFmtId="165" fontId="26" fillId="17" borderId="0" applyNumberFormat="0" applyBorder="0" applyAlignment="0" applyProtection="0"/>
    <xf numFmtId="165" fontId="26" fillId="17" borderId="0" applyNumberFormat="0" applyBorder="0" applyAlignment="0" applyProtection="0"/>
    <xf numFmtId="165" fontId="26" fillId="17" borderId="0" applyNumberFormat="0" applyBorder="0" applyAlignment="0" applyProtection="0"/>
    <xf numFmtId="165" fontId="26" fillId="18" borderId="0" applyNumberFormat="0" applyBorder="0" applyAlignment="0" applyProtection="0"/>
    <xf numFmtId="165" fontId="26" fillId="18" borderId="0" applyNumberFormat="0" applyBorder="0" applyAlignment="0" applyProtection="0"/>
    <xf numFmtId="165" fontId="26" fillId="18" borderId="0" applyNumberFormat="0" applyBorder="0" applyAlignment="0" applyProtection="0"/>
    <xf numFmtId="165" fontId="26" fillId="18" borderId="0" applyNumberFormat="0" applyBorder="0" applyAlignment="0" applyProtection="0"/>
    <xf numFmtId="165" fontId="26" fillId="18" borderId="0" applyNumberFormat="0" applyBorder="0" applyAlignment="0" applyProtection="0"/>
    <xf numFmtId="165" fontId="26" fillId="19" borderId="0" applyNumberFormat="0" applyBorder="0" applyAlignment="0" applyProtection="0"/>
    <xf numFmtId="165" fontId="26" fillId="19" borderId="0" applyNumberFormat="0" applyBorder="0" applyAlignment="0" applyProtection="0"/>
    <xf numFmtId="165" fontId="26" fillId="19" borderId="0" applyNumberFormat="0" applyBorder="0" applyAlignment="0" applyProtection="0"/>
    <xf numFmtId="165" fontId="26" fillId="19" borderId="0" applyNumberFormat="0" applyBorder="0" applyAlignment="0" applyProtection="0"/>
    <xf numFmtId="165" fontId="26" fillId="19"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16" borderId="0" applyNumberFormat="0" applyBorder="0" applyAlignment="0" applyProtection="0"/>
    <xf numFmtId="165" fontId="26" fillId="20" borderId="0" applyNumberFormat="0" applyBorder="0" applyAlignment="0" applyProtection="0"/>
    <xf numFmtId="165" fontId="26" fillId="20" borderId="0" applyNumberFormat="0" applyBorder="0" applyAlignment="0" applyProtection="0"/>
    <xf numFmtId="165" fontId="26" fillId="20" borderId="0" applyNumberFormat="0" applyBorder="0" applyAlignment="0" applyProtection="0"/>
    <xf numFmtId="165" fontId="26" fillId="20" borderId="0" applyNumberFormat="0" applyBorder="0" applyAlignment="0" applyProtection="0"/>
    <xf numFmtId="165" fontId="26" fillId="20" borderId="0" applyNumberFormat="0" applyBorder="0" applyAlignment="0" applyProtection="0"/>
    <xf numFmtId="165" fontId="27" fillId="21" borderId="0" applyNumberFormat="0" applyBorder="0" applyAlignment="0" applyProtection="0"/>
    <xf numFmtId="165" fontId="27" fillId="21" borderId="0" applyNumberFormat="0" applyBorder="0" applyAlignment="0" applyProtection="0"/>
    <xf numFmtId="165" fontId="27" fillId="21" borderId="0" applyNumberFormat="0" applyBorder="0" applyAlignment="0" applyProtection="0"/>
    <xf numFmtId="165" fontId="27" fillId="21" borderId="0" applyNumberFormat="0" applyBorder="0" applyAlignment="0" applyProtection="0"/>
    <xf numFmtId="165" fontId="27" fillId="21" borderId="0" applyNumberFormat="0" applyBorder="0" applyAlignment="0" applyProtection="0"/>
    <xf numFmtId="165" fontId="28" fillId="10" borderId="27" applyNumberFormat="0" applyAlignment="0" applyProtection="0"/>
    <xf numFmtId="165" fontId="28" fillId="10" borderId="27" applyNumberFormat="0" applyAlignment="0" applyProtection="0"/>
    <xf numFmtId="165" fontId="28" fillId="10" borderId="27" applyNumberFormat="0" applyAlignment="0" applyProtection="0"/>
    <xf numFmtId="165" fontId="28" fillId="10" borderId="27" applyNumberFormat="0" applyAlignment="0" applyProtection="0"/>
    <xf numFmtId="165" fontId="28" fillId="10" borderId="27" applyNumberFormat="0" applyAlignment="0" applyProtection="0"/>
    <xf numFmtId="165" fontId="29" fillId="22" borderId="28" applyNumberFormat="0" applyAlignment="0" applyProtection="0"/>
    <xf numFmtId="165" fontId="29" fillId="22" borderId="28" applyNumberFormat="0" applyAlignment="0" applyProtection="0"/>
    <xf numFmtId="165" fontId="29" fillId="22" borderId="28" applyNumberFormat="0" applyAlignment="0" applyProtection="0"/>
    <xf numFmtId="165" fontId="29" fillId="22" borderId="28" applyNumberFormat="0" applyAlignment="0" applyProtection="0"/>
    <xf numFmtId="165" fontId="29" fillId="22" borderId="28" applyNumberFormat="0" applyAlignment="0" applyProtection="0"/>
    <xf numFmtId="165" fontId="30" fillId="0" borderId="0" applyNumberFormat="0" applyFill="0" applyBorder="0" applyAlignment="0" applyProtection="0"/>
    <xf numFmtId="165" fontId="30" fillId="0" borderId="0" applyNumberFormat="0" applyFill="0" applyBorder="0" applyAlignment="0" applyProtection="0"/>
    <xf numFmtId="165" fontId="30" fillId="0" borderId="0" applyNumberFormat="0" applyFill="0" applyBorder="0" applyAlignment="0" applyProtection="0"/>
    <xf numFmtId="165" fontId="30" fillId="0" borderId="0" applyNumberFormat="0" applyFill="0" applyBorder="0" applyAlignment="0" applyProtection="0"/>
    <xf numFmtId="165" fontId="30" fillId="0" borderId="0" applyNumberFormat="0" applyFill="0" applyBorder="0" applyAlignment="0" applyProtection="0"/>
    <xf numFmtId="165" fontId="31" fillId="23" borderId="0" applyNumberFormat="0" applyBorder="0" applyAlignment="0" applyProtection="0"/>
    <xf numFmtId="165" fontId="31" fillId="23" borderId="0" applyNumberFormat="0" applyBorder="0" applyAlignment="0" applyProtection="0"/>
    <xf numFmtId="165" fontId="31" fillId="23" borderId="0" applyNumberFormat="0" applyBorder="0" applyAlignment="0" applyProtection="0"/>
    <xf numFmtId="165" fontId="31" fillId="23" borderId="0" applyNumberFormat="0" applyBorder="0" applyAlignment="0" applyProtection="0"/>
    <xf numFmtId="165" fontId="31" fillId="23" borderId="0" applyNumberFormat="0" applyBorder="0" applyAlignment="0" applyProtection="0"/>
    <xf numFmtId="165" fontId="32" fillId="0" borderId="29" applyNumberFormat="0" applyFill="0" applyAlignment="0" applyProtection="0"/>
    <xf numFmtId="165" fontId="32" fillId="0" borderId="29" applyNumberFormat="0" applyFill="0" applyAlignment="0" applyProtection="0"/>
    <xf numFmtId="165" fontId="32" fillId="0" borderId="29" applyNumberFormat="0" applyFill="0" applyAlignment="0" applyProtection="0"/>
    <xf numFmtId="165" fontId="32" fillId="0" borderId="29" applyNumberFormat="0" applyFill="0" applyAlignment="0" applyProtection="0"/>
    <xf numFmtId="165" fontId="32" fillId="0" borderId="29" applyNumberFormat="0" applyFill="0" applyAlignment="0" applyProtection="0"/>
    <xf numFmtId="165" fontId="33" fillId="0" borderId="30" applyNumberFormat="0" applyFill="0" applyAlignment="0" applyProtection="0"/>
    <xf numFmtId="165" fontId="33" fillId="0" borderId="30" applyNumberFormat="0" applyFill="0" applyAlignment="0" applyProtection="0"/>
    <xf numFmtId="165" fontId="33" fillId="0" borderId="30" applyNumberFormat="0" applyFill="0" applyAlignment="0" applyProtection="0"/>
    <xf numFmtId="165" fontId="33" fillId="0" borderId="30" applyNumberFormat="0" applyFill="0" applyAlignment="0" applyProtection="0"/>
    <xf numFmtId="165" fontId="33" fillId="0" borderId="30" applyNumberFormat="0" applyFill="0" applyAlignment="0" applyProtection="0"/>
    <xf numFmtId="165" fontId="34" fillId="0" borderId="31" applyNumberFormat="0" applyFill="0" applyAlignment="0" applyProtection="0"/>
    <xf numFmtId="165" fontId="34" fillId="0" borderId="31" applyNumberFormat="0" applyFill="0" applyAlignment="0" applyProtection="0"/>
    <xf numFmtId="165" fontId="34" fillId="0" borderId="31" applyNumberFormat="0" applyFill="0" applyAlignment="0" applyProtection="0"/>
    <xf numFmtId="165" fontId="34" fillId="0" borderId="31" applyNumberFormat="0" applyFill="0" applyAlignment="0" applyProtection="0"/>
    <xf numFmtId="165" fontId="34" fillId="0" borderId="31" applyNumberFormat="0" applyFill="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5" fillId="15" borderId="27" applyNumberFormat="0" applyAlignment="0" applyProtection="0"/>
    <xf numFmtId="165" fontId="35" fillId="15" borderId="27" applyNumberFormat="0" applyAlignment="0" applyProtection="0"/>
    <xf numFmtId="165" fontId="35" fillId="15" borderId="27" applyNumberFormat="0" applyAlignment="0" applyProtection="0"/>
    <xf numFmtId="165" fontId="35" fillId="15" borderId="27" applyNumberFormat="0" applyAlignment="0" applyProtection="0"/>
    <xf numFmtId="165" fontId="35" fillId="15" borderId="27" applyNumberFormat="0" applyAlignment="0" applyProtection="0"/>
    <xf numFmtId="165" fontId="36" fillId="0" borderId="32" applyNumberFormat="0" applyFill="0" applyAlignment="0" applyProtection="0"/>
    <xf numFmtId="165" fontId="36" fillId="0" borderId="32" applyNumberFormat="0" applyFill="0" applyAlignment="0" applyProtection="0"/>
    <xf numFmtId="165" fontId="36" fillId="0" borderId="32" applyNumberFormat="0" applyFill="0" applyAlignment="0" applyProtection="0"/>
    <xf numFmtId="165" fontId="36" fillId="0" borderId="32" applyNumberFormat="0" applyFill="0" applyAlignment="0" applyProtection="0"/>
    <xf numFmtId="165" fontId="36" fillId="0" borderId="32" applyNumberFormat="0" applyFill="0" applyAlignment="0" applyProtection="0"/>
    <xf numFmtId="165" fontId="37" fillId="15" borderId="0" applyNumberFormat="0" applyBorder="0" applyAlignment="0" applyProtection="0"/>
    <xf numFmtId="165" fontId="37" fillId="15" borderId="0" applyNumberFormat="0" applyBorder="0" applyAlignment="0" applyProtection="0"/>
    <xf numFmtId="165" fontId="37" fillId="15" borderId="0" applyNumberFormat="0" applyBorder="0" applyAlignment="0" applyProtection="0"/>
    <xf numFmtId="165" fontId="37" fillId="15" borderId="0" applyNumberFormat="0" applyBorder="0" applyAlignment="0" applyProtection="0"/>
    <xf numFmtId="165" fontId="37" fillId="15" borderId="0" applyNumberFormat="0" applyBorder="0" applyAlignment="0" applyProtection="0"/>
    <xf numFmtId="165" fontId="21" fillId="0" borderId="0"/>
    <xf numFmtId="165" fontId="20" fillId="0" borderId="0"/>
    <xf numFmtId="165" fontId="21" fillId="0" borderId="0"/>
    <xf numFmtId="165" fontId="11" fillId="0" borderId="0"/>
    <xf numFmtId="165" fontId="11" fillId="0" borderId="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38" fillId="10" borderId="34" applyNumberFormat="0" applyAlignment="0" applyProtection="0"/>
    <xf numFmtId="165" fontId="38" fillId="10" borderId="34" applyNumberFormat="0" applyAlignment="0" applyProtection="0"/>
    <xf numFmtId="165" fontId="38" fillId="10" borderId="34" applyNumberFormat="0" applyAlignment="0" applyProtection="0"/>
    <xf numFmtId="165" fontId="38" fillId="10" borderId="34" applyNumberFormat="0" applyAlignment="0" applyProtection="0"/>
    <xf numFmtId="165" fontId="38" fillId="10" borderId="34" applyNumberFormat="0" applyAlignment="0" applyProtection="0"/>
    <xf numFmtId="9" fontId="20" fillId="0" borderId="0" applyFont="0" applyFill="0" applyBorder="0" applyAlignment="0" applyProtection="0"/>
    <xf numFmtId="165" fontId="39" fillId="0" borderId="0" applyNumberFormat="0" applyFill="0" applyBorder="0" applyAlignment="0" applyProtection="0"/>
    <xf numFmtId="165" fontId="39" fillId="0" borderId="0" applyNumberFormat="0" applyFill="0" applyBorder="0" applyAlignment="0" applyProtection="0"/>
    <xf numFmtId="165" fontId="39" fillId="0" borderId="0" applyNumberFormat="0" applyFill="0" applyBorder="0" applyAlignment="0" applyProtection="0"/>
    <xf numFmtId="165" fontId="39" fillId="0" borderId="0" applyNumberFormat="0" applyFill="0" applyBorder="0" applyAlignment="0" applyProtection="0"/>
    <xf numFmtId="165" fontId="39" fillId="0" borderId="0" applyNumberFormat="0" applyFill="0" applyBorder="0" applyAlignment="0" applyProtection="0"/>
    <xf numFmtId="165" fontId="40" fillId="0" borderId="35" applyNumberFormat="0" applyFill="0" applyAlignment="0" applyProtection="0"/>
    <xf numFmtId="165" fontId="40" fillId="0" borderId="35" applyNumberFormat="0" applyFill="0" applyAlignment="0" applyProtection="0"/>
    <xf numFmtId="165" fontId="40" fillId="0" borderId="35" applyNumberFormat="0" applyFill="0" applyAlignment="0" applyProtection="0"/>
    <xf numFmtId="165" fontId="40" fillId="0" borderId="35" applyNumberFormat="0" applyFill="0" applyAlignment="0" applyProtection="0"/>
    <xf numFmtId="165" fontId="40" fillId="0" borderId="35" applyNumberFormat="0" applyFill="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9" fontId="9" fillId="0" borderId="0" applyFont="0" applyFill="0" applyBorder="0" applyAlignment="0" applyProtection="0"/>
    <xf numFmtId="0" fontId="9" fillId="0" borderId="0"/>
    <xf numFmtId="0" fontId="11" fillId="25" borderId="0">
      <protection locked="0"/>
    </xf>
    <xf numFmtId="0" fontId="11" fillId="26" borderId="44">
      <alignment horizontal="center" vertical="center"/>
      <protection locked="0"/>
    </xf>
    <xf numFmtId="0" fontId="11" fillId="27" borderId="0">
      <protection locked="0"/>
    </xf>
    <xf numFmtId="0" fontId="49" fillId="26" borderId="0">
      <alignment vertical="center"/>
      <protection locked="0"/>
    </xf>
    <xf numFmtId="0" fontId="49" fillId="0" borderId="0">
      <protection locked="0"/>
    </xf>
    <xf numFmtId="0" fontId="50" fillId="0" borderId="0">
      <protection locked="0"/>
    </xf>
    <xf numFmtId="0" fontId="51" fillId="0" borderId="0"/>
    <xf numFmtId="0" fontId="11" fillId="0" borderId="0"/>
    <xf numFmtId="9" fontId="51" fillId="0" borderId="0" applyFont="0" applyFill="0" applyBorder="0" applyAlignment="0" applyProtection="0"/>
    <xf numFmtId="9" fontId="51" fillId="0" borderId="0" applyFont="0" applyFill="0" applyBorder="0" applyAlignment="0" applyProtection="0"/>
    <xf numFmtId="0" fontId="11" fillId="26" borderId="45">
      <alignment vertical="center"/>
      <protection locked="0"/>
    </xf>
    <xf numFmtId="0" fontId="52" fillId="0" borderId="0">
      <protection locked="0"/>
    </xf>
  </cellStyleXfs>
  <cellXfs count="592">
    <xf numFmtId="0" fontId="0" fillId="0" borderId="0" xfId="0"/>
    <xf numFmtId="0" fontId="2"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2" fillId="0" borderId="0" xfId="0" applyFont="1" applyAlignment="1" applyProtection="1">
      <alignment vertical="center"/>
      <protection hidden="1"/>
    </xf>
    <xf numFmtId="0" fontId="0" fillId="0" borderId="0" xfId="0" applyAlignment="1" applyProtection="1">
      <alignment horizontal="left" vertical="center"/>
      <protection hidden="1"/>
    </xf>
    <xf numFmtId="0" fontId="0" fillId="0" borderId="0" xfId="0" applyProtection="1">
      <protection hidden="1"/>
    </xf>
    <xf numFmtId="0" fontId="45" fillId="4" borderId="21" xfId="2" applyFont="1"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4" fillId="7" borderId="0" xfId="0" applyFont="1" applyFill="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 fillId="0" borderId="0" xfId="0" applyFont="1" applyAlignment="1" applyProtection="1">
      <alignment vertical="center"/>
      <protection hidden="1"/>
    </xf>
    <xf numFmtId="0" fontId="3" fillId="0" borderId="0" xfId="0" applyFont="1" applyAlignment="1" applyProtection="1">
      <alignment vertical="center"/>
      <protection hidden="1"/>
    </xf>
    <xf numFmtId="0" fontId="45" fillId="4" borderId="23" xfId="2" applyFont="1" applyBorder="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1" fillId="0" borderId="0" xfId="0" applyFont="1" applyAlignment="1" applyProtection="1">
      <alignment horizontal="center" vertical="center"/>
      <protection hidden="1"/>
    </xf>
    <xf numFmtId="0" fontId="2" fillId="0" borderId="0" xfId="0" applyFont="1" applyAlignment="1" applyProtection="1">
      <alignment horizontal="left" vertical="center" wrapText="1"/>
      <protection hidden="1"/>
    </xf>
    <xf numFmtId="0" fontId="4" fillId="7" borderId="0" xfId="0" applyFont="1" applyFill="1" applyAlignment="1" applyProtection="1">
      <alignment horizontal="left" vertical="center" wrapText="1"/>
      <protection hidden="1"/>
    </xf>
    <xf numFmtId="0" fontId="22" fillId="0" borderId="0" xfId="0" applyFont="1" applyAlignment="1" applyProtection="1">
      <alignment horizontal="center" vertical="center"/>
      <protection hidden="1"/>
    </xf>
    <xf numFmtId="0" fontId="5" fillId="8" borderId="7" xfId="0" applyFont="1" applyFill="1" applyBorder="1" applyAlignment="1" applyProtection="1">
      <alignment horizontal="left" vertical="center" wrapText="1"/>
      <protection hidden="1"/>
    </xf>
    <xf numFmtId="0" fontId="4" fillId="8" borderId="7" xfId="0" applyFont="1" applyFill="1" applyBorder="1" applyAlignment="1" applyProtection="1">
      <alignment horizontal="left" vertical="center" wrapText="1"/>
      <protection hidden="1"/>
    </xf>
    <xf numFmtId="0" fontId="4" fillId="8" borderId="7" xfId="0" applyFont="1" applyFill="1" applyBorder="1" applyAlignment="1" applyProtection="1">
      <alignment horizontal="center" vertical="center" wrapText="1"/>
      <protection hidden="1"/>
    </xf>
    <xf numFmtId="164" fontId="0" fillId="4" borderId="4" xfId="2" applyNumberFormat="1" applyFont="1" applyAlignment="1" applyProtection="1">
      <alignment horizontal="center" vertical="center"/>
      <protection hidden="1"/>
    </xf>
    <xf numFmtId="0" fontId="0" fillId="4" borderId="4" xfId="2" applyFont="1" applyAlignment="1" applyProtection="1">
      <alignment horizontal="center" vertical="center"/>
      <protection hidden="1"/>
    </xf>
    <xf numFmtId="0" fontId="0" fillId="3" borderId="9" xfId="0" applyFill="1" applyBorder="1" applyAlignment="1" applyProtection="1">
      <alignment horizontal="center" vertical="center"/>
      <protection locked="0" hidden="1"/>
    </xf>
    <xf numFmtId="0" fontId="22" fillId="3" borderId="0" xfId="0" applyFont="1" applyFill="1" applyAlignment="1" applyProtection="1">
      <alignment horizontal="center" vertical="center"/>
      <protection hidden="1"/>
    </xf>
    <xf numFmtId="0" fontId="12" fillId="7" borderId="0" xfId="0" applyFont="1" applyFill="1" applyAlignment="1" applyProtection="1">
      <alignment horizontal="center" vertical="center"/>
      <protection hidden="1"/>
    </xf>
    <xf numFmtId="0" fontId="0" fillId="0" borderId="0" xfId="0" applyAlignment="1" applyProtection="1">
      <alignment vertical="center"/>
      <protection hidden="1"/>
    </xf>
    <xf numFmtId="164" fontId="0" fillId="4" borderId="7" xfId="2" applyNumberFormat="1" applyFont="1" applyBorder="1" applyAlignment="1" applyProtection="1">
      <alignment horizontal="center" vertical="center"/>
      <protection hidden="1"/>
    </xf>
    <xf numFmtId="0" fontId="0" fillId="4" borderId="7" xfId="2" applyFont="1" applyBorder="1" applyAlignment="1" applyProtection="1">
      <alignment horizontal="center" vertical="center"/>
      <protection hidden="1"/>
    </xf>
    <xf numFmtId="0" fontId="0" fillId="3" borderId="9" xfId="3" applyFont="1" applyFill="1" applyBorder="1" applyAlignment="1" applyProtection="1">
      <alignment horizontal="center" vertical="center"/>
      <protection locked="0" hidden="1"/>
    </xf>
    <xf numFmtId="164" fontId="9" fillId="4" borderId="4" xfId="2" applyNumberFormat="1" applyAlignment="1" applyProtection="1">
      <alignment horizontal="center" vertical="center"/>
      <protection hidden="1"/>
    </xf>
    <xf numFmtId="0" fontId="9" fillId="4" borderId="4" xfId="2" applyAlignment="1" applyProtection="1">
      <alignment horizontal="left" vertical="center" wrapText="1"/>
      <protection hidden="1"/>
    </xf>
    <xf numFmtId="0" fontId="9" fillId="4" borderId="4" xfId="2" applyAlignment="1" applyProtection="1">
      <alignment horizontal="center" vertical="center"/>
      <protection hidden="1"/>
    </xf>
    <xf numFmtId="0" fontId="0" fillId="4" borderId="12" xfId="2" applyFont="1" applyBorder="1" applyAlignment="1" applyProtection="1">
      <alignment horizontal="center" vertical="center"/>
      <protection hidden="1"/>
    </xf>
    <xf numFmtId="0" fontId="0" fillId="3" borderId="10" xfId="3" applyFont="1" applyFill="1" applyBorder="1" applyAlignment="1" applyProtection="1">
      <alignment horizontal="center" vertical="center"/>
      <protection locked="0" hidden="1"/>
    </xf>
    <xf numFmtId="0" fontId="0" fillId="3" borderId="5" xfId="5" applyFont="1" applyFill="1" applyBorder="1" applyAlignment="1" applyProtection="1">
      <alignment horizontal="center" vertical="center"/>
      <protection locked="0" hidden="1"/>
    </xf>
    <xf numFmtId="0" fontId="0" fillId="4" borderId="4" xfId="2" applyFont="1" applyAlignment="1" applyProtection="1">
      <alignment horizontal="left" vertical="top" wrapText="1"/>
      <protection hidden="1"/>
    </xf>
    <xf numFmtId="0" fontId="4" fillId="7" borderId="6" xfId="4" applyBorder="1" applyAlignment="1" applyProtection="1">
      <alignment horizontal="left" vertical="center" wrapText="1"/>
      <protection hidden="1"/>
    </xf>
    <xf numFmtId="0" fontId="4" fillId="7" borderId="6" xfId="4" applyBorder="1" applyProtection="1">
      <alignment horizontal="center" vertical="center" wrapText="1"/>
      <protection hidden="1"/>
    </xf>
    <xf numFmtId="0" fontId="4" fillId="7" borderId="0" xfId="4" applyProtection="1">
      <alignment horizontal="center" vertical="center" wrapText="1"/>
      <protection hidden="1"/>
    </xf>
    <xf numFmtId="0" fontId="4" fillId="0" borderId="0" xfId="4" applyFill="1" applyProtection="1">
      <alignment horizontal="center" vertical="center" wrapText="1"/>
      <protection hidden="1"/>
    </xf>
    <xf numFmtId="0" fontId="0" fillId="0" borderId="0" xfId="0" applyAlignment="1" applyProtection="1">
      <alignment horizontal="left" vertical="center" wrapText="1"/>
      <protection hidden="1"/>
    </xf>
    <xf numFmtId="0" fontId="0" fillId="3" borderId="0" xfId="0" applyFill="1" applyAlignment="1" applyProtection="1">
      <alignment horizontal="left" vertical="center" wrapText="1"/>
      <protection hidden="1"/>
    </xf>
    <xf numFmtId="164" fontId="18" fillId="0" borderId="0" xfId="0" applyNumberFormat="1"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0" fillId="0" borderId="0" xfId="0" applyFont="1" applyAlignment="1" applyProtection="1">
      <alignment horizontal="center" vertical="center"/>
      <protection hidden="1"/>
    </xf>
    <xf numFmtId="0" fontId="0" fillId="3" borderId="0" xfId="0" applyFill="1" applyAlignment="1" applyProtection="1">
      <alignment horizontal="center" vertical="center"/>
      <protection hidden="1"/>
    </xf>
    <xf numFmtId="0" fontId="4" fillId="2" borderId="7" xfId="0" applyFont="1" applyFill="1" applyBorder="1" applyAlignment="1" applyProtection="1">
      <alignment horizontal="center" vertical="center" wrapText="1"/>
      <protection hidden="1"/>
    </xf>
    <xf numFmtId="0" fontId="4"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0" fillId="4" borderId="4" xfId="2" applyFont="1" applyAlignment="1" applyProtection="1">
      <alignment horizontal="left" vertical="center"/>
      <protection hidden="1"/>
    </xf>
    <xf numFmtId="0" fontId="0" fillId="4" borderId="39" xfId="2" applyFont="1" applyBorder="1" applyAlignment="1" applyProtection="1">
      <alignment horizontal="center" vertical="center"/>
      <protection hidden="1"/>
    </xf>
    <xf numFmtId="0" fontId="0" fillId="3" borderId="2" xfId="0" applyFill="1" applyBorder="1" applyAlignment="1" applyProtection="1">
      <alignment horizontal="center" vertical="center"/>
      <protection locked="0" hidden="1"/>
    </xf>
    <xf numFmtId="0" fontId="0" fillId="4" borderId="6" xfId="2" applyFont="1" applyBorder="1" applyAlignment="1" applyProtection="1">
      <alignment horizontal="left" vertical="center"/>
      <protection hidden="1"/>
    </xf>
    <xf numFmtId="0" fontId="0" fillId="4" borderId="6" xfId="2" applyFont="1" applyBorder="1" applyAlignment="1" applyProtection="1">
      <alignment horizontal="center" vertical="center"/>
      <protection hidden="1"/>
    </xf>
    <xf numFmtId="0" fontId="2" fillId="0" borderId="0" xfId="0" applyFont="1" applyAlignment="1" applyProtection="1">
      <alignment horizontal="left" vertical="center"/>
      <protection hidden="1"/>
    </xf>
    <xf numFmtId="0" fontId="17" fillId="0" borderId="0" xfId="0" applyFont="1" applyAlignment="1" applyProtection="1">
      <alignment vertical="center"/>
      <protection hidden="1"/>
    </xf>
    <xf numFmtId="0" fontId="22" fillId="0" borderId="0" xfId="0" applyFont="1" applyAlignment="1" applyProtection="1">
      <alignment horizontal="center" vertical="center" wrapText="1"/>
      <protection hidden="1"/>
    </xf>
    <xf numFmtId="0" fontId="7" fillId="0" borderId="0" xfId="0" applyFont="1" applyAlignment="1" applyProtection="1">
      <alignment vertical="center"/>
      <protection hidden="1"/>
    </xf>
    <xf numFmtId="0" fontId="13" fillId="9" borderId="14" xfId="5" applyBorder="1" applyAlignment="1" applyProtection="1">
      <alignment horizontal="center" vertical="center"/>
      <protection locked="0" hidden="1"/>
    </xf>
    <xf numFmtId="0" fontId="22" fillId="0" borderId="20" xfId="0" applyFont="1" applyBorder="1" applyAlignment="1" applyProtection="1">
      <alignment horizontal="center" vertical="center"/>
      <protection hidden="1"/>
    </xf>
    <xf numFmtId="0" fontId="13" fillId="9" borderId="11" xfId="5" applyBorder="1" applyAlignment="1" applyProtection="1">
      <alignment horizontal="center" vertical="center"/>
      <protection locked="0" hidden="1"/>
    </xf>
    <xf numFmtId="0" fontId="9" fillId="3" borderId="11" xfId="5" applyFont="1" applyFill="1" applyBorder="1" applyAlignment="1" applyProtection="1">
      <alignment horizontal="center" vertical="center"/>
      <protection locked="0" hidden="1"/>
    </xf>
    <xf numFmtId="0" fontId="13" fillId="9" borderId="19" xfId="5" applyBorder="1" applyAlignment="1" applyProtection="1">
      <alignment horizontal="center" vertical="center"/>
      <protection locked="0" hidden="1"/>
    </xf>
    <xf numFmtId="0" fontId="22" fillId="0" borderId="0" xfId="0" applyFont="1" applyProtection="1">
      <protection hidden="1"/>
    </xf>
    <xf numFmtId="0" fontId="4" fillId="2" borderId="7" xfId="0" applyFont="1" applyFill="1" applyBorder="1" applyAlignment="1" applyProtection="1">
      <alignment horizontal="left" vertical="center" wrapText="1"/>
      <protection hidden="1"/>
    </xf>
    <xf numFmtId="0" fontId="4" fillId="2" borderId="7" xfId="0" applyFont="1" applyFill="1" applyBorder="1" applyAlignment="1" applyProtection="1">
      <alignment vertical="center" wrapText="1"/>
      <protection hidden="1"/>
    </xf>
    <xf numFmtId="0" fontId="13" fillId="9" borderId="7" xfId="5" applyBorder="1" applyAlignment="1" applyProtection="1">
      <alignment horizontal="center" vertical="center"/>
      <protection hidden="1"/>
    </xf>
    <xf numFmtId="0" fontId="13" fillId="9" borderId="7" xfId="5" applyBorder="1" applyAlignment="1" applyProtection="1">
      <alignment horizontal="left" vertical="center"/>
      <protection hidden="1"/>
    </xf>
    <xf numFmtId="0" fontId="13" fillId="9" borderId="8" xfId="5" applyBorder="1" applyAlignment="1" applyProtection="1">
      <alignment horizontal="center" vertical="center"/>
      <protection hidden="1"/>
    </xf>
    <xf numFmtId="0" fontId="13" fillId="9" borderId="4" xfId="5" applyAlignment="1" applyProtection="1">
      <alignment horizontal="center" vertical="center"/>
      <protection hidden="1"/>
    </xf>
    <xf numFmtId="0" fontId="13" fillId="9" borderId="4" xfId="5" applyAlignment="1" applyProtection="1">
      <alignment horizontal="left" vertical="center"/>
      <protection hidden="1"/>
    </xf>
    <xf numFmtId="0" fontId="13" fillId="9" borderId="12" xfId="5" applyBorder="1" applyAlignment="1" applyProtection="1">
      <alignment horizontal="center" vertical="center"/>
      <protection hidden="1"/>
    </xf>
    <xf numFmtId="0" fontId="13" fillId="9" borderId="6" xfId="5" applyBorder="1" applyAlignment="1" applyProtection="1">
      <alignment horizontal="center" vertical="center"/>
      <protection hidden="1"/>
    </xf>
    <xf numFmtId="0" fontId="13" fillId="9" borderId="6" xfId="5" applyBorder="1" applyAlignment="1" applyProtection="1">
      <alignment horizontal="left" vertical="center"/>
      <protection hidden="1"/>
    </xf>
    <xf numFmtId="0" fontId="13" fillId="9" borderId="13" xfId="5" applyBorder="1" applyAlignment="1" applyProtection="1">
      <alignment horizontal="center" vertical="center"/>
      <protection hidden="1"/>
    </xf>
    <xf numFmtId="0" fontId="13" fillId="9" borderId="7" xfId="5" applyBorder="1" applyAlignment="1" applyProtection="1">
      <alignment horizontal="center" vertical="center"/>
      <protection locked="0" hidden="1"/>
    </xf>
    <xf numFmtId="0" fontId="13" fillId="9" borderId="4" xfId="5" applyAlignment="1" applyProtection="1">
      <alignment horizontal="center" vertical="center"/>
      <protection locked="0" hidden="1"/>
    </xf>
    <xf numFmtId="0" fontId="13" fillId="9" borderId="6" xfId="5" applyBorder="1" applyAlignment="1" applyProtection="1">
      <alignment horizontal="center" vertical="center"/>
      <protection locked="0" hidden="1"/>
    </xf>
    <xf numFmtId="0" fontId="9" fillId="4" borderId="37" xfId="2" applyBorder="1" applyAlignment="1" applyProtection="1">
      <alignment horizontal="center" vertical="center" wrapText="1"/>
      <protection hidden="1"/>
    </xf>
    <xf numFmtId="0" fontId="9" fillId="3" borderId="5" xfId="5" applyFont="1" applyFill="1" applyBorder="1" applyAlignment="1" applyProtection="1">
      <alignment horizontal="center" vertical="center"/>
      <protection locked="0" hidden="1"/>
    </xf>
    <xf numFmtId="164" fontId="9" fillId="4" borderId="7" xfId="2" applyNumberFormat="1" applyBorder="1" applyAlignment="1" applyProtection="1">
      <alignment horizontal="center" vertical="center"/>
      <protection hidden="1"/>
    </xf>
    <xf numFmtId="0" fontId="9" fillId="4" borderId="7" xfId="2" applyBorder="1" applyAlignment="1" applyProtection="1">
      <alignment horizontal="left" vertical="center"/>
      <protection hidden="1"/>
    </xf>
    <xf numFmtId="0" fontId="9" fillId="3" borderId="14" xfId="5" applyFont="1" applyFill="1" applyBorder="1" applyAlignment="1" applyProtection="1">
      <alignment horizontal="center" vertical="center"/>
      <protection locked="0" hidden="1"/>
    </xf>
    <xf numFmtId="0" fontId="9" fillId="4" borderId="4" xfId="2" applyAlignment="1" applyProtection="1">
      <alignment horizontal="left" vertical="center"/>
      <protection hidden="1"/>
    </xf>
    <xf numFmtId="164" fontId="9" fillId="4" borderId="6" xfId="2" applyNumberFormat="1" applyBorder="1" applyAlignment="1" applyProtection="1">
      <alignment horizontal="center" vertical="center"/>
      <protection hidden="1"/>
    </xf>
    <xf numFmtId="0" fontId="9" fillId="4" borderId="6" xfId="2" applyBorder="1" applyAlignment="1" applyProtection="1">
      <alignment horizontal="left" vertical="center"/>
      <protection hidden="1"/>
    </xf>
    <xf numFmtId="0" fontId="9" fillId="3" borderId="19" xfId="5" applyFont="1" applyFill="1" applyBorder="1" applyAlignment="1" applyProtection="1">
      <alignment horizontal="center" vertical="center"/>
      <protection locked="0" hidden="1"/>
    </xf>
    <xf numFmtId="0" fontId="16" fillId="4" borderId="38" xfId="2" applyFont="1" applyBorder="1" applyAlignment="1" applyProtection="1">
      <alignment horizontal="left" vertical="center"/>
      <protection hidden="1"/>
    </xf>
    <xf numFmtId="0" fontId="5" fillId="2" borderId="7"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0" fillId="4" borderId="7" xfId="2" applyFont="1" applyBorder="1" applyAlignment="1" applyProtection="1">
      <alignment horizontal="left" vertical="top" wrapText="1"/>
      <protection hidden="1"/>
    </xf>
    <xf numFmtId="0" fontId="0" fillId="4" borderId="6" xfId="2" applyFont="1" applyBorder="1" applyAlignment="1" applyProtection="1">
      <alignment horizontal="left" vertical="top" wrapText="1"/>
      <protection hidden="1"/>
    </xf>
    <xf numFmtId="0" fontId="0" fillId="0" borderId="0" xfId="0" applyAlignment="1" applyProtection="1">
      <alignment wrapText="1"/>
      <protection hidden="1"/>
    </xf>
    <xf numFmtId="0" fontId="16" fillId="0" borderId="42" xfId="0" applyFont="1" applyBorder="1" applyAlignment="1" applyProtection="1">
      <alignment wrapText="1"/>
      <protection hidden="1"/>
    </xf>
    <xf numFmtId="0" fontId="0" fillId="0" borderId="42" xfId="0" applyBorder="1" applyAlignment="1" applyProtection="1">
      <alignment wrapText="1"/>
      <protection hidden="1"/>
    </xf>
    <xf numFmtId="0" fontId="9" fillId="6" borderId="4" xfId="5" applyFont="1" applyFill="1" applyAlignment="1" applyProtection="1">
      <alignment horizontal="center" vertical="center"/>
      <protection hidden="1"/>
    </xf>
    <xf numFmtId="0" fontId="9" fillId="6" borderId="6" xfId="5" applyFont="1" applyFill="1" applyBorder="1" applyAlignment="1" applyProtection="1">
      <alignment horizontal="center" vertical="center"/>
      <protection hidden="1"/>
    </xf>
    <xf numFmtId="0" fontId="9" fillId="24" borderId="7" xfId="5" applyFont="1" applyFill="1" applyBorder="1" applyAlignment="1" applyProtection="1">
      <alignment horizontal="center" vertical="center"/>
      <protection hidden="1"/>
    </xf>
    <xf numFmtId="0" fontId="9" fillId="24" borderId="7" xfId="5" applyFont="1" applyFill="1" applyBorder="1" applyAlignment="1" applyProtection="1">
      <alignment horizontal="left" vertical="center"/>
      <protection hidden="1"/>
    </xf>
    <xf numFmtId="0" fontId="9" fillId="24" borderId="4" xfId="5" applyFont="1" applyFill="1" applyAlignment="1" applyProtection="1">
      <alignment horizontal="center" vertical="center"/>
      <protection hidden="1"/>
    </xf>
    <xf numFmtId="0" fontId="9" fillId="24" borderId="4" xfId="5" applyFont="1" applyFill="1" applyAlignment="1" applyProtection="1">
      <alignment horizontal="left" vertical="center"/>
      <protection hidden="1"/>
    </xf>
    <xf numFmtId="0" fontId="0" fillId="4" borderId="37" xfId="2" applyFont="1" applyBorder="1" applyAlignment="1" applyProtection="1">
      <alignment horizontal="center" vertical="center" wrapText="1"/>
      <protection hidden="1"/>
    </xf>
    <xf numFmtId="0" fontId="0" fillId="0" borderId="42" xfId="0" applyBorder="1" applyProtection="1">
      <protection hidden="1"/>
    </xf>
    <xf numFmtId="0" fontId="4" fillId="7" borderId="0" xfId="4" applyAlignment="1" applyProtection="1">
      <alignment horizontal="left" vertical="center" wrapText="1"/>
      <protection hidden="1"/>
    </xf>
    <xf numFmtId="9" fontId="10" fillId="0" borderId="0" xfId="221" applyFont="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4" fillId="0" borderId="0" xfId="4" applyFill="1" applyAlignment="1" applyProtection="1">
      <alignment horizontal="left" vertical="center" wrapText="1"/>
      <protection hidden="1"/>
    </xf>
    <xf numFmtId="0" fontId="18" fillId="7" borderId="0" xfId="0" applyFont="1" applyFill="1" applyAlignment="1" applyProtection="1">
      <alignment horizontal="center" vertical="center"/>
      <protection hidden="1"/>
    </xf>
    <xf numFmtId="0" fontId="16" fillId="7" borderId="0" xfId="0" applyFont="1" applyFill="1" applyAlignment="1" applyProtection="1">
      <alignment horizontal="center" vertical="center"/>
      <protection hidden="1"/>
    </xf>
    <xf numFmtId="0" fontId="16" fillId="24" borderId="0" xfId="0" applyFont="1" applyFill="1" applyAlignment="1" applyProtection="1">
      <alignment horizontal="center" vertical="center"/>
      <protection hidden="1"/>
    </xf>
    <xf numFmtId="164" fontId="16" fillId="24" borderId="0" xfId="0" applyNumberFormat="1" applyFont="1" applyFill="1" applyAlignment="1" applyProtection="1">
      <alignment horizontal="center" vertical="center"/>
      <protection hidden="1"/>
    </xf>
    <xf numFmtId="0" fontId="14" fillId="24" borderId="0" xfId="221" applyNumberFormat="1" applyFont="1" applyFill="1" applyAlignment="1" applyProtection="1">
      <alignment horizontal="center" vertical="center"/>
      <protection hidden="1"/>
    </xf>
    <xf numFmtId="164" fontId="14" fillId="24" borderId="0" xfId="221" applyNumberFormat="1" applyFont="1" applyFill="1" applyAlignment="1" applyProtection="1">
      <alignment horizontal="center" vertical="center"/>
      <protection hidden="1"/>
    </xf>
    <xf numFmtId="0" fontId="9" fillId="4" borderId="4" xfId="2" applyAlignment="1" applyProtection="1">
      <alignment horizontal="center" vertical="center" wrapText="1"/>
      <protection hidden="1"/>
    </xf>
    <xf numFmtId="0" fontId="0" fillId="24" borderId="4" xfId="2" applyFont="1" applyFill="1" applyAlignment="1" applyProtection="1">
      <alignment horizontal="left" vertical="center" wrapText="1"/>
      <protection hidden="1"/>
    </xf>
    <xf numFmtId="0" fontId="9" fillId="24" borderId="4" xfId="2" applyFill="1" applyAlignment="1" applyProtection="1">
      <alignment horizontal="center" vertical="center" wrapText="1"/>
      <protection hidden="1"/>
    </xf>
    <xf numFmtId="0" fontId="9" fillId="24" borderId="12" xfId="2" applyFill="1" applyBorder="1" applyAlignment="1" applyProtection="1">
      <alignment horizontal="left" vertical="center" wrapText="1"/>
      <protection hidden="1"/>
    </xf>
    <xf numFmtId="0" fontId="9" fillId="4" borderId="12" xfId="2" applyBorder="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2" fillId="0" borderId="0" xfId="0" applyFont="1" applyAlignment="1" applyProtection="1">
      <alignment horizontal="right" vertical="center"/>
      <protection hidden="1"/>
    </xf>
    <xf numFmtId="0" fontId="13" fillId="9" borderId="4" xfId="5" applyProtection="1">
      <alignment vertical="center"/>
      <protection hidden="1"/>
    </xf>
    <xf numFmtId="0" fontId="0" fillId="0" borderId="0" xfId="0" applyAlignment="1" applyProtection="1">
      <alignment vertical="center"/>
      <protection locked="0" hidden="1"/>
    </xf>
    <xf numFmtId="164" fontId="16" fillId="24" borderId="0" xfId="221" applyNumberFormat="1" applyFont="1" applyFill="1" applyAlignment="1">
      <alignment horizontal="center" vertical="center"/>
    </xf>
    <xf numFmtId="0" fontId="53" fillId="28" borderId="42" xfId="230" applyFont="1" applyFill="1" applyBorder="1" applyAlignment="1">
      <alignment horizontal="left" vertical="center" wrapText="1"/>
    </xf>
    <xf numFmtId="0" fontId="5" fillId="7" borderId="0" xfId="0" applyFont="1" applyFill="1" applyAlignment="1" applyProtection="1">
      <alignment vertical="center" wrapText="1"/>
      <protection hidden="1"/>
    </xf>
    <xf numFmtId="0" fontId="4" fillId="7" borderId="0" xfId="0" applyFont="1" applyFill="1" applyAlignment="1" applyProtection="1">
      <alignment vertical="center" wrapText="1"/>
      <protection hidden="1"/>
    </xf>
    <xf numFmtId="0" fontId="0" fillId="7" borderId="0" xfId="0" applyFill="1" applyProtection="1">
      <protection hidden="1"/>
    </xf>
    <xf numFmtId="165" fontId="11" fillId="3" borderId="0" xfId="6" applyFill="1" applyProtection="1">
      <protection hidden="1"/>
    </xf>
    <xf numFmtId="165" fontId="55" fillId="7" borderId="0" xfId="6" applyFont="1" applyFill="1" applyProtection="1">
      <protection hidden="1"/>
    </xf>
    <xf numFmtId="165" fontId="56" fillId="3" borderId="0" xfId="6" applyFont="1" applyFill="1" applyProtection="1">
      <protection hidden="1"/>
    </xf>
    <xf numFmtId="165" fontId="57" fillId="3" borderId="0" xfId="6" applyFont="1" applyFill="1" applyAlignment="1" applyProtection="1">
      <alignment horizontal="left"/>
      <protection hidden="1"/>
    </xf>
    <xf numFmtId="0" fontId="11" fillId="3" borderId="0" xfId="6" applyNumberFormat="1" applyFill="1" applyAlignment="1" applyProtection="1">
      <alignment vertical="top" wrapText="1"/>
      <protection hidden="1"/>
    </xf>
    <xf numFmtId="0" fontId="11" fillId="3" borderId="0" xfId="6" applyNumberFormat="1" applyFill="1" applyAlignment="1" applyProtection="1">
      <alignment horizontal="left" vertical="top" wrapText="1"/>
      <protection hidden="1"/>
    </xf>
    <xf numFmtId="165" fontId="56" fillId="3" borderId="0" xfId="9" applyFont="1" applyFill="1" applyProtection="1">
      <protection hidden="1"/>
    </xf>
    <xf numFmtId="165" fontId="56" fillId="0" borderId="0" xfId="9" applyFont="1" applyProtection="1">
      <protection hidden="1"/>
    </xf>
    <xf numFmtId="165" fontId="59" fillId="7" borderId="0" xfId="6" applyFont="1" applyFill="1" applyAlignment="1" applyProtection="1">
      <alignment horizontal="left" vertical="center"/>
      <protection hidden="1"/>
    </xf>
    <xf numFmtId="0" fontId="59" fillId="7" borderId="0" xfId="6" applyNumberFormat="1" applyFont="1" applyFill="1" applyAlignment="1" applyProtection="1">
      <alignment horizontal="justify" vertical="center" wrapText="1"/>
      <protection hidden="1"/>
    </xf>
    <xf numFmtId="0" fontId="58" fillId="7" borderId="0" xfId="6" applyNumberFormat="1" applyFont="1" applyFill="1" applyAlignment="1" applyProtection="1">
      <alignment horizontal="justify" vertical="center" wrapText="1"/>
      <protection hidden="1"/>
    </xf>
    <xf numFmtId="0" fontId="0" fillId="0" borderId="0" xfId="0" applyProtection="1">
      <protection locked="0" hidden="1"/>
    </xf>
    <xf numFmtId="0" fontId="4" fillId="7" borderId="0" xfId="0" applyFont="1" applyFill="1" applyAlignment="1" applyProtection="1">
      <alignment horizontal="left" vertical="center" wrapText="1"/>
      <protection locked="0" hidden="1"/>
    </xf>
    <xf numFmtId="0" fontId="0" fillId="0" borderId="0" xfId="0" applyAlignment="1" applyProtection="1">
      <alignment horizontal="left" vertical="center"/>
      <protection locked="0" hidden="1"/>
    </xf>
    <xf numFmtId="0" fontId="4" fillId="7" borderId="0" xfId="4" applyAlignment="1" applyProtection="1">
      <alignment horizontal="left" vertical="center" wrapText="1"/>
      <protection locked="0" hidden="1"/>
    </xf>
    <xf numFmtId="0" fontId="4" fillId="2" borderId="0" xfId="0" applyFont="1" applyFill="1" applyAlignment="1" applyProtection="1">
      <alignment vertical="center" wrapText="1"/>
      <protection hidden="1"/>
    </xf>
    <xf numFmtId="0" fontId="0" fillId="0" borderId="0" xfId="0" applyAlignment="1" applyProtection="1">
      <alignment horizontal="center"/>
      <protection hidden="1"/>
    </xf>
    <xf numFmtId="0" fontId="0" fillId="24" borderId="7" xfId="5" applyFont="1" applyFill="1" applyBorder="1" applyAlignment="1" applyProtection="1">
      <alignment horizontal="center" vertical="center"/>
      <protection hidden="1"/>
    </xf>
    <xf numFmtId="0" fontId="0" fillId="24" borderId="4" xfId="5" applyFont="1" applyFill="1" applyAlignment="1" applyProtection="1">
      <alignment horizontal="center" vertical="center"/>
      <protection hidden="1"/>
    </xf>
    <xf numFmtId="0" fontId="0" fillId="6" borderId="4" xfId="5" applyFont="1" applyFill="1" applyAlignment="1" applyProtection="1">
      <alignment horizontal="center" vertical="center"/>
      <protection hidden="1"/>
    </xf>
    <xf numFmtId="0" fontId="0" fillId="6" borderId="6" xfId="5" applyFont="1" applyFill="1" applyBorder="1" applyAlignment="1" applyProtection="1">
      <alignment horizontal="center" vertical="center"/>
      <protection hidden="1"/>
    </xf>
    <xf numFmtId="0" fontId="62" fillId="0" borderId="0" xfId="0" applyFont="1" applyAlignment="1" applyProtection="1">
      <alignment horizontal="center" vertical="center"/>
      <protection hidden="1"/>
    </xf>
    <xf numFmtId="0" fontId="0" fillId="0" borderId="42" xfId="0" applyBorder="1" applyAlignment="1" applyProtection="1">
      <alignment horizontal="center" vertical="center"/>
      <protection hidden="1"/>
    </xf>
    <xf numFmtId="0" fontId="8" fillId="0" borderId="46" xfId="0" applyFont="1" applyBorder="1" applyAlignment="1" applyProtection="1">
      <alignment horizontal="center" vertical="center"/>
      <protection hidden="1"/>
    </xf>
    <xf numFmtId="0" fontId="4" fillId="2" borderId="0" xfId="0" applyFont="1" applyFill="1" applyAlignment="1" applyProtection="1">
      <alignment horizontal="center" vertical="center" wrapText="1"/>
      <protection hidden="1"/>
    </xf>
    <xf numFmtId="0" fontId="0" fillId="0" borderId="42" xfId="0" applyBorder="1" applyAlignment="1" applyProtection="1">
      <alignment horizontal="center" vertical="center" wrapText="1"/>
      <protection locked="0" hidden="1"/>
    </xf>
    <xf numFmtId="0" fontId="0" fillId="0" borderId="42" xfId="0" applyBorder="1" applyAlignment="1" applyProtection="1">
      <alignment horizontal="center" vertical="center"/>
      <protection locked="0" hidden="1"/>
    </xf>
    <xf numFmtId="0" fontId="0" fillId="24" borderId="4" xfId="5" applyFont="1" applyFill="1" applyAlignment="1" applyProtection="1">
      <alignment horizontal="left" vertical="center"/>
      <protection hidden="1"/>
    </xf>
    <xf numFmtId="0" fontId="0" fillId="6" borderId="4" xfId="5" applyFont="1" applyFill="1" applyAlignment="1" applyProtection="1">
      <alignment horizontal="left" vertical="center"/>
      <protection hidden="1"/>
    </xf>
    <xf numFmtId="0" fontId="0" fillId="6" borderId="6" xfId="5" applyFont="1" applyFill="1" applyBorder="1" applyAlignment="1" applyProtection="1">
      <alignment horizontal="left" vertical="center"/>
      <protection hidden="1"/>
    </xf>
    <xf numFmtId="0" fontId="0" fillId="0" borderId="47" xfId="0" applyBorder="1" applyAlignment="1" applyProtection="1">
      <alignment wrapText="1"/>
      <protection hidden="1"/>
    </xf>
    <xf numFmtId="0" fontId="0" fillId="7" borderId="42" xfId="0" applyFill="1" applyBorder="1" applyAlignment="1" applyProtection="1">
      <alignment wrapText="1"/>
      <protection hidden="1"/>
    </xf>
    <xf numFmtId="164" fontId="14" fillId="24" borderId="0" xfId="0" applyNumberFormat="1" applyFont="1" applyFill="1" applyAlignment="1" applyProtection="1">
      <alignment horizontal="center" vertical="center"/>
      <protection hidden="1"/>
    </xf>
    <xf numFmtId="0" fontId="4" fillId="0" borderId="0" xfId="0" applyFont="1" applyAlignment="1" applyProtection="1">
      <alignment vertical="center" wrapText="1"/>
      <protection hidden="1"/>
    </xf>
    <xf numFmtId="0" fontId="2" fillId="0" borderId="0" xfId="0" applyFont="1" applyAlignment="1" applyProtection="1">
      <alignment horizontal="center" vertical="center" wrapText="1"/>
      <protection locked="0" hidden="1"/>
    </xf>
    <xf numFmtId="0" fontId="14" fillId="0" borderId="0" xfId="0" applyFont="1" applyAlignment="1" applyProtection="1">
      <alignment horizontal="center" vertical="center" wrapText="1"/>
      <protection locked="0" hidden="1"/>
    </xf>
    <xf numFmtId="0" fontId="1" fillId="0" borderId="0" xfId="0" applyFont="1" applyAlignment="1" applyProtection="1">
      <alignment horizontal="center" vertical="center" wrapText="1"/>
      <protection locked="0" hidden="1"/>
    </xf>
    <xf numFmtId="0" fontId="4" fillId="7" borderId="0" xfId="0" applyFont="1" applyFill="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62" fillId="0" borderId="0" xfId="0" applyFont="1" applyAlignment="1" applyProtection="1">
      <alignment horizontal="center" vertical="center"/>
      <protection locked="0" hidden="1"/>
    </xf>
    <xf numFmtId="0" fontId="4" fillId="0" borderId="0" xfId="4" applyFill="1" applyAlignment="1" applyProtection="1">
      <alignment horizontal="left" vertical="center" wrapText="1"/>
      <protection locked="0" hidden="1"/>
    </xf>
    <xf numFmtId="0" fontId="4" fillId="2" borderId="0" xfId="0" applyFont="1" applyFill="1" applyAlignment="1" applyProtection="1">
      <alignment horizontal="left" vertical="center" wrapText="1"/>
      <protection locked="0" hidden="1"/>
    </xf>
    <xf numFmtId="0" fontId="5" fillId="2" borderId="0" xfId="0" applyFont="1" applyFill="1" applyAlignment="1" applyProtection="1">
      <alignment horizontal="left" vertical="center" wrapText="1"/>
      <protection locked="0" hidden="1"/>
    </xf>
    <xf numFmtId="0" fontId="16" fillId="4" borderId="37" xfId="2" applyFont="1" applyBorder="1" applyAlignment="1" applyProtection="1">
      <alignment horizontal="left" vertical="center" wrapText="1"/>
      <protection hidden="1"/>
    </xf>
    <xf numFmtId="0" fontId="16" fillId="4" borderId="36" xfId="2" applyFont="1" applyBorder="1" applyAlignment="1" applyProtection="1">
      <alignment horizontal="left" vertical="center" wrapText="1"/>
      <protection hidden="1"/>
    </xf>
    <xf numFmtId="0" fontId="16" fillId="4" borderId="38" xfId="2" applyFont="1" applyBorder="1" applyAlignment="1" applyProtection="1">
      <alignment horizontal="left" vertical="center" wrapText="1"/>
      <protection hidden="1"/>
    </xf>
    <xf numFmtId="0" fontId="9" fillId="4" borderId="6" xfId="2" applyBorder="1" applyAlignment="1" applyProtection="1">
      <alignment horizontal="left" vertical="center" wrapText="1"/>
      <protection hidden="1"/>
    </xf>
    <xf numFmtId="0" fontId="9" fillId="4" borderId="7" xfId="2" applyBorder="1" applyAlignment="1" applyProtection="1">
      <alignment horizontal="left" vertical="center" wrapText="1"/>
      <protection hidden="1"/>
    </xf>
    <xf numFmtId="0" fontId="0" fillId="24" borderId="4" xfId="5" applyFont="1" applyFill="1" applyAlignment="1" applyProtection="1">
      <alignment horizontal="left" vertical="center" wrapText="1"/>
      <protection hidden="1"/>
    </xf>
    <xf numFmtId="0" fontId="0" fillId="4" borderId="12" xfId="2" applyFont="1" applyBorder="1" applyAlignment="1" applyProtection="1">
      <alignment horizontal="left" vertical="center" wrapText="1"/>
      <protection hidden="1"/>
    </xf>
    <xf numFmtId="0" fontId="16" fillId="0" borderId="42" xfId="0" applyFont="1" applyBorder="1" applyProtection="1">
      <protection hidden="1"/>
    </xf>
    <xf numFmtId="0" fontId="0" fillId="4" borderId="5" xfId="2" applyFont="1" applyBorder="1" applyAlignment="1" applyProtection="1">
      <alignment horizontal="left" vertical="center" wrapText="1"/>
      <protection locked="0" hidden="1"/>
    </xf>
    <xf numFmtId="0" fontId="0" fillId="4" borderId="15" xfId="2" applyFont="1" applyBorder="1" applyAlignment="1" applyProtection="1">
      <alignment horizontal="left" vertical="center" wrapText="1"/>
      <protection locked="0" hidden="1"/>
    </xf>
    <xf numFmtId="0" fontId="0" fillId="0" borderId="0" xfId="0" applyAlignment="1" applyProtection="1">
      <alignment horizontal="left" vertical="center" wrapText="1"/>
      <protection locked="0" hidden="1"/>
    </xf>
    <xf numFmtId="0" fontId="2" fillId="0" borderId="0" xfId="0" applyFont="1" applyAlignment="1" applyProtection="1">
      <alignment horizontal="left" vertical="center" wrapText="1"/>
      <protection locked="0" hidden="1"/>
    </xf>
    <xf numFmtId="0" fontId="0" fillId="4" borderId="4" xfId="2" applyFont="1" applyAlignment="1" applyProtection="1">
      <alignment horizontal="center" vertical="center" wrapText="1"/>
      <protection hidden="1"/>
    </xf>
    <xf numFmtId="0" fontId="0" fillId="0" borderId="47" xfId="0" applyBorder="1" applyProtection="1">
      <protection hidden="1"/>
    </xf>
    <xf numFmtId="0" fontId="53" fillId="28" borderId="43" xfId="230" applyFont="1" applyFill="1" applyBorder="1" applyAlignment="1">
      <alignment vertical="center" wrapText="1"/>
    </xf>
    <xf numFmtId="0" fontId="17"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4" fillId="7" borderId="0" xfId="0" applyFont="1" applyFill="1" applyAlignment="1" applyProtection="1">
      <alignment horizontal="left" vertical="center" wrapText="1"/>
      <protection locked="0"/>
    </xf>
    <xf numFmtId="0" fontId="4" fillId="7" borderId="0" xfId="0" applyFont="1" applyFill="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22" fillId="3" borderId="5" xfId="0" applyFont="1" applyFill="1" applyBorder="1" applyAlignment="1" applyProtection="1">
      <alignment horizontal="center" vertical="center"/>
      <protection locked="0"/>
    </xf>
    <xf numFmtId="0" fontId="2" fillId="0" borderId="5" xfId="0" applyFont="1" applyBorder="1" applyAlignment="1" applyProtection="1">
      <alignment vertical="center"/>
      <protection locked="0"/>
    </xf>
    <xf numFmtId="0" fontId="22" fillId="3"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22" fillId="0" borderId="0" xfId="0" applyFont="1" applyProtection="1">
      <protection locked="0"/>
    </xf>
    <xf numFmtId="0" fontId="0" fillId="0" borderId="0" xfId="0" applyProtection="1">
      <protection locked="0"/>
    </xf>
    <xf numFmtId="0" fontId="7" fillId="0" borderId="0" xfId="0" applyFont="1" applyAlignment="1" applyProtection="1">
      <alignment vertical="center"/>
      <protection locked="0"/>
    </xf>
    <xf numFmtId="9" fontId="10" fillId="0" borderId="0" xfId="221"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0" fillId="0" borderId="42" xfId="0" applyBorder="1" applyAlignment="1" applyProtection="1">
      <alignment horizontal="center" vertical="center" wrapText="1"/>
      <protection hidden="1"/>
    </xf>
    <xf numFmtId="0" fontId="60" fillId="0" borderId="42" xfId="0" applyFont="1" applyBorder="1" applyAlignment="1" applyProtection="1">
      <alignment horizontal="center" vertical="center"/>
      <protection hidden="1"/>
    </xf>
    <xf numFmtId="0" fontId="60" fillId="0" borderId="42" xfId="0" applyFont="1" applyBorder="1" applyAlignment="1" applyProtection="1">
      <alignment horizontal="center" vertical="center"/>
      <protection locked="0" hidden="1"/>
    </xf>
    <xf numFmtId="0" fontId="61" fillId="0" borderId="42" xfId="0" applyFont="1" applyBorder="1" applyAlignment="1" applyProtection="1">
      <alignment horizontal="center" vertical="center" wrapText="1"/>
      <protection hidden="1"/>
    </xf>
    <xf numFmtId="0" fontId="6" fillId="0" borderId="42" xfId="0" applyFont="1" applyBorder="1" applyAlignment="1" applyProtection="1">
      <alignment horizontal="center" vertical="center"/>
      <protection locked="0" hidden="1"/>
    </xf>
    <xf numFmtId="0" fontId="6" fillId="0" borderId="42" xfId="0" applyFont="1" applyBorder="1" applyAlignment="1" applyProtection="1">
      <alignment horizontal="center" vertical="center" wrapText="1"/>
      <protection hidden="1"/>
    </xf>
    <xf numFmtId="0" fontId="60" fillId="7" borderId="42" xfId="0"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wrapText="1"/>
      <protection hidden="1"/>
    </xf>
    <xf numFmtId="0" fontId="61" fillId="7" borderId="42" xfId="0" applyFont="1" applyFill="1" applyBorder="1" applyAlignment="1" applyProtection="1">
      <alignment horizontal="center" vertical="center" wrapText="1"/>
      <protection hidden="1"/>
    </xf>
    <xf numFmtId="0" fontId="60" fillId="0" borderId="0" xfId="0" applyFont="1" applyAlignment="1" applyProtection="1">
      <alignment horizontal="center" vertical="center"/>
      <protection hidden="1"/>
    </xf>
    <xf numFmtId="1" fontId="60" fillId="0" borderId="0" xfId="0" applyNumberFormat="1" applyFont="1" applyAlignment="1" applyProtection="1">
      <alignment horizontal="center" vertical="center"/>
      <protection hidden="1"/>
    </xf>
    <xf numFmtId="0" fontId="6" fillId="0" borderId="48" xfId="0" applyFont="1" applyBorder="1" applyAlignment="1" applyProtection="1">
      <alignment horizontal="center" vertical="center" wrapText="1"/>
      <protection hidden="1"/>
    </xf>
    <xf numFmtId="0" fontId="0" fillId="0" borderId="0" xfId="0" applyAlignment="1" applyProtection="1">
      <alignment horizontal="left" vertical="center"/>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0" fillId="4" borderId="15" xfId="2" applyFont="1" applyBorder="1" applyAlignment="1" applyProtection="1">
      <alignment horizontal="left" vertical="center"/>
      <protection locked="0"/>
    </xf>
    <xf numFmtId="0" fontId="4" fillId="0" borderId="0" xfId="4" applyFill="1" applyAlignment="1">
      <alignment horizontal="left" vertical="center" wrapText="1"/>
      <protection locked="0"/>
    </xf>
    <xf numFmtId="0" fontId="4" fillId="2" borderId="0" xfId="0" applyFont="1" applyFill="1" applyAlignment="1" applyProtection="1">
      <alignment horizontal="left" vertical="center" wrapText="1"/>
      <protection locked="0"/>
    </xf>
    <xf numFmtId="0" fontId="0" fillId="3" borderId="0" xfId="0" applyFill="1" applyAlignment="1" applyProtection="1">
      <alignment horizontal="left" vertical="center"/>
      <protection locked="0"/>
    </xf>
    <xf numFmtId="0" fontId="4" fillId="2" borderId="0" xfId="0" applyFont="1" applyFill="1" applyAlignment="1" applyProtection="1">
      <alignment vertical="center" wrapText="1"/>
      <protection locked="0"/>
    </xf>
    <xf numFmtId="0" fontId="2" fillId="3" borderId="0" xfId="0" applyFont="1" applyFill="1" applyAlignment="1" applyProtection="1">
      <alignment horizontal="left" vertical="center"/>
      <protection locked="0"/>
    </xf>
    <xf numFmtId="0" fontId="5" fillId="2" borderId="0" xfId="0" applyFont="1" applyFill="1" applyAlignment="1" applyProtection="1">
      <alignment horizontal="lef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3" fillId="0" borderId="0" xfId="0" applyFont="1" applyAlignment="1" applyProtection="1">
      <alignment vertical="center"/>
      <protection locked="0" hidden="1"/>
    </xf>
    <xf numFmtId="0" fontId="2" fillId="0" borderId="0" xfId="0" applyFont="1" applyAlignment="1" applyProtection="1">
      <alignment vertical="center"/>
      <protection locked="0" hidden="1"/>
    </xf>
    <xf numFmtId="0" fontId="4" fillId="0" borderId="0" xfId="4" applyFill="1">
      <alignment horizontal="center" vertical="center" wrapText="1"/>
      <protection locked="0"/>
    </xf>
    <xf numFmtId="0" fontId="4" fillId="2" borderId="0" xfId="0" applyFont="1" applyFill="1" applyAlignment="1" applyProtection="1">
      <alignment horizontal="center" vertical="center" wrapText="1"/>
      <protection locked="0"/>
    </xf>
    <xf numFmtId="0" fontId="0" fillId="0" borderId="0" xfId="0" applyAlignment="1" applyProtection="1">
      <alignment horizontal="center" vertical="center"/>
      <protection locked="0"/>
    </xf>
    <xf numFmtId="0" fontId="5" fillId="2" borderId="0" xfId="0" applyFont="1" applyFill="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lignment horizontal="center" vertical="center"/>
    </xf>
    <xf numFmtId="0" fontId="66" fillId="0" borderId="0" xfId="0" applyFont="1" applyAlignment="1">
      <alignment horizontal="center" vertical="center"/>
    </xf>
    <xf numFmtId="0" fontId="4" fillId="7" borderId="0" xfId="0" applyFont="1" applyFill="1" applyAlignment="1">
      <alignment horizontal="center" vertical="center" wrapText="1"/>
    </xf>
    <xf numFmtId="0" fontId="12" fillId="7" borderId="0" xfId="0" applyFont="1" applyFill="1" applyAlignment="1">
      <alignment horizontal="center" vertical="center" wrapText="1"/>
    </xf>
    <xf numFmtId="0" fontId="14" fillId="0" borderId="0" xfId="0" applyFont="1" applyAlignment="1" applyProtection="1">
      <alignment vertical="center"/>
      <protection locked="0" hidden="1"/>
    </xf>
    <xf numFmtId="0" fontId="12" fillId="7" borderId="0" xfId="0" applyFont="1" applyFill="1" applyAlignment="1">
      <alignment horizontal="left" vertical="center" wrapText="1"/>
    </xf>
    <xf numFmtId="0" fontId="13" fillId="9" borderId="15" xfId="2" applyFont="1" applyFill="1" applyBorder="1" applyAlignment="1" applyProtection="1">
      <alignment horizontal="center" vertical="center" wrapText="1"/>
      <protection locked="0"/>
    </xf>
    <xf numFmtId="0" fontId="13" fillId="9" borderId="15" xfId="2" applyFont="1" applyFill="1" applyBorder="1" applyAlignment="1" applyProtection="1">
      <alignment horizontal="lef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center" wrapText="1"/>
      <protection locked="0"/>
    </xf>
    <xf numFmtId="0" fontId="0" fillId="3" borderId="0" xfId="0" applyFill="1" applyAlignment="1" applyProtection="1">
      <alignment horizontal="center" vertical="center" wrapText="1"/>
      <protection locked="0"/>
    </xf>
    <xf numFmtId="0" fontId="0" fillId="3" borderId="0" xfId="0" applyFill="1" applyAlignment="1" applyProtection="1">
      <alignment horizontal="left" vertical="center" wrapText="1"/>
      <protection locked="0"/>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left" vertical="center" wrapText="1"/>
      <protection locked="0"/>
    </xf>
    <xf numFmtId="0" fontId="53" fillId="28" borderId="43" xfId="230" applyFont="1" applyFill="1" applyBorder="1" applyAlignment="1">
      <alignment horizontal="center" vertical="center" wrapText="1"/>
    </xf>
    <xf numFmtId="0" fontId="0" fillId="4" borderId="4" xfId="2" applyFont="1" applyAlignment="1" applyProtection="1">
      <alignment vertical="center" wrapText="1"/>
      <protection hidden="1"/>
    </xf>
    <xf numFmtId="0" fontId="5" fillId="2" borderId="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0" fillId="4" borderId="4" xfId="2" applyFont="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4" fillId="0" borderId="0" xfId="0" applyFont="1" applyAlignment="1" applyProtection="1">
      <alignment horizontal="center" vertical="center" wrapText="1"/>
      <protection locked="0"/>
    </xf>
    <xf numFmtId="0" fontId="0" fillId="4" borderId="7" xfId="2" applyFont="1" applyBorder="1" applyAlignment="1" applyProtection="1">
      <alignment horizontal="center" vertical="center" wrapText="1"/>
      <protection hidden="1"/>
    </xf>
    <xf numFmtId="0" fontId="0" fillId="4" borderId="12" xfId="2" applyFont="1" applyBorder="1" applyAlignment="1" applyProtection="1">
      <alignment horizontal="center" vertical="center" wrapText="1"/>
      <protection hidden="1"/>
    </xf>
    <xf numFmtId="0" fontId="0" fillId="4" borderId="39" xfId="2" applyFont="1" applyBorder="1" applyAlignment="1" applyProtection="1">
      <alignment horizontal="center" vertical="center" wrapText="1"/>
      <protection hidden="1"/>
    </xf>
    <xf numFmtId="0" fontId="0" fillId="24" borderId="4" xfId="5" applyFont="1" applyFill="1" applyAlignment="1" applyProtection="1">
      <alignment horizontal="center" vertical="center" wrapText="1"/>
      <protection hidden="1"/>
    </xf>
    <xf numFmtId="164" fontId="9" fillId="4" borderId="4" xfId="2" applyNumberFormat="1" applyAlignment="1" applyProtection="1">
      <alignment horizontal="center" vertical="center" wrapText="1"/>
      <protection hidden="1"/>
    </xf>
    <xf numFmtId="1" fontId="0" fillId="4" borderId="4" xfId="2" applyNumberFormat="1" applyFont="1" applyAlignment="1" applyProtection="1">
      <alignment horizontal="center" vertical="center"/>
      <protection hidden="1"/>
    </xf>
    <xf numFmtId="1" fontId="9" fillId="4" borderId="4" xfId="2" applyNumberFormat="1" applyAlignment="1" applyProtection="1">
      <alignment horizontal="center" vertical="center" wrapText="1"/>
      <protection hidden="1"/>
    </xf>
    <xf numFmtId="1" fontId="9" fillId="4" borderId="4" xfId="2" applyNumberFormat="1" applyAlignment="1" applyProtection="1">
      <alignment horizontal="center" vertical="center"/>
      <protection hidden="1"/>
    </xf>
    <xf numFmtId="1" fontId="9" fillId="4" borderId="6" xfId="2" applyNumberFormat="1" applyBorder="1" applyAlignment="1" applyProtection="1">
      <alignment horizontal="center" vertical="center"/>
      <protection hidden="1"/>
    </xf>
    <xf numFmtId="0" fontId="9" fillId="3" borderId="0" xfId="222" applyFill="1"/>
    <xf numFmtId="0" fontId="1" fillId="3" borderId="0" xfId="222" applyFont="1" applyFill="1" applyAlignment="1">
      <alignment vertical="center"/>
    </xf>
    <xf numFmtId="0" fontId="9" fillId="3" borderId="0" xfId="222" applyFill="1" applyAlignment="1">
      <alignment vertical="center"/>
    </xf>
    <xf numFmtId="0" fontId="5" fillId="29" borderId="0" xfId="222" applyFont="1" applyFill="1" applyAlignment="1">
      <alignment vertical="center"/>
    </xf>
    <xf numFmtId="0" fontId="1" fillId="29" borderId="0" xfId="222" applyFont="1" applyFill="1" applyAlignment="1">
      <alignment vertical="center"/>
    </xf>
    <xf numFmtId="0" fontId="0" fillId="3" borderId="0" xfId="0" applyFill="1" applyProtection="1">
      <protection hidden="1"/>
    </xf>
    <xf numFmtId="0" fontId="0" fillId="3" borderId="0" xfId="0" applyFill="1" applyAlignment="1" applyProtection="1">
      <alignment horizontal="center"/>
      <protection hidden="1"/>
    </xf>
    <xf numFmtId="14" fontId="11" fillId="0" borderId="42" xfId="230" applyNumberFormat="1" applyBorder="1" applyAlignment="1">
      <alignment horizontal="center" vertical="center" wrapText="1"/>
    </xf>
    <xf numFmtId="0" fontId="16" fillId="4" borderId="36" xfId="2" applyFont="1" applyBorder="1" applyAlignment="1" applyProtection="1">
      <alignment vertical="center" wrapText="1"/>
      <protection hidden="1"/>
    </xf>
    <xf numFmtId="0" fontId="0" fillId="4" borderId="0" xfId="2" applyFont="1" applyBorder="1" applyAlignment="1" applyProtection="1">
      <alignment vertical="center" wrapText="1"/>
      <protection hidden="1"/>
    </xf>
    <xf numFmtId="0" fontId="53" fillId="28" borderId="0" xfId="230" applyFont="1" applyFill="1" applyAlignment="1">
      <alignment horizontal="center" vertical="center" wrapText="1"/>
    </xf>
    <xf numFmtId="0" fontId="14" fillId="24" borderId="26" xfId="221" applyNumberFormat="1" applyFont="1" applyFill="1" applyBorder="1" applyAlignment="1" applyProtection="1">
      <alignment horizontal="center" vertical="center"/>
      <protection hidden="1"/>
    </xf>
    <xf numFmtId="0" fontId="14" fillId="24" borderId="24" xfId="221" applyNumberFormat="1" applyFont="1" applyFill="1" applyBorder="1" applyAlignment="1" applyProtection="1">
      <alignment horizontal="center" vertical="center"/>
      <protection hidden="1"/>
    </xf>
    <xf numFmtId="0" fontId="69" fillId="0" borderId="0" xfId="0" applyFont="1" applyAlignment="1" applyProtection="1">
      <alignment vertical="center"/>
      <protection hidden="1"/>
    </xf>
    <xf numFmtId="0" fontId="70" fillId="8" borderId="0" xfId="0" applyFont="1" applyFill="1" applyAlignment="1" applyProtection="1">
      <alignment vertical="center" wrapText="1"/>
      <protection hidden="1"/>
    </xf>
    <xf numFmtId="0" fontId="71" fillId="4" borderId="37" xfId="2" applyFont="1" applyBorder="1" applyAlignment="1" applyProtection="1">
      <alignment vertical="center" wrapText="1"/>
      <protection hidden="1"/>
    </xf>
    <xf numFmtId="0" fontId="71" fillId="4" borderId="4" xfId="2" applyFont="1" applyAlignment="1" applyProtection="1">
      <alignment vertical="center" wrapText="1"/>
      <protection hidden="1"/>
    </xf>
    <xf numFmtId="0" fontId="72" fillId="3" borderId="12" xfId="1" applyNumberFormat="1" applyFont="1" applyFill="1" applyBorder="1" applyAlignment="1" applyProtection="1">
      <alignment horizontal="left" vertical="center" wrapText="1"/>
      <protection locked="0"/>
    </xf>
    <xf numFmtId="0" fontId="71" fillId="4" borderId="6" xfId="2" applyFont="1" applyBorder="1" applyAlignment="1" applyProtection="1">
      <alignment horizontal="left" vertical="center" wrapText="1"/>
      <protection hidden="1"/>
    </xf>
    <xf numFmtId="0" fontId="71" fillId="4" borderId="0" xfId="2" applyFont="1" applyBorder="1" applyAlignment="1" applyProtection="1">
      <alignment horizontal="left" vertical="center" wrapText="1"/>
      <protection hidden="1"/>
    </xf>
    <xf numFmtId="0" fontId="71" fillId="4" borderId="7" xfId="2" applyFont="1" applyBorder="1" applyAlignment="1" applyProtection="1">
      <alignment horizontal="left" vertical="center" wrapText="1"/>
      <protection hidden="1"/>
    </xf>
    <xf numFmtId="1" fontId="72" fillId="3" borderId="12" xfId="1" applyNumberFormat="1" applyFont="1" applyFill="1" applyBorder="1" applyAlignment="1" applyProtection="1">
      <alignment horizontal="left" vertical="center" wrapText="1"/>
      <protection locked="0"/>
    </xf>
    <xf numFmtId="165" fontId="73" fillId="3" borderId="0" xfId="1" applyFont="1" applyFill="1" applyAlignment="1" applyProtection="1">
      <alignment vertical="center"/>
      <protection hidden="1"/>
    </xf>
    <xf numFmtId="1" fontId="69" fillId="3" borderId="0" xfId="1" applyNumberFormat="1" applyFont="1" applyFill="1" applyAlignment="1" applyProtection="1">
      <alignment horizontal="left" vertical="center" wrapText="1"/>
      <protection hidden="1"/>
    </xf>
    <xf numFmtId="17" fontId="72" fillId="3" borderId="12" xfId="1" applyNumberFormat="1" applyFont="1" applyFill="1" applyBorder="1" applyAlignment="1" applyProtection="1">
      <alignment horizontal="left" vertical="center" wrapText="1"/>
      <protection locked="0"/>
    </xf>
    <xf numFmtId="1" fontId="72" fillId="3" borderId="12" xfId="1" applyNumberFormat="1" applyFont="1" applyFill="1" applyBorder="1" applyAlignment="1" applyProtection="1">
      <alignment horizontal="center" vertical="center" wrapText="1"/>
      <protection locked="0"/>
    </xf>
    <xf numFmtId="0" fontId="74" fillId="0" borderId="0" xfId="0" applyFont="1" applyAlignment="1" applyProtection="1">
      <alignment vertical="center" wrapText="1"/>
      <protection hidden="1"/>
    </xf>
    <xf numFmtId="0" fontId="69" fillId="0" borderId="0" xfId="0" applyFont="1" applyAlignment="1" applyProtection="1">
      <alignment vertical="center" wrapText="1"/>
      <protection hidden="1"/>
    </xf>
    <xf numFmtId="0" fontId="75" fillId="0" borderId="0" xfId="0" applyFont="1" applyAlignment="1" applyProtection="1">
      <alignment vertical="center"/>
      <protection hidden="1"/>
    </xf>
    <xf numFmtId="0" fontId="76" fillId="8" borderId="0" xfId="0" applyFont="1" applyFill="1" applyAlignment="1" applyProtection="1">
      <alignment vertical="center" wrapText="1"/>
      <protection hidden="1"/>
    </xf>
    <xf numFmtId="1" fontId="70" fillId="8" borderId="0" xfId="0" applyNumberFormat="1" applyFont="1" applyFill="1" applyAlignment="1" applyProtection="1">
      <alignment horizontal="left" vertical="center" wrapText="1"/>
      <protection hidden="1"/>
    </xf>
    <xf numFmtId="0" fontId="77" fillId="0" borderId="4" xfId="2" applyFont="1" applyFill="1" applyAlignment="1" applyProtection="1">
      <alignment vertical="center" wrapText="1"/>
      <protection hidden="1"/>
    </xf>
    <xf numFmtId="1" fontId="69" fillId="3" borderId="3" xfId="1" applyNumberFormat="1" applyFont="1" applyFill="1" applyBorder="1" applyAlignment="1" applyProtection="1">
      <alignment horizontal="left" vertical="center" wrapText="1"/>
      <protection hidden="1"/>
    </xf>
    <xf numFmtId="1" fontId="82" fillId="33" borderId="5" xfId="1" applyNumberFormat="1" applyFont="1" applyFill="1" applyBorder="1" applyAlignment="1" applyProtection="1">
      <alignment horizontal="center" vertical="center" wrapText="1"/>
      <protection locked="0"/>
    </xf>
    <xf numFmtId="0" fontId="83" fillId="0" borderId="0" xfId="0" applyFont="1" applyAlignment="1" applyProtection="1">
      <alignment vertical="center"/>
      <protection hidden="1"/>
    </xf>
    <xf numFmtId="0" fontId="84" fillId="0" borderId="0" xfId="0" applyFont="1" applyAlignment="1">
      <alignment vertical="center"/>
    </xf>
    <xf numFmtId="0" fontId="85" fillId="34" borderId="0" xfId="0" applyFont="1" applyFill="1" applyAlignment="1" applyProtection="1">
      <alignment vertical="center"/>
      <protection hidden="1"/>
    </xf>
    <xf numFmtId="0" fontId="85" fillId="34" borderId="0" xfId="0" applyFont="1" applyFill="1" applyAlignment="1" applyProtection="1">
      <alignment horizontal="center" vertical="center" wrapText="1"/>
      <protection hidden="1"/>
    </xf>
    <xf numFmtId="0" fontId="77" fillId="31" borderId="51" xfId="0" applyFont="1" applyFill="1" applyBorder="1" applyAlignment="1" applyProtection="1">
      <alignment vertical="center" wrapText="1"/>
      <protection hidden="1"/>
    </xf>
    <xf numFmtId="0" fontId="77" fillId="31" borderId="52" xfId="0" applyFont="1" applyFill="1" applyBorder="1" applyAlignment="1" applyProtection="1">
      <alignment horizontal="center" vertical="center" wrapText="1"/>
      <protection hidden="1"/>
    </xf>
    <xf numFmtId="0" fontId="77" fillId="31" borderId="52" xfId="0" applyFont="1" applyFill="1" applyBorder="1" applyAlignment="1" applyProtection="1">
      <alignment vertical="center"/>
      <protection hidden="1"/>
    </xf>
    <xf numFmtId="0" fontId="77" fillId="31" borderId="53" xfId="0" applyFont="1" applyFill="1" applyBorder="1" applyAlignment="1" applyProtection="1">
      <alignment horizontal="center" vertical="center" wrapText="1"/>
      <protection hidden="1"/>
    </xf>
    <xf numFmtId="164" fontId="72" fillId="31" borderId="7" xfId="2" applyNumberFormat="1" applyFont="1" applyFill="1" applyBorder="1" applyAlignment="1" applyProtection="1">
      <alignment horizontal="center" vertical="center"/>
      <protection hidden="1"/>
    </xf>
    <xf numFmtId="0" fontId="72" fillId="31" borderId="8" xfId="2" applyFont="1" applyFill="1" applyBorder="1" applyAlignment="1" applyProtection="1">
      <alignment horizontal="left" vertical="center"/>
      <protection hidden="1"/>
    </xf>
    <xf numFmtId="1" fontId="86" fillId="33" borderId="15" xfId="1" applyNumberFormat="1" applyFont="1" applyFill="1" applyBorder="1" applyAlignment="1" applyProtection="1">
      <alignment horizontal="center" vertical="center" wrapText="1"/>
      <protection locked="0"/>
    </xf>
    <xf numFmtId="164" fontId="72" fillId="31" borderId="4" xfId="2" applyNumberFormat="1" applyFont="1" applyFill="1" applyAlignment="1" applyProtection="1">
      <alignment horizontal="center" vertical="center"/>
      <protection hidden="1"/>
    </xf>
    <xf numFmtId="0" fontId="72" fillId="31" borderId="12" xfId="2" applyFont="1" applyFill="1" applyBorder="1" applyAlignment="1" applyProtection="1">
      <alignment horizontal="left" vertical="center"/>
      <protection hidden="1"/>
    </xf>
    <xf numFmtId="0" fontId="72" fillId="31" borderId="4" xfId="5" applyFont="1" applyFill="1" applyAlignment="1" applyProtection="1">
      <alignment horizontal="center" vertical="center"/>
      <protection hidden="1"/>
    </xf>
    <xf numFmtId="0" fontId="72" fillId="31" borderId="12" xfId="5" applyFont="1" applyFill="1" applyBorder="1" applyProtection="1">
      <alignment vertical="center"/>
      <protection hidden="1"/>
    </xf>
    <xf numFmtId="0" fontId="72" fillId="31" borderId="4" xfId="2" applyFont="1" applyFill="1" applyAlignment="1" applyProtection="1">
      <alignment horizontal="center" vertical="center" wrapText="1"/>
      <protection hidden="1"/>
    </xf>
    <xf numFmtId="0" fontId="72" fillId="31" borderId="12" xfId="2" applyFont="1" applyFill="1" applyBorder="1" applyAlignment="1" applyProtection="1">
      <alignment horizontal="left" vertical="center" wrapText="1"/>
      <protection hidden="1"/>
    </xf>
    <xf numFmtId="164" fontId="71" fillId="31" borderId="37" xfId="2" applyNumberFormat="1" applyFont="1" applyFill="1" applyBorder="1" applyAlignment="1" applyProtection="1">
      <alignment horizontal="left" vertical="center"/>
      <protection hidden="1"/>
    </xf>
    <xf numFmtId="0" fontId="85" fillId="30" borderId="0" xfId="0" applyFont="1" applyFill="1" applyAlignment="1" applyProtection="1">
      <alignment vertical="center" wrapText="1"/>
      <protection hidden="1"/>
    </xf>
    <xf numFmtId="1" fontId="88" fillId="33" borderId="12" xfId="1" applyNumberFormat="1" applyFont="1" applyFill="1" applyBorder="1" applyAlignment="1" applyProtection="1">
      <alignment horizontal="center" vertical="center" wrapText="1"/>
      <protection locked="0"/>
    </xf>
    <xf numFmtId="9" fontId="81" fillId="32" borderId="5" xfId="221" applyFont="1" applyFill="1" applyBorder="1" applyAlignment="1" applyProtection="1">
      <alignment horizontal="center" vertical="center" wrapText="1"/>
      <protection hidden="1"/>
    </xf>
    <xf numFmtId="9" fontId="69" fillId="0" borderId="0" xfId="0" applyNumberFormat="1" applyFont="1" applyAlignment="1" applyProtection="1">
      <alignment vertical="center"/>
      <protection hidden="1"/>
    </xf>
    <xf numFmtId="0" fontId="81" fillId="6" borderId="5" xfId="221" quotePrefix="1" applyNumberFormat="1" applyFont="1" applyFill="1" applyBorder="1" applyAlignment="1" applyProtection="1">
      <alignment horizontal="center" vertical="center" wrapText="1"/>
      <protection hidden="1"/>
    </xf>
    <xf numFmtId="0" fontId="4" fillId="8" borderId="0" xfId="0" applyFont="1" applyFill="1" applyAlignment="1" applyProtection="1">
      <alignment horizontal="center" vertical="center" wrapText="1"/>
      <protection hidden="1"/>
    </xf>
    <xf numFmtId="0" fontId="1" fillId="7" borderId="0" xfId="0" applyFont="1" applyFill="1" applyAlignment="1" applyProtection="1">
      <alignment horizontal="center" vertical="center" wrapText="1"/>
      <protection hidden="1"/>
    </xf>
    <xf numFmtId="164" fontId="1" fillId="7" borderId="0" xfId="0" applyNumberFormat="1" applyFont="1" applyFill="1" applyAlignment="1" applyProtection="1">
      <alignment horizontal="center" vertical="center" wrapText="1"/>
      <protection hidden="1"/>
    </xf>
    <xf numFmtId="0" fontId="89" fillId="34" borderId="0" xfId="0" applyFont="1" applyFill="1" applyAlignment="1" applyProtection="1">
      <alignment horizontal="center" vertical="center" wrapText="1"/>
      <protection hidden="1"/>
    </xf>
    <xf numFmtId="0" fontId="89" fillId="37" borderId="0" xfId="0" applyFont="1" applyFill="1" applyAlignment="1" applyProtection="1">
      <alignment horizontal="center" vertical="center" wrapText="1"/>
      <protection hidden="1"/>
    </xf>
    <xf numFmtId="164" fontId="91" fillId="31" borderId="0" xfId="221" applyNumberFormat="1" applyFont="1" applyFill="1" applyBorder="1" applyAlignment="1" applyProtection="1">
      <alignment horizontal="center" vertical="center" wrapText="1"/>
      <protection hidden="1"/>
    </xf>
    <xf numFmtId="0" fontId="0" fillId="7" borderId="0" xfId="0" applyFill="1" applyAlignment="1" applyProtection="1">
      <alignment horizontal="center" vertical="center"/>
      <protection hidden="1"/>
    </xf>
    <xf numFmtId="0" fontId="1" fillId="38" borderId="54" xfId="0" applyFont="1" applyFill="1" applyBorder="1" applyAlignment="1" applyProtection="1">
      <alignment horizontal="center" vertical="center"/>
      <protection hidden="1"/>
    </xf>
    <xf numFmtId="0" fontId="1" fillId="38" borderId="52" xfId="0" applyFont="1" applyFill="1" applyBorder="1" applyAlignment="1" applyProtection="1">
      <alignment horizontal="center" vertical="center" wrapText="1"/>
      <protection hidden="1"/>
    </xf>
    <xf numFmtId="0" fontId="1" fillId="38" borderId="55" xfId="0" applyFont="1" applyFill="1" applyBorder="1" applyAlignment="1" applyProtection="1">
      <alignment horizontal="center" vertical="center" wrapText="1"/>
      <protection hidden="1"/>
    </xf>
    <xf numFmtId="0" fontId="14" fillId="4" borderId="56" xfId="2" applyFont="1" applyBorder="1" applyAlignment="1" applyProtection="1">
      <alignment horizontal="center" vertical="center" wrapText="1"/>
      <protection hidden="1"/>
    </xf>
    <xf numFmtId="164" fontId="93" fillId="3" borderId="4" xfId="1" applyNumberFormat="1" applyFont="1" applyFill="1" applyBorder="1" applyAlignment="1" applyProtection="1">
      <alignment horizontal="center" vertical="center" wrapText="1"/>
      <protection hidden="1"/>
    </xf>
    <xf numFmtId="0" fontId="14" fillId="4" borderId="4" xfId="2" applyFont="1" applyAlignment="1" applyProtection="1">
      <alignment horizontal="center" vertical="center" wrapText="1"/>
      <protection hidden="1"/>
    </xf>
    <xf numFmtId="2" fontId="93" fillId="3" borderId="4" xfId="1" applyNumberFormat="1" applyFont="1" applyFill="1" applyBorder="1" applyAlignment="1" applyProtection="1">
      <alignment horizontal="center" vertical="center" wrapText="1"/>
      <protection hidden="1"/>
    </xf>
    <xf numFmtId="2" fontId="93" fillId="3" borderId="57" xfId="1" applyNumberFormat="1" applyFont="1" applyFill="1" applyBorder="1" applyAlignment="1" applyProtection="1">
      <alignment horizontal="center" vertical="center" wrapText="1"/>
      <protection hidden="1"/>
    </xf>
    <xf numFmtId="164" fontId="14" fillId="4" borderId="56" xfId="2" applyNumberFormat="1" applyFont="1" applyBorder="1" applyAlignment="1" applyProtection="1">
      <alignment horizontal="center" vertical="center" wrapText="1"/>
      <protection hidden="1"/>
    </xf>
    <xf numFmtId="164" fontId="14" fillId="4" borderId="4" xfId="2" applyNumberFormat="1" applyFont="1" applyAlignment="1" applyProtection="1">
      <alignment horizontal="center" vertical="center" wrapText="1"/>
      <protection hidden="1"/>
    </xf>
    <xf numFmtId="2" fontId="14" fillId="4" borderId="56" xfId="2" applyNumberFormat="1" applyFont="1" applyBorder="1" applyAlignment="1" applyProtection="1">
      <alignment horizontal="center" vertical="center" wrapText="1"/>
      <protection hidden="1"/>
    </xf>
    <xf numFmtId="0" fontId="14" fillId="4" borderId="58" xfId="2" applyFont="1" applyBorder="1" applyAlignment="1" applyProtection="1">
      <alignment horizontal="center" vertical="center" wrapText="1"/>
      <protection hidden="1"/>
    </xf>
    <xf numFmtId="0" fontId="14" fillId="4" borderId="50" xfId="2" applyFont="1" applyBorder="1" applyAlignment="1" applyProtection="1">
      <alignment horizontal="center" vertical="center" wrapText="1"/>
      <protection hidden="1"/>
    </xf>
    <xf numFmtId="2" fontId="93" fillId="3" borderId="6" xfId="1" applyNumberFormat="1" applyFont="1" applyFill="1" applyBorder="1" applyAlignment="1" applyProtection="1">
      <alignment horizontal="center" vertical="center" wrapText="1"/>
      <protection hidden="1"/>
    </xf>
    <xf numFmtId="2" fontId="93" fillId="3" borderId="59" xfId="1" applyNumberFormat="1" applyFont="1" applyFill="1" applyBorder="1" applyAlignment="1" applyProtection="1">
      <alignment horizontal="center" vertical="center" wrapText="1"/>
      <protection hidden="1"/>
    </xf>
    <xf numFmtId="0" fontId="89" fillId="37" borderId="49" xfId="0" applyFont="1" applyFill="1" applyBorder="1" applyAlignment="1" applyProtection="1">
      <alignment horizontal="center" vertical="center" wrapText="1"/>
      <protection hidden="1"/>
    </xf>
    <xf numFmtId="0" fontId="89" fillId="37" borderId="60" xfId="0" applyFont="1" applyFill="1" applyBorder="1" applyAlignment="1" applyProtection="1">
      <alignment horizontal="center" vertical="center" wrapText="1"/>
      <protection hidden="1"/>
    </xf>
    <xf numFmtId="0" fontId="3" fillId="0" borderId="0" xfId="0" applyFont="1"/>
    <xf numFmtId="2" fontId="94" fillId="38" borderId="49" xfId="0" applyNumberFormat="1" applyFont="1" applyFill="1" applyBorder="1" applyAlignment="1" applyProtection="1">
      <alignment horizontal="center" vertical="center"/>
      <protection hidden="1"/>
    </xf>
    <xf numFmtId="2" fontId="94" fillId="38" borderId="0" xfId="0" applyNumberFormat="1" applyFont="1" applyFill="1" applyAlignment="1" applyProtection="1">
      <alignment horizontal="center" vertical="center"/>
      <protection hidden="1"/>
    </xf>
    <xf numFmtId="0" fontId="94" fillId="38" borderId="0" xfId="0" applyFont="1" applyFill="1" applyAlignment="1" applyProtection="1">
      <alignment horizontal="center" vertical="center"/>
      <protection hidden="1"/>
    </xf>
    <xf numFmtId="2" fontId="94" fillId="38" borderId="60" xfId="0" applyNumberFormat="1" applyFont="1" applyFill="1" applyBorder="1" applyAlignment="1" applyProtection="1">
      <alignment horizontal="center" vertical="center"/>
      <protection hidden="1"/>
    </xf>
    <xf numFmtId="0" fontId="1" fillId="8" borderId="0" xfId="0" applyFont="1" applyFill="1" applyAlignment="1" applyProtection="1">
      <alignment vertical="center" wrapText="1"/>
      <protection hidden="1"/>
    </xf>
    <xf numFmtId="0" fontId="91" fillId="32" borderId="37" xfId="2" applyFont="1" applyFill="1" applyBorder="1" applyAlignment="1" applyProtection="1">
      <alignment vertical="center" wrapText="1"/>
      <protection hidden="1"/>
    </xf>
    <xf numFmtId="164" fontId="3" fillId="3" borderId="5" xfId="5" applyNumberFormat="1" applyFont="1" applyFill="1" applyBorder="1" applyAlignment="1" applyProtection="1">
      <alignment horizontal="center" vertical="center"/>
      <protection hidden="1"/>
    </xf>
    <xf numFmtId="0" fontId="14" fillId="4" borderId="37" xfId="2" applyFont="1" applyBorder="1" applyAlignment="1" applyProtection="1">
      <alignment vertical="center" wrapText="1"/>
      <protection hidden="1"/>
    </xf>
    <xf numFmtId="166" fontId="3" fillId="3" borderId="5" xfId="221" applyNumberFormat="1" applyFont="1" applyFill="1" applyBorder="1" applyAlignment="1" applyProtection="1">
      <alignment horizontal="center" vertical="center"/>
      <protection hidden="1"/>
    </xf>
    <xf numFmtId="9" fontId="3" fillId="3" borderId="5" xfId="221" applyFont="1" applyFill="1" applyBorder="1" applyAlignment="1" applyProtection="1">
      <alignment horizontal="center" vertical="center"/>
      <protection hidden="1"/>
    </xf>
    <xf numFmtId="164" fontId="3" fillId="3" borderId="5" xfId="221" applyNumberFormat="1" applyFont="1" applyFill="1" applyBorder="1" applyAlignment="1" applyProtection="1">
      <alignment horizontal="center" vertical="center"/>
      <protection hidden="1"/>
    </xf>
    <xf numFmtId="2" fontId="14" fillId="4" borderId="37" xfId="2" applyNumberFormat="1" applyFont="1" applyBorder="1" applyAlignment="1" applyProtection="1">
      <alignment vertical="center" wrapText="1"/>
      <protection hidden="1"/>
    </xf>
    <xf numFmtId="164" fontId="0" fillId="0" borderId="0" xfId="0" applyNumberFormat="1" applyProtection="1">
      <protection locked="0" hidden="1"/>
    </xf>
    <xf numFmtId="0" fontId="86" fillId="0" borderId="0" xfId="0" applyFont="1" applyAlignment="1" applyProtection="1">
      <alignment horizontal="left" vertical="center" wrapText="1"/>
      <protection hidden="1"/>
    </xf>
    <xf numFmtId="164" fontId="3" fillId="3" borderId="0" xfId="5" applyNumberFormat="1" applyFont="1" applyFill="1" applyBorder="1" applyAlignment="1" applyProtection="1">
      <alignment horizontal="center" vertical="center"/>
      <protection hidden="1"/>
    </xf>
    <xf numFmtId="166" fontId="3" fillId="3" borderId="0" xfId="221" applyNumberFormat="1" applyFont="1" applyFill="1" applyBorder="1" applyAlignment="1" applyProtection="1">
      <alignment horizontal="center" vertical="center"/>
      <protection hidden="1"/>
    </xf>
    <xf numFmtId="9" fontId="3" fillId="3" borderId="0" xfId="221" applyFont="1" applyFill="1" applyBorder="1" applyAlignment="1" applyProtection="1">
      <alignment horizontal="center" vertical="center"/>
      <protection hidden="1"/>
    </xf>
    <xf numFmtId="164" fontId="3" fillId="3" borderId="0" xfId="221" applyNumberFormat="1" applyFont="1" applyFill="1" applyBorder="1" applyAlignment="1" applyProtection="1">
      <alignment horizontal="center" vertical="center"/>
      <protection hidden="1"/>
    </xf>
    <xf numFmtId="164" fontId="93" fillId="39" borderId="4" xfId="1" applyNumberFormat="1" applyFont="1" applyFill="1" applyBorder="1" applyAlignment="1" applyProtection="1">
      <alignment horizontal="center" vertical="center" wrapText="1"/>
      <protection hidden="1"/>
    </xf>
    <xf numFmtId="164" fontId="93" fillId="39" borderId="6" xfId="1" applyNumberFormat="1" applyFont="1" applyFill="1" applyBorder="1" applyAlignment="1" applyProtection="1">
      <alignment horizontal="center" vertical="center" wrapText="1"/>
      <protection hidden="1"/>
    </xf>
    <xf numFmtId="2" fontId="3" fillId="3" borderId="5" xfId="221" applyNumberFormat="1" applyFont="1" applyFill="1" applyBorder="1" applyAlignment="1" applyProtection="1">
      <alignment horizontal="center" vertical="center"/>
      <protection hidden="1"/>
    </xf>
    <xf numFmtId="0" fontId="0" fillId="3" borderId="2" xfId="0" applyFill="1" applyBorder="1" applyAlignment="1" applyProtection="1">
      <alignment horizontal="center" vertical="center"/>
      <protection locked="0"/>
    </xf>
    <xf numFmtId="0" fontId="13" fillId="3" borderId="4" xfId="5" applyFill="1" applyAlignment="1" applyProtection="1">
      <alignment horizontal="center" vertical="center"/>
      <protection locked="0" hidden="1"/>
    </xf>
    <xf numFmtId="0" fontId="13" fillId="3" borderId="6" xfId="5" applyFill="1" applyBorder="1" applyAlignment="1" applyProtection="1">
      <alignment horizontal="center" vertical="center"/>
      <protection locked="0" hidden="1"/>
    </xf>
    <xf numFmtId="0" fontId="13" fillId="3" borderId="7" xfId="5" applyFill="1" applyBorder="1" applyAlignment="1" applyProtection="1">
      <alignment horizontal="center" vertical="center"/>
      <protection locked="0" hidden="1"/>
    </xf>
    <xf numFmtId="0" fontId="9" fillId="24" borderId="4" xfId="2" applyFill="1" applyAlignment="1" applyProtection="1">
      <alignment horizontal="center" vertical="center"/>
      <protection hidden="1"/>
    </xf>
    <xf numFmtId="0" fontId="9" fillId="24" borderId="8" xfId="5" applyFont="1" applyFill="1" applyBorder="1" applyAlignment="1" applyProtection="1">
      <alignment horizontal="center" vertical="center"/>
      <protection hidden="1"/>
    </xf>
    <xf numFmtId="0" fontId="9" fillId="24" borderId="12" xfId="5" applyFont="1" applyFill="1" applyBorder="1" applyAlignment="1" applyProtection="1">
      <alignment horizontal="center" vertical="center"/>
      <protection hidden="1"/>
    </xf>
    <xf numFmtId="0" fontId="9" fillId="24" borderId="4" xfId="5" applyFont="1" applyFill="1" applyProtection="1">
      <alignment vertical="center"/>
      <protection hidden="1"/>
    </xf>
    <xf numFmtId="0" fontId="9" fillId="24" borderId="6" xfId="5" applyFont="1" applyFill="1" applyBorder="1" applyAlignment="1" applyProtection="1">
      <alignment horizontal="center" vertical="center"/>
      <protection hidden="1"/>
    </xf>
    <xf numFmtId="0" fontId="9" fillId="24" borderId="13" xfId="5" applyFont="1" applyFill="1" applyBorder="1" applyAlignment="1" applyProtection="1">
      <alignment horizontal="center" vertical="center"/>
      <protection hidden="1"/>
    </xf>
    <xf numFmtId="164" fontId="9" fillId="24" borderId="4" xfId="2" applyNumberFormat="1" applyFill="1" applyAlignment="1" applyProtection="1">
      <alignment horizontal="center" vertical="center"/>
      <protection hidden="1"/>
    </xf>
    <xf numFmtId="0" fontId="9" fillId="24" borderId="4" xfId="2" applyFill="1" applyAlignment="1" applyProtection="1">
      <alignment horizontal="left" vertical="center" wrapText="1"/>
      <protection hidden="1"/>
    </xf>
    <xf numFmtId="0" fontId="9" fillId="24" borderId="12" xfId="2" applyFill="1" applyBorder="1" applyAlignment="1" applyProtection="1">
      <alignment horizontal="center" vertical="center"/>
      <protection hidden="1"/>
    </xf>
    <xf numFmtId="0" fontId="0" fillId="4" borderId="36" xfId="2" applyFont="1" applyBorder="1" applyAlignment="1" applyProtection="1">
      <alignment horizontal="left" vertical="center" wrapText="1"/>
      <protection locked="0" hidden="1"/>
    </xf>
    <xf numFmtId="0" fontId="0" fillId="4" borderId="37" xfId="2" applyFont="1" applyBorder="1" applyAlignment="1" applyProtection="1">
      <alignment horizontal="left" vertical="center" wrapText="1"/>
      <protection locked="0" hidden="1"/>
    </xf>
    <xf numFmtId="0" fontId="0" fillId="4" borderId="8" xfId="2" applyFont="1" applyBorder="1" applyAlignment="1" applyProtection="1">
      <alignment horizontal="left" vertical="center"/>
      <protection locked="0"/>
    </xf>
    <xf numFmtId="0" fontId="4" fillId="2" borderId="15" xfId="0" applyFont="1" applyFill="1" applyBorder="1" applyAlignment="1" applyProtection="1">
      <alignment horizontal="left" vertical="center" wrapText="1"/>
      <protection locked="0" hidden="1"/>
    </xf>
    <xf numFmtId="0" fontId="0" fillId="3" borderId="0" xfId="0" applyFill="1" applyProtection="1">
      <protection locked="0" hidden="1"/>
    </xf>
    <xf numFmtId="164" fontId="18" fillId="3" borderId="0" xfId="0" applyNumberFormat="1" applyFont="1" applyFill="1" applyAlignment="1" applyProtection="1">
      <alignment horizontal="center" vertical="center"/>
      <protection hidden="1"/>
    </xf>
    <xf numFmtId="0" fontId="10" fillId="3" borderId="0" xfId="0" applyFont="1" applyFill="1" applyAlignment="1" applyProtection="1">
      <alignment horizontal="left" vertical="center"/>
      <protection hidden="1"/>
    </xf>
    <xf numFmtId="0" fontId="10" fillId="3" borderId="0" xfId="0" applyFont="1" applyFill="1" applyAlignment="1" applyProtection="1">
      <alignment horizontal="center" vertical="center"/>
      <protection hidden="1"/>
    </xf>
    <xf numFmtId="0" fontId="0" fillId="3" borderId="0" xfId="0" applyFill="1" applyAlignment="1" applyProtection="1">
      <alignment horizontal="left" vertical="center" wrapText="1"/>
      <protection locked="0" hidden="1"/>
    </xf>
    <xf numFmtId="0" fontId="0" fillId="3" borderId="0" xfId="0" applyFill="1" applyAlignment="1" applyProtection="1">
      <alignment vertical="center"/>
      <protection hidden="1"/>
    </xf>
    <xf numFmtId="0" fontId="0" fillId="3" borderId="0" xfId="0" applyFill="1" applyAlignment="1" applyProtection="1">
      <alignment horizontal="left" vertical="center"/>
      <protection hidden="1"/>
    </xf>
    <xf numFmtId="0" fontId="2" fillId="3" borderId="0" xfId="0" applyFont="1" applyFill="1" applyAlignment="1" applyProtection="1">
      <alignment horizontal="left" vertical="center" wrapText="1"/>
      <protection hidden="1"/>
    </xf>
    <xf numFmtId="0" fontId="2" fillId="3" borderId="0" xfId="0" applyFont="1" applyFill="1" applyAlignment="1" applyProtection="1">
      <alignment horizontal="center" vertical="center"/>
      <protection hidden="1"/>
    </xf>
    <xf numFmtId="0" fontId="23" fillId="3" borderId="0" xfId="0" applyFont="1" applyFill="1" applyAlignment="1" applyProtection="1">
      <alignment horizontal="left" vertical="center" wrapText="1"/>
      <protection hidden="1"/>
    </xf>
    <xf numFmtId="0" fontId="4" fillId="3" borderId="0" xfId="0" applyFont="1" applyFill="1" applyAlignment="1" applyProtection="1">
      <alignment horizontal="center" vertical="center" wrapText="1"/>
      <protection hidden="1"/>
    </xf>
    <xf numFmtId="0" fontId="24" fillId="3" borderId="0" xfId="0" applyFont="1" applyFill="1" applyAlignment="1" applyProtection="1">
      <alignment horizontal="left" vertical="center" wrapText="1"/>
      <protection hidden="1"/>
    </xf>
    <xf numFmtId="0" fontId="17" fillId="3" borderId="0" xfId="0" applyFont="1" applyFill="1" applyAlignment="1" applyProtection="1">
      <alignment horizontal="center" vertical="center"/>
      <protection hidden="1"/>
    </xf>
    <xf numFmtId="0" fontId="19" fillId="3" borderId="0" xfId="0" applyFont="1" applyFill="1" applyAlignment="1" applyProtection="1">
      <alignment horizontal="center" vertical="center"/>
      <protection hidden="1"/>
    </xf>
    <xf numFmtId="0" fontId="89" fillId="3" borderId="0" xfId="0" applyFont="1" applyFill="1" applyAlignment="1" applyProtection="1">
      <alignment horizontal="center" vertical="center" wrapText="1"/>
      <protection hidden="1"/>
    </xf>
    <xf numFmtId="164" fontId="14" fillId="3" borderId="0" xfId="221" applyNumberFormat="1" applyFont="1" applyFill="1" applyAlignment="1" applyProtection="1">
      <alignment horizontal="center" vertical="center"/>
      <protection hidden="1"/>
    </xf>
    <xf numFmtId="0" fontId="2" fillId="3" borderId="0" xfId="0" applyFont="1" applyFill="1" applyAlignment="1" applyProtection="1">
      <alignment horizontal="center" vertical="center" wrapText="1"/>
      <protection locked="0" hidden="1"/>
    </xf>
    <xf numFmtId="0" fontId="2" fillId="3" borderId="0" xfId="0" applyFont="1" applyFill="1" applyAlignment="1" applyProtection="1">
      <alignment vertical="center"/>
      <protection hidden="1"/>
    </xf>
    <xf numFmtId="0" fontId="14" fillId="3" borderId="0" xfId="0" applyFont="1" applyFill="1" applyAlignment="1" applyProtection="1">
      <alignment horizontal="center" vertical="center"/>
      <protection hidden="1"/>
    </xf>
    <xf numFmtId="0" fontId="3" fillId="3" borderId="0" xfId="0" applyFont="1" applyFill="1" applyAlignment="1" applyProtection="1">
      <alignment vertical="center"/>
      <protection hidden="1"/>
    </xf>
    <xf numFmtId="0" fontId="1" fillId="3" borderId="0" xfId="0" applyFont="1" applyFill="1" applyAlignment="1" applyProtection="1">
      <alignment horizontal="center" vertical="center"/>
      <protection hidden="1"/>
    </xf>
    <xf numFmtId="0" fontId="8" fillId="3" borderId="46" xfId="0" applyFont="1" applyFill="1" applyBorder="1" applyAlignment="1" applyProtection="1">
      <alignment horizontal="center" vertical="center"/>
      <protection hidden="1"/>
    </xf>
    <xf numFmtId="0" fontId="3" fillId="3" borderId="0" xfId="0" applyFont="1" applyFill="1" applyAlignment="1" applyProtection="1">
      <alignment horizontal="left" vertical="center"/>
      <protection locked="0"/>
    </xf>
    <xf numFmtId="0" fontId="66" fillId="3" borderId="0" xfId="0" applyFont="1" applyFill="1" applyAlignment="1">
      <alignment horizontal="center" vertical="center"/>
    </xf>
    <xf numFmtId="0" fontId="2" fillId="3" borderId="0" xfId="0" applyFont="1" applyFill="1" applyAlignment="1">
      <alignment horizontal="center" vertical="center"/>
    </xf>
    <xf numFmtId="0" fontId="14" fillId="3" borderId="0" xfId="0" applyFont="1" applyFill="1" applyAlignment="1" applyProtection="1">
      <alignment vertical="center"/>
      <protection locked="0" hidden="1"/>
    </xf>
    <xf numFmtId="0" fontId="5" fillId="3" borderId="0" xfId="0" applyFont="1" applyFill="1" applyAlignment="1" applyProtection="1">
      <alignment horizontal="left" vertical="center" wrapText="1"/>
      <protection hidden="1"/>
    </xf>
    <xf numFmtId="0" fontId="7" fillId="3" borderId="0" xfId="0" applyFont="1" applyFill="1" applyAlignment="1" applyProtection="1">
      <alignment vertical="center"/>
      <protection hidden="1"/>
    </xf>
    <xf numFmtId="0" fontId="4" fillId="3" borderId="0" xfId="4" applyFill="1" applyProtection="1">
      <alignment horizontal="center" vertical="center" wrapText="1"/>
      <protection hidden="1"/>
    </xf>
    <xf numFmtId="0" fontId="4" fillId="3" borderId="0" xfId="4" applyFill="1" applyAlignment="1" applyProtection="1">
      <alignment horizontal="left" vertical="center" wrapText="1"/>
      <protection locked="0" hidden="1"/>
    </xf>
    <xf numFmtId="0" fontId="4" fillId="3" borderId="0" xfId="4" applyFill="1" applyAlignment="1">
      <alignment horizontal="left" vertical="center" wrapText="1"/>
      <protection locked="0"/>
    </xf>
    <xf numFmtId="0" fontId="4" fillId="3" borderId="0" xfId="4" applyFill="1">
      <alignment horizontal="center" vertical="center" wrapText="1"/>
      <protection locked="0"/>
    </xf>
    <xf numFmtId="0" fontId="2" fillId="3" borderId="0" xfId="0" applyFont="1" applyFill="1" applyAlignment="1" applyProtection="1">
      <alignment horizontal="left" vertical="center" wrapText="1"/>
      <protection locked="0" hidden="1"/>
    </xf>
    <xf numFmtId="0" fontId="2" fillId="3" borderId="0" xfId="0" applyFont="1" applyFill="1" applyAlignment="1" applyProtection="1">
      <alignment horizontal="left" vertical="center"/>
      <protection hidden="1"/>
    </xf>
    <xf numFmtId="0" fontId="17" fillId="3" borderId="0" xfId="0" applyFont="1" applyFill="1" applyAlignment="1" applyProtection="1">
      <alignment vertical="center"/>
      <protection hidden="1"/>
    </xf>
    <xf numFmtId="0" fontId="22" fillId="3" borderId="0" xfId="0" applyFont="1" applyFill="1" applyAlignment="1" applyProtection="1">
      <alignment horizontal="center" vertical="center" wrapText="1"/>
      <protection hidden="1"/>
    </xf>
    <xf numFmtId="0" fontId="22" fillId="3" borderId="20" xfId="0" applyFont="1" applyFill="1" applyBorder="1" applyAlignment="1" applyProtection="1">
      <alignment horizontal="center" vertical="center"/>
      <protection hidden="1"/>
    </xf>
    <xf numFmtId="0" fontId="22" fillId="3" borderId="0" xfId="0" applyFont="1" applyFill="1" applyProtection="1">
      <protection hidden="1"/>
    </xf>
    <xf numFmtId="0" fontId="17" fillId="3" borderId="0" xfId="0" applyFont="1" applyFill="1" applyAlignment="1" applyProtection="1">
      <alignment horizontal="center" vertical="center" wrapText="1"/>
      <protection hidden="1"/>
    </xf>
    <xf numFmtId="0" fontId="8" fillId="3" borderId="0" xfId="0" applyFont="1" applyFill="1" applyAlignment="1" applyProtection="1">
      <alignment horizontal="center" vertical="center" wrapText="1"/>
      <protection hidden="1"/>
    </xf>
    <xf numFmtId="9" fontId="10" fillId="3" borderId="0" xfId="221" applyFont="1" applyFill="1" applyAlignment="1" applyProtection="1">
      <alignment horizontal="center" vertical="center" wrapText="1"/>
      <protection hidden="1"/>
    </xf>
    <xf numFmtId="0" fontId="10" fillId="3" borderId="0" xfId="0" applyFont="1" applyFill="1" applyAlignment="1" applyProtection="1">
      <alignment horizontal="center" vertical="center" wrapText="1"/>
      <protection hidden="1"/>
    </xf>
    <xf numFmtId="0" fontId="4" fillId="3" borderId="0" xfId="4" applyFill="1" applyAlignment="1" applyProtection="1">
      <alignment horizontal="left" vertical="center" wrapText="1"/>
      <protection hidden="1"/>
    </xf>
    <xf numFmtId="0" fontId="2" fillId="3" borderId="0" xfId="0" applyFont="1" applyFill="1" applyAlignment="1" applyProtection="1">
      <alignment horizontal="right" vertical="center"/>
      <protection hidden="1"/>
    </xf>
    <xf numFmtId="0" fontId="0" fillId="3" borderId="0" xfId="0" applyFill="1" applyAlignment="1" applyProtection="1">
      <alignment horizontal="center" vertical="center" wrapText="1"/>
      <protection locked="0" hidden="1"/>
    </xf>
    <xf numFmtId="0" fontId="0" fillId="3" borderId="0" xfId="0" applyFill="1" applyAlignment="1" applyProtection="1">
      <alignment horizontal="center" vertical="center"/>
      <protection locked="0"/>
    </xf>
    <xf numFmtId="0" fontId="7" fillId="3" borderId="0" xfId="0" applyFont="1" applyFill="1" applyAlignment="1" applyProtection="1">
      <alignment horizontal="left" vertical="center"/>
      <protection locked="0"/>
    </xf>
    <xf numFmtId="0" fontId="7" fillId="3" borderId="0" xfId="0" applyFont="1" applyFill="1" applyAlignment="1" applyProtection="1">
      <alignment horizontal="center"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4" fillId="3" borderId="0" xfId="0" applyFont="1" applyFill="1" applyAlignment="1" applyProtection="1">
      <alignment horizontal="left" vertical="center" wrapText="1"/>
      <protection locked="0" hidden="1"/>
    </xf>
    <xf numFmtId="0" fontId="4" fillId="3" borderId="0" xfId="0" applyFont="1" applyFill="1" applyAlignment="1" applyProtection="1">
      <alignment horizontal="left" vertical="center" wrapText="1"/>
      <protection hidden="1"/>
    </xf>
    <xf numFmtId="164" fontId="0" fillId="3" borderId="0" xfId="2" applyNumberFormat="1" applyFont="1"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42" xfId="0" applyFill="1" applyBorder="1" applyAlignment="1" applyProtection="1">
      <alignment horizontal="center" vertical="center" wrapText="1"/>
      <protection hidden="1"/>
    </xf>
    <xf numFmtId="0" fontId="0" fillId="3" borderId="42" xfId="0" applyFill="1" applyBorder="1" applyAlignment="1" applyProtection="1">
      <alignment horizontal="center" vertical="center" wrapText="1"/>
      <protection locked="0" hidden="1"/>
    </xf>
    <xf numFmtId="0" fontId="6" fillId="3" borderId="42" xfId="0" applyFont="1" applyFill="1" applyBorder="1" applyAlignment="1" applyProtection="1">
      <alignment horizontal="center" vertical="center" wrapText="1"/>
      <protection hidden="1"/>
    </xf>
    <xf numFmtId="0" fontId="60" fillId="3" borderId="42" xfId="0" applyFont="1" applyFill="1" applyBorder="1" applyAlignment="1" applyProtection="1">
      <alignment horizontal="center" vertical="center"/>
      <protection hidden="1"/>
    </xf>
    <xf numFmtId="0" fontId="60" fillId="3" borderId="42" xfId="0" applyFont="1" applyFill="1" applyBorder="1" applyAlignment="1" applyProtection="1">
      <alignment horizontal="center" vertical="center"/>
      <protection locked="0" hidden="1"/>
    </xf>
    <xf numFmtId="0" fontId="61" fillId="3" borderId="42" xfId="0" applyFont="1" applyFill="1" applyBorder="1" applyAlignment="1" applyProtection="1">
      <alignment horizontal="center" vertical="center" wrapText="1"/>
      <protection hidden="1"/>
    </xf>
    <xf numFmtId="0" fontId="6" fillId="3" borderId="48" xfId="0" applyFont="1" applyFill="1" applyBorder="1" applyAlignment="1" applyProtection="1">
      <alignment horizontal="center" vertical="center" wrapText="1"/>
      <protection hidden="1"/>
    </xf>
    <xf numFmtId="0" fontId="60" fillId="3" borderId="0" xfId="0" applyFont="1" applyFill="1" applyAlignment="1" applyProtection="1">
      <alignment horizontal="center" vertical="center"/>
      <protection hidden="1"/>
    </xf>
    <xf numFmtId="1" fontId="60" fillId="3" borderId="0" xfId="0" applyNumberFormat="1" applyFont="1" applyFill="1" applyAlignment="1" applyProtection="1">
      <alignment horizontal="center" vertical="center"/>
      <protection hidden="1"/>
    </xf>
    <xf numFmtId="0" fontId="6" fillId="3" borderId="42" xfId="0" applyFont="1" applyFill="1" applyBorder="1" applyAlignment="1" applyProtection="1">
      <alignment horizontal="center" vertical="center"/>
      <protection locked="0" hidden="1"/>
    </xf>
    <xf numFmtId="0" fontId="62" fillId="3" borderId="0" xfId="0" applyFont="1" applyFill="1" applyAlignment="1" applyProtection="1">
      <alignment horizontal="center" vertical="center"/>
      <protection hidden="1"/>
    </xf>
    <xf numFmtId="0" fontId="62" fillId="3" borderId="0" xfId="0" applyFont="1" applyFill="1" applyAlignment="1" applyProtection="1">
      <alignment horizontal="center" vertical="center"/>
      <protection locked="0" hidden="1"/>
    </xf>
    <xf numFmtId="0" fontId="0" fillId="3" borderId="0" xfId="0" applyFill="1" applyAlignment="1" applyProtection="1">
      <alignment horizontal="center"/>
      <protection locked="0"/>
    </xf>
    <xf numFmtId="0" fontId="0" fillId="3" borderId="0" xfId="0" applyFill="1" applyProtection="1">
      <protection locked="0"/>
    </xf>
    <xf numFmtId="0" fontId="95" fillId="36" borderId="0" xfId="0" applyFont="1" applyFill="1" applyAlignment="1" applyProtection="1">
      <alignment horizontal="center" vertical="center" wrapText="1"/>
      <protection hidden="1"/>
    </xf>
    <xf numFmtId="0" fontId="96" fillId="35" borderId="0" xfId="0" applyFont="1" applyFill="1" applyAlignment="1" applyProtection="1">
      <alignment horizontal="center" vertical="center" wrapText="1"/>
      <protection hidden="1"/>
    </xf>
    <xf numFmtId="0" fontId="1" fillId="38" borderId="0" xfId="0" applyFont="1" applyFill="1" applyAlignment="1" applyProtection="1">
      <alignment horizontal="center" vertical="center" wrapText="1"/>
      <protection hidden="1"/>
    </xf>
    <xf numFmtId="164" fontId="14" fillId="24" borderId="0" xfId="0" applyNumberFormat="1" applyFont="1" applyFill="1" applyAlignment="1" applyProtection="1">
      <alignment horizontal="center" vertical="center" wrapText="1"/>
      <protection hidden="1"/>
    </xf>
    <xf numFmtId="0" fontId="0" fillId="24" borderId="15" xfId="0" applyFill="1" applyBorder="1" applyAlignment="1" applyProtection="1">
      <alignment vertical="center"/>
      <protection locked="0" hidden="1"/>
    </xf>
    <xf numFmtId="0" fontId="0" fillId="24" borderId="5" xfId="0" applyFill="1" applyBorder="1" applyAlignment="1" applyProtection="1">
      <alignment vertical="center"/>
      <protection locked="0" hidden="1"/>
    </xf>
    <xf numFmtId="0" fontId="97" fillId="40" borderId="15" xfId="2" applyFont="1" applyFill="1" applyBorder="1" applyAlignment="1" applyProtection="1">
      <alignment horizontal="center" vertical="center" wrapText="1"/>
      <protection locked="0" hidden="1"/>
    </xf>
    <xf numFmtId="0" fontId="0" fillId="24" borderId="15" xfId="0" applyFill="1" applyBorder="1" applyAlignment="1" applyProtection="1">
      <alignment vertical="center"/>
      <protection hidden="1"/>
    </xf>
    <xf numFmtId="0" fontId="0" fillId="24" borderId="5" xfId="0" applyFill="1" applyBorder="1" applyAlignment="1" applyProtection="1">
      <alignment vertical="center"/>
      <protection hidden="1"/>
    </xf>
    <xf numFmtId="0" fontId="0" fillId="24" borderId="15" xfId="0" applyFill="1" applyBorder="1" applyProtection="1">
      <protection hidden="1"/>
    </xf>
    <xf numFmtId="0" fontId="0" fillId="24" borderId="5" xfId="0" applyFill="1" applyBorder="1" applyProtection="1">
      <protection hidden="1"/>
    </xf>
    <xf numFmtId="0" fontId="2" fillId="24" borderId="15" xfId="0" applyFont="1" applyFill="1" applyBorder="1" applyAlignment="1" applyProtection="1">
      <alignment vertical="center"/>
      <protection hidden="1"/>
    </xf>
    <xf numFmtId="0" fontId="2" fillId="24" borderId="5" xfId="0" applyFont="1" applyFill="1" applyBorder="1" applyAlignment="1" applyProtection="1">
      <alignment vertical="center"/>
      <protection hidden="1"/>
    </xf>
    <xf numFmtId="0" fontId="7" fillId="24" borderId="15" xfId="0" applyFont="1" applyFill="1" applyBorder="1" applyAlignment="1" applyProtection="1">
      <alignment vertical="center"/>
      <protection hidden="1"/>
    </xf>
    <xf numFmtId="0" fontId="7" fillId="24" borderId="5" xfId="0" applyFont="1" applyFill="1" applyBorder="1" applyAlignment="1" applyProtection="1">
      <alignment vertical="center"/>
      <protection hidden="1"/>
    </xf>
    <xf numFmtId="2" fontId="16" fillId="24" borderId="0" xfId="0" applyNumberFormat="1" applyFont="1" applyFill="1" applyAlignment="1" applyProtection="1">
      <alignment horizontal="center" vertical="center"/>
      <protection hidden="1"/>
    </xf>
    <xf numFmtId="0" fontId="14" fillId="4" borderId="0" xfId="2" applyFont="1" applyBorder="1" applyAlignment="1" applyProtection="1">
      <alignment horizontal="center" vertical="center" wrapText="1"/>
      <protection hidden="1"/>
    </xf>
    <xf numFmtId="0" fontId="0" fillId="24" borderId="9" xfId="0" applyFill="1" applyBorder="1" applyAlignment="1" applyProtection="1">
      <alignment horizontal="center" vertical="center"/>
      <protection hidden="1"/>
    </xf>
    <xf numFmtId="0" fontId="0" fillId="24" borderId="9" xfId="3" applyFont="1" applyFill="1" applyBorder="1" applyAlignment="1" applyProtection="1">
      <alignment horizontal="center" vertical="center"/>
      <protection hidden="1"/>
    </xf>
    <xf numFmtId="0" fontId="0" fillId="24" borderId="10" xfId="3" applyFont="1" applyFill="1" applyBorder="1" applyAlignment="1" applyProtection="1">
      <alignment horizontal="center" vertical="center"/>
      <protection hidden="1"/>
    </xf>
    <xf numFmtId="0" fontId="0" fillId="24" borderId="5" xfId="5" applyFont="1" applyFill="1" applyBorder="1" applyAlignment="1" applyProtection="1">
      <alignment horizontal="center" vertical="center"/>
      <protection hidden="1"/>
    </xf>
    <xf numFmtId="2" fontId="0" fillId="24" borderId="2" xfId="0" applyNumberFormat="1" applyFill="1" applyBorder="1" applyAlignment="1" applyProtection="1">
      <alignment horizontal="center" vertical="center"/>
      <protection hidden="1"/>
    </xf>
    <xf numFmtId="0" fontId="0" fillId="24" borderId="2" xfId="0" applyFill="1" applyBorder="1" applyAlignment="1" applyProtection="1">
      <alignment horizontal="center" vertical="center"/>
      <protection hidden="1"/>
    </xf>
    <xf numFmtId="0" fontId="9" fillId="24" borderId="5" xfId="5" applyFont="1" applyFill="1" applyBorder="1" applyAlignment="1" applyProtection="1">
      <alignment horizontal="center" vertical="center"/>
      <protection hidden="1"/>
    </xf>
    <xf numFmtId="0" fontId="9" fillId="24" borderId="19" xfId="5" applyFont="1" applyFill="1" applyBorder="1" applyAlignment="1" applyProtection="1">
      <alignment horizontal="center" vertical="center"/>
      <protection hidden="1"/>
    </xf>
    <xf numFmtId="0" fontId="13" fillId="24" borderId="7" xfId="5" applyFill="1" applyBorder="1" applyAlignment="1" applyProtection="1">
      <alignment horizontal="center" vertical="center"/>
      <protection hidden="1"/>
    </xf>
    <xf numFmtId="2" fontId="9" fillId="24" borderId="5" xfId="5" applyNumberFormat="1" applyFont="1" applyFill="1" applyBorder="1" applyAlignment="1" applyProtection="1">
      <alignment horizontal="center" vertical="center"/>
      <protection hidden="1"/>
    </xf>
    <xf numFmtId="0" fontId="9" fillId="24" borderId="11" xfId="5" applyFont="1" applyFill="1" applyBorder="1" applyAlignment="1" applyProtection="1">
      <alignment horizontal="center" vertical="center"/>
      <protection hidden="1"/>
    </xf>
    <xf numFmtId="2" fontId="9" fillId="24" borderId="11" xfId="5" applyNumberFormat="1" applyFont="1" applyFill="1" applyBorder="1" applyAlignment="1" applyProtection="1">
      <alignment horizontal="center" vertical="center"/>
      <protection hidden="1"/>
    </xf>
    <xf numFmtId="0" fontId="9" fillId="24" borderId="14" xfId="5" applyFont="1" applyFill="1" applyBorder="1" applyAlignment="1" applyProtection="1">
      <alignment horizontal="center" vertical="center"/>
      <protection hidden="1"/>
    </xf>
    <xf numFmtId="164" fontId="16" fillId="24" borderId="0" xfId="221" applyNumberFormat="1" applyFont="1" applyFill="1" applyAlignment="1" applyProtection="1">
      <alignment horizontal="center" vertical="center"/>
    </xf>
    <xf numFmtId="0" fontId="74" fillId="0" borderId="40" xfId="0" applyFont="1" applyBorder="1" applyAlignment="1" applyProtection="1">
      <alignment vertical="center" wrapText="1"/>
      <protection hidden="1"/>
    </xf>
    <xf numFmtId="0" fontId="69" fillId="0" borderId="0" xfId="0" applyFont="1" applyAlignment="1" applyProtection="1">
      <alignment vertical="center"/>
      <protection locked="0" hidden="1"/>
    </xf>
    <xf numFmtId="0" fontId="9" fillId="3" borderId="0" xfId="222" applyFill="1" applyAlignment="1">
      <alignment horizontal="center"/>
    </xf>
    <xf numFmtId="0" fontId="11" fillId="0" borderId="42" xfId="230" applyBorder="1" applyAlignment="1">
      <alignment horizontal="center" vertical="center" wrapText="1"/>
    </xf>
    <xf numFmtId="0" fontId="0" fillId="3" borderId="0" xfId="0" applyFill="1" applyAlignment="1" applyProtection="1">
      <alignment horizontal="center"/>
      <protection hidden="1"/>
    </xf>
    <xf numFmtId="0" fontId="54" fillId="0" borderId="0" xfId="0" applyFont="1" applyAlignment="1" applyProtection="1">
      <alignment horizontal="left" wrapText="1"/>
      <protection hidden="1"/>
    </xf>
    <xf numFmtId="0" fontId="53" fillId="28" borderId="49" xfId="230" applyFont="1" applyFill="1" applyBorder="1" applyAlignment="1">
      <alignment horizontal="center" vertical="center" wrapText="1"/>
    </xf>
    <xf numFmtId="0" fontId="53" fillId="28" borderId="0" xfId="230" applyFont="1" applyFill="1" applyAlignment="1">
      <alignment horizontal="center" vertical="center" wrapText="1"/>
    </xf>
    <xf numFmtId="0" fontId="11" fillId="3" borderId="0" xfId="6" applyNumberFormat="1" applyFill="1" applyAlignment="1" applyProtection="1">
      <alignment horizontal="left" vertical="top" wrapText="1"/>
      <protection hidden="1"/>
    </xf>
    <xf numFmtId="0" fontId="59" fillId="7" borderId="0" xfId="6" applyNumberFormat="1" applyFont="1" applyFill="1" applyAlignment="1" applyProtection="1">
      <alignment horizontal="left" vertical="center"/>
      <protection hidden="1"/>
    </xf>
    <xf numFmtId="0" fontId="11" fillId="3" borderId="0" xfId="6" applyNumberFormat="1" applyFill="1" applyAlignment="1" applyProtection="1">
      <alignment vertical="center" wrapText="1"/>
      <protection hidden="1"/>
    </xf>
    <xf numFmtId="165" fontId="56" fillId="3" borderId="0" xfId="9" applyFont="1" applyFill="1" applyAlignment="1" applyProtection="1">
      <alignment vertical="top" wrapText="1"/>
      <protection hidden="1"/>
    </xf>
    <xf numFmtId="0" fontId="59" fillId="7" borderId="0" xfId="6" applyNumberFormat="1" applyFont="1" applyFill="1" applyAlignment="1" applyProtection="1">
      <alignment horizontal="justify" vertical="center"/>
      <protection hidden="1"/>
    </xf>
    <xf numFmtId="0" fontId="0" fillId="0" borderId="0" xfId="0" applyAlignment="1">
      <alignment horizontal="justify" vertical="center"/>
    </xf>
    <xf numFmtId="0" fontId="68" fillId="3" borderId="0" xfId="6" applyNumberFormat="1" applyFont="1" applyFill="1" applyAlignment="1" applyProtection="1">
      <alignment horizontal="left" vertical="top" wrapText="1"/>
      <protection hidden="1"/>
    </xf>
    <xf numFmtId="0" fontId="58" fillId="7" borderId="0" xfId="6" applyNumberFormat="1" applyFont="1" applyFill="1" applyAlignment="1" applyProtection="1">
      <alignment horizontal="center" vertical="center" wrapText="1"/>
      <protection hidden="1"/>
    </xf>
    <xf numFmtId="0" fontId="81" fillId="32" borderId="37" xfId="2" applyFont="1" applyFill="1" applyBorder="1" applyAlignment="1" applyProtection="1">
      <alignment vertical="center" wrapText="1"/>
      <protection hidden="1"/>
    </xf>
    <xf numFmtId="0" fontId="81" fillId="32" borderId="12" xfId="2" applyFont="1" applyFill="1" applyBorder="1" applyAlignment="1" applyProtection="1">
      <alignment vertical="center" wrapText="1"/>
      <protection hidden="1"/>
    </xf>
    <xf numFmtId="0" fontId="81" fillId="32" borderId="4" xfId="2" applyFont="1" applyFill="1" applyAlignment="1" applyProtection="1">
      <alignment vertical="center" wrapText="1"/>
      <protection hidden="1"/>
    </xf>
    <xf numFmtId="0" fontId="71" fillId="31" borderId="38" xfId="5" applyFont="1" applyFill="1" applyBorder="1" applyAlignment="1" applyProtection="1">
      <alignment horizontal="left" vertical="center"/>
      <protection hidden="1"/>
    </xf>
    <xf numFmtId="0" fontId="71" fillId="31" borderId="36" xfId="5" applyFont="1" applyFill="1" applyBorder="1" applyAlignment="1" applyProtection="1">
      <alignment horizontal="left" vertical="center"/>
      <protection hidden="1"/>
    </xf>
    <xf numFmtId="0" fontId="71" fillId="31" borderId="38" xfId="2" applyFont="1" applyFill="1" applyBorder="1" applyAlignment="1" applyProtection="1">
      <alignment horizontal="left" vertical="center" wrapText="1"/>
      <protection hidden="1"/>
    </xf>
    <xf numFmtId="0" fontId="71" fillId="31" borderId="40" xfId="2" applyFont="1" applyFill="1" applyBorder="1" applyAlignment="1" applyProtection="1">
      <alignment horizontal="left" vertical="center" wrapText="1"/>
      <protection hidden="1"/>
    </xf>
    <xf numFmtId="0" fontId="71" fillId="31" borderId="36" xfId="2" applyFont="1" applyFill="1" applyBorder="1" applyAlignment="1" applyProtection="1">
      <alignment horizontal="left" vertical="center" wrapText="1"/>
      <protection hidden="1"/>
    </xf>
    <xf numFmtId="0" fontId="79" fillId="31" borderId="7" xfId="0" applyFont="1" applyFill="1" applyBorder="1" applyAlignment="1" applyProtection="1">
      <alignment horizontal="left" vertical="center" wrapText="1"/>
      <protection hidden="1"/>
    </xf>
    <xf numFmtId="164" fontId="71" fillId="31" borderId="38" xfId="2" applyNumberFormat="1" applyFont="1" applyFill="1" applyBorder="1" applyAlignment="1" applyProtection="1">
      <alignment horizontal="left" vertical="center"/>
      <protection hidden="1"/>
    </xf>
    <xf numFmtId="164" fontId="71" fillId="31" borderId="40" xfId="2" applyNumberFormat="1" applyFont="1" applyFill="1" applyBorder="1" applyAlignment="1" applyProtection="1">
      <alignment horizontal="left" vertical="center"/>
      <protection hidden="1"/>
    </xf>
    <xf numFmtId="164" fontId="71" fillId="31" borderId="36" xfId="2" applyNumberFormat="1" applyFont="1" applyFill="1" applyBorder="1" applyAlignment="1" applyProtection="1">
      <alignment horizontal="left" vertical="center"/>
      <protection hidden="1"/>
    </xf>
    <xf numFmtId="0" fontId="71" fillId="4" borderId="38" xfId="2" applyFont="1" applyBorder="1" applyAlignment="1" applyProtection="1">
      <alignment horizontal="left" vertical="center" wrapText="1"/>
      <protection hidden="1"/>
    </xf>
    <xf numFmtId="0" fontId="71" fillId="4" borderId="40" xfId="2" applyFont="1" applyBorder="1" applyAlignment="1" applyProtection="1">
      <alignment horizontal="left" vertical="center" wrapText="1"/>
      <protection hidden="1"/>
    </xf>
    <xf numFmtId="0" fontId="71" fillId="4" borderId="36" xfId="2" applyFont="1" applyBorder="1" applyAlignment="1" applyProtection="1">
      <alignment horizontal="left" vertical="center" wrapText="1"/>
      <protection hidden="1"/>
    </xf>
    <xf numFmtId="1" fontId="72" fillId="3" borderId="13" xfId="1" applyNumberFormat="1" applyFont="1" applyFill="1" applyBorder="1" applyAlignment="1" applyProtection="1">
      <alignment horizontal="left" vertical="center" wrapText="1"/>
      <protection locked="0"/>
    </xf>
    <xf numFmtId="1" fontId="72" fillId="3" borderId="8" xfId="1" applyNumberFormat="1" applyFont="1" applyFill="1" applyBorder="1" applyAlignment="1" applyProtection="1">
      <alignment horizontal="left" vertical="center" wrapText="1"/>
      <protection locked="0"/>
    </xf>
    <xf numFmtId="0" fontId="71" fillId="4" borderId="37" xfId="2" applyFont="1" applyBorder="1" applyAlignment="1" applyProtection="1">
      <alignment horizontal="left" vertical="center" wrapText="1"/>
      <protection hidden="1"/>
    </xf>
    <xf numFmtId="0" fontId="71" fillId="4" borderId="4" xfId="2" applyFont="1" applyAlignment="1" applyProtection="1">
      <alignment horizontal="left" vertical="center" wrapText="1"/>
      <protection hidden="1"/>
    </xf>
    <xf numFmtId="0" fontId="78" fillId="30" borderId="0" xfId="0" applyFont="1" applyFill="1" applyAlignment="1" applyProtection="1">
      <alignment vertical="center" wrapText="1"/>
      <protection hidden="1"/>
    </xf>
    <xf numFmtId="0" fontId="86" fillId="0" borderId="0" xfId="0" applyFont="1" applyAlignment="1" applyProtection="1">
      <alignment horizontal="left" vertical="center" wrapText="1"/>
      <protection hidden="1"/>
    </xf>
    <xf numFmtId="0" fontId="83" fillId="32" borderId="5" xfId="2" applyFont="1" applyFill="1" applyBorder="1" applyAlignment="1" applyProtection="1">
      <alignment horizontal="center" vertical="center" wrapText="1"/>
      <protection hidden="1"/>
    </xf>
    <xf numFmtId="0" fontId="5" fillId="2" borderId="7" xfId="0" applyFont="1" applyFill="1" applyBorder="1" applyAlignment="1" applyProtection="1">
      <alignment horizontal="left" vertical="center" wrapText="1"/>
      <protection hidden="1"/>
    </xf>
    <xf numFmtId="0" fontId="9" fillId="4" borderId="1" xfId="2" applyBorder="1" applyAlignment="1" applyProtection="1">
      <alignment horizontal="center" vertical="center" wrapText="1"/>
      <protection hidden="1"/>
    </xf>
    <xf numFmtId="0" fontId="16" fillId="4" borderId="36" xfId="2" applyFont="1" applyBorder="1" applyAlignment="1" applyProtection="1">
      <alignment horizontal="left" vertical="center" wrapText="1"/>
      <protection hidden="1"/>
    </xf>
    <xf numFmtId="0" fontId="16" fillId="4" borderId="37" xfId="2" applyFont="1" applyBorder="1" applyAlignment="1" applyProtection="1">
      <alignment horizontal="left" vertical="center" wrapText="1"/>
      <protection hidden="1"/>
    </xf>
    <xf numFmtId="0" fontId="0" fillId="4" borderId="0" xfId="2" applyFont="1" applyBorder="1" applyAlignment="1" applyProtection="1">
      <alignment horizontal="left" vertical="center" wrapText="1"/>
      <protection hidden="1"/>
    </xf>
    <xf numFmtId="0" fontId="0" fillId="4" borderId="7" xfId="2" applyFont="1" applyBorder="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17" fillId="3" borderId="20" xfId="0" applyFont="1" applyFill="1" applyBorder="1" applyAlignment="1" applyProtection="1">
      <alignment horizontal="center" vertical="center" wrapText="1"/>
      <protection hidden="1"/>
    </xf>
    <xf numFmtId="0" fontId="16" fillId="4" borderId="38" xfId="2" applyFont="1" applyBorder="1" applyAlignment="1" applyProtection="1">
      <alignment horizontal="left" vertical="center" wrapText="1"/>
      <protection hidden="1"/>
    </xf>
    <xf numFmtId="0" fontId="16" fillId="4" borderId="40" xfId="2" applyFont="1" applyBorder="1" applyAlignment="1" applyProtection="1">
      <alignment horizontal="left" vertical="center" wrapText="1"/>
      <protection hidden="1"/>
    </xf>
    <xf numFmtId="0" fontId="9" fillId="4" borderId="0" xfId="2" applyBorder="1" applyAlignment="1" applyProtection="1">
      <alignment horizontal="left" vertical="center" wrapText="1"/>
      <protection hidden="1"/>
    </xf>
    <xf numFmtId="0" fontId="9" fillId="4" borderId="7" xfId="2"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16" fillId="4" borderId="38" xfId="2" applyFont="1" applyBorder="1" applyAlignment="1" applyProtection="1">
      <alignment horizontal="center" vertical="center" wrapText="1"/>
      <protection hidden="1"/>
    </xf>
    <xf numFmtId="0" fontId="16" fillId="4" borderId="40" xfId="2" applyFont="1" applyBorder="1" applyAlignment="1" applyProtection="1">
      <alignment horizontal="center" vertical="center" wrapText="1"/>
      <protection hidden="1"/>
    </xf>
    <xf numFmtId="0" fontId="16" fillId="4" borderId="36" xfId="2" applyFont="1" applyBorder="1" applyAlignment="1" applyProtection="1">
      <alignment horizontal="center" vertical="center" wrapText="1"/>
      <protection hidden="1"/>
    </xf>
    <xf numFmtId="0" fontId="9" fillId="0" borderId="16" xfId="2" applyFill="1" applyBorder="1" applyAlignment="1" applyProtection="1">
      <alignment horizontal="left" vertical="center" wrapText="1"/>
      <protection locked="0" hidden="1"/>
    </xf>
    <xf numFmtId="0" fontId="9" fillId="0" borderId="15" xfId="2" applyFill="1" applyBorder="1" applyAlignment="1" applyProtection="1">
      <alignment horizontal="left" vertical="center" wrapText="1"/>
      <protection locked="0" hidden="1"/>
    </xf>
    <xf numFmtId="0" fontId="16" fillId="4" borderId="16" xfId="2" applyFont="1" applyBorder="1" applyAlignment="1" applyProtection="1">
      <alignment horizontal="left" vertical="center" wrapText="1"/>
      <protection hidden="1"/>
    </xf>
    <xf numFmtId="0" fontId="16" fillId="4" borderId="18" xfId="2" applyFont="1" applyBorder="1" applyAlignment="1" applyProtection="1">
      <alignment horizontal="left" vertical="center" wrapText="1"/>
      <protection hidden="1"/>
    </xf>
    <xf numFmtId="0" fontId="16" fillId="4" borderId="15" xfId="2" applyFont="1" applyBorder="1" applyAlignment="1" applyProtection="1">
      <alignment horizontal="left" vertical="center" wrapText="1"/>
      <protection hidden="1"/>
    </xf>
    <xf numFmtId="0" fontId="0" fillId="3" borderId="18" xfId="0" applyFill="1" applyBorder="1" applyAlignment="1" applyProtection="1">
      <alignment horizontal="left" vertical="center" wrapText="1"/>
      <protection locked="0" hidden="1"/>
    </xf>
    <xf numFmtId="0" fontId="16" fillId="24" borderId="37" xfId="2" applyFont="1" applyFill="1" applyBorder="1" applyAlignment="1" applyProtection="1">
      <alignment horizontal="left" vertical="center" wrapText="1"/>
      <protection hidden="1"/>
    </xf>
    <xf numFmtId="0" fontId="16" fillId="24" borderId="38" xfId="2" applyFont="1"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locked="0" hidden="1"/>
    </xf>
    <xf numFmtId="0" fontId="0" fillId="3" borderId="41" xfId="0" applyFill="1" applyBorder="1" applyAlignment="1" applyProtection="1">
      <alignment horizontal="left" vertical="center" wrapText="1"/>
      <protection locked="0" hidden="1"/>
    </xf>
    <xf numFmtId="0" fontId="16" fillId="24" borderId="6" xfId="2" applyFont="1" applyFill="1" applyBorder="1" applyAlignment="1" applyProtection="1">
      <alignment horizontal="center" vertical="center" wrapText="1"/>
      <protection hidden="1"/>
    </xf>
    <xf numFmtId="0" fontId="16" fillId="24" borderId="0" xfId="2" applyFont="1" applyFill="1" applyBorder="1" applyAlignment="1" applyProtection="1">
      <alignment horizontal="center" vertical="center" wrapText="1"/>
      <protection hidden="1"/>
    </xf>
    <xf numFmtId="0" fontId="16" fillId="24" borderId="7" xfId="2" applyFont="1" applyFill="1" applyBorder="1" applyAlignment="1" applyProtection="1">
      <alignment horizontal="center" vertical="center" wrapText="1"/>
      <protection hidden="1"/>
    </xf>
    <xf numFmtId="0" fontId="0" fillId="3" borderId="16" xfId="0" applyFill="1" applyBorder="1" applyAlignment="1" applyProtection="1">
      <alignment horizontal="center" vertical="center" wrapText="1"/>
      <protection locked="0" hidden="1"/>
    </xf>
    <xf numFmtId="0" fontId="0" fillId="3" borderId="18" xfId="0" applyFill="1" applyBorder="1" applyAlignment="1" applyProtection="1">
      <alignment horizontal="center" vertical="center" wrapText="1"/>
      <protection locked="0" hidden="1"/>
    </xf>
    <xf numFmtId="0" fontId="0" fillId="3" borderId="15" xfId="0" applyFill="1" applyBorder="1" applyAlignment="1" applyProtection="1">
      <alignment horizontal="center" vertical="center" wrapText="1"/>
      <protection locked="0" hidden="1"/>
    </xf>
    <xf numFmtId="0" fontId="16" fillId="24" borderId="36" xfId="2" applyFont="1" applyFill="1" applyBorder="1" applyAlignment="1" applyProtection="1">
      <alignment horizontal="left" vertical="center" wrapText="1"/>
      <protection hidden="1"/>
    </xf>
    <xf numFmtId="0" fontId="0" fillId="3" borderId="16" xfId="0" applyFill="1" applyBorder="1" applyAlignment="1" applyProtection="1">
      <alignment horizontal="left" vertical="center" wrapText="1"/>
      <protection locked="0" hidden="1"/>
    </xf>
    <xf numFmtId="0" fontId="0" fillId="3" borderId="15" xfId="0" applyFill="1" applyBorder="1" applyAlignment="1" applyProtection="1">
      <alignment horizontal="left" vertical="center" wrapText="1"/>
      <protection locked="0" hidden="1"/>
    </xf>
    <xf numFmtId="0" fontId="16" fillId="24" borderId="18" xfId="2" applyFont="1" applyFill="1" applyBorder="1" applyAlignment="1" applyProtection="1">
      <alignment horizontal="left" vertical="center" wrapText="1"/>
      <protection hidden="1"/>
    </xf>
    <xf numFmtId="0" fontId="16" fillId="24" borderId="15" xfId="2" applyFont="1" applyFill="1" applyBorder="1" applyAlignment="1" applyProtection="1">
      <alignment horizontal="left" vertical="center" wrapText="1"/>
      <protection hidden="1"/>
    </xf>
    <xf numFmtId="0" fontId="0" fillId="4" borderId="4" xfId="2" applyFont="1" applyAlignment="1" applyProtection="1">
      <alignment horizontal="left" vertical="center" wrapText="1"/>
      <protection hidden="1"/>
    </xf>
    <xf numFmtId="0" fontId="0" fillId="4" borderId="6" xfId="2" applyFont="1" applyBorder="1" applyAlignment="1" applyProtection="1">
      <alignment horizontal="center" vertical="center" wrapText="1"/>
      <protection hidden="1"/>
    </xf>
    <xf numFmtId="0" fontId="0" fillId="4" borderId="7" xfId="2" applyFont="1" applyBorder="1" applyAlignment="1" applyProtection="1">
      <alignment horizontal="center" vertical="center" wrapText="1"/>
      <protection hidden="1"/>
    </xf>
    <xf numFmtId="0" fontId="5" fillId="2" borderId="0" xfId="0" applyFont="1" applyFill="1" applyAlignment="1" applyProtection="1">
      <alignment horizontal="left" vertical="center" wrapText="1"/>
      <protection hidden="1"/>
    </xf>
    <xf numFmtId="0" fontId="43" fillId="3" borderId="0" xfId="0" applyFont="1" applyFill="1" applyAlignment="1" applyProtection="1">
      <alignment horizontal="left" wrapText="1"/>
      <protection hidden="1"/>
    </xf>
    <xf numFmtId="0" fontId="44" fillId="3" borderId="0" xfId="0" applyFont="1" applyFill="1" applyAlignment="1" applyProtection="1">
      <alignment horizontal="left" wrapText="1"/>
      <protection hidden="1"/>
    </xf>
    <xf numFmtId="0" fontId="65" fillId="0" borderId="0" xfId="0" applyFont="1" applyAlignment="1" applyProtection="1">
      <alignment horizontal="left" wrapText="1"/>
      <protection hidden="1"/>
    </xf>
    <xf numFmtId="0" fontId="0" fillId="0" borderId="0" xfId="0" applyAlignment="1">
      <alignment horizontal="left" wrapText="1"/>
    </xf>
    <xf numFmtId="1" fontId="46" fillId="0" borderId="25" xfId="2" applyNumberFormat="1" applyFont="1" applyFill="1" applyBorder="1" applyAlignment="1" applyProtection="1">
      <alignment horizontal="left" vertical="center" wrapText="1"/>
      <protection locked="0" hidden="1"/>
    </xf>
    <xf numFmtId="0" fontId="46" fillId="0" borderId="22" xfId="2" applyFont="1" applyFill="1" applyBorder="1" applyAlignment="1" applyProtection="1">
      <alignment horizontal="left" vertical="center" wrapText="1"/>
      <protection locked="0" hidden="1"/>
    </xf>
    <xf numFmtId="49" fontId="56" fillId="24" borderId="38" xfId="0" applyNumberFormat="1" applyFont="1" applyFill="1" applyBorder="1" applyAlignment="1">
      <alignment horizontal="left" vertical="top" wrapText="1"/>
    </xf>
    <xf numFmtId="49" fontId="56" fillId="24" borderId="6" xfId="0" applyNumberFormat="1" applyFont="1" applyFill="1" applyBorder="1" applyAlignment="1">
      <alignment horizontal="left" vertical="top" wrapText="1"/>
    </xf>
    <xf numFmtId="49" fontId="56" fillId="24" borderId="13" xfId="0" applyNumberFormat="1" applyFont="1" applyFill="1" applyBorder="1" applyAlignment="1">
      <alignment horizontal="left" vertical="top" wrapText="1"/>
    </xf>
    <xf numFmtId="49" fontId="56" fillId="24" borderId="36" xfId="0" applyNumberFormat="1" applyFont="1" applyFill="1" applyBorder="1" applyAlignment="1">
      <alignment horizontal="left" vertical="top" wrapText="1"/>
    </xf>
    <xf numFmtId="49" fontId="56" fillId="24" borderId="7" xfId="0" applyNumberFormat="1" applyFont="1" applyFill="1" applyBorder="1" applyAlignment="1">
      <alignment horizontal="left" vertical="top" wrapText="1"/>
    </xf>
    <xf numFmtId="49" fontId="56" fillId="24" borderId="8" xfId="0" applyNumberFormat="1" applyFont="1" applyFill="1" applyBorder="1" applyAlignment="1">
      <alignment horizontal="left" vertical="top" wrapText="1"/>
    </xf>
    <xf numFmtId="0" fontId="0" fillId="6" borderId="7" xfId="2" applyFont="1" applyFill="1" applyBorder="1" applyAlignment="1" applyProtection="1">
      <alignment horizontal="left" vertical="center" wrapText="1"/>
      <protection hidden="1"/>
    </xf>
    <xf numFmtId="0" fontId="0" fillId="6" borderId="4" xfId="2" applyFont="1" applyFill="1" applyAlignment="1" applyProtection="1">
      <alignment horizontal="left" vertical="center" wrapText="1"/>
      <protection hidden="1"/>
    </xf>
    <xf numFmtId="0" fontId="0" fillId="0" borderId="16" xfId="2" applyFont="1" applyFill="1" applyBorder="1" applyAlignment="1" applyProtection="1">
      <alignment horizontal="left" vertical="center" wrapText="1"/>
      <protection locked="0" hidden="1"/>
    </xf>
    <xf numFmtId="0" fontId="43" fillId="0" borderId="0" xfId="0" applyFont="1" applyAlignment="1" applyProtection="1">
      <alignment horizontal="left" wrapText="1"/>
      <protection hidden="1"/>
    </xf>
    <xf numFmtId="0" fontId="44" fillId="0" borderId="0" xfId="0" applyFont="1" applyAlignment="1" applyProtection="1">
      <alignment horizontal="left" wrapText="1"/>
      <protection hidden="1"/>
    </xf>
    <xf numFmtId="1" fontId="46" fillId="4" borderId="25" xfId="2" applyNumberFormat="1" applyFont="1" applyBorder="1" applyAlignment="1" applyProtection="1">
      <alignment horizontal="left" vertical="center" wrapText="1"/>
      <protection hidden="1"/>
    </xf>
    <xf numFmtId="0" fontId="46" fillId="4" borderId="22" xfId="2" applyFont="1" applyBorder="1" applyAlignment="1" applyProtection="1">
      <alignment horizontal="left" vertical="center" wrapText="1"/>
      <protection hidden="1"/>
    </xf>
    <xf numFmtId="0" fontId="15" fillId="4" borderId="26" xfId="2" applyFont="1" applyBorder="1" applyAlignment="1" applyProtection="1">
      <alignment horizontal="left" vertical="center" wrapText="1"/>
      <protection hidden="1"/>
    </xf>
    <xf numFmtId="0" fontId="15" fillId="4" borderId="24" xfId="2" applyFont="1" applyBorder="1" applyAlignment="1" applyProtection="1">
      <alignment horizontal="left" vertical="center" wrapText="1"/>
      <protection hidden="1"/>
    </xf>
    <xf numFmtId="0" fontId="17" fillId="0" borderId="20" xfId="0" applyFont="1" applyBorder="1" applyAlignment="1" applyProtection="1">
      <alignment horizontal="center" vertical="center" wrapText="1"/>
      <protection hidden="1"/>
    </xf>
    <xf numFmtId="0" fontId="0" fillId="24" borderId="18" xfId="2" applyFont="1" applyFill="1" applyBorder="1" applyAlignment="1" applyProtection="1">
      <alignment horizontal="left" vertical="center" wrapText="1"/>
      <protection hidden="1"/>
    </xf>
    <xf numFmtId="0" fontId="22" fillId="0" borderId="20" xfId="0" applyFont="1" applyBorder="1" applyAlignment="1" applyProtection="1">
      <alignment horizontal="center" vertical="center" wrapText="1"/>
      <protection hidden="1"/>
    </xf>
    <xf numFmtId="0" fontId="16" fillId="24" borderId="16" xfId="2" applyFont="1" applyFill="1" applyBorder="1" applyAlignment="1" applyProtection="1">
      <alignment horizontal="left" vertical="center" wrapText="1"/>
      <protection hidden="1"/>
    </xf>
    <xf numFmtId="0" fontId="9" fillId="4" borderId="6" xfId="2" applyBorder="1" applyAlignment="1" applyProtection="1">
      <alignment horizontal="left" vertical="center" wrapText="1"/>
      <protection hidden="1"/>
    </xf>
  </cellXfs>
  <cellStyles count="235">
    <cellStyle name="20% - Accent1" xfId="2" builtinId="30" customBuiltin="1"/>
    <cellStyle name="20% - Accent1 2" xfId="10" xr:uid="{00000000-0005-0000-0000-000001000000}"/>
    <cellStyle name="20% - Accent1 2 2" xfId="11" xr:uid="{00000000-0005-0000-0000-000002000000}"/>
    <cellStyle name="20% - Accent1 2 3" xfId="12" xr:uid="{00000000-0005-0000-0000-000003000000}"/>
    <cellStyle name="20% - Accent1 2 4" xfId="13" xr:uid="{00000000-0005-0000-0000-000004000000}"/>
    <cellStyle name="20% - Accent1 2 5" xfId="14" xr:uid="{00000000-0005-0000-0000-000005000000}"/>
    <cellStyle name="20% - Accent2 2" xfId="15" xr:uid="{00000000-0005-0000-0000-000006000000}"/>
    <cellStyle name="20% - Accent2 2 2" xfId="16" xr:uid="{00000000-0005-0000-0000-000007000000}"/>
    <cellStyle name="20% - Accent2 2 3" xfId="17" xr:uid="{00000000-0005-0000-0000-000008000000}"/>
    <cellStyle name="20% - Accent2 2 4" xfId="18" xr:uid="{00000000-0005-0000-0000-000009000000}"/>
    <cellStyle name="20% - Accent2 2 5" xfId="19" xr:uid="{00000000-0005-0000-0000-00000A000000}"/>
    <cellStyle name="20% - Accent3 2" xfId="20" xr:uid="{00000000-0005-0000-0000-00000B000000}"/>
    <cellStyle name="20% - Accent3 2 2" xfId="21" xr:uid="{00000000-0005-0000-0000-00000C000000}"/>
    <cellStyle name="20% - Accent3 2 3" xfId="22" xr:uid="{00000000-0005-0000-0000-00000D000000}"/>
    <cellStyle name="20% - Accent3 2 4" xfId="23" xr:uid="{00000000-0005-0000-0000-00000E000000}"/>
    <cellStyle name="20% - Accent3 2 5" xfId="24" xr:uid="{00000000-0005-0000-0000-00000F000000}"/>
    <cellStyle name="20% - Accent4 2" xfId="25" xr:uid="{00000000-0005-0000-0000-000010000000}"/>
    <cellStyle name="20% - Accent4 2 2" xfId="26" xr:uid="{00000000-0005-0000-0000-000011000000}"/>
    <cellStyle name="20% - Accent4 2 3" xfId="27" xr:uid="{00000000-0005-0000-0000-000012000000}"/>
    <cellStyle name="20% - Accent4 2 4" xfId="28" xr:uid="{00000000-0005-0000-0000-000013000000}"/>
    <cellStyle name="20% - Accent4 2 5" xfId="29" xr:uid="{00000000-0005-0000-0000-000014000000}"/>
    <cellStyle name="20% - Accent5 2" xfId="30" xr:uid="{00000000-0005-0000-0000-000015000000}"/>
    <cellStyle name="20% - Accent5 2 2" xfId="31" xr:uid="{00000000-0005-0000-0000-000016000000}"/>
    <cellStyle name="20% - Accent5 2 3" xfId="32" xr:uid="{00000000-0005-0000-0000-000017000000}"/>
    <cellStyle name="20% - Accent5 2 4" xfId="33" xr:uid="{00000000-0005-0000-0000-000018000000}"/>
    <cellStyle name="20% - Accent5 2 5" xfId="34" xr:uid="{00000000-0005-0000-0000-000019000000}"/>
    <cellStyle name="20% - Accent6 2" xfId="35" xr:uid="{00000000-0005-0000-0000-00001A000000}"/>
    <cellStyle name="20% - Accent6 2 2" xfId="36" xr:uid="{00000000-0005-0000-0000-00001B000000}"/>
    <cellStyle name="20% - Accent6 2 3" xfId="37" xr:uid="{00000000-0005-0000-0000-00001C000000}"/>
    <cellStyle name="20% - Accent6 2 4" xfId="38" xr:uid="{00000000-0005-0000-0000-00001D000000}"/>
    <cellStyle name="20% - Accent6 2 5" xfId="39" xr:uid="{00000000-0005-0000-0000-00001E000000}"/>
    <cellStyle name="40% - Accent1 2" xfId="40" xr:uid="{00000000-0005-0000-0000-00001F000000}"/>
    <cellStyle name="40% - Accent1 2 2" xfId="41" xr:uid="{00000000-0005-0000-0000-000020000000}"/>
    <cellStyle name="40% - Accent1 2 3" xfId="42" xr:uid="{00000000-0005-0000-0000-000021000000}"/>
    <cellStyle name="40% - Accent1 2 4" xfId="43" xr:uid="{00000000-0005-0000-0000-000022000000}"/>
    <cellStyle name="40% - Accent1 2 5" xfId="44" xr:uid="{00000000-0005-0000-0000-000023000000}"/>
    <cellStyle name="40% - Accent2 2" xfId="45" xr:uid="{00000000-0005-0000-0000-000024000000}"/>
    <cellStyle name="40% - Accent2 2 2" xfId="46" xr:uid="{00000000-0005-0000-0000-000025000000}"/>
    <cellStyle name="40% - Accent2 2 3" xfId="47" xr:uid="{00000000-0005-0000-0000-000026000000}"/>
    <cellStyle name="40% - Accent2 2 4" xfId="48" xr:uid="{00000000-0005-0000-0000-000027000000}"/>
    <cellStyle name="40% - Accent2 2 5" xfId="49" xr:uid="{00000000-0005-0000-0000-000028000000}"/>
    <cellStyle name="40% - Accent3 2" xfId="50" xr:uid="{00000000-0005-0000-0000-000029000000}"/>
    <cellStyle name="40% - Accent3 2 2" xfId="51" xr:uid="{00000000-0005-0000-0000-00002A000000}"/>
    <cellStyle name="40% - Accent3 2 3" xfId="52" xr:uid="{00000000-0005-0000-0000-00002B000000}"/>
    <cellStyle name="40% - Accent3 2 4" xfId="53" xr:uid="{00000000-0005-0000-0000-00002C000000}"/>
    <cellStyle name="40% - Accent3 2 5" xfId="54" xr:uid="{00000000-0005-0000-0000-00002D000000}"/>
    <cellStyle name="40% - Accent4 2" xfId="55" xr:uid="{00000000-0005-0000-0000-00002E000000}"/>
    <cellStyle name="40% - Accent4 2 2" xfId="56" xr:uid="{00000000-0005-0000-0000-00002F000000}"/>
    <cellStyle name="40% - Accent4 2 3" xfId="57" xr:uid="{00000000-0005-0000-0000-000030000000}"/>
    <cellStyle name="40% - Accent4 2 4" xfId="58" xr:uid="{00000000-0005-0000-0000-000031000000}"/>
    <cellStyle name="40% - Accent4 2 5" xfId="59" xr:uid="{00000000-0005-0000-0000-000032000000}"/>
    <cellStyle name="40% - Accent5 2" xfId="60" xr:uid="{00000000-0005-0000-0000-000033000000}"/>
    <cellStyle name="40% - Accent5 2 2" xfId="61" xr:uid="{00000000-0005-0000-0000-000034000000}"/>
    <cellStyle name="40% - Accent5 2 3" xfId="62" xr:uid="{00000000-0005-0000-0000-000035000000}"/>
    <cellStyle name="40% - Accent5 2 4" xfId="63" xr:uid="{00000000-0005-0000-0000-000036000000}"/>
    <cellStyle name="40% - Accent5 2 5" xfId="64" xr:uid="{00000000-0005-0000-0000-000037000000}"/>
    <cellStyle name="40% - Accent6 2" xfId="65" xr:uid="{00000000-0005-0000-0000-000038000000}"/>
    <cellStyle name="40% - Accent6 2 2" xfId="66" xr:uid="{00000000-0005-0000-0000-000039000000}"/>
    <cellStyle name="40% - Accent6 2 3" xfId="67" xr:uid="{00000000-0005-0000-0000-00003A000000}"/>
    <cellStyle name="40% - Accent6 2 4" xfId="68" xr:uid="{00000000-0005-0000-0000-00003B000000}"/>
    <cellStyle name="40% - Accent6 2 5" xfId="69" xr:uid="{00000000-0005-0000-0000-00003C000000}"/>
    <cellStyle name="60% - Accent1 2" xfId="70" xr:uid="{00000000-0005-0000-0000-00003D000000}"/>
    <cellStyle name="60% - Accent1 2 2" xfId="71" xr:uid="{00000000-0005-0000-0000-00003E000000}"/>
    <cellStyle name="60% - Accent1 2 3" xfId="72" xr:uid="{00000000-0005-0000-0000-00003F000000}"/>
    <cellStyle name="60% - Accent1 2 4" xfId="73" xr:uid="{00000000-0005-0000-0000-000040000000}"/>
    <cellStyle name="60% - Accent1 2 5" xfId="74" xr:uid="{00000000-0005-0000-0000-000041000000}"/>
    <cellStyle name="60% - Accent2" xfId="3" builtinId="36"/>
    <cellStyle name="60% - Accent2 2" xfId="75" xr:uid="{00000000-0005-0000-0000-000043000000}"/>
    <cellStyle name="60% - Accent2 2 2" xfId="76" xr:uid="{00000000-0005-0000-0000-000044000000}"/>
    <cellStyle name="60% - Accent2 2 3" xfId="77" xr:uid="{00000000-0005-0000-0000-000045000000}"/>
    <cellStyle name="60% - Accent2 2 4" xfId="78" xr:uid="{00000000-0005-0000-0000-000046000000}"/>
    <cellStyle name="60% - Accent2 2 5" xfId="79" xr:uid="{00000000-0005-0000-0000-000047000000}"/>
    <cellStyle name="60% - Accent3 2" xfId="80" xr:uid="{00000000-0005-0000-0000-000048000000}"/>
    <cellStyle name="60% - Accent3 2 2" xfId="81" xr:uid="{00000000-0005-0000-0000-000049000000}"/>
    <cellStyle name="60% - Accent3 2 3" xfId="82" xr:uid="{00000000-0005-0000-0000-00004A000000}"/>
    <cellStyle name="60% - Accent3 2 4" xfId="83" xr:uid="{00000000-0005-0000-0000-00004B000000}"/>
    <cellStyle name="60% - Accent3 2 5" xfId="84" xr:uid="{00000000-0005-0000-0000-00004C000000}"/>
    <cellStyle name="60% - Accent4 2" xfId="85" xr:uid="{00000000-0005-0000-0000-00004D000000}"/>
    <cellStyle name="60% - Accent4 2 2" xfId="86" xr:uid="{00000000-0005-0000-0000-00004E000000}"/>
    <cellStyle name="60% - Accent4 2 3" xfId="87" xr:uid="{00000000-0005-0000-0000-00004F000000}"/>
    <cellStyle name="60% - Accent4 2 4" xfId="88" xr:uid="{00000000-0005-0000-0000-000050000000}"/>
    <cellStyle name="60% - Accent4 2 5" xfId="89" xr:uid="{00000000-0005-0000-0000-000051000000}"/>
    <cellStyle name="60% - Accent5 2" xfId="90" xr:uid="{00000000-0005-0000-0000-000052000000}"/>
    <cellStyle name="60% - Accent5 2 2" xfId="91" xr:uid="{00000000-0005-0000-0000-000053000000}"/>
    <cellStyle name="60% - Accent5 2 3" xfId="92" xr:uid="{00000000-0005-0000-0000-000054000000}"/>
    <cellStyle name="60% - Accent5 2 4" xfId="93" xr:uid="{00000000-0005-0000-0000-000055000000}"/>
    <cellStyle name="60% - Accent5 2 5" xfId="94" xr:uid="{00000000-0005-0000-0000-000056000000}"/>
    <cellStyle name="60% - Accent6 2" xfId="95" xr:uid="{00000000-0005-0000-0000-000057000000}"/>
    <cellStyle name="60% - Accent6 2 2" xfId="96" xr:uid="{00000000-0005-0000-0000-000058000000}"/>
    <cellStyle name="60% - Accent6 2 3" xfId="97" xr:uid="{00000000-0005-0000-0000-000059000000}"/>
    <cellStyle name="60% - Accent6 2 4" xfId="98" xr:uid="{00000000-0005-0000-0000-00005A000000}"/>
    <cellStyle name="60% - Accent6 2 5" xfId="99" xr:uid="{00000000-0005-0000-0000-00005B000000}"/>
    <cellStyle name="Accent1 2" xfId="100" xr:uid="{00000000-0005-0000-0000-00005C000000}"/>
    <cellStyle name="Accent1 2 2" xfId="101" xr:uid="{00000000-0005-0000-0000-00005D000000}"/>
    <cellStyle name="Accent1 2 3" xfId="102" xr:uid="{00000000-0005-0000-0000-00005E000000}"/>
    <cellStyle name="Accent1 2 4" xfId="103" xr:uid="{00000000-0005-0000-0000-00005F000000}"/>
    <cellStyle name="Accent1 2 5" xfId="104" xr:uid="{00000000-0005-0000-0000-000060000000}"/>
    <cellStyle name="Accent2 2" xfId="105" xr:uid="{00000000-0005-0000-0000-000061000000}"/>
    <cellStyle name="Accent2 2 2" xfId="106" xr:uid="{00000000-0005-0000-0000-000062000000}"/>
    <cellStyle name="Accent2 2 3" xfId="107" xr:uid="{00000000-0005-0000-0000-000063000000}"/>
    <cellStyle name="Accent2 2 4" xfId="108" xr:uid="{00000000-0005-0000-0000-000064000000}"/>
    <cellStyle name="Accent2 2 5" xfId="109" xr:uid="{00000000-0005-0000-0000-000065000000}"/>
    <cellStyle name="Accent3 2" xfId="110" xr:uid="{00000000-0005-0000-0000-000066000000}"/>
    <cellStyle name="Accent3 2 2" xfId="111" xr:uid="{00000000-0005-0000-0000-000067000000}"/>
    <cellStyle name="Accent3 2 3" xfId="112" xr:uid="{00000000-0005-0000-0000-000068000000}"/>
    <cellStyle name="Accent3 2 4" xfId="113" xr:uid="{00000000-0005-0000-0000-000069000000}"/>
    <cellStyle name="Accent3 2 5" xfId="114" xr:uid="{00000000-0005-0000-0000-00006A000000}"/>
    <cellStyle name="Accent4 2" xfId="115" xr:uid="{00000000-0005-0000-0000-00006B000000}"/>
    <cellStyle name="Accent4 2 2" xfId="116" xr:uid="{00000000-0005-0000-0000-00006C000000}"/>
    <cellStyle name="Accent4 2 3" xfId="117" xr:uid="{00000000-0005-0000-0000-00006D000000}"/>
    <cellStyle name="Accent4 2 4" xfId="118" xr:uid="{00000000-0005-0000-0000-00006E000000}"/>
    <cellStyle name="Accent4 2 5" xfId="119" xr:uid="{00000000-0005-0000-0000-00006F000000}"/>
    <cellStyle name="Accent5 2" xfId="120" xr:uid="{00000000-0005-0000-0000-000070000000}"/>
    <cellStyle name="Accent5 2 2" xfId="121" xr:uid="{00000000-0005-0000-0000-000071000000}"/>
    <cellStyle name="Accent5 2 3" xfId="122" xr:uid="{00000000-0005-0000-0000-000072000000}"/>
    <cellStyle name="Accent5 2 4" xfId="123" xr:uid="{00000000-0005-0000-0000-000073000000}"/>
    <cellStyle name="Accent5 2 5" xfId="124" xr:uid="{00000000-0005-0000-0000-000074000000}"/>
    <cellStyle name="Accent6 2" xfId="125" xr:uid="{00000000-0005-0000-0000-000075000000}"/>
    <cellStyle name="Accent6 2 2" xfId="126" xr:uid="{00000000-0005-0000-0000-000076000000}"/>
    <cellStyle name="Accent6 2 3" xfId="127" xr:uid="{00000000-0005-0000-0000-000077000000}"/>
    <cellStyle name="Accent6 2 4" xfId="128" xr:uid="{00000000-0005-0000-0000-000078000000}"/>
    <cellStyle name="Accent6 2 5" xfId="129" xr:uid="{00000000-0005-0000-0000-000079000000}"/>
    <cellStyle name="Bad 2" xfId="130" xr:uid="{00000000-0005-0000-0000-00007A000000}"/>
    <cellStyle name="Bad 2 2" xfId="131" xr:uid="{00000000-0005-0000-0000-00007B000000}"/>
    <cellStyle name="Bad 2 3" xfId="132" xr:uid="{00000000-0005-0000-0000-00007C000000}"/>
    <cellStyle name="Bad 2 4" xfId="133" xr:uid="{00000000-0005-0000-0000-00007D000000}"/>
    <cellStyle name="Bad 2 5" xfId="134" xr:uid="{00000000-0005-0000-0000-00007E000000}"/>
    <cellStyle name="Black fill" xfId="4" xr:uid="{00000000-0005-0000-0000-00007F000000}"/>
    <cellStyle name="Calculation 2" xfId="135" xr:uid="{00000000-0005-0000-0000-000080000000}"/>
    <cellStyle name="Calculation 2 2" xfId="136" xr:uid="{00000000-0005-0000-0000-000081000000}"/>
    <cellStyle name="Calculation 2 3" xfId="137" xr:uid="{00000000-0005-0000-0000-000082000000}"/>
    <cellStyle name="Calculation 2 4" xfId="138" xr:uid="{00000000-0005-0000-0000-000083000000}"/>
    <cellStyle name="Calculation 2 5" xfId="139" xr:uid="{00000000-0005-0000-0000-000084000000}"/>
    <cellStyle name="cells" xfId="223" xr:uid="{00000000-0005-0000-0000-000085000000}"/>
    <cellStyle name="Check Cell 2" xfId="140" xr:uid="{00000000-0005-0000-0000-000086000000}"/>
    <cellStyle name="Check Cell 2 2" xfId="141" xr:uid="{00000000-0005-0000-0000-000087000000}"/>
    <cellStyle name="Check Cell 2 3" xfId="142" xr:uid="{00000000-0005-0000-0000-000088000000}"/>
    <cellStyle name="Check Cell 2 4" xfId="143" xr:uid="{00000000-0005-0000-0000-000089000000}"/>
    <cellStyle name="Check Cell 2 5" xfId="144" xr:uid="{00000000-0005-0000-0000-00008A000000}"/>
    <cellStyle name="column field" xfId="224" xr:uid="{00000000-0005-0000-0000-00008B000000}"/>
    <cellStyle name="Explanatory Text 2" xfId="145" xr:uid="{00000000-0005-0000-0000-00008C000000}"/>
    <cellStyle name="Explanatory Text 2 2" xfId="146" xr:uid="{00000000-0005-0000-0000-00008D000000}"/>
    <cellStyle name="Explanatory Text 2 3" xfId="147" xr:uid="{00000000-0005-0000-0000-00008E000000}"/>
    <cellStyle name="Explanatory Text 2 4" xfId="148" xr:uid="{00000000-0005-0000-0000-00008F000000}"/>
    <cellStyle name="Explanatory Text 2 5" xfId="149" xr:uid="{00000000-0005-0000-0000-000090000000}"/>
    <cellStyle name="Fade out" xfId="5" xr:uid="{00000000-0005-0000-0000-000091000000}"/>
    <cellStyle name="field" xfId="225" xr:uid="{00000000-0005-0000-0000-000092000000}"/>
    <cellStyle name="field names" xfId="226" xr:uid="{00000000-0005-0000-0000-000093000000}"/>
    <cellStyle name="footer" xfId="227" xr:uid="{00000000-0005-0000-0000-000094000000}"/>
    <cellStyle name="Good 2" xfId="150" xr:uid="{00000000-0005-0000-0000-000095000000}"/>
    <cellStyle name="Good 2 2" xfId="151" xr:uid="{00000000-0005-0000-0000-000096000000}"/>
    <cellStyle name="Good 2 3" xfId="152" xr:uid="{00000000-0005-0000-0000-000097000000}"/>
    <cellStyle name="Good 2 4" xfId="153" xr:uid="{00000000-0005-0000-0000-000098000000}"/>
    <cellStyle name="Good 2 5" xfId="154" xr:uid="{00000000-0005-0000-0000-000099000000}"/>
    <cellStyle name="heading" xfId="228" xr:uid="{00000000-0005-0000-0000-00009A000000}"/>
    <cellStyle name="Heading 1 2" xfId="155" xr:uid="{00000000-0005-0000-0000-00009B000000}"/>
    <cellStyle name="Heading 1 2 2" xfId="156" xr:uid="{00000000-0005-0000-0000-00009C000000}"/>
    <cellStyle name="Heading 1 2 3" xfId="157" xr:uid="{00000000-0005-0000-0000-00009D000000}"/>
    <cellStyle name="Heading 1 2 4" xfId="158" xr:uid="{00000000-0005-0000-0000-00009E000000}"/>
    <cellStyle name="Heading 1 2 5" xfId="159" xr:uid="{00000000-0005-0000-0000-00009F000000}"/>
    <cellStyle name="Heading 2 2" xfId="160" xr:uid="{00000000-0005-0000-0000-0000A0000000}"/>
    <cellStyle name="Heading 2 2 2" xfId="161" xr:uid="{00000000-0005-0000-0000-0000A1000000}"/>
    <cellStyle name="Heading 2 2 3" xfId="162" xr:uid="{00000000-0005-0000-0000-0000A2000000}"/>
    <cellStyle name="Heading 2 2 4" xfId="163" xr:uid="{00000000-0005-0000-0000-0000A3000000}"/>
    <cellStyle name="Heading 2 2 5" xfId="164" xr:uid="{00000000-0005-0000-0000-0000A4000000}"/>
    <cellStyle name="Heading 3 2" xfId="165" xr:uid="{00000000-0005-0000-0000-0000A5000000}"/>
    <cellStyle name="Heading 3 2 2" xfId="166" xr:uid="{00000000-0005-0000-0000-0000A6000000}"/>
    <cellStyle name="Heading 3 2 3" xfId="167" xr:uid="{00000000-0005-0000-0000-0000A7000000}"/>
    <cellStyle name="Heading 3 2 4" xfId="168" xr:uid="{00000000-0005-0000-0000-0000A8000000}"/>
    <cellStyle name="Heading 3 2 5" xfId="169" xr:uid="{00000000-0005-0000-0000-0000A9000000}"/>
    <cellStyle name="Heading 4 2" xfId="170" xr:uid="{00000000-0005-0000-0000-0000AA000000}"/>
    <cellStyle name="Heading 4 2 2" xfId="171" xr:uid="{00000000-0005-0000-0000-0000AB000000}"/>
    <cellStyle name="Heading 4 2 3" xfId="172" xr:uid="{00000000-0005-0000-0000-0000AC000000}"/>
    <cellStyle name="Heading 4 2 4" xfId="173" xr:uid="{00000000-0005-0000-0000-0000AD000000}"/>
    <cellStyle name="Heading 4 2 5" xfId="174" xr:uid="{00000000-0005-0000-0000-0000AE000000}"/>
    <cellStyle name="Input 2" xfId="175" xr:uid="{00000000-0005-0000-0000-0000AF000000}"/>
    <cellStyle name="Input 2 2" xfId="176" xr:uid="{00000000-0005-0000-0000-0000B0000000}"/>
    <cellStyle name="Input 2 3" xfId="177" xr:uid="{00000000-0005-0000-0000-0000B1000000}"/>
    <cellStyle name="Input 2 4" xfId="178" xr:uid="{00000000-0005-0000-0000-0000B2000000}"/>
    <cellStyle name="Input 2 5" xfId="179" xr:uid="{00000000-0005-0000-0000-0000B3000000}"/>
    <cellStyle name="Linked Cell 2" xfId="180" xr:uid="{00000000-0005-0000-0000-0000B4000000}"/>
    <cellStyle name="Linked Cell 2 2" xfId="181" xr:uid="{00000000-0005-0000-0000-0000B5000000}"/>
    <cellStyle name="Linked Cell 2 3" xfId="182" xr:uid="{00000000-0005-0000-0000-0000B6000000}"/>
    <cellStyle name="Linked Cell 2 4" xfId="183" xr:uid="{00000000-0005-0000-0000-0000B7000000}"/>
    <cellStyle name="Linked Cell 2 5" xfId="184" xr:uid="{00000000-0005-0000-0000-0000B8000000}"/>
    <cellStyle name="Neutral 2" xfId="185" xr:uid="{00000000-0005-0000-0000-0000B9000000}"/>
    <cellStyle name="Neutral 2 2" xfId="186" xr:uid="{00000000-0005-0000-0000-0000BA000000}"/>
    <cellStyle name="Neutral 2 3" xfId="187" xr:uid="{00000000-0005-0000-0000-0000BB000000}"/>
    <cellStyle name="Neutral 2 4" xfId="188" xr:uid="{00000000-0005-0000-0000-0000BC000000}"/>
    <cellStyle name="Neutral 2 5" xfId="189" xr:uid="{00000000-0005-0000-0000-0000BD000000}"/>
    <cellStyle name="Normal" xfId="0" builtinId="0"/>
    <cellStyle name="Normal 2" xfId="9" xr:uid="{00000000-0005-0000-0000-0000BF000000}"/>
    <cellStyle name="Normal 2 2" xfId="190" xr:uid="{00000000-0005-0000-0000-0000C0000000}"/>
    <cellStyle name="Normal 2 2 2" xfId="229" xr:uid="{00000000-0005-0000-0000-0000C1000000}"/>
    <cellStyle name="Normal 2 3" xfId="7" xr:uid="{00000000-0005-0000-0000-0000C2000000}"/>
    <cellStyle name="Normal 3" xfId="191" xr:uid="{00000000-0005-0000-0000-0000C3000000}"/>
    <cellStyle name="Normal 3 2" xfId="192" xr:uid="{00000000-0005-0000-0000-0000C4000000}"/>
    <cellStyle name="Normal 3 3" xfId="222" xr:uid="{00000000-0005-0000-0000-0000C5000000}"/>
    <cellStyle name="Normal 4" xfId="193" xr:uid="{00000000-0005-0000-0000-0000C6000000}"/>
    <cellStyle name="Normal 5" xfId="8" xr:uid="{00000000-0005-0000-0000-0000C7000000}"/>
    <cellStyle name="Normal 7" xfId="194" xr:uid="{00000000-0005-0000-0000-0000C8000000}"/>
    <cellStyle name="Normal_healthcare edit.xls" xfId="230" xr:uid="{00000000-0005-0000-0000-0000C9000000}"/>
    <cellStyle name="Normal_office as built edit.xls" xfId="6" xr:uid="{00000000-0005-0000-0000-0000CA000000}"/>
    <cellStyle name="Normal_shopping centre design edit.xls" xfId="1" xr:uid="{00000000-0005-0000-0000-0000CB000000}"/>
    <cellStyle name="Note 2" xfId="195" xr:uid="{00000000-0005-0000-0000-0000CC000000}"/>
    <cellStyle name="Note 2 2" xfId="196" xr:uid="{00000000-0005-0000-0000-0000CD000000}"/>
    <cellStyle name="Note 2 3" xfId="197" xr:uid="{00000000-0005-0000-0000-0000CE000000}"/>
    <cellStyle name="Note 2 4" xfId="198" xr:uid="{00000000-0005-0000-0000-0000CF000000}"/>
    <cellStyle name="Note 2 5" xfId="199" xr:uid="{00000000-0005-0000-0000-0000D0000000}"/>
    <cellStyle name="Output 2" xfId="200" xr:uid="{00000000-0005-0000-0000-0000D1000000}"/>
    <cellStyle name="Output 2 2" xfId="201" xr:uid="{00000000-0005-0000-0000-0000D2000000}"/>
    <cellStyle name="Output 2 3" xfId="202" xr:uid="{00000000-0005-0000-0000-0000D3000000}"/>
    <cellStyle name="Output 2 4" xfId="203" xr:uid="{00000000-0005-0000-0000-0000D4000000}"/>
    <cellStyle name="Output 2 5" xfId="204" xr:uid="{00000000-0005-0000-0000-0000D5000000}"/>
    <cellStyle name="Percent" xfId="221" builtinId="5"/>
    <cellStyle name="Percent 2" xfId="205" xr:uid="{00000000-0005-0000-0000-0000D7000000}"/>
    <cellStyle name="Percent 3" xfId="231" xr:uid="{00000000-0005-0000-0000-0000D8000000}"/>
    <cellStyle name="Percent 4" xfId="232" xr:uid="{00000000-0005-0000-0000-0000D9000000}"/>
    <cellStyle name="rowfield" xfId="233" xr:uid="{00000000-0005-0000-0000-0000DA000000}"/>
    <cellStyle name="Test" xfId="234" xr:uid="{00000000-0005-0000-0000-0000DB000000}"/>
    <cellStyle name="Title 2" xfId="206" xr:uid="{00000000-0005-0000-0000-0000DC000000}"/>
    <cellStyle name="Title 2 2" xfId="207" xr:uid="{00000000-0005-0000-0000-0000DD000000}"/>
    <cellStyle name="Title 2 3" xfId="208" xr:uid="{00000000-0005-0000-0000-0000DE000000}"/>
    <cellStyle name="Title 2 4" xfId="209" xr:uid="{00000000-0005-0000-0000-0000DF000000}"/>
    <cellStyle name="Title 2 5" xfId="210" xr:uid="{00000000-0005-0000-0000-0000E0000000}"/>
    <cellStyle name="Total 2" xfId="211" xr:uid="{00000000-0005-0000-0000-0000E1000000}"/>
    <cellStyle name="Total 2 2" xfId="212" xr:uid="{00000000-0005-0000-0000-0000E2000000}"/>
    <cellStyle name="Total 2 3" xfId="213" xr:uid="{00000000-0005-0000-0000-0000E3000000}"/>
    <cellStyle name="Total 2 4" xfId="214" xr:uid="{00000000-0005-0000-0000-0000E4000000}"/>
    <cellStyle name="Total 2 5" xfId="215" xr:uid="{00000000-0005-0000-0000-0000E5000000}"/>
    <cellStyle name="Warning Text 2" xfId="216" xr:uid="{00000000-0005-0000-0000-0000E6000000}"/>
    <cellStyle name="Warning Text 2 2" xfId="217" xr:uid="{00000000-0005-0000-0000-0000E7000000}"/>
    <cellStyle name="Warning Text 2 3" xfId="218" xr:uid="{00000000-0005-0000-0000-0000E8000000}"/>
    <cellStyle name="Warning Text 2 4" xfId="219" xr:uid="{00000000-0005-0000-0000-0000E9000000}"/>
    <cellStyle name="Warning Text 2 5" xfId="220" xr:uid="{00000000-0005-0000-0000-0000EA000000}"/>
  </cellStyles>
  <dxfs count="140">
    <dxf>
      <fill>
        <patternFill>
          <bgColor theme="3" tint="0.79998168889431442"/>
        </patternFill>
      </fill>
    </dxf>
    <dxf>
      <font>
        <color theme="1"/>
      </font>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strike/>
      </font>
    </dxf>
    <dxf>
      <font>
        <strike/>
      </font>
    </dxf>
    <dxf>
      <font>
        <color theme="1"/>
      </font>
      <fill>
        <patternFill>
          <bgColor theme="0"/>
        </patternFill>
      </fill>
    </dxf>
    <dxf>
      <font>
        <color theme="1"/>
      </font>
      <fill>
        <patternFill>
          <bgColor theme="0"/>
        </patternFill>
      </fill>
    </dxf>
    <dxf>
      <font>
        <color theme="1"/>
      </font>
      <fill>
        <patternFill>
          <bgColor theme="0"/>
        </patternFill>
      </fill>
    </dxf>
    <dxf>
      <font>
        <color theme="8" tint="0.39994506668294322"/>
      </font>
      <fill>
        <patternFill patternType="solid">
          <bgColor theme="8" tint="0.79998168889431442"/>
        </patternFill>
      </fill>
    </dxf>
    <dxf>
      <font>
        <color theme="8" tint="0.39994506668294322"/>
      </font>
      <fill>
        <patternFill>
          <bgColor theme="8" tint="0.79998168889431442"/>
        </patternFill>
      </fill>
    </dxf>
    <dxf>
      <font>
        <color theme="8" tint="0.39994506668294322"/>
      </font>
      <fill>
        <patternFill>
          <bgColor rgb="FFEBECED"/>
        </patternFill>
      </fill>
    </dxf>
    <dxf>
      <font>
        <color theme="1"/>
      </font>
      <fill>
        <patternFill>
          <bgColor theme="0"/>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rgb="FFEBECED"/>
        </patternFill>
      </fill>
    </dxf>
    <dxf>
      <font>
        <color theme="8" tint="0.39994506668294322"/>
      </font>
      <fill>
        <patternFill>
          <bgColor rgb="FFEBECED"/>
        </patternFill>
      </fill>
    </dxf>
    <dxf>
      <font>
        <color theme="8" tint="0.39994506668294322"/>
      </font>
      <fill>
        <patternFill>
          <bgColor rgb="FFEBECED"/>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fgColor theme="8" tint="0.79989013336588644"/>
          <bgColor rgb="FFEBECED"/>
        </patternFill>
      </fill>
    </dxf>
    <dxf>
      <font>
        <color theme="8" tint="0.39994506668294322"/>
      </font>
      <fill>
        <patternFill>
          <bgColor rgb="FFEBECED"/>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strike/>
      </font>
    </dxf>
    <dxf>
      <font>
        <strike/>
      </font>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ill>
        <patternFill>
          <bgColor theme="3" tint="0.79998168889431442"/>
        </patternFill>
      </fill>
    </dxf>
    <dxf>
      <font>
        <color theme="1"/>
      </font>
    </dxf>
    <dxf>
      <font>
        <color rgb="FF9C6500"/>
      </font>
      <fill>
        <patternFill>
          <bgColor rgb="FFFFEB9C"/>
        </patternFill>
      </fill>
    </dxf>
    <dxf>
      <font>
        <color rgb="FF9C6500"/>
      </font>
      <fill>
        <patternFill>
          <bgColor rgb="FFFFEB9C"/>
        </patternFill>
      </fill>
    </dxf>
    <dxf>
      <font>
        <color theme="8" tint="0.39994506668294322"/>
      </font>
      <fill>
        <patternFill>
          <bgColor theme="8" tint="0.79998168889431442"/>
        </patternFill>
      </fill>
    </dxf>
    <dxf>
      <font>
        <color rgb="FF9C6500"/>
      </font>
      <fill>
        <patternFill>
          <bgColor rgb="FFFFEB9C"/>
        </patternFill>
      </fill>
    </dxf>
    <dxf>
      <font>
        <color theme="8" tint="0.39994506668294322"/>
      </font>
      <fill>
        <patternFill>
          <bgColor theme="8" tint="0.7999816888943144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8" tint="0.39994506668294322"/>
      </font>
      <fill>
        <patternFill>
          <bgColor theme="8" tint="0.79998168889431442"/>
        </patternFill>
      </fill>
    </dxf>
    <dxf>
      <font>
        <color theme="0"/>
      </font>
      <fill>
        <patternFill>
          <fgColor theme="0"/>
          <bgColor theme="0"/>
        </patternFill>
      </fill>
      <border>
        <top/>
        <bottom/>
        <vertical/>
        <horizontal/>
      </border>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7999816888943144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strike/>
      </font>
    </dxf>
    <dxf>
      <font>
        <strike/>
      </font>
    </dxf>
    <dxf>
      <fill>
        <patternFill>
          <bgColor theme="3" tint="0.79998168889431442"/>
        </patternFill>
      </fill>
    </dxf>
    <dxf>
      <font>
        <color theme="1"/>
      </font>
    </dxf>
    <dxf>
      <font>
        <color rgb="FF9C6500"/>
      </font>
      <fill>
        <patternFill>
          <bgColor rgb="FFFFEB9C"/>
        </patternFill>
      </fill>
    </dxf>
    <dxf>
      <font>
        <color rgb="FF9C6500"/>
      </font>
      <fill>
        <patternFill>
          <bgColor rgb="FFFFEB9C"/>
        </patternFill>
      </fill>
    </dxf>
    <dxf>
      <font>
        <color theme="8" tint="0.39994506668294322"/>
      </font>
      <fill>
        <patternFill>
          <bgColor theme="8" tint="0.79998168889431442"/>
        </patternFill>
      </fill>
    </dxf>
    <dxf>
      <font>
        <color rgb="FF9C6500"/>
      </font>
      <fill>
        <patternFill>
          <bgColor rgb="FFFFEB9C"/>
        </patternFill>
      </fill>
    </dxf>
    <dxf>
      <font>
        <color theme="8" tint="0.39994506668294322"/>
      </font>
      <fill>
        <patternFill>
          <bgColor theme="8" tint="0.79998168889431442"/>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8" tint="0.39994506668294322"/>
      </font>
      <fill>
        <patternFill>
          <bgColor theme="8" tint="0.79998168889431442"/>
        </patternFill>
      </fill>
    </dxf>
    <dxf>
      <font>
        <color theme="0"/>
      </font>
      <fill>
        <patternFill>
          <fgColor theme="0"/>
          <bgColor theme="0"/>
        </patternFill>
      </fill>
      <border>
        <top/>
        <bottom/>
        <vertical/>
        <horizontal/>
      </border>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7999816888943144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strike/>
      </font>
    </dxf>
    <dxf>
      <font>
        <strike/>
      </font>
    </dxf>
  </dxfs>
  <tableStyles count="0" defaultTableStyle="TableStyleMedium9" defaultPivotStyle="PivotStyleLight16"/>
  <colors>
    <mruColors>
      <color rgb="FF000000"/>
      <color rgb="FFEBECED"/>
      <color rgb="FF8DC43F"/>
      <color rgb="FF1F3860"/>
      <color rgb="FF9C6500"/>
      <color rgb="FFFFEB9C"/>
      <color rgb="FFFFE181"/>
      <color rgb="FFD6E0F2"/>
      <color rgb="FF1F3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28" lockText="1" noThreeD="1"/>
</file>

<file path=xl/ctrlProps/ctrlProp10.xml><?xml version="1.0" encoding="utf-8"?>
<formControlPr xmlns="http://schemas.microsoft.com/office/spreadsheetml/2009/9/main" objectType="CheckBox" fmlaLink="$C$41" lockText="1" noThreeD="1"/>
</file>

<file path=xl/ctrlProps/ctrlProp11.xml><?xml version="1.0" encoding="utf-8"?>
<formControlPr xmlns="http://schemas.microsoft.com/office/spreadsheetml/2009/9/main" objectType="CheckBox" fmlaLink="$C$42" lockText="1" noThreeD="1"/>
</file>

<file path=xl/ctrlProps/ctrlProp12.xml><?xml version="1.0" encoding="utf-8"?>
<formControlPr xmlns="http://schemas.microsoft.com/office/spreadsheetml/2009/9/main" objectType="CheckBox" fmlaLink="$C$43" lockText="1" noThreeD="1"/>
</file>

<file path=xl/ctrlProps/ctrlProp13.xml><?xml version="1.0" encoding="utf-8"?>
<formControlPr xmlns="http://schemas.microsoft.com/office/spreadsheetml/2009/9/main" objectType="CheckBox" fmlaLink="$C$80" lockText="1" noThreeD="1"/>
</file>

<file path=xl/ctrlProps/ctrlProp14.xml><?xml version="1.0" encoding="utf-8"?>
<formControlPr xmlns="http://schemas.microsoft.com/office/spreadsheetml/2009/9/main" objectType="CheckBox" fmlaLink="$C$91" lockText="1" noThreeD="1"/>
</file>

<file path=xl/ctrlProps/ctrlProp15.xml><?xml version="1.0" encoding="utf-8"?>
<formControlPr xmlns="http://schemas.microsoft.com/office/spreadsheetml/2009/9/main" objectType="CheckBox" fmlaLink="$C$29" lockText="1" noThreeD="1"/>
</file>

<file path=xl/ctrlProps/ctrlProp16.xml><?xml version="1.0" encoding="utf-8"?>
<formControlPr xmlns="http://schemas.microsoft.com/office/spreadsheetml/2009/9/main" objectType="CheckBox" fmlaLink="$C$28" lockText="1" noThreeD="1"/>
</file>

<file path=xl/ctrlProps/ctrlProp17.xml><?xml version="1.0" encoding="utf-8"?>
<formControlPr xmlns="http://schemas.microsoft.com/office/spreadsheetml/2009/9/main" objectType="CheckBox" fmlaLink="$C$30" lockText="1" noThreeD="1"/>
</file>

<file path=xl/ctrlProps/ctrlProp18.xml><?xml version="1.0" encoding="utf-8"?>
<formControlPr xmlns="http://schemas.microsoft.com/office/spreadsheetml/2009/9/main" objectType="CheckBox" fmlaLink="$C$31" lockText="1" noThreeD="1"/>
</file>

<file path=xl/ctrlProps/ctrlProp19.xml><?xml version="1.0" encoding="utf-8"?>
<formControlPr xmlns="http://schemas.microsoft.com/office/spreadsheetml/2009/9/main" objectType="CheckBox" fmlaLink="$C$32" lockText="1" noThreeD="1"/>
</file>

<file path=xl/ctrlProps/ctrlProp2.xml><?xml version="1.0" encoding="utf-8"?>
<formControlPr xmlns="http://schemas.microsoft.com/office/spreadsheetml/2009/9/main" objectType="CheckBox" fmlaLink="$C$29" lockText="1" noThreeD="1"/>
</file>

<file path=xl/ctrlProps/ctrlProp20.xml><?xml version="1.0" encoding="utf-8"?>
<formControlPr xmlns="http://schemas.microsoft.com/office/spreadsheetml/2009/9/main" objectType="CheckBox" fmlaLink="$C$33" lockText="1" noThreeD="1"/>
</file>

<file path=xl/ctrlProps/ctrlProp21.xml><?xml version="1.0" encoding="utf-8"?>
<formControlPr xmlns="http://schemas.microsoft.com/office/spreadsheetml/2009/9/main" objectType="CheckBox" fmlaLink="$C$35" lockText="1" noThreeD="1"/>
</file>

<file path=xl/ctrlProps/ctrlProp22.xml><?xml version="1.0" encoding="utf-8"?>
<formControlPr xmlns="http://schemas.microsoft.com/office/spreadsheetml/2009/9/main" objectType="CheckBox" fmlaLink="$C$36" lockText="1" noThreeD="1"/>
</file>

<file path=xl/ctrlProps/ctrlProp23.xml><?xml version="1.0" encoding="utf-8"?>
<formControlPr xmlns="http://schemas.microsoft.com/office/spreadsheetml/2009/9/main" objectType="CheckBox" fmlaLink="$C$37" lockText="1" noThreeD="1"/>
</file>

<file path=xl/ctrlProps/ctrlProp24.xml><?xml version="1.0" encoding="utf-8"?>
<formControlPr xmlns="http://schemas.microsoft.com/office/spreadsheetml/2009/9/main" objectType="CheckBox" fmlaLink="$C$39" lockText="1" noThreeD="1"/>
</file>

<file path=xl/ctrlProps/ctrlProp25.xml><?xml version="1.0" encoding="utf-8"?>
<formControlPr xmlns="http://schemas.microsoft.com/office/spreadsheetml/2009/9/main" objectType="CheckBox" fmlaLink="$C$40" lockText="1" noThreeD="1"/>
</file>

<file path=xl/ctrlProps/ctrlProp26.xml><?xml version="1.0" encoding="utf-8"?>
<formControlPr xmlns="http://schemas.microsoft.com/office/spreadsheetml/2009/9/main" objectType="CheckBox" fmlaLink="$C$41" lockText="1" noThreeD="1"/>
</file>

<file path=xl/ctrlProps/ctrlProp27.xml><?xml version="1.0" encoding="utf-8"?>
<formControlPr xmlns="http://schemas.microsoft.com/office/spreadsheetml/2009/9/main" objectType="CheckBox" fmlaLink="$C$42" lockText="1" noThreeD="1"/>
</file>

<file path=xl/ctrlProps/ctrlProp28.xml><?xml version="1.0" encoding="utf-8"?>
<formControlPr xmlns="http://schemas.microsoft.com/office/spreadsheetml/2009/9/main" objectType="CheckBox" fmlaLink="$C$43" lockText="1" noThreeD="1"/>
</file>

<file path=xl/ctrlProps/ctrlProp29.xml><?xml version="1.0" encoding="utf-8"?>
<formControlPr xmlns="http://schemas.microsoft.com/office/spreadsheetml/2009/9/main" objectType="CheckBox" fmlaLink="$C$44" lockText="1" noThreeD="1"/>
</file>

<file path=xl/ctrlProps/ctrlProp3.xml><?xml version="1.0" encoding="utf-8"?>
<formControlPr xmlns="http://schemas.microsoft.com/office/spreadsheetml/2009/9/main" objectType="CheckBox" fmlaLink="$C$30" lockText="1" noThreeD="1"/>
</file>

<file path=xl/ctrlProps/ctrlProp30.xml><?xml version="1.0" encoding="utf-8"?>
<formControlPr xmlns="http://schemas.microsoft.com/office/spreadsheetml/2009/9/main" objectType="CheckBox" fmlaLink="$C$56" lockText="1" noThreeD="1"/>
</file>

<file path=xl/ctrlProps/ctrlProp31.xml><?xml version="1.0" encoding="utf-8"?>
<formControlPr xmlns="http://schemas.microsoft.com/office/spreadsheetml/2009/9/main" objectType="CheckBox" fmlaLink="$C$57" lockText="1" noThreeD="1"/>
</file>

<file path=xl/ctrlProps/ctrlProp32.xml><?xml version="1.0" encoding="utf-8"?>
<formControlPr xmlns="http://schemas.microsoft.com/office/spreadsheetml/2009/9/main" objectType="CheckBox" fmlaLink="$C$67" lockText="1" noThreeD="1"/>
</file>

<file path=xl/ctrlProps/ctrlProp33.xml><?xml version="1.0" encoding="utf-8"?>
<formControlPr xmlns="http://schemas.microsoft.com/office/spreadsheetml/2009/9/main" objectType="CheckBox" fmlaLink="$C$68" lockText="1" noThreeD="1"/>
</file>

<file path=xl/ctrlProps/ctrlProp34.xml><?xml version="1.0" encoding="utf-8"?>
<formControlPr xmlns="http://schemas.microsoft.com/office/spreadsheetml/2009/9/main" objectType="CheckBox" fmlaLink="$C$91" lockText="1" noThreeD="1"/>
</file>

<file path=xl/ctrlProps/ctrlProp35.xml><?xml version="1.0" encoding="utf-8"?>
<formControlPr xmlns="http://schemas.microsoft.com/office/spreadsheetml/2009/9/main" objectType="CheckBox" fmlaLink="$C$78" lockText="1" noThreeD="1"/>
</file>

<file path=xl/ctrlProps/ctrlProp36.xml><?xml version="1.0" encoding="utf-8"?>
<formControlPr xmlns="http://schemas.microsoft.com/office/spreadsheetml/2009/9/main" objectType="CheckBox" fmlaLink="$C$79" lockText="1" noThreeD="1"/>
</file>

<file path=xl/ctrlProps/ctrlProp37.xml><?xml version="1.0" encoding="utf-8"?>
<formControlPr xmlns="http://schemas.microsoft.com/office/spreadsheetml/2009/9/main" objectType="CheckBox" fmlaLink="$C$80" lockText="1" noThreeD="1"/>
</file>

<file path=xl/ctrlProps/ctrlProp38.xml><?xml version="1.0" encoding="utf-8"?>
<formControlPr xmlns="http://schemas.microsoft.com/office/spreadsheetml/2009/9/main" objectType="CheckBox" fmlaLink="$C$28" lockText="1" noThreeD="1"/>
</file>

<file path=xl/ctrlProps/ctrlProp39.xml><?xml version="1.0" encoding="utf-8"?>
<formControlPr xmlns="http://schemas.microsoft.com/office/spreadsheetml/2009/9/main" objectType="CheckBox" fmlaLink="$C$27" lockText="1" noThreeD="1"/>
</file>

<file path=xl/ctrlProps/ctrlProp4.xml><?xml version="1.0" encoding="utf-8"?>
<formControlPr xmlns="http://schemas.microsoft.com/office/spreadsheetml/2009/9/main" objectType="CheckBox" fmlaLink="$C$31" lockText="1" noThreeD="1"/>
</file>

<file path=xl/ctrlProps/ctrlProp40.xml><?xml version="1.0" encoding="utf-8"?>
<formControlPr xmlns="http://schemas.microsoft.com/office/spreadsheetml/2009/9/main" objectType="CheckBox" fmlaLink="$C$29" lockText="1" noThreeD="1"/>
</file>

<file path=xl/ctrlProps/ctrlProp41.xml><?xml version="1.0" encoding="utf-8"?>
<formControlPr xmlns="http://schemas.microsoft.com/office/spreadsheetml/2009/9/main" objectType="CheckBox" fmlaLink="$C$30" lockText="1" noThreeD="1"/>
</file>

<file path=xl/ctrlProps/ctrlProp42.xml><?xml version="1.0" encoding="utf-8"?>
<formControlPr xmlns="http://schemas.microsoft.com/office/spreadsheetml/2009/9/main" objectType="CheckBox" fmlaLink="$C$31" lockText="1" noThreeD="1"/>
</file>

<file path=xl/ctrlProps/ctrlProp43.xml><?xml version="1.0" encoding="utf-8"?>
<formControlPr xmlns="http://schemas.microsoft.com/office/spreadsheetml/2009/9/main" objectType="CheckBox" fmlaLink="$C$32" lockText="1" noThreeD="1"/>
</file>

<file path=xl/ctrlProps/ctrlProp44.xml><?xml version="1.0" encoding="utf-8"?>
<formControlPr xmlns="http://schemas.microsoft.com/office/spreadsheetml/2009/9/main" objectType="CheckBox" fmlaLink="$C$34" lockText="1" noThreeD="1"/>
</file>

<file path=xl/ctrlProps/ctrlProp45.xml><?xml version="1.0" encoding="utf-8"?>
<formControlPr xmlns="http://schemas.microsoft.com/office/spreadsheetml/2009/9/main" objectType="CheckBox" fmlaLink="$C$35" lockText="1" noThreeD="1"/>
</file>

<file path=xl/ctrlProps/ctrlProp46.xml><?xml version="1.0" encoding="utf-8"?>
<formControlPr xmlns="http://schemas.microsoft.com/office/spreadsheetml/2009/9/main" objectType="CheckBox" fmlaLink="$C$36" lockText="1" noThreeD="1"/>
</file>

<file path=xl/ctrlProps/ctrlProp47.xml><?xml version="1.0" encoding="utf-8"?>
<formControlPr xmlns="http://schemas.microsoft.com/office/spreadsheetml/2009/9/main" objectType="CheckBox" fmlaLink="$C$38" lockText="1" noThreeD="1"/>
</file>

<file path=xl/ctrlProps/ctrlProp48.xml><?xml version="1.0" encoding="utf-8"?>
<formControlPr xmlns="http://schemas.microsoft.com/office/spreadsheetml/2009/9/main" objectType="CheckBox" fmlaLink="$C$39" lockText="1" noThreeD="1"/>
</file>

<file path=xl/ctrlProps/ctrlProp49.xml><?xml version="1.0" encoding="utf-8"?>
<formControlPr xmlns="http://schemas.microsoft.com/office/spreadsheetml/2009/9/main" objectType="CheckBox" fmlaLink="$C$40" lockText="1" noThreeD="1"/>
</file>

<file path=xl/ctrlProps/ctrlProp5.xml><?xml version="1.0" encoding="utf-8"?>
<formControlPr xmlns="http://schemas.microsoft.com/office/spreadsheetml/2009/9/main" objectType="CheckBox" fmlaLink="$C$32" lockText="1" noThreeD="1"/>
</file>

<file path=xl/ctrlProps/ctrlProp50.xml><?xml version="1.0" encoding="utf-8"?>
<formControlPr xmlns="http://schemas.microsoft.com/office/spreadsheetml/2009/9/main" objectType="CheckBox" fmlaLink="$C$41" lockText="1" noThreeD="1"/>
</file>

<file path=xl/ctrlProps/ctrlProp51.xml><?xml version="1.0" encoding="utf-8"?>
<formControlPr xmlns="http://schemas.microsoft.com/office/spreadsheetml/2009/9/main" objectType="CheckBox" fmlaLink="$C$42" lockText="1" noThreeD="1"/>
</file>

<file path=xl/ctrlProps/ctrlProp52.xml><?xml version="1.0" encoding="utf-8"?>
<formControlPr xmlns="http://schemas.microsoft.com/office/spreadsheetml/2009/9/main" objectType="CheckBox" fmlaLink="$C$43" lockText="1" noThreeD="1"/>
</file>

<file path=xl/ctrlProps/ctrlProp53.xml><?xml version="1.0" encoding="utf-8"?>
<formControlPr xmlns="http://schemas.microsoft.com/office/spreadsheetml/2009/9/main" objectType="CheckBox" fmlaLink="$C$69" lockText="1" noThreeD="1"/>
</file>

<file path=xl/ctrlProps/ctrlProp54.xml><?xml version="1.0" encoding="utf-8"?>
<formControlPr xmlns="http://schemas.microsoft.com/office/spreadsheetml/2009/9/main" objectType="CheckBox" fmlaLink="$C$70" lockText="1" noThreeD="1"/>
</file>

<file path=xl/ctrlProps/ctrlProp55.xml><?xml version="1.0" encoding="utf-8"?>
<formControlPr xmlns="http://schemas.microsoft.com/office/spreadsheetml/2009/9/main" objectType="CheckBox" fmlaLink="$C$80" lockText="1" noThreeD="1"/>
</file>

<file path=xl/ctrlProps/ctrlProp56.xml><?xml version="1.0" encoding="utf-8"?>
<formControlPr xmlns="http://schemas.microsoft.com/office/spreadsheetml/2009/9/main" objectType="CheckBox" fmlaLink="$C$81" lockText="1" noThreeD="1"/>
</file>

<file path=xl/ctrlProps/ctrlProp57.xml><?xml version="1.0" encoding="utf-8"?>
<formControlPr xmlns="http://schemas.microsoft.com/office/spreadsheetml/2009/9/main" objectType="CheckBox" fmlaLink="$C$103" lockText="1" noThreeD="1"/>
</file>

<file path=xl/ctrlProps/ctrlProp58.xml><?xml version="1.0" encoding="utf-8"?>
<formControlPr xmlns="http://schemas.microsoft.com/office/spreadsheetml/2009/9/main" objectType="CheckBox" fmlaLink="$C$90" lockText="1" noThreeD="1"/>
</file>

<file path=xl/ctrlProps/ctrlProp59.xml><?xml version="1.0" encoding="utf-8"?>
<formControlPr xmlns="http://schemas.microsoft.com/office/spreadsheetml/2009/9/main" objectType="CheckBox" fmlaLink="$C$91" lockText="1" noThreeD="1"/>
</file>

<file path=xl/ctrlProps/ctrlProp6.xml><?xml version="1.0" encoding="utf-8"?>
<formControlPr xmlns="http://schemas.microsoft.com/office/spreadsheetml/2009/9/main" objectType="CheckBox" fmlaLink="$C$35" lockText="1" noThreeD="1"/>
</file>

<file path=xl/ctrlProps/ctrlProp60.xml><?xml version="1.0" encoding="utf-8"?>
<formControlPr xmlns="http://schemas.microsoft.com/office/spreadsheetml/2009/9/main" objectType="CheckBox" fmlaLink="$C$92" lockText="1" noThreeD="1"/>
</file>

<file path=xl/ctrlProps/ctrlProp7.xml><?xml version="1.0" encoding="utf-8"?>
<formControlPr xmlns="http://schemas.microsoft.com/office/spreadsheetml/2009/9/main" objectType="CheckBox" fmlaLink="$C$36" lockText="1" noThreeD="1"/>
</file>

<file path=xl/ctrlProps/ctrlProp8.xml><?xml version="1.0" encoding="utf-8"?>
<formControlPr xmlns="http://schemas.microsoft.com/office/spreadsheetml/2009/9/main" objectType="CheckBox" fmlaLink="$C$39" lockText="1" noThreeD="1"/>
</file>

<file path=xl/ctrlProps/ctrlProp9.xml><?xml version="1.0" encoding="utf-8"?>
<formControlPr xmlns="http://schemas.microsoft.com/office/spreadsheetml/2009/9/main" objectType="CheckBox" fmlaLink="$C$4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400050</xdr:rowOff>
    </xdr:from>
    <xdr:to>
      <xdr:col>15</xdr:col>
      <xdr:colOff>0</xdr:colOff>
      <xdr:row>44</xdr:row>
      <xdr:rowOff>81915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2638425"/>
          <a:ext cx="9601200" cy="5720715"/>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1000">
              <a:solidFill>
                <a:srgbClr val="000000"/>
              </a:solidFill>
              <a:effectLst/>
              <a:latin typeface="Arial" panose="020B0604020202020204" pitchFamily="34" charset="0"/>
              <a:ea typeface="+mn-ea"/>
              <a:cs typeface="Arial" panose="020B0604020202020204" pitchFamily="34" charset="0"/>
            </a:rPr>
            <a:t>The Green Star rating system (‘Green Star Rating System’) and the Green Star Rating Tools (‘Rating Tools’) have been developed by the New Zealand Green Building Council (‘NZGBC’). The Rating Tools are intended for use by project teams, contractors and other interested parties to validate sustainability initiatives of the design and construction phases of eligible projects.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Green Star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any member of the Technical Working Group and any Independent Chair)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AU" sz="1000">
            <a:solidFill>
              <a:srgbClr val="000000"/>
            </a:solidFill>
            <a:effectLst/>
            <a:latin typeface="Arial" panose="020B0604020202020204" pitchFamily="34" charset="0"/>
            <a:ea typeface="+mn-ea"/>
            <a:cs typeface="Arial" panose="020B0604020202020204" pitchFamily="34" charset="0"/>
          </a:endParaRPr>
        </a:p>
        <a:p>
          <a:r>
            <a:rPr lang="en-AU" sz="1000">
              <a:solidFill>
                <a:srgbClr val="000000"/>
              </a:solidFill>
              <a:effectLst/>
              <a:latin typeface="Arial" panose="020B0604020202020204" pitchFamily="34" charset="0"/>
              <a:ea typeface="+mn-ea"/>
              <a:cs typeface="Arial" panose="020B0604020202020204" pitchFamily="34" charset="0"/>
            </a:rPr>
            <a:t>All rights reserved.</a:t>
          </a:r>
        </a:p>
        <a:p>
          <a:br>
            <a:rPr lang="en-AU" sz="900">
              <a:solidFill>
                <a:srgbClr val="000000"/>
              </a:solidFill>
              <a:effectLst/>
              <a:latin typeface="Arial" panose="020B0604020202020204" pitchFamily="34" charset="0"/>
              <a:ea typeface="+mn-ea"/>
              <a:cs typeface="Arial" panose="020B0604020202020204" pitchFamily="34" charset="0"/>
            </a:rPr>
          </a:br>
          <a:endParaRPr lang="en-AU" sz="900">
            <a:solidFill>
              <a:srgbClr val="000000"/>
            </a:solidFill>
            <a:effectLst/>
            <a:latin typeface="Arial" panose="020B0604020202020204" pitchFamily="34" charset="0"/>
            <a:ea typeface="+mn-ea"/>
            <a:cs typeface="Arial" panose="020B0604020202020204" pitchFamily="34" charset="0"/>
          </a:endParaRPr>
        </a:p>
      </xdr:txBody>
    </xdr:sp>
    <xdr:clientData/>
  </xdr:twoCellAnchor>
  <xdr:twoCellAnchor>
    <xdr:from>
      <xdr:col>2</xdr:col>
      <xdr:colOff>219075</xdr:colOff>
      <xdr:row>7</xdr:row>
      <xdr:rowOff>95250</xdr:rowOff>
    </xdr:from>
    <xdr:to>
      <xdr:col>2</xdr:col>
      <xdr:colOff>628650</xdr:colOff>
      <xdr:row>8</xdr:row>
      <xdr:rowOff>95250</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904875" y="1295400"/>
          <a:ext cx="409575" cy="17145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0</xdr:col>
      <xdr:colOff>0</xdr:colOff>
      <xdr:row>0</xdr:row>
      <xdr:rowOff>16083</xdr:rowOff>
    </xdr:from>
    <xdr:to>
      <xdr:col>12</xdr:col>
      <xdr:colOff>130811</xdr:colOff>
      <xdr:row>11</xdr:row>
      <xdr:rowOff>50679</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0" y="16083"/>
          <a:ext cx="7674611" cy="2022146"/>
          <a:chOff x="0" y="19051"/>
          <a:chExt cx="7677151" cy="1928430"/>
        </a:xfrm>
      </xdr:grpSpPr>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3" name="Rectangle 2">
            <a:extLst>
              <a:ext uri="{FF2B5EF4-FFF2-40B4-BE49-F238E27FC236}">
                <a16:creationId xmlns:a16="http://schemas.microsoft.com/office/drawing/2014/main" id="{00000000-0008-0000-0000-000003000000}"/>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editAs="oneCell">
    <xdr:from>
      <xdr:col>1</xdr:col>
      <xdr:colOff>95250</xdr:colOff>
      <xdr:row>7</xdr:row>
      <xdr:rowOff>104775</xdr:rowOff>
    </xdr:from>
    <xdr:to>
      <xdr:col>2</xdr:col>
      <xdr:colOff>503904</xdr:colOff>
      <xdr:row>8</xdr:row>
      <xdr:rowOff>124985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95250" y="1371600"/>
          <a:ext cx="1094454" cy="201185"/>
        </a:xfrm>
        <a:prstGeom prst="rect">
          <a:avLst/>
        </a:prstGeom>
      </xdr:spPr>
    </xdr:pic>
    <xdr:clientData/>
  </xdr:twoCellAnchor>
  <xdr:twoCellAnchor editAs="oneCell">
    <xdr:from>
      <xdr:col>11</xdr:col>
      <xdr:colOff>306766</xdr:colOff>
      <xdr:row>8</xdr:row>
      <xdr:rowOff>133349</xdr:rowOff>
    </xdr:from>
    <xdr:to>
      <xdr:col>14</xdr:col>
      <xdr:colOff>663575</xdr:colOff>
      <xdr:row>11</xdr:row>
      <xdr:rowOff>183135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64766" y="1581149"/>
          <a:ext cx="2414209" cy="592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990600</xdr:colOff>
      <xdr:row>0</xdr:row>
      <xdr:rowOff>1524000</xdr:rowOff>
    </xdr:from>
    <xdr:to>
      <xdr:col>2</xdr:col>
      <xdr:colOff>9525</xdr:colOff>
      <xdr:row>0</xdr:row>
      <xdr:rowOff>1695450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285875" y="1524000"/>
          <a:ext cx="952500" cy="1714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0</xdr:col>
      <xdr:colOff>0</xdr:colOff>
      <xdr:row>0</xdr:row>
      <xdr:rowOff>0</xdr:rowOff>
    </xdr:from>
    <xdr:to>
      <xdr:col>3</xdr:col>
      <xdr:colOff>4036061</xdr:colOff>
      <xdr:row>1</xdr:row>
      <xdr:rowOff>99128</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0" y="0"/>
          <a:ext cx="7674611" cy="2026353"/>
          <a:chOff x="0" y="15226"/>
          <a:chExt cx="7677151" cy="1932255"/>
        </a:xfrm>
      </xdr:grpSpPr>
      <xdr:pic>
        <xdr:nvPicPr>
          <xdr:cNvPr id="32" name="Picture 3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226"/>
            <a:ext cx="7677151" cy="1868803"/>
          </a:xfrm>
          <a:prstGeom prst="rect">
            <a:avLst/>
          </a:prstGeom>
        </xdr:spPr>
      </xdr:pic>
      <xdr:sp macro="" textlink="">
        <xdr:nvSpPr>
          <xdr:cNvPr id="33" name="Rectangle 32">
            <a:extLst>
              <a:ext uri="{FF2B5EF4-FFF2-40B4-BE49-F238E27FC236}">
                <a16:creationId xmlns:a16="http://schemas.microsoft.com/office/drawing/2014/main" id="{00000000-0008-0000-0100-000021000000}"/>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7145" y="1560195"/>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editAs="oneCell">
    <xdr:from>
      <xdr:col>1</xdr:col>
      <xdr:colOff>85725</xdr:colOff>
      <xdr:row>0</xdr:row>
      <xdr:rowOff>1343024</xdr:rowOff>
    </xdr:from>
    <xdr:to>
      <xdr:col>1</xdr:col>
      <xdr:colOff>1437003</xdr:colOff>
      <xdr:row>0</xdr:row>
      <xdr:rowOff>1587499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5725" y="1343024"/>
          <a:ext cx="1351278" cy="244475"/>
        </a:xfrm>
        <a:prstGeom prst="rect">
          <a:avLst/>
        </a:prstGeom>
      </xdr:spPr>
    </xdr:pic>
    <xdr:clientData/>
  </xdr:twoCellAnchor>
  <xdr:twoCellAnchor editAs="oneCell">
    <xdr:from>
      <xdr:col>3</xdr:col>
      <xdr:colOff>3625850</xdr:colOff>
      <xdr:row>0</xdr:row>
      <xdr:rowOff>1543050</xdr:rowOff>
    </xdr:from>
    <xdr:to>
      <xdr:col>5</xdr:col>
      <xdr:colOff>286959</xdr:colOff>
      <xdr:row>1</xdr:row>
      <xdr:rowOff>208536</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264400" y="1543050"/>
          <a:ext cx="2414209" cy="5895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933450</xdr:colOff>
      <xdr:row>0</xdr:row>
      <xdr:rowOff>1371600</xdr:rowOff>
    </xdr:from>
    <xdr:to>
      <xdr:col>1</xdr:col>
      <xdr:colOff>1724025</xdr:colOff>
      <xdr:row>0</xdr:row>
      <xdr:rowOff>1543050</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181100" y="1371600"/>
          <a:ext cx="790575" cy="1714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xdr:from>
      <xdr:col>0</xdr:col>
      <xdr:colOff>0</xdr:colOff>
      <xdr:row>0</xdr:row>
      <xdr:rowOff>4005</xdr:rowOff>
    </xdr:from>
    <xdr:to>
      <xdr:col>5</xdr:col>
      <xdr:colOff>1750061</xdr:colOff>
      <xdr:row>1</xdr:row>
      <xdr:rowOff>25336</xdr:rowOff>
    </xdr:to>
    <xdr:grpSp>
      <xdr:nvGrpSpPr>
        <xdr:cNvPr id="29" name="Group 28">
          <a:extLst>
            <a:ext uri="{FF2B5EF4-FFF2-40B4-BE49-F238E27FC236}">
              <a16:creationId xmlns:a16="http://schemas.microsoft.com/office/drawing/2014/main" id="{00000000-0008-0000-0200-00001D000000}"/>
            </a:ext>
          </a:extLst>
        </xdr:cNvPr>
        <xdr:cNvGrpSpPr/>
      </xdr:nvGrpSpPr>
      <xdr:grpSpPr>
        <a:xfrm>
          <a:off x="0" y="7180"/>
          <a:ext cx="7674611" cy="2002531"/>
          <a:chOff x="0" y="19051"/>
          <a:chExt cx="7677151" cy="1912536"/>
        </a:xfrm>
      </xdr:grpSpPr>
      <xdr:pic>
        <xdr:nvPicPr>
          <xdr:cNvPr id="30" name="Pictur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31" name="Rectangle 30">
            <a:extLst>
              <a:ext uri="{FF2B5EF4-FFF2-40B4-BE49-F238E27FC236}">
                <a16:creationId xmlns:a16="http://schemas.microsoft.com/office/drawing/2014/main" id="{00000000-0008-0000-0200-00001F000000}"/>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23501" y="1561706"/>
            <a:ext cx="1044535" cy="369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NZ" sz="2000" b="1">
                <a:solidFill>
                  <a:sysClr val="windowText" lastClr="000000"/>
                </a:solidFill>
                <a:latin typeface="+mn-lt"/>
              </a:rPr>
              <a:t>NZv1.0</a:t>
            </a:r>
          </a:p>
        </xdr:txBody>
      </xdr:sp>
    </xdr:grpSp>
    <xdr:clientData/>
  </xdr:twoCellAnchor>
  <xdr:twoCellAnchor editAs="oneCell">
    <xdr:from>
      <xdr:col>1</xdr:col>
      <xdr:colOff>60325</xdr:colOff>
      <xdr:row>0</xdr:row>
      <xdr:rowOff>1339850</xdr:rowOff>
    </xdr:from>
    <xdr:to>
      <xdr:col>1</xdr:col>
      <xdr:colOff>1350716</xdr:colOff>
      <xdr:row>0</xdr:row>
      <xdr:rowOff>1579135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60325" y="1339850"/>
          <a:ext cx="1290391" cy="239285"/>
        </a:xfrm>
        <a:prstGeom prst="rect">
          <a:avLst/>
        </a:prstGeom>
      </xdr:spPr>
    </xdr:pic>
    <xdr:clientData/>
  </xdr:twoCellAnchor>
  <xdr:twoCellAnchor editAs="oneCell">
    <xdr:from>
      <xdr:col>5</xdr:col>
      <xdr:colOff>1209675</xdr:colOff>
      <xdr:row>0</xdr:row>
      <xdr:rowOff>1543050</xdr:rowOff>
    </xdr:from>
    <xdr:to>
      <xdr:col>10</xdr:col>
      <xdr:colOff>20259</xdr:colOff>
      <xdr:row>1</xdr:row>
      <xdr:rowOff>151386</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34225" y="1543050"/>
          <a:ext cx="2411034" cy="58953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3703039</xdr:colOff>
      <xdr:row>2</xdr:row>
      <xdr:rowOff>23518</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0" y="0"/>
          <a:ext cx="7670995" cy="1967412"/>
          <a:chOff x="0" y="19051"/>
          <a:chExt cx="7677151" cy="1868803"/>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1"/>
            <a:ext cx="7677151" cy="1868803"/>
          </a:xfrm>
          <a:prstGeom prst="rect">
            <a:avLst/>
          </a:prstGeom>
        </xdr:spPr>
      </xdr:pic>
      <xdr:sp macro="" textlink="">
        <xdr:nvSpPr>
          <xdr:cNvPr id="5" name="Rectangle 4">
            <a:extLst>
              <a:ext uri="{FF2B5EF4-FFF2-40B4-BE49-F238E27FC236}">
                <a16:creationId xmlns:a16="http://schemas.microsoft.com/office/drawing/2014/main" id="{00000000-0008-0000-0300-000005000000}"/>
              </a:ext>
            </a:extLst>
          </xdr:cNvPr>
          <xdr:cNvSpPr/>
        </xdr:nvSpPr>
        <xdr:spPr>
          <a:xfrm>
            <a:off x="925830" y="1352550"/>
            <a:ext cx="891540" cy="24765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solidFill>
                <a:sysClr val="windowText" lastClr="000000"/>
              </a:solidFill>
            </a:endParaRPr>
          </a:p>
        </xdr:txBody>
      </xdr:sp>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790143" y="1223272"/>
            <a:ext cx="1025794" cy="387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NZ" sz="2000" b="1">
                <a:solidFill>
                  <a:sysClr val="windowText" lastClr="000000"/>
                </a:solidFill>
                <a:latin typeface="+mn-lt"/>
              </a:rPr>
              <a:t>NZv1.0</a:t>
            </a:r>
          </a:p>
        </xdr:txBody>
      </xdr:sp>
    </xdr:grpSp>
    <xdr:clientData/>
  </xdr:twoCellAnchor>
  <xdr:twoCellAnchor editAs="oneCell">
    <xdr:from>
      <xdr:col>3</xdr:col>
      <xdr:colOff>3056821</xdr:colOff>
      <xdr:row>0</xdr:row>
      <xdr:rowOff>1664016</xdr:rowOff>
    </xdr:from>
    <xdr:to>
      <xdr:col>3</xdr:col>
      <xdr:colOff>4612041</xdr:colOff>
      <xdr:row>2</xdr:row>
      <xdr:rowOff>124978</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22043" y="1664016"/>
          <a:ext cx="1550458" cy="386247"/>
        </a:xfrm>
        <a:prstGeom prst="rect">
          <a:avLst/>
        </a:prstGeom>
      </xdr:spPr>
    </xdr:pic>
    <xdr:clientData/>
  </xdr:twoCellAnchor>
  <xdr:twoCellAnchor editAs="oneCell">
    <xdr:from>
      <xdr:col>0</xdr:col>
      <xdr:colOff>56445</xdr:colOff>
      <xdr:row>0</xdr:row>
      <xdr:rowOff>1305277</xdr:rowOff>
    </xdr:from>
    <xdr:to>
      <xdr:col>1</xdr:col>
      <xdr:colOff>1589536</xdr:colOff>
      <xdr:row>0</xdr:row>
      <xdr:rowOff>1626657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3"/>
        <a:stretch>
          <a:fillRect/>
        </a:stretch>
      </xdr:blipFill>
      <xdr:spPr>
        <a:xfrm>
          <a:off x="56445" y="1305277"/>
          <a:ext cx="1750226" cy="3245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171450</xdr:rowOff>
        </xdr:from>
        <xdr:to>
          <xdr:col>5</xdr:col>
          <xdr:colOff>552450</xdr:colOff>
          <xdr:row>27</xdr:row>
          <xdr:rowOff>381000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552450</xdr:colOff>
          <xdr:row>28</xdr:row>
          <xdr:rowOff>381000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6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552450</xdr:colOff>
          <xdr:row>29</xdr:row>
          <xdr:rowOff>381000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6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552450</xdr:colOff>
          <xdr:row>30</xdr:row>
          <xdr:rowOff>381000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6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552450</xdr:colOff>
          <xdr:row>31</xdr:row>
          <xdr:rowOff>381000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6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552450</xdr:colOff>
          <xdr:row>34</xdr:row>
          <xdr:rowOff>381000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6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552450</xdr:colOff>
          <xdr:row>35</xdr:row>
          <xdr:rowOff>381000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6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552450</xdr:colOff>
          <xdr:row>38</xdr:row>
          <xdr:rowOff>381000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6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552450</xdr:colOff>
          <xdr:row>39</xdr:row>
          <xdr:rowOff>381000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6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552450</xdr:colOff>
          <xdr:row>40</xdr:row>
          <xdr:rowOff>381000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6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552450</xdr:colOff>
          <xdr:row>41</xdr:row>
          <xdr:rowOff>381000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6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552450</xdr:colOff>
          <xdr:row>42</xdr:row>
          <xdr:rowOff>381000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6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171450</xdr:rowOff>
        </xdr:from>
        <xdr:to>
          <xdr:col>5</xdr:col>
          <xdr:colOff>552450</xdr:colOff>
          <xdr:row>79</xdr:row>
          <xdr:rowOff>381000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6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552450</xdr:colOff>
          <xdr:row>90</xdr:row>
          <xdr:rowOff>381000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6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565150</xdr:colOff>
          <xdr:row>28</xdr:row>
          <xdr:rowOff>381000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6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184150</xdr:rowOff>
        </xdr:from>
        <xdr:to>
          <xdr:col>5</xdr:col>
          <xdr:colOff>565150</xdr:colOff>
          <xdr:row>27</xdr:row>
          <xdr:rowOff>393700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6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565150</xdr:colOff>
          <xdr:row>29</xdr:row>
          <xdr:rowOff>381000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6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565150</xdr:colOff>
          <xdr:row>30</xdr:row>
          <xdr:rowOff>381000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6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565150</xdr:colOff>
          <xdr:row>31</xdr:row>
          <xdr:rowOff>381000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6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32</xdr:row>
          <xdr:rowOff>171450</xdr:rowOff>
        </xdr:from>
        <xdr:to>
          <xdr:col>5</xdr:col>
          <xdr:colOff>565150</xdr:colOff>
          <xdr:row>32</xdr:row>
          <xdr:rowOff>381000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6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565150</xdr:colOff>
          <xdr:row>34</xdr:row>
          <xdr:rowOff>381000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6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565150</xdr:colOff>
          <xdr:row>35</xdr:row>
          <xdr:rowOff>381000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6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171450</xdr:rowOff>
        </xdr:from>
        <xdr:to>
          <xdr:col>5</xdr:col>
          <xdr:colOff>565150</xdr:colOff>
          <xdr:row>36</xdr:row>
          <xdr:rowOff>381000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6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565150</xdr:colOff>
          <xdr:row>38</xdr:row>
          <xdr:rowOff>381000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6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565150</xdr:colOff>
          <xdr:row>39</xdr:row>
          <xdr:rowOff>381000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6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565150</xdr:colOff>
          <xdr:row>40</xdr:row>
          <xdr:rowOff>381000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6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565150</xdr:colOff>
          <xdr:row>41</xdr:row>
          <xdr:rowOff>381000</xdr:rowOff>
        </xdr:to>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6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565150</xdr:colOff>
          <xdr:row>42</xdr:row>
          <xdr:rowOff>381000</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6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171450</xdr:rowOff>
        </xdr:from>
        <xdr:to>
          <xdr:col>5</xdr:col>
          <xdr:colOff>565150</xdr:colOff>
          <xdr:row>43</xdr:row>
          <xdr:rowOff>381000</xdr:rowOff>
        </xdr:to>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6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55</xdr:row>
          <xdr:rowOff>171450</xdr:rowOff>
        </xdr:from>
        <xdr:to>
          <xdr:col>5</xdr:col>
          <xdr:colOff>565150</xdr:colOff>
          <xdr:row>55</xdr:row>
          <xdr:rowOff>381000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6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171450</xdr:rowOff>
        </xdr:from>
        <xdr:to>
          <xdr:col>5</xdr:col>
          <xdr:colOff>565150</xdr:colOff>
          <xdr:row>56</xdr:row>
          <xdr:rowOff>381000</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6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171450</xdr:rowOff>
        </xdr:from>
        <xdr:to>
          <xdr:col>5</xdr:col>
          <xdr:colOff>565150</xdr:colOff>
          <xdr:row>66</xdr:row>
          <xdr:rowOff>381000</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6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67</xdr:row>
          <xdr:rowOff>171450</xdr:rowOff>
        </xdr:from>
        <xdr:to>
          <xdr:col>5</xdr:col>
          <xdr:colOff>565150</xdr:colOff>
          <xdr:row>67</xdr:row>
          <xdr:rowOff>381000</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6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565150</xdr:colOff>
          <xdr:row>90</xdr:row>
          <xdr:rowOff>381000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6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171450</xdr:rowOff>
        </xdr:from>
        <xdr:to>
          <xdr:col>5</xdr:col>
          <xdr:colOff>565150</xdr:colOff>
          <xdr:row>77</xdr:row>
          <xdr:rowOff>381000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6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171450</xdr:rowOff>
        </xdr:from>
        <xdr:to>
          <xdr:col>5</xdr:col>
          <xdr:colOff>565150</xdr:colOff>
          <xdr:row>78</xdr:row>
          <xdr:rowOff>381000</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6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171450</xdr:rowOff>
        </xdr:from>
        <xdr:to>
          <xdr:col>5</xdr:col>
          <xdr:colOff>565150</xdr:colOff>
          <xdr:row>79</xdr:row>
          <xdr:rowOff>381000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6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171450</xdr:rowOff>
        </xdr:from>
        <xdr:to>
          <xdr:col>5</xdr:col>
          <xdr:colOff>565150</xdr:colOff>
          <xdr:row>27</xdr:row>
          <xdr:rowOff>381000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7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184150</xdr:rowOff>
        </xdr:from>
        <xdr:to>
          <xdr:col>5</xdr:col>
          <xdr:colOff>565150</xdr:colOff>
          <xdr:row>26</xdr:row>
          <xdr:rowOff>393700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7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565150</xdr:colOff>
          <xdr:row>28</xdr:row>
          <xdr:rowOff>381000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7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565150</xdr:colOff>
          <xdr:row>29</xdr:row>
          <xdr:rowOff>381000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565150</xdr:colOff>
          <xdr:row>30</xdr:row>
          <xdr:rowOff>381000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565150</xdr:colOff>
          <xdr:row>31</xdr:row>
          <xdr:rowOff>381000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7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171450</xdr:rowOff>
        </xdr:from>
        <xdr:to>
          <xdr:col>5</xdr:col>
          <xdr:colOff>565150</xdr:colOff>
          <xdr:row>33</xdr:row>
          <xdr:rowOff>381000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7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565150</xdr:colOff>
          <xdr:row>34</xdr:row>
          <xdr:rowOff>381000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700-00000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565150</xdr:colOff>
          <xdr:row>35</xdr:row>
          <xdr:rowOff>381000</xdr:rowOff>
        </xdr:to>
        <xdr:sp macro="" textlink="">
          <xdr:nvSpPr>
            <xdr:cNvPr id="22537" name="Check Box 9" hidden="1">
              <a:extLst>
                <a:ext uri="{63B3BB69-23CF-44E3-9099-C40C66FF867C}">
                  <a14:compatExt spid="_x0000_s22537"/>
                </a:ext>
                <a:ext uri="{FF2B5EF4-FFF2-40B4-BE49-F238E27FC236}">
                  <a16:creationId xmlns:a16="http://schemas.microsoft.com/office/drawing/2014/main" id="{00000000-0008-0000-0700-00000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171450</xdr:rowOff>
        </xdr:from>
        <xdr:to>
          <xdr:col>5</xdr:col>
          <xdr:colOff>565150</xdr:colOff>
          <xdr:row>37</xdr:row>
          <xdr:rowOff>381000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7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565150</xdr:colOff>
          <xdr:row>38</xdr:row>
          <xdr:rowOff>381000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7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565150</xdr:colOff>
          <xdr:row>39</xdr:row>
          <xdr:rowOff>381000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7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565150</xdr:colOff>
          <xdr:row>40</xdr:row>
          <xdr:rowOff>381000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7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565150</xdr:colOff>
          <xdr:row>41</xdr:row>
          <xdr:rowOff>381000</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7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565150</xdr:colOff>
          <xdr:row>42</xdr:row>
          <xdr:rowOff>381000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7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68</xdr:row>
          <xdr:rowOff>171450</xdr:rowOff>
        </xdr:from>
        <xdr:to>
          <xdr:col>5</xdr:col>
          <xdr:colOff>565150</xdr:colOff>
          <xdr:row>68</xdr:row>
          <xdr:rowOff>381000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7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171450</xdr:rowOff>
        </xdr:from>
        <xdr:to>
          <xdr:col>5</xdr:col>
          <xdr:colOff>565150</xdr:colOff>
          <xdr:row>69</xdr:row>
          <xdr:rowOff>381000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7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171450</xdr:rowOff>
        </xdr:from>
        <xdr:to>
          <xdr:col>5</xdr:col>
          <xdr:colOff>565150</xdr:colOff>
          <xdr:row>79</xdr:row>
          <xdr:rowOff>381000</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7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171450</xdr:rowOff>
        </xdr:from>
        <xdr:to>
          <xdr:col>5</xdr:col>
          <xdr:colOff>565150</xdr:colOff>
          <xdr:row>80</xdr:row>
          <xdr:rowOff>381000</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7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171450</xdr:rowOff>
        </xdr:from>
        <xdr:to>
          <xdr:col>5</xdr:col>
          <xdr:colOff>565150</xdr:colOff>
          <xdr:row>102</xdr:row>
          <xdr:rowOff>381000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7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89</xdr:row>
          <xdr:rowOff>171450</xdr:rowOff>
        </xdr:from>
        <xdr:to>
          <xdr:col>5</xdr:col>
          <xdr:colOff>565150</xdr:colOff>
          <xdr:row>89</xdr:row>
          <xdr:rowOff>381000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7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565150</xdr:colOff>
          <xdr:row>90</xdr:row>
          <xdr:rowOff>381000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7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171450</xdr:rowOff>
        </xdr:from>
        <xdr:to>
          <xdr:col>5</xdr:col>
          <xdr:colOff>565150</xdr:colOff>
          <xdr:row>91</xdr:row>
          <xdr:rowOff>381000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7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ccess%20by%20Public%20Transport%20Calculator_Release%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d-data\greenstar\jchapa\Desktop\Green%20Star-%20Multi%20Unit%20Residential%20v1%20(Mast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eenstar\GS%20Custom\03%20Pilot\01%20Tool%20Development\05%20Excel\Excel%20-%20Calculators\Green%20Star%20-%20Calculators%20Mixed%20use%20unlocked%20revis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d-data\greenstar\Green%20Star%20Rating%20System\Green%20Star%20-%20Office%20As%20Built\Version%202\Excel%20Tool\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atch"/>
      <sheetName val="Disclaimer"/>
      <sheetName val="Change Log"/>
      <sheetName val="Inputs"/>
      <sheetName val="Outputs"/>
      <sheetName val="Pop"/>
      <sheetName val="Step by Step Master"/>
      <sheetName val="Victorian"/>
      <sheetName val="geoCodingParameters"/>
      <sheetName val="Step by Step Parameters"/>
      <sheetName val="Step by Step Join"/>
      <sheetName val="API cObject nam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 val="hidden"/>
    </sheetNames>
    <sheetDataSet>
      <sheetData sheetId="0"/>
      <sheetData sheetId="1"/>
      <sheetData sheetId="2"/>
      <sheetData sheetId="3"/>
      <sheetData sheetId="4">
        <row r="8">
          <cell r="C8" t="str">
            <v>Name of Building:</v>
          </cell>
        </row>
        <row r="9">
          <cell r="C9" t="str">
            <v>Address of Building:</v>
          </cell>
        </row>
        <row r="15">
          <cell r="C15" t="str">
            <v>Applicant:</v>
          </cell>
        </row>
        <row r="19">
          <cell r="C19" t="str">
            <v>ESD Consultant:</v>
          </cell>
        </row>
        <row r="20">
          <cell r="C20" t="str">
            <v>Project Manager:</v>
          </cell>
        </row>
        <row r="21">
          <cell r="C21" t="str">
            <v>Architect:</v>
          </cell>
        </row>
        <row r="22">
          <cell r="C22" t="str">
            <v>Structural/Civil Engineer:</v>
          </cell>
        </row>
        <row r="23">
          <cell r="C23" t="str">
            <v>Building Services Engineer:</v>
          </cell>
        </row>
        <row r="24">
          <cell r="C24" t="str">
            <v>Quantity Surveyor:</v>
          </cell>
        </row>
        <row r="25">
          <cell r="C25" t="str">
            <v>Acoustic Consultant:</v>
          </cell>
        </row>
        <row r="26">
          <cell r="C26" t="str">
            <v>Landscaping Consultant:</v>
          </cell>
        </row>
        <row r="27">
          <cell r="C27" t="str">
            <v>Building Surveyor:</v>
          </cell>
        </row>
        <row r="28">
          <cell r="C28" t="str">
            <v>Main Contractor:</v>
          </cell>
        </row>
        <row r="31">
          <cell r="C31" t="str">
            <v>Gross Floor Area (GFA) in m2:</v>
          </cell>
        </row>
        <row r="32">
          <cell r="C32" t="str">
            <v>BCA Class 2 and Class 1a (ii) Residential area in m2:</v>
          </cell>
        </row>
        <row r="33">
          <cell r="C33">
            <v>30</v>
          </cell>
        </row>
        <row r="34">
          <cell r="C34" t="str">
            <v>Please enter Gross Floor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v>0</v>
          </cell>
        </row>
      </sheetData>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Disclaimer"/>
      <sheetName val="Building Input"/>
      <sheetName val="Summary"/>
      <sheetName val="Residential Ene-Con Calculator"/>
      <sheetName val="Residential Ene-1 Calculator"/>
      <sheetName val="GHG Emissions Calculator"/>
      <sheetName val="Potable Water Calculator"/>
      <sheetName val="Mass Transport Calculator"/>
      <sheetName val="Sewage Calculator"/>
      <sheetName val="Flooring Calculator"/>
      <sheetName val="Assemblies Calculator"/>
      <sheetName val="Furniture Calculator"/>
      <sheetName val="Ecology Calculator"/>
      <sheetName val="Calculation hidden"/>
      <sheetName val="Impact Categories Calculator"/>
      <sheetName val="hidden"/>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row r="5">
          <cell r="B5" t="str">
            <v>No. of Bus, Tram or Ferry Services</v>
          </cell>
        </row>
      </sheetData>
      <sheetData sheetId="8"/>
      <sheetData sheetId="9">
        <row r="5">
          <cell r="B5" t="str">
            <v>No. of Bus, Tram or Ferry Services</v>
          </cell>
        </row>
        <row r="6">
          <cell r="B6" t="str">
            <v>Walking Distance from Building Entrance to Public Transport</v>
          </cell>
          <cell r="C6" t="str">
            <v>Frequency of Service During Peak Periods</v>
          </cell>
        </row>
        <row r="7">
          <cell r="C7" t="str">
            <v>15 min</v>
          </cell>
          <cell r="D7" t="str">
            <v>30 min</v>
          </cell>
        </row>
        <row r="8">
          <cell r="B8" t="str">
            <v>0-250m</v>
          </cell>
        </row>
        <row r="9">
          <cell r="B9" t="str">
            <v>250-500m</v>
          </cell>
        </row>
        <row r="10">
          <cell r="B10" t="str">
            <v>500-750m</v>
          </cell>
        </row>
        <row r="11">
          <cell r="B11" t="str">
            <v>750m-1km</v>
          </cell>
        </row>
        <row r="14">
          <cell r="B14" t="str">
            <v>No. of Train Services</v>
          </cell>
        </row>
        <row r="15">
          <cell r="B15" t="str">
            <v>Walking Distance from Building Entrance to Public Transport</v>
          </cell>
          <cell r="C15" t="str">
            <v>Frequency of Service During Peak Periods</v>
          </cell>
        </row>
        <row r="16">
          <cell r="C16" t="str">
            <v>15 min</v>
          </cell>
          <cell r="D16" t="str">
            <v>30 min</v>
          </cell>
        </row>
        <row r="17">
          <cell r="B17" t="str">
            <v>0-250m</v>
          </cell>
        </row>
        <row r="18">
          <cell r="B18" t="str">
            <v>250-500m</v>
          </cell>
        </row>
        <row r="19">
          <cell r="B19" t="str">
            <v>500-750m</v>
          </cell>
        </row>
        <row r="20">
          <cell r="B20" t="str">
            <v>750m-1km</v>
          </cell>
        </row>
        <row r="22">
          <cell r="D22">
            <v>0</v>
          </cell>
        </row>
      </sheetData>
      <sheetData sheetId="10"/>
      <sheetData sheetId="11"/>
      <sheetData sheetId="12"/>
      <sheetData sheetId="13">
        <row r="5">
          <cell r="B5" t="str">
            <v>Does the site contain any rare, threatened or vulnerable flora or fauna?</v>
          </cell>
        </row>
      </sheetData>
      <sheetData sheetId="14">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v>0</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Green Star Design &amp; As Built">
  <a:themeElements>
    <a:clrScheme name="Design &amp; As Built">
      <a:dk1>
        <a:srgbClr val="3F4450"/>
      </a:dk1>
      <a:lt1>
        <a:srgbClr val="FFFFFF"/>
      </a:lt1>
      <a:dk2>
        <a:srgbClr val="1E3863"/>
      </a:dk2>
      <a:lt2>
        <a:srgbClr val="FFFFFF"/>
      </a:lt2>
      <a:accent1>
        <a:srgbClr val="1E3863"/>
      </a:accent1>
      <a:accent2>
        <a:srgbClr val="455277"/>
      </a:accent2>
      <a:accent3>
        <a:srgbClr val="8F9CB1"/>
      </a:accent3>
      <a:accent4>
        <a:srgbClr val="3F4450"/>
      </a:accent4>
      <a:accent5>
        <a:srgbClr val="9EA1A6"/>
      </a:accent5>
      <a:accent6>
        <a:srgbClr val="C4C6C9"/>
      </a:accent6>
      <a:hlink>
        <a:srgbClr val="1E3863"/>
      </a:hlink>
      <a:folHlink>
        <a:srgbClr val="C5C7CA"/>
      </a:folHlink>
    </a:clrScheme>
    <a:fontScheme name="Green Star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4.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2" Type="http://schemas.openxmlformats.org/officeDocument/2006/relationships/drawing" Target="../drawings/drawing6.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8.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2:R13"/>
  <sheetViews>
    <sheetView showGridLines="0" showRowColHeaders="0" topLeftCell="B17" zoomScaleNormal="100" workbookViewId="0">
      <selection activeCell="S18" sqref="S18"/>
    </sheetView>
  </sheetViews>
  <sheetFormatPr defaultColWidth="9" defaultRowHeight="14" x14ac:dyDescent="0.3"/>
  <cols>
    <col min="1" max="1" width="3" style="268" hidden="1" customWidth="1"/>
    <col min="2" max="16384" width="9" style="268"/>
  </cols>
  <sheetData>
    <row r="12" spans="2:18" ht="19.5" customHeight="1" x14ac:dyDescent="0.3">
      <c r="B12" s="489"/>
      <c r="C12" s="489"/>
      <c r="D12" s="489"/>
      <c r="E12" s="489"/>
      <c r="F12" s="489"/>
      <c r="G12" s="489"/>
      <c r="H12" s="489"/>
      <c r="I12" s="489"/>
      <c r="J12" s="489"/>
      <c r="K12" s="489"/>
      <c r="L12" s="489"/>
      <c r="M12" s="489"/>
      <c r="N12" s="489"/>
      <c r="O12" s="489"/>
    </row>
    <row r="13" spans="2:18" s="270" customFormat="1" ht="33.75" customHeight="1" x14ac:dyDescent="0.3">
      <c r="B13" s="271" t="s">
        <v>0</v>
      </c>
      <c r="C13" s="272"/>
      <c r="D13" s="272"/>
      <c r="E13" s="272"/>
      <c r="F13" s="272"/>
      <c r="G13" s="272"/>
      <c r="H13" s="272"/>
      <c r="I13" s="272"/>
      <c r="J13" s="272"/>
      <c r="K13" s="272"/>
      <c r="L13" s="272"/>
      <c r="M13" s="272"/>
      <c r="N13" s="272"/>
      <c r="O13" s="272"/>
      <c r="P13" s="269"/>
      <c r="Q13" s="269"/>
      <c r="R13" s="269"/>
    </row>
  </sheetData>
  <sheetProtection algorithmName="SHA-512" hashValue="pV5xik5ZRl0kUkQ/jm3ODrqItGHXTHdOU5TDLSBsIDDe5mqBXjNKAVWefYmfXx+z5jkoxzJZuwjTP2vyxuTf4Q==" saltValue="N57Dv4UpIjPeuepO3iIQtQ==" spinCount="100000" sheet="1" selectLockedCells="1" selectUnlockedCells="1"/>
  <mergeCells count="1">
    <mergeCell ref="B12:O12"/>
  </mergeCells>
  <pageMargins left="0.7" right="0.7" top="0.75" bottom="0.75" header="0.3" footer="0.3"/>
  <pageSetup paperSize="9" orientation="portrait" verticalDpi="1200" r:id="rId1"/>
  <headerFooter>
    <oddHeader>&amp;L&amp;"Calibri"&amp;8&amp;K000000 Sensitivity: General&amp;1#_x000D_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482"/>
  <sheetViews>
    <sheetView showGridLines="0" topLeftCell="B1" zoomScaleNormal="100" workbookViewId="0">
      <selection activeCell="D9" sqref="D9"/>
    </sheetView>
  </sheetViews>
  <sheetFormatPr defaultColWidth="9" defaultRowHeight="14" x14ac:dyDescent="0.3"/>
  <cols>
    <col min="1" max="1" width="3.83203125" style="6" hidden="1" customWidth="1"/>
    <col min="2" max="2" width="25.33203125" style="6" customWidth="1"/>
    <col min="3" max="3" width="22.33203125" style="6" customWidth="1"/>
    <col min="4" max="4" width="69.5" style="6" customWidth="1"/>
    <col min="5" max="5" width="6" style="273" customWidth="1"/>
    <col min="6" max="6" width="4" style="273" customWidth="1"/>
    <col min="7" max="37" width="9" style="273"/>
    <col min="38" max="16384" width="9" style="6"/>
  </cols>
  <sheetData>
    <row r="1" spans="2:6" ht="151.9" customHeight="1" x14ac:dyDescent="0.3">
      <c r="B1" s="491"/>
      <c r="C1" s="491"/>
      <c r="D1" s="491"/>
    </row>
    <row r="2" spans="2:6" ht="22.5" customHeight="1" x14ac:dyDescent="0.3">
      <c r="B2" s="274"/>
      <c r="C2" s="274"/>
      <c r="D2" s="274"/>
    </row>
    <row r="3" spans="2:6" ht="33.75" customHeight="1" x14ac:dyDescent="0.3">
      <c r="B3" s="127" t="s">
        <v>1</v>
      </c>
      <c r="C3" s="128"/>
      <c r="D3" s="129"/>
      <c r="E3" s="129"/>
      <c r="F3" s="129"/>
    </row>
    <row r="4" spans="2:6" ht="56.25" customHeight="1" x14ac:dyDescent="0.3">
      <c r="B4" s="492" t="s">
        <v>2</v>
      </c>
      <c r="C4" s="492"/>
      <c r="D4" s="492"/>
      <c r="E4" s="492"/>
      <c r="F4" s="492"/>
    </row>
    <row r="5" spans="2:6" ht="25.5" customHeight="1" x14ac:dyDescent="0.3">
      <c r="B5" s="187"/>
      <c r="C5" s="126" t="s">
        <v>3</v>
      </c>
      <c r="D5" s="493" t="s">
        <v>4</v>
      </c>
      <c r="E5" s="494"/>
      <c r="F5" s="494"/>
    </row>
    <row r="6" spans="2:6" ht="26" x14ac:dyDescent="0.3">
      <c r="B6" s="252" t="s">
        <v>5</v>
      </c>
      <c r="C6" s="275">
        <v>43566</v>
      </c>
      <c r="D6" s="490" t="s">
        <v>6</v>
      </c>
      <c r="E6" s="490"/>
      <c r="F6" s="490"/>
    </row>
    <row r="7" spans="2:6" ht="26" x14ac:dyDescent="0.3">
      <c r="B7" s="278" t="s">
        <v>5</v>
      </c>
      <c r="C7" s="275">
        <v>44348</v>
      </c>
      <c r="D7" s="490" t="s">
        <v>7</v>
      </c>
      <c r="E7" s="490"/>
      <c r="F7" s="490"/>
    </row>
    <row r="8" spans="2:6" ht="26" x14ac:dyDescent="0.3">
      <c r="B8" s="278" t="s">
        <v>5</v>
      </c>
      <c r="C8" s="275">
        <v>44835</v>
      </c>
      <c r="D8" s="490" t="s">
        <v>8</v>
      </c>
      <c r="E8" s="490"/>
      <c r="F8" s="490"/>
    </row>
    <row r="9" spans="2:6" x14ac:dyDescent="0.3">
      <c r="B9" s="273"/>
      <c r="C9" s="273"/>
      <c r="D9" s="273"/>
    </row>
    <row r="10" spans="2:6" x14ac:dyDescent="0.3">
      <c r="B10" s="273"/>
      <c r="C10" s="273"/>
      <c r="D10" s="273"/>
    </row>
    <row r="11" spans="2:6" x14ac:dyDescent="0.3">
      <c r="B11" s="273"/>
      <c r="C11" s="273"/>
      <c r="D11" s="273"/>
    </row>
    <row r="12" spans="2:6" x14ac:dyDescent="0.3">
      <c r="B12" s="273"/>
      <c r="C12" s="273"/>
      <c r="D12" s="273"/>
    </row>
    <row r="13" spans="2:6" x14ac:dyDescent="0.3">
      <c r="B13" s="273"/>
      <c r="C13" s="273"/>
      <c r="D13" s="273"/>
    </row>
    <row r="14" spans="2:6" x14ac:dyDescent="0.3">
      <c r="B14" s="273"/>
      <c r="C14" s="273"/>
      <c r="D14" s="273"/>
    </row>
    <row r="15" spans="2:6" x14ac:dyDescent="0.3">
      <c r="B15" s="273"/>
      <c r="C15" s="273"/>
      <c r="D15" s="273"/>
    </row>
    <row r="16" spans="2:6" x14ac:dyDescent="0.3">
      <c r="B16" s="273"/>
      <c r="C16" s="273"/>
      <c r="D16" s="273"/>
    </row>
    <row r="17" spans="2:4" x14ac:dyDescent="0.3">
      <c r="B17" s="273"/>
      <c r="C17" s="273"/>
      <c r="D17" s="273"/>
    </row>
    <row r="18" spans="2:4" x14ac:dyDescent="0.3">
      <c r="B18" s="273"/>
      <c r="C18" s="273"/>
      <c r="D18" s="273"/>
    </row>
    <row r="19" spans="2:4" x14ac:dyDescent="0.3">
      <c r="B19" s="273"/>
      <c r="C19" s="273"/>
      <c r="D19" s="273"/>
    </row>
    <row r="20" spans="2:4" x14ac:dyDescent="0.3">
      <c r="B20" s="273"/>
      <c r="C20" s="273"/>
      <c r="D20" s="273"/>
    </row>
    <row r="21" spans="2:4" x14ac:dyDescent="0.3">
      <c r="B21" s="273"/>
      <c r="C21" s="273"/>
      <c r="D21" s="273"/>
    </row>
    <row r="22" spans="2:4" x14ac:dyDescent="0.3">
      <c r="B22" s="273"/>
      <c r="C22" s="273"/>
      <c r="D22" s="273"/>
    </row>
    <row r="23" spans="2:4" x14ac:dyDescent="0.3">
      <c r="B23" s="273"/>
      <c r="C23" s="273"/>
      <c r="D23" s="273"/>
    </row>
    <row r="24" spans="2:4" x14ac:dyDescent="0.3">
      <c r="B24" s="273"/>
      <c r="C24" s="273"/>
      <c r="D24" s="273"/>
    </row>
    <row r="25" spans="2:4" x14ac:dyDescent="0.3">
      <c r="B25" s="273"/>
      <c r="C25" s="273"/>
      <c r="D25" s="273"/>
    </row>
    <row r="26" spans="2:4" x14ac:dyDescent="0.3">
      <c r="B26" s="273"/>
      <c r="C26" s="273"/>
      <c r="D26" s="273"/>
    </row>
    <row r="27" spans="2:4" x14ac:dyDescent="0.3">
      <c r="B27" s="273"/>
      <c r="C27" s="273"/>
      <c r="D27" s="273"/>
    </row>
    <row r="28" spans="2:4" x14ac:dyDescent="0.3">
      <c r="B28" s="273"/>
      <c r="C28" s="273"/>
      <c r="D28" s="273"/>
    </row>
    <row r="29" spans="2:4" x14ac:dyDescent="0.3">
      <c r="B29" s="273"/>
      <c r="C29" s="273"/>
      <c r="D29" s="273"/>
    </row>
    <row r="30" spans="2:4" x14ac:dyDescent="0.3">
      <c r="B30" s="273"/>
      <c r="C30" s="273"/>
      <c r="D30" s="273"/>
    </row>
    <row r="31" spans="2:4" x14ac:dyDescent="0.3">
      <c r="B31" s="273"/>
      <c r="C31" s="273"/>
      <c r="D31" s="273"/>
    </row>
    <row r="32" spans="2:4" x14ac:dyDescent="0.3">
      <c r="B32" s="273"/>
      <c r="C32" s="273"/>
      <c r="D32" s="273"/>
    </row>
    <row r="33" spans="2:4" x14ac:dyDescent="0.3">
      <c r="B33" s="273"/>
      <c r="C33" s="273"/>
      <c r="D33" s="273"/>
    </row>
    <row r="34" spans="2:4" x14ac:dyDescent="0.3">
      <c r="B34" s="273"/>
      <c r="C34" s="273"/>
      <c r="D34" s="273"/>
    </row>
    <row r="35" spans="2:4" x14ac:dyDescent="0.3">
      <c r="B35" s="273"/>
      <c r="C35" s="273"/>
      <c r="D35" s="273"/>
    </row>
    <row r="36" spans="2:4" x14ac:dyDescent="0.3">
      <c r="B36" s="273"/>
      <c r="C36" s="273"/>
      <c r="D36" s="273"/>
    </row>
    <row r="37" spans="2:4" x14ac:dyDescent="0.3">
      <c r="B37" s="273"/>
      <c r="C37" s="273"/>
      <c r="D37" s="273"/>
    </row>
    <row r="38" spans="2:4" x14ac:dyDescent="0.3">
      <c r="B38" s="273"/>
      <c r="C38" s="273"/>
      <c r="D38" s="273"/>
    </row>
    <row r="39" spans="2:4" x14ac:dyDescent="0.3">
      <c r="B39" s="273"/>
      <c r="C39" s="273"/>
      <c r="D39" s="273"/>
    </row>
    <row r="40" spans="2:4" x14ac:dyDescent="0.3">
      <c r="B40" s="273"/>
      <c r="C40" s="273"/>
      <c r="D40" s="273"/>
    </row>
    <row r="41" spans="2:4" x14ac:dyDescent="0.3">
      <c r="B41" s="273"/>
      <c r="C41" s="273"/>
      <c r="D41" s="273"/>
    </row>
    <row r="42" spans="2:4" x14ac:dyDescent="0.3">
      <c r="B42" s="273"/>
      <c r="C42" s="273"/>
      <c r="D42" s="273"/>
    </row>
    <row r="43" spans="2:4" x14ac:dyDescent="0.3">
      <c r="B43" s="273"/>
      <c r="C43" s="273"/>
      <c r="D43" s="273"/>
    </row>
    <row r="44" spans="2:4" x14ac:dyDescent="0.3">
      <c r="B44" s="273"/>
      <c r="C44" s="273"/>
      <c r="D44" s="273"/>
    </row>
    <row r="45" spans="2:4" x14ac:dyDescent="0.3">
      <c r="B45" s="273"/>
      <c r="C45" s="273"/>
      <c r="D45" s="273"/>
    </row>
    <row r="46" spans="2:4" x14ac:dyDescent="0.3">
      <c r="B46" s="273"/>
      <c r="C46" s="273"/>
      <c r="D46" s="273"/>
    </row>
    <row r="47" spans="2:4" x14ac:dyDescent="0.3">
      <c r="B47" s="273"/>
      <c r="C47" s="273"/>
      <c r="D47" s="273"/>
    </row>
    <row r="48" spans="2:4" x14ac:dyDescent="0.3">
      <c r="B48" s="273"/>
      <c r="C48" s="273"/>
      <c r="D48" s="273"/>
    </row>
    <row r="49" spans="2:4" x14ac:dyDescent="0.3">
      <c r="B49" s="273"/>
      <c r="C49" s="273"/>
      <c r="D49" s="273"/>
    </row>
    <row r="50" spans="2:4" x14ac:dyDescent="0.3">
      <c r="B50" s="273"/>
      <c r="C50" s="273"/>
      <c r="D50" s="273"/>
    </row>
    <row r="51" spans="2:4" x14ac:dyDescent="0.3">
      <c r="B51" s="273"/>
      <c r="C51" s="273"/>
      <c r="D51" s="273"/>
    </row>
    <row r="52" spans="2:4" x14ac:dyDescent="0.3">
      <c r="B52" s="273"/>
      <c r="C52" s="273"/>
      <c r="D52" s="273"/>
    </row>
    <row r="53" spans="2:4" x14ac:dyDescent="0.3">
      <c r="B53" s="273"/>
      <c r="C53" s="273"/>
      <c r="D53" s="273"/>
    </row>
    <row r="54" spans="2:4" x14ac:dyDescent="0.3">
      <c r="B54" s="273"/>
      <c r="C54" s="273"/>
      <c r="D54" s="273"/>
    </row>
    <row r="55" spans="2:4" x14ac:dyDescent="0.3">
      <c r="B55" s="273"/>
      <c r="C55" s="273"/>
      <c r="D55" s="273"/>
    </row>
    <row r="56" spans="2:4" x14ac:dyDescent="0.3">
      <c r="B56" s="273"/>
      <c r="C56" s="273"/>
      <c r="D56" s="273"/>
    </row>
    <row r="57" spans="2:4" x14ac:dyDescent="0.3">
      <c r="B57" s="273"/>
      <c r="C57" s="273"/>
      <c r="D57" s="273"/>
    </row>
    <row r="58" spans="2:4" x14ac:dyDescent="0.3">
      <c r="B58" s="273"/>
      <c r="C58" s="273"/>
      <c r="D58" s="273"/>
    </row>
    <row r="59" spans="2:4" x14ac:dyDescent="0.3">
      <c r="B59" s="273"/>
      <c r="C59" s="273"/>
      <c r="D59" s="273"/>
    </row>
    <row r="60" spans="2:4" x14ac:dyDescent="0.3">
      <c r="B60" s="273"/>
      <c r="C60" s="273"/>
      <c r="D60" s="273"/>
    </row>
    <row r="61" spans="2:4" x14ac:dyDescent="0.3">
      <c r="B61" s="273"/>
      <c r="C61" s="273"/>
      <c r="D61" s="273"/>
    </row>
    <row r="62" spans="2:4" x14ac:dyDescent="0.3">
      <c r="B62" s="273"/>
      <c r="C62" s="273"/>
      <c r="D62" s="273"/>
    </row>
    <row r="63" spans="2:4" x14ac:dyDescent="0.3">
      <c r="B63" s="273"/>
      <c r="C63" s="273"/>
      <c r="D63" s="273"/>
    </row>
    <row r="64" spans="2:4" x14ac:dyDescent="0.3">
      <c r="B64" s="273"/>
      <c r="C64" s="273"/>
      <c r="D64" s="273"/>
    </row>
    <row r="65" spans="2:4" x14ac:dyDescent="0.3">
      <c r="B65" s="273"/>
      <c r="C65" s="273"/>
      <c r="D65" s="273"/>
    </row>
    <row r="66" spans="2:4" x14ac:dyDescent="0.3">
      <c r="B66" s="273"/>
      <c r="C66" s="273"/>
      <c r="D66" s="273"/>
    </row>
    <row r="67" spans="2:4" x14ac:dyDescent="0.3">
      <c r="B67" s="273"/>
      <c r="C67" s="273"/>
      <c r="D67" s="273"/>
    </row>
    <row r="68" spans="2:4" x14ac:dyDescent="0.3">
      <c r="B68" s="273"/>
      <c r="C68" s="273"/>
      <c r="D68" s="273"/>
    </row>
    <row r="69" spans="2:4" x14ac:dyDescent="0.3">
      <c r="B69" s="273"/>
      <c r="C69" s="273"/>
      <c r="D69" s="273"/>
    </row>
    <row r="70" spans="2:4" x14ac:dyDescent="0.3">
      <c r="B70" s="273"/>
      <c r="C70" s="273"/>
      <c r="D70" s="273"/>
    </row>
    <row r="71" spans="2:4" x14ac:dyDescent="0.3">
      <c r="B71" s="273"/>
      <c r="C71" s="273"/>
      <c r="D71" s="273"/>
    </row>
    <row r="72" spans="2:4" x14ac:dyDescent="0.3">
      <c r="B72" s="273"/>
      <c r="C72" s="273"/>
      <c r="D72" s="273"/>
    </row>
    <row r="73" spans="2:4" x14ac:dyDescent="0.3">
      <c r="B73" s="273"/>
      <c r="C73" s="273"/>
      <c r="D73" s="273"/>
    </row>
    <row r="74" spans="2:4" x14ac:dyDescent="0.3">
      <c r="B74" s="273"/>
      <c r="C74" s="273"/>
      <c r="D74" s="273"/>
    </row>
    <row r="75" spans="2:4" x14ac:dyDescent="0.3">
      <c r="B75" s="273"/>
      <c r="C75" s="273"/>
      <c r="D75" s="273"/>
    </row>
    <row r="76" spans="2:4" x14ac:dyDescent="0.3">
      <c r="B76" s="273"/>
      <c r="C76" s="273"/>
      <c r="D76" s="273"/>
    </row>
    <row r="77" spans="2:4" x14ac:dyDescent="0.3">
      <c r="B77" s="273"/>
      <c r="C77" s="273"/>
      <c r="D77" s="273"/>
    </row>
    <row r="78" spans="2:4" x14ac:dyDescent="0.3">
      <c r="B78" s="273"/>
      <c r="C78" s="273"/>
      <c r="D78" s="273"/>
    </row>
    <row r="79" spans="2:4" x14ac:dyDescent="0.3">
      <c r="B79" s="273"/>
      <c r="C79" s="273"/>
      <c r="D79" s="273"/>
    </row>
    <row r="80" spans="2:4" x14ac:dyDescent="0.3">
      <c r="B80" s="273"/>
      <c r="C80" s="273"/>
      <c r="D80" s="273"/>
    </row>
    <row r="81" spans="2:4" x14ac:dyDescent="0.3">
      <c r="B81" s="273"/>
      <c r="C81" s="273"/>
      <c r="D81" s="273"/>
    </row>
    <row r="82" spans="2:4" x14ac:dyDescent="0.3">
      <c r="B82" s="273"/>
      <c r="C82" s="273"/>
      <c r="D82" s="273"/>
    </row>
    <row r="83" spans="2:4" x14ac:dyDescent="0.3">
      <c r="B83" s="273"/>
      <c r="C83" s="273"/>
      <c r="D83" s="273"/>
    </row>
    <row r="84" spans="2:4" x14ac:dyDescent="0.3">
      <c r="B84" s="273"/>
      <c r="C84" s="273"/>
      <c r="D84" s="273"/>
    </row>
    <row r="85" spans="2:4" x14ac:dyDescent="0.3">
      <c r="B85" s="273"/>
      <c r="C85" s="273"/>
      <c r="D85" s="273"/>
    </row>
    <row r="86" spans="2:4" x14ac:dyDescent="0.3">
      <c r="B86" s="273"/>
      <c r="C86" s="273"/>
      <c r="D86" s="273"/>
    </row>
    <row r="87" spans="2:4" x14ac:dyDescent="0.3">
      <c r="B87" s="273"/>
      <c r="C87" s="273"/>
      <c r="D87" s="273"/>
    </row>
    <row r="88" spans="2:4" x14ac:dyDescent="0.3">
      <c r="B88" s="273"/>
      <c r="C88" s="273"/>
      <c r="D88" s="273"/>
    </row>
    <row r="89" spans="2:4" x14ac:dyDescent="0.3">
      <c r="B89" s="273"/>
      <c r="C89" s="273"/>
      <c r="D89" s="273"/>
    </row>
    <row r="90" spans="2:4" x14ac:dyDescent="0.3">
      <c r="B90" s="273"/>
      <c r="C90" s="273"/>
      <c r="D90" s="273"/>
    </row>
    <row r="91" spans="2:4" x14ac:dyDescent="0.3">
      <c r="B91" s="273"/>
      <c r="C91" s="273"/>
      <c r="D91" s="273"/>
    </row>
    <row r="92" spans="2:4" x14ac:dyDescent="0.3">
      <c r="B92" s="273"/>
      <c r="C92" s="273"/>
      <c r="D92" s="273"/>
    </row>
    <row r="93" spans="2:4" x14ac:dyDescent="0.3">
      <c r="B93" s="273"/>
      <c r="C93" s="273"/>
      <c r="D93" s="273"/>
    </row>
    <row r="94" spans="2:4" x14ac:dyDescent="0.3">
      <c r="B94" s="273"/>
      <c r="C94" s="273"/>
      <c r="D94" s="273"/>
    </row>
    <row r="95" spans="2:4" x14ac:dyDescent="0.3">
      <c r="B95" s="273"/>
      <c r="C95" s="273"/>
      <c r="D95" s="273"/>
    </row>
    <row r="96" spans="2:4" x14ac:dyDescent="0.3">
      <c r="B96" s="273"/>
      <c r="C96" s="273"/>
      <c r="D96" s="273"/>
    </row>
    <row r="97" spans="2:4" x14ac:dyDescent="0.3">
      <c r="B97" s="273"/>
      <c r="C97" s="273"/>
      <c r="D97" s="273"/>
    </row>
    <row r="98" spans="2:4" x14ac:dyDescent="0.3">
      <c r="B98" s="273"/>
      <c r="C98" s="273"/>
      <c r="D98" s="273"/>
    </row>
    <row r="99" spans="2:4" x14ac:dyDescent="0.3">
      <c r="B99" s="273"/>
      <c r="C99" s="273"/>
      <c r="D99" s="273"/>
    </row>
    <row r="100" spans="2:4" x14ac:dyDescent="0.3">
      <c r="B100" s="273"/>
      <c r="C100" s="273"/>
      <c r="D100" s="273"/>
    </row>
    <row r="101" spans="2:4" x14ac:dyDescent="0.3">
      <c r="B101" s="273"/>
      <c r="C101" s="273"/>
      <c r="D101" s="273"/>
    </row>
    <row r="102" spans="2:4" x14ac:dyDescent="0.3">
      <c r="B102" s="273"/>
      <c r="C102" s="273"/>
      <c r="D102" s="273"/>
    </row>
    <row r="103" spans="2:4" x14ac:dyDescent="0.3">
      <c r="B103" s="273"/>
      <c r="C103" s="273"/>
      <c r="D103" s="273"/>
    </row>
    <row r="104" spans="2:4" x14ac:dyDescent="0.3">
      <c r="B104" s="273"/>
      <c r="C104" s="273"/>
      <c r="D104" s="273"/>
    </row>
    <row r="105" spans="2:4" x14ac:dyDescent="0.3">
      <c r="B105" s="273"/>
      <c r="C105" s="273"/>
      <c r="D105" s="273"/>
    </row>
    <row r="106" spans="2:4" x14ac:dyDescent="0.3">
      <c r="B106" s="273"/>
      <c r="C106" s="273"/>
      <c r="D106" s="273"/>
    </row>
    <row r="107" spans="2:4" x14ac:dyDescent="0.3">
      <c r="B107" s="273"/>
      <c r="C107" s="273"/>
      <c r="D107" s="273"/>
    </row>
    <row r="108" spans="2:4" x14ac:dyDescent="0.3">
      <c r="B108" s="273"/>
      <c r="C108" s="273"/>
      <c r="D108" s="273"/>
    </row>
    <row r="109" spans="2:4" x14ac:dyDescent="0.3">
      <c r="B109" s="273"/>
      <c r="C109" s="273"/>
      <c r="D109" s="273"/>
    </row>
    <row r="110" spans="2:4" x14ac:dyDescent="0.3">
      <c r="B110" s="273"/>
      <c r="C110" s="273"/>
      <c r="D110" s="273"/>
    </row>
    <row r="111" spans="2:4" x14ac:dyDescent="0.3">
      <c r="B111" s="273"/>
      <c r="C111" s="273"/>
      <c r="D111" s="273"/>
    </row>
    <row r="112" spans="2:4" x14ac:dyDescent="0.3">
      <c r="B112" s="273"/>
      <c r="C112" s="273"/>
      <c r="D112" s="273"/>
    </row>
    <row r="113" spans="2:4" x14ac:dyDescent="0.3">
      <c r="B113" s="273"/>
      <c r="C113" s="273"/>
      <c r="D113" s="273"/>
    </row>
    <row r="114" spans="2:4" x14ac:dyDescent="0.3">
      <c r="B114" s="273"/>
      <c r="C114" s="273"/>
      <c r="D114" s="273"/>
    </row>
    <row r="115" spans="2:4" x14ac:dyDescent="0.3">
      <c r="B115" s="273"/>
      <c r="C115" s="273"/>
      <c r="D115" s="273"/>
    </row>
    <row r="116" spans="2:4" x14ac:dyDescent="0.3">
      <c r="B116" s="273"/>
      <c r="C116" s="273"/>
      <c r="D116" s="273"/>
    </row>
    <row r="117" spans="2:4" x14ac:dyDescent="0.3">
      <c r="B117" s="273"/>
      <c r="C117" s="273"/>
      <c r="D117" s="273"/>
    </row>
    <row r="118" spans="2:4" x14ac:dyDescent="0.3">
      <c r="B118" s="273"/>
      <c r="C118" s="273"/>
      <c r="D118" s="273"/>
    </row>
    <row r="119" spans="2:4" x14ac:dyDescent="0.3">
      <c r="B119" s="273"/>
      <c r="C119" s="273"/>
      <c r="D119" s="273"/>
    </row>
    <row r="120" spans="2:4" x14ac:dyDescent="0.3">
      <c r="B120" s="273"/>
      <c r="C120" s="273"/>
      <c r="D120" s="273"/>
    </row>
    <row r="121" spans="2:4" x14ac:dyDescent="0.3">
      <c r="B121" s="273"/>
      <c r="C121" s="273"/>
      <c r="D121" s="273"/>
    </row>
    <row r="122" spans="2:4" x14ac:dyDescent="0.3">
      <c r="B122" s="273"/>
      <c r="C122" s="273"/>
      <c r="D122" s="273"/>
    </row>
    <row r="123" spans="2:4" x14ac:dyDescent="0.3">
      <c r="B123" s="273"/>
      <c r="C123" s="273"/>
      <c r="D123" s="273"/>
    </row>
    <row r="124" spans="2:4" x14ac:dyDescent="0.3">
      <c r="B124" s="273"/>
      <c r="C124" s="273"/>
      <c r="D124" s="273"/>
    </row>
    <row r="125" spans="2:4" x14ac:dyDescent="0.3">
      <c r="B125" s="273"/>
      <c r="C125" s="273"/>
      <c r="D125" s="273"/>
    </row>
    <row r="126" spans="2:4" x14ac:dyDescent="0.3">
      <c r="B126" s="273"/>
      <c r="C126" s="273"/>
      <c r="D126" s="273"/>
    </row>
    <row r="127" spans="2:4" x14ac:dyDescent="0.3">
      <c r="B127" s="273"/>
      <c r="C127" s="273"/>
      <c r="D127" s="273"/>
    </row>
    <row r="128" spans="2:4" x14ac:dyDescent="0.3">
      <c r="B128" s="273"/>
      <c r="C128" s="273"/>
      <c r="D128" s="273"/>
    </row>
    <row r="129" spans="2:4" x14ac:dyDescent="0.3">
      <c r="B129" s="273"/>
      <c r="C129" s="273"/>
      <c r="D129" s="273"/>
    </row>
    <row r="130" spans="2:4" x14ac:dyDescent="0.3">
      <c r="B130" s="273"/>
      <c r="C130" s="273"/>
      <c r="D130" s="273"/>
    </row>
    <row r="131" spans="2:4" x14ac:dyDescent="0.3">
      <c r="B131" s="273"/>
      <c r="C131" s="273"/>
      <c r="D131" s="273"/>
    </row>
    <row r="132" spans="2:4" x14ac:dyDescent="0.3">
      <c r="B132" s="273"/>
      <c r="C132" s="273"/>
      <c r="D132" s="273"/>
    </row>
    <row r="133" spans="2:4" x14ac:dyDescent="0.3">
      <c r="B133" s="273"/>
      <c r="C133" s="273"/>
      <c r="D133" s="273"/>
    </row>
    <row r="134" spans="2:4" x14ac:dyDescent="0.3">
      <c r="B134" s="273"/>
      <c r="C134" s="273"/>
      <c r="D134" s="273"/>
    </row>
    <row r="135" spans="2:4" x14ac:dyDescent="0.3">
      <c r="B135" s="273"/>
      <c r="C135" s="273"/>
      <c r="D135" s="273"/>
    </row>
    <row r="136" spans="2:4" x14ac:dyDescent="0.3">
      <c r="B136" s="273"/>
      <c r="C136" s="273"/>
      <c r="D136" s="273"/>
    </row>
    <row r="137" spans="2:4" x14ac:dyDescent="0.3">
      <c r="B137" s="273"/>
      <c r="C137" s="273"/>
      <c r="D137" s="273"/>
    </row>
    <row r="138" spans="2:4" x14ac:dyDescent="0.3">
      <c r="B138" s="273"/>
      <c r="C138" s="273"/>
      <c r="D138" s="273"/>
    </row>
    <row r="139" spans="2:4" x14ac:dyDescent="0.3">
      <c r="B139" s="273"/>
      <c r="C139" s="273"/>
      <c r="D139" s="273"/>
    </row>
    <row r="140" spans="2:4" x14ac:dyDescent="0.3">
      <c r="B140" s="273"/>
      <c r="C140" s="273"/>
      <c r="D140" s="273"/>
    </row>
    <row r="141" spans="2:4" x14ac:dyDescent="0.3">
      <c r="B141" s="273"/>
      <c r="C141" s="273"/>
      <c r="D141" s="273"/>
    </row>
    <row r="142" spans="2:4" x14ac:dyDescent="0.3">
      <c r="B142" s="273"/>
      <c r="C142" s="273"/>
      <c r="D142" s="273"/>
    </row>
    <row r="143" spans="2:4" x14ac:dyDescent="0.3">
      <c r="B143" s="273"/>
      <c r="C143" s="273"/>
      <c r="D143" s="273"/>
    </row>
    <row r="144" spans="2:4" x14ac:dyDescent="0.3">
      <c r="B144" s="273"/>
      <c r="C144" s="273"/>
      <c r="D144" s="273"/>
    </row>
    <row r="145" spans="2:4" x14ac:dyDescent="0.3">
      <c r="B145" s="273"/>
      <c r="C145" s="273"/>
      <c r="D145" s="273"/>
    </row>
    <row r="146" spans="2:4" x14ac:dyDescent="0.3">
      <c r="B146" s="273"/>
      <c r="C146" s="273"/>
      <c r="D146" s="273"/>
    </row>
    <row r="147" spans="2:4" x14ac:dyDescent="0.3">
      <c r="B147" s="273"/>
      <c r="C147" s="273"/>
      <c r="D147" s="273"/>
    </row>
    <row r="148" spans="2:4" x14ac:dyDescent="0.3">
      <c r="B148" s="273"/>
      <c r="C148" s="273"/>
      <c r="D148" s="273"/>
    </row>
    <row r="149" spans="2:4" x14ac:dyDescent="0.3">
      <c r="B149" s="273"/>
      <c r="C149" s="273"/>
      <c r="D149" s="273"/>
    </row>
    <row r="150" spans="2:4" x14ac:dyDescent="0.3">
      <c r="B150" s="273"/>
      <c r="C150" s="273"/>
      <c r="D150" s="273"/>
    </row>
    <row r="151" spans="2:4" x14ac:dyDescent="0.3">
      <c r="B151" s="273"/>
      <c r="C151" s="273"/>
      <c r="D151" s="273"/>
    </row>
    <row r="152" spans="2:4" x14ac:dyDescent="0.3">
      <c r="B152" s="273"/>
      <c r="C152" s="273"/>
      <c r="D152" s="273"/>
    </row>
    <row r="153" spans="2:4" x14ac:dyDescent="0.3">
      <c r="B153" s="273"/>
      <c r="C153" s="273"/>
      <c r="D153" s="273"/>
    </row>
    <row r="154" spans="2:4" x14ac:dyDescent="0.3">
      <c r="B154" s="273"/>
      <c r="C154" s="273"/>
      <c r="D154" s="273"/>
    </row>
    <row r="155" spans="2:4" x14ac:dyDescent="0.3">
      <c r="B155" s="273"/>
      <c r="C155" s="273"/>
      <c r="D155" s="273"/>
    </row>
    <row r="156" spans="2:4" x14ac:dyDescent="0.3">
      <c r="B156" s="273"/>
      <c r="C156" s="273"/>
      <c r="D156" s="273"/>
    </row>
    <row r="157" spans="2:4" x14ac:dyDescent="0.3">
      <c r="B157" s="273"/>
      <c r="C157" s="273"/>
      <c r="D157" s="273"/>
    </row>
    <row r="158" spans="2:4" x14ac:dyDescent="0.3">
      <c r="B158" s="273"/>
      <c r="C158" s="273"/>
      <c r="D158" s="273"/>
    </row>
    <row r="159" spans="2:4" x14ac:dyDescent="0.3">
      <c r="B159" s="273"/>
      <c r="C159" s="273"/>
      <c r="D159" s="273"/>
    </row>
    <row r="160" spans="2:4" x14ac:dyDescent="0.3">
      <c r="B160" s="273"/>
      <c r="C160" s="273"/>
      <c r="D160" s="273"/>
    </row>
    <row r="161" spans="2:4" x14ac:dyDescent="0.3">
      <c r="B161" s="273"/>
      <c r="C161" s="273"/>
      <c r="D161" s="273"/>
    </row>
    <row r="162" spans="2:4" x14ac:dyDescent="0.3">
      <c r="B162" s="273"/>
      <c r="C162" s="273"/>
      <c r="D162" s="273"/>
    </row>
    <row r="163" spans="2:4" x14ac:dyDescent="0.3">
      <c r="B163" s="273"/>
      <c r="C163" s="273"/>
      <c r="D163" s="273"/>
    </row>
    <row r="164" spans="2:4" x14ac:dyDescent="0.3">
      <c r="B164" s="273"/>
      <c r="C164" s="273"/>
      <c r="D164" s="273"/>
    </row>
    <row r="165" spans="2:4" x14ac:dyDescent="0.3">
      <c r="B165" s="273"/>
      <c r="C165" s="273"/>
      <c r="D165" s="273"/>
    </row>
    <row r="166" spans="2:4" x14ac:dyDescent="0.3">
      <c r="B166" s="273"/>
      <c r="C166" s="273"/>
      <c r="D166" s="273"/>
    </row>
    <row r="167" spans="2:4" x14ac:dyDescent="0.3">
      <c r="B167" s="273"/>
      <c r="C167" s="273"/>
      <c r="D167" s="273"/>
    </row>
    <row r="168" spans="2:4" x14ac:dyDescent="0.3">
      <c r="B168" s="273"/>
      <c r="C168" s="273"/>
      <c r="D168" s="273"/>
    </row>
    <row r="169" spans="2:4" x14ac:dyDescent="0.3">
      <c r="B169" s="273"/>
      <c r="C169" s="273"/>
      <c r="D169" s="273"/>
    </row>
    <row r="170" spans="2:4" x14ac:dyDescent="0.3">
      <c r="B170" s="273"/>
      <c r="C170" s="273"/>
      <c r="D170" s="273"/>
    </row>
    <row r="171" spans="2:4" x14ac:dyDescent="0.3">
      <c r="B171" s="273"/>
      <c r="C171" s="273"/>
      <c r="D171" s="273"/>
    </row>
    <row r="172" spans="2:4" x14ac:dyDescent="0.3">
      <c r="B172" s="273"/>
      <c r="C172" s="273"/>
      <c r="D172" s="273"/>
    </row>
    <row r="173" spans="2:4" x14ac:dyDescent="0.3">
      <c r="B173" s="273"/>
      <c r="C173" s="273"/>
      <c r="D173" s="273"/>
    </row>
    <row r="174" spans="2:4" x14ac:dyDescent="0.3">
      <c r="B174" s="273"/>
      <c r="C174" s="273"/>
      <c r="D174" s="273"/>
    </row>
    <row r="175" spans="2:4" x14ac:dyDescent="0.3">
      <c r="B175" s="273"/>
      <c r="C175" s="273"/>
      <c r="D175" s="273"/>
    </row>
    <row r="176" spans="2:4" x14ac:dyDescent="0.3">
      <c r="B176" s="273"/>
      <c r="C176" s="273"/>
      <c r="D176" s="273"/>
    </row>
    <row r="177" spans="2:4" x14ac:dyDescent="0.3">
      <c r="B177" s="273"/>
      <c r="C177" s="273"/>
      <c r="D177" s="273"/>
    </row>
    <row r="178" spans="2:4" x14ac:dyDescent="0.3">
      <c r="B178" s="273"/>
      <c r="C178" s="273"/>
      <c r="D178" s="273"/>
    </row>
    <row r="179" spans="2:4" x14ac:dyDescent="0.3">
      <c r="B179" s="273"/>
      <c r="C179" s="273"/>
      <c r="D179" s="273"/>
    </row>
    <row r="180" spans="2:4" x14ac:dyDescent="0.3">
      <c r="B180" s="273"/>
      <c r="C180" s="273"/>
      <c r="D180" s="273"/>
    </row>
    <row r="181" spans="2:4" x14ac:dyDescent="0.3">
      <c r="B181" s="273"/>
      <c r="C181" s="273"/>
      <c r="D181" s="273"/>
    </row>
    <row r="182" spans="2:4" x14ac:dyDescent="0.3">
      <c r="B182" s="273"/>
      <c r="C182" s="273"/>
      <c r="D182" s="273"/>
    </row>
    <row r="183" spans="2:4" x14ac:dyDescent="0.3">
      <c r="B183" s="273"/>
      <c r="C183" s="273"/>
      <c r="D183" s="273"/>
    </row>
    <row r="184" spans="2:4" x14ac:dyDescent="0.3">
      <c r="B184" s="273"/>
      <c r="C184" s="273"/>
      <c r="D184" s="273"/>
    </row>
    <row r="185" spans="2:4" x14ac:dyDescent="0.3">
      <c r="B185" s="273"/>
      <c r="C185" s="273"/>
      <c r="D185" s="273"/>
    </row>
    <row r="186" spans="2:4" x14ac:dyDescent="0.3">
      <c r="B186" s="273"/>
      <c r="C186" s="273"/>
      <c r="D186" s="273"/>
    </row>
    <row r="187" spans="2:4" x14ac:dyDescent="0.3">
      <c r="B187" s="273"/>
      <c r="C187" s="273"/>
      <c r="D187" s="273"/>
    </row>
    <row r="188" spans="2:4" x14ac:dyDescent="0.3">
      <c r="B188" s="273"/>
      <c r="C188" s="273"/>
      <c r="D188" s="273"/>
    </row>
    <row r="189" spans="2:4" x14ac:dyDescent="0.3">
      <c r="B189" s="273"/>
      <c r="C189" s="273"/>
      <c r="D189" s="273"/>
    </row>
    <row r="190" spans="2:4" x14ac:dyDescent="0.3">
      <c r="B190" s="273"/>
      <c r="C190" s="273"/>
      <c r="D190" s="273"/>
    </row>
    <row r="191" spans="2:4" x14ac:dyDescent="0.3">
      <c r="B191" s="273"/>
      <c r="C191" s="273"/>
      <c r="D191" s="273"/>
    </row>
    <row r="192" spans="2:4" x14ac:dyDescent="0.3">
      <c r="B192" s="273"/>
      <c r="C192" s="273"/>
      <c r="D192" s="273"/>
    </row>
    <row r="193" spans="2:4" x14ac:dyDescent="0.3">
      <c r="B193" s="273"/>
      <c r="C193" s="273"/>
      <c r="D193" s="273"/>
    </row>
    <row r="194" spans="2:4" x14ac:dyDescent="0.3">
      <c r="B194" s="273"/>
      <c r="C194" s="273"/>
      <c r="D194" s="273"/>
    </row>
    <row r="195" spans="2:4" x14ac:dyDescent="0.3">
      <c r="B195" s="273"/>
      <c r="C195" s="273"/>
      <c r="D195" s="273"/>
    </row>
    <row r="196" spans="2:4" x14ac:dyDescent="0.3">
      <c r="B196" s="273"/>
      <c r="C196" s="273"/>
      <c r="D196" s="273"/>
    </row>
    <row r="197" spans="2:4" x14ac:dyDescent="0.3">
      <c r="B197" s="273"/>
      <c r="C197" s="273"/>
      <c r="D197" s="273"/>
    </row>
    <row r="198" spans="2:4" x14ac:dyDescent="0.3">
      <c r="B198" s="273"/>
      <c r="C198" s="273"/>
      <c r="D198" s="273"/>
    </row>
    <row r="199" spans="2:4" x14ac:dyDescent="0.3">
      <c r="B199" s="273"/>
      <c r="C199" s="273"/>
      <c r="D199" s="273"/>
    </row>
    <row r="200" spans="2:4" x14ac:dyDescent="0.3">
      <c r="B200" s="273"/>
      <c r="C200" s="273"/>
      <c r="D200" s="273"/>
    </row>
    <row r="201" spans="2:4" x14ac:dyDescent="0.3">
      <c r="B201" s="273"/>
      <c r="C201" s="273"/>
      <c r="D201" s="273"/>
    </row>
    <row r="202" spans="2:4" x14ac:dyDescent="0.3">
      <c r="B202" s="273"/>
      <c r="C202" s="273"/>
      <c r="D202" s="273"/>
    </row>
    <row r="203" spans="2:4" x14ac:dyDescent="0.3">
      <c r="B203" s="273"/>
      <c r="C203" s="273"/>
      <c r="D203" s="273"/>
    </row>
    <row r="204" spans="2:4" x14ac:dyDescent="0.3">
      <c r="B204" s="273"/>
      <c r="C204" s="273"/>
      <c r="D204" s="273"/>
    </row>
    <row r="205" spans="2:4" x14ac:dyDescent="0.3">
      <c r="B205" s="273"/>
      <c r="C205" s="273"/>
      <c r="D205" s="273"/>
    </row>
    <row r="206" spans="2:4" x14ac:dyDescent="0.3">
      <c r="B206" s="273"/>
      <c r="C206" s="273"/>
      <c r="D206" s="273"/>
    </row>
    <row r="207" spans="2:4" x14ac:dyDescent="0.3">
      <c r="B207" s="273"/>
      <c r="C207" s="273"/>
      <c r="D207" s="273"/>
    </row>
    <row r="208" spans="2:4" x14ac:dyDescent="0.3">
      <c r="B208" s="273"/>
      <c r="C208" s="273"/>
      <c r="D208" s="273"/>
    </row>
    <row r="209" spans="2:4" x14ac:dyDescent="0.3">
      <c r="B209" s="273"/>
      <c r="C209" s="273"/>
      <c r="D209" s="273"/>
    </row>
    <row r="210" spans="2:4" x14ac:dyDescent="0.3">
      <c r="B210" s="273"/>
      <c r="C210" s="273"/>
      <c r="D210" s="273"/>
    </row>
    <row r="211" spans="2:4" x14ac:dyDescent="0.3">
      <c r="B211" s="273"/>
      <c r="C211" s="273"/>
      <c r="D211" s="273"/>
    </row>
    <row r="212" spans="2:4" x14ac:dyDescent="0.3">
      <c r="B212" s="273"/>
      <c r="C212" s="273"/>
      <c r="D212" s="273"/>
    </row>
    <row r="213" spans="2:4" x14ac:dyDescent="0.3">
      <c r="B213" s="273"/>
      <c r="C213" s="273"/>
      <c r="D213" s="273"/>
    </row>
    <row r="214" spans="2:4" x14ac:dyDescent="0.3">
      <c r="B214" s="273"/>
      <c r="C214" s="273"/>
      <c r="D214" s="273"/>
    </row>
    <row r="215" spans="2:4" x14ac:dyDescent="0.3">
      <c r="B215" s="273"/>
      <c r="C215" s="273"/>
      <c r="D215" s="273"/>
    </row>
    <row r="216" spans="2:4" x14ac:dyDescent="0.3">
      <c r="B216" s="273"/>
      <c r="C216" s="273"/>
      <c r="D216" s="273"/>
    </row>
    <row r="217" spans="2:4" x14ac:dyDescent="0.3">
      <c r="B217" s="273"/>
      <c r="C217" s="273"/>
      <c r="D217" s="273"/>
    </row>
    <row r="218" spans="2:4" x14ac:dyDescent="0.3">
      <c r="B218" s="273"/>
      <c r="C218" s="273"/>
      <c r="D218" s="273"/>
    </row>
    <row r="219" spans="2:4" x14ac:dyDescent="0.3">
      <c r="B219" s="273"/>
      <c r="C219" s="273"/>
      <c r="D219" s="273"/>
    </row>
    <row r="220" spans="2:4" x14ac:dyDescent="0.3">
      <c r="B220" s="273"/>
      <c r="C220" s="273"/>
      <c r="D220" s="273"/>
    </row>
    <row r="221" spans="2:4" x14ac:dyDescent="0.3">
      <c r="B221" s="273"/>
      <c r="C221" s="273"/>
      <c r="D221" s="273"/>
    </row>
    <row r="222" spans="2:4" x14ac:dyDescent="0.3">
      <c r="B222" s="273"/>
      <c r="C222" s="273"/>
      <c r="D222" s="273"/>
    </row>
    <row r="223" spans="2:4" x14ac:dyDescent="0.3">
      <c r="B223" s="273"/>
      <c r="C223" s="273"/>
      <c r="D223" s="273"/>
    </row>
    <row r="224" spans="2:4" x14ac:dyDescent="0.3">
      <c r="B224" s="273"/>
      <c r="C224" s="273"/>
      <c r="D224" s="273"/>
    </row>
    <row r="225" spans="2:4" x14ac:dyDescent="0.3">
      <c r="B225" s="273"/>
      <c r="C225" s="273"/>
      <c r="D225" s="273"/>
    </row>
    <row r="226" spans="2:4" x14ac:dyDescent="0.3">
      <c r="B226" s="273"/>
      <c r="C226" s="273"/>
      <c r="D226" s="273"/>
    </row>
    <row r="227" spans="2:4" x14ac:dyDescent="0.3">
      <c r="B227" s="273"/>
      <c r="C227" s="273"/>
      <c r="D227" s="273"/>
    </row>
    <row r="228" spans="2:4" x14ac:dyDescent="0.3">
      <c r="B228" s="273"/>
      <c r="C228" s="273"/>
      <c r="D228" s="273"/>
    </row>
    <row r="229" spans="2:4" x14ac:dyDescent="0.3">
      <c r="B229" s="273"/>
      <c r="C229" s="273"/>
      <c r="D229" s="273"/>
    </row>
    <row r="230" spans="2:4" x14ac:dyDescent="0.3">
      <c r="B230" s="273"/>
      <c r="C230" s="273"/>
      <c r="D230" s="273"/>
    </row>
    <row r="231" spans="2:4" x14ac:dyDescent="0.3">
      <c r="B231" s="273"/>
      <c r="C231" s="273"/>
      <c r="D231" s="273"/>
    </row>
    <row r="232" spans="2:4" x14ac:dyDescent="0.3">
      <c r="B232" s="273"/>
      <c r="C232" s="273"/>
      <c r="D232" s="273"/>
    </row>
    <row r="233" spans="2:4" x14ac:dyDescent="0.3">
      <c r="B233" s="273"/>
      <c r="C233" s="273"/>
      <c r="D233" s="273"/>
    </row>
    <row r="234" spans="2:4" x14ac:dyDescent="0.3">
      <c r="B234" s="273"/>
      <c r="C234" s="273"/>
      <c r="D234" s="273"/>
    </row>
    <row r="235" spans="2:4" x14ac:dyDescent="0.3">
      <c r="B235" s="273"/>
      <c r="C235" s="273"/>
      <c r="D235" s="273"/>
    </row>
    <row r="236" spans="2:4" x14ac:dyDescent="0.3">
      <c r="B236" s="273"/>
      <c r="C236" s="273"/>
      <c r="D236" s="273"/>
    </row>
    <row r="237" spans="2:4" x14ac:dyDescent="0.3">
      <c r="B237" s="273"/>
      <c r="C237" s="273"/>
      <c r="D237" s="273"/>
    </row>
    <row r="238" spans="2:4" x14ac:dyDescent="0.3">
      <c r="B238" s="273"/>
      <c r="C238" s="273"/>
      <c r="D238" s="273"/>
    </row>
    <row r="239" spans="2:4" x14ac:dyDescent="0.3">
      <c r="B239" s="273"/>
      <c r="C239" s="273"/>
      <c r="D239" s="273"/>
    </row>
    <row r="240" spans="2:4" x14ac:dyDescent="0.3">
      <c r="B240" s="273"/>
      <c r="C240" s="273"/>
      <c r="D240" s="273"/>
    </row>
    <row r="241" spans="2:4" x14ac:dyDescent="0.3">
      <c r="B241" s="273"/>
      <c r="C241" s="273"/>
      <c r="D241" s="273"/>
    </row>
    <row r="242" spans="2:4" x14ac:dyDescent="0.3">
      <c r="B242" s="273"/>
      <c r="C242" s="273"/>
      <c r="D242" s="273"/>
    </row>
    <row r="243" spans="2:4" x14ac:dyDescent="0.3">
      <c r="B243" s="273"/>
      <c r="C243" s="273"/>
      <c r="D243" s="273"/>
    </row>
    <row r="244" spans="2:4" x14ac:dyDescent="0.3">
      <c r="B244" s="273"/>
      <c r="C244" s="273"/>
      <c r="D244" s="273"/>
    </row>
    <row r="245" spans="2:4" x14ac:dyDescent="0.3">
      <c r="B245" s="273"/>
      <c r="C245" s="273"/>
      <c r="D245" s="273"/>
    </row>
    <row r="246" spans="2:4" x14ac:dyDescent="0.3">
      <c r="B246" s="273"/>
      <c r="C246" s="273"/>
      <c r="D246" s="273"/>
    </row>
    <row r="247" spans="2:4" x14ac:dyDescent="0.3">
      <c r="B247" s="273"/>
      <c r="C247" s="273"/>
      <c r="D247" s="273"/>
    </row>
    <row r="248" spans="2:4" x14ac:dyDescent="0.3">
      <c r="B248" s="273"/>
      <c r="C248" s="273"/>
      <c r="D248" s="273"/>
    </row>
    <row r="249" spans="2:4" x14ac:dyDescent="0.3">
      <c r="B249" s="273"/>
      <c r="C249" s="273"/>
      <c r="D249" s="273"/>
    </row>
    <row r="250" spans="2:4" x14ac:dyDescent="0.3">
      <c r="B250" s="273"/>
      <c r="C250" s="273"/>
      <c r="D250" s="273"/>
    </row>
    <row r="251" spans="2:4" x14ac:dyDescent="0.3">
      <c r="B251" s="273"/>
      <c r="C251" s="273"/>
      <c r="D251" s="273"/>
    </row>
    <row r="252" spans="2:4" x14ac:dyDescent="0.3">
      <c r="B252" s="273"/>
      <c r="C252" s="273"/>
      <c r="D252" s="273"/>
    </row>
    <row r="253" spans="2:4" x14ac:dyDescent="0.3">
      <c r="B253" s="273"/>
      <c r="C253" s="273"/>
      <c r="D253" s="273"/>
    </row>
    <row r="254" spans="2:4" x14ac:dyDescent="0.3">
      <c r="B254" s="273"/>
      <c r="C254" s="273"/>
      <c r="D254" s="273"/>
    </row>
    <row r="255" spans="2:4" x14ac:dyDescent="0.3">
      <c r="B255" s="273"/>
      <c r="C255" s="273"/>
      <c r="D255" s="273"/>
    </row>
    <row r="256" spans="2:4" x14ac:dyDescent="0.3">
      <c r="B256" s="273"/>
      <c r="C256" s="273"/>
      <c r="D256" s="273"/>
    </row>
    <row r="257" spans="2:4" x14ac:dyDescent="0.3">
      <c r="B257" s="273"/>
      <c r="C257" s="273"/>
      <c r="D257" s="273"/>
    </row>
    <row r="258" spans="2:4" x14ac:dyDescent="0.3">
      <c r="B258" s="273"/>
      <c r="C258" s="273"/>
      <c r="D258" s="273"/>
    </row>
    <row r="259" spans="2:4" x14ac:dyDescent="0.3">
      <c r="B259" s="273"/>
      <c r="C259" s="273"/>
      <c r="D259" s="273"/>
    </row>
    <row r="260" spans="2:4" x14ac:dyDescent="0.3">
      <c r="B260" s="273"/>
      <c r="C260" s="273"/>
      <c r="D260" s="273"/>
    </row>
    <row r="261" spans="2:4" x14ac:dyDescent="0.3">
      <c r="B261" s="273"/>
      <c r="C261" s="273"/>
      <c r="D261" s="273"/>
    </row>
    <row r="262" spans="2:4" x14ac:dyDescent="0.3">
      <c r="B262" s="273"/>
      <c r="C262" s="273"/>
      <c r="D262" s="273"/>
    </row>
    <row r="263" spans="2:4" x14ac:dyDescent="0.3">
      <c r="B263" s="273"/>
      <c r="C263" s="273"/>
      <c r="D263" s="273"/>
    </row>
    <row r="264" spans="2:4" x14ac:dyDescent="0.3">
      <c r="B264" s="273"/>
      <c r="C264" s="273"/>
      <c r="D264" s="273"/>
    </row>
    <row r="265" spans="2:4" x14ac:dyDescent="0.3">
      <c r="B265" s="273"/>
      <c r="C265" s="273"/>
      <c r="D265" s="273"/>
    </row>
    <row r="266" spans="2:4" x14ac:dyDescent="0.3">
      <c r="B266" s="273"/>
      <c r="C266" s="273"/>
      <c r="D266" s="273"/>
    </row>
    <row r="267" spans="2:4" x14ac:dyDescent="0.3">
      <c r="B267" s="273"/>
      <c r="C267" s="273"/>
      <c r="D267" s="273"/>
    </row>
    <row r="268" spans="2:4" x14ac:dyDescent="0.3">
      <c r="B268" s="273"/>
      <c r="C268" s="273"/>
      <c r="D268" s="273"/>
    </row>
    <row r="269" spans="2:4" x14ac:dyDescent="0.3">
      <c r="B269" s="273"/>
      <c r="C269" s="273"/>
      <c r="D269" s="273"/>
    </row>
    <row r="270" spans="2:4" x14ac:dyDescent="0.3">
      <c r="B270" s="273"/>
      <c r="C270" s="273"/>
      <c r="D270" s="273"/>
    </row>
    <row r="271" spans="2:4" x14ac:dyDescent="0.3">
      <c r="B271" s="273"/>
      <c r="C271" s="273"/>
      <c r="D271" s="273"/>
    </row>
    <row r="272" spans="2:4" x14ac:dyDescent="0.3">
      <c r="B272" s="273"/>
      <c r="C272" s="273"/>
      <c r="D272" s="273"/>
    </row>
    <row r="273" spans="2:4" x14ac:dyDescent="0.3">
      <c r="B273" s="273"/>
      <c r="C273" s="273"/>
      <c r="D273" s="273"/>
    </row>
    <row r="274" spans="2:4" x14ac:dyDescent="0.3">
      <c r="B274" s="273"/>
      <c r="C274" s="273"/>
      <c r="D274" s="273"/>
    </row>
    <row r="275" spans="2:4" x14ac:dyDescent="0.3">
      <c r="B275" s="273"/>
      <c r="C275" s="273"/>
      <c r="D275" s="273"/>
    </row>
    <row r="276" spans="2:4" x14ac:dyDescent="0.3">
      <c r="B276" s="273"/>
      <c r="C276" s="273"/>
      <c r="D276" s="273"/>
    </row>
    <row r="277" spans="2:4" x14ac:dyDescent="0.3">
      <c r="B277" s="273"/>
      <c r="C277" s="273"/>
      <c r="D277" s="273"/>
    </row>
    <row r="278" spans="2:4" x14ac:dyDescent="0.3">
      <c r="B278" s="273"/>
      <c r="C278" s="273"/>
      <c r="D278" s="273"/>
    </row>
    <row r="279" spans="2:4" x14ac:dyDescent="0.3">
      <c r="B279" s="273"/>
      <c r="C279" s="273"/>
      <c r="D279" s="273"/>
    </row>
    <row r="280" spans="2:4" x14ac:dyDescent="0.3">
      <c r="B280" s="273"/>
      <c r="C280" s="273"/>
      <c r="D280" s="273"/>
    </row>
    <row r="281" spans="2:4" x14ac:dyDescent="0.3">
      <c r="B281" s="273"/>
      <c r="C281" s="273"/>
      <c r="D281" s="273"/>
    </row>
    <row r="282" spans="2:4" x14ac:dyDescent="0.3">
      <c r="B282" s="273"/>
      <c r="C282" s="273"/>
      <c r="D282" s="273"/>
    </row>
    <row r="283" spans="2:4" x14ac:dyDescent="0.3">
      <c r="B283" s="273"/>
      <c r="C283" s="273"/>
      <c r="D283" s="273"/>
    </row>
    <row r="284" spans="2:4" x14ac:dyDescent="0.3">
      <c r="B284" s="273"/>
      <c r="C284" s="273"/>
      <c r="D284" s="273"/>
    </row>
    <row r="285" spans="2:4" x14ac:dyDescent="0.3">
      <c r="B285" s="273"/>
      <c r="C285" s="273"/>
      <c r="D285" s="273"/>
    </row>
    <row r="286" spans="2:4" x14ac:dyDescent="0.3">
      <c r="B286" s="273"/>
      <c r="C286" s="273"/>
      <c r="D286" s="273"/>
    </row>
    <row r="287" spans="2:4" x14ac:dyDescent="0.3">
      <c r="B287" s="273"/>
      <c r="C287" s="273"/>
      <c r="D287" s="273"/>
    </row>
    <row r="288" spans="2:4" x14ac:dyDescent="0.3">
      <c r="B288" s="273"/>
      <c r="C288" s="273"/>
      <c r="D288" s="273"/>
    </row>
    <row r="289" spans="2:4" x14ac:dyDescent="0.3">
      <c r="B289" s="273"/>
      <c r="C289" s="273"/>
      <c r="D289" s="273"/>
    </row>
    <row r="290" spans="2:4" x14ac:dyDescent="0.3">
      <c r="B290" s="273"/>
      <c r="C290" s="273"/>
      <c r="D290" s="273"/>
    </row>
    <row r="291" spans="2:4" x14ac:dyDescent="0.3">
      <c r="B291" s="273"/>
      <c r="C291" s="273"/>
      <c r="D291" s="273"/>
    </row>
    <row r="292" spans="2:4" x14ac:dyDescent="0.3">
      <c r="B292" s="273"/>
      <c r="C292" s="273"/>
      <c r="D292" s="273"/>
    </row>
    <row r="293" spans="2:4" x14ac:dyDescent="0.3">
      <c r="B293" s="273"/>
      <c r="C293" s="273"/>
      <c r="D293" s="273"/>
    </row>
    <row r="294" spans="2:4" x14ac:dyDescent="0.3">
      <c r="B294" s="273"/>
      <c r="C294" s="273"/>
      <c r="D294" s="273"/>
    </row>
    <row r="295" spans="2:4" x14ac:dyDescent="0.3">
      <c r="B295" s="273"/>
      <c r="C295" s="273"/>
      <c r="D295" s="273"/>
    </row>
    <row r="296" spans="2:4" x14ac:dyDescent="0.3">
      <c r="B296" s="273"/>
      <c r="C296" s="273"/>
      <c r="D296" s="273"/>
    </row>
    <row r="297" spans="2:4" x14ac:dyDescent="0.3">
      <c r="B297" s="273"/>
      <c r="C297" s="273"/>
      <c r="D297" s="273"/>
    </row>
    <row r="298" spans="2:4" x14ac:dyDescent="0.3">
      <c r="B298" s="273"/>
      <c r="C298" s="273"/>
      <c r="D298" s="273"/>
    </row>
    <row r="299" spans="2:4" x14ac:dyDescent="0.3">
      <c r="B299" s="273"/>
      <c r="C299" s="273"/>
      <c r="D299" s="273"/>
    </row>
    <row r="300" spans="2:4" x14ac:dyDescent="0.3">
      <c r="B300" s="273"/>
      <c r="C300" s="273"/>
      <c r="D300" s="273"/>
    </row>
    <row r="301" spans="2:4" x14ac:dyDescent="0.3">
      <c r="B301" s="273"/>
      <c r="C301" s="273"/>
      <c r="D301" s="273"/>
    </row>
    <row r="302" spans="2:4" x14ac:dyDescent="0.3">
      <c r="B302" s="273"/>
      <c r="C302" s="273"/>
      <c r="D302" s="273"/>
    </row>
    <row r="303" spans="2:4" x14ac:dyDescent="0.3">
      <c r="B303" s="273"/>
      <c r="C303" s="273"/>
      <c r="D303" s="273"/>
    </row>
    <row r="304" spans="2:4" x14ac:dyDescent="0.3">
      <c r="B304" s="273"/>
      <c r="C304" s="273"/>
      <c r="D304" s="273"/>
    </row>
    <row r="305" spans="2:4" x14ac:dyDescent="0.3">
      <c r="B305" s="273"/>
      <c r="C305" s="273"/>
      <c r="D305" s="273"/>
    </row>
    <row r="306" spans="2:4" x14ac:dyDescent="0.3">
      <c r="B306" s="273"/>
      <c r="C306" s="273"/>
      <c r="D306" s="273"/>
    </row>
    <row r="307" spans="2:4" x14ac:dyDescent="0.3">
      <c r="B307" s="273"/>
      <c r="C307" s="273"/>
      <c r="D307" s="273"/>
    </row>
    <row r="308" spans="2:4" x14ac:dyDescent="0.3">
      <c r="B308" s="273"/>
      <c r="C308" s="273"/>
      <c r="D308" s="273"/>
    </row>
    <row r="309" spans="2:4" x14ac:dyDescent="0.3">
      <c r="B309" s="273"/>
      <c r="C309" s="273"/>
      <c r="D309" s="273"/>
    </row>
    <row r="310" spans="2:4" x14ac:dyDescent="0.3">
      <c r="B310" s="273"/>
      <c r="C310" s="273"/>
      <c r="D310" s="273"/>
    </row>
    <row r="311" spans="2:4" x14ac:dyDescent="0.3">
      <c r="B311" s="273"/>
      <c r="C311" s="273"/>
      <c r="D311" s="273"/>
    </row>
    <row r="312" spans="2:4" x14ac:dyDescent="0.3">
      <c r="B312" s="273"/>
      <c r="C312" s="273"/>
      <c r="D312" s="273"/>
    </row>
    <row r="313" spans="2:4" x14ac:dyDescent="0.3">
      <c r="B313" s="273"/>
      <c r="C313" s="273"/>
      <c r="D313" s="273"/>
    </row>
    <row r="314" spans="2:4" x14ac:dyDescent="0.3">
      <c r="B314" s="273"/>
      <c r="C314" s="273"/>
      <c r="D314" s="273"/>
    </row>
    <row r="315" spans="2:4" x14ac:dyDescent="0.3">
      <c r="B315" s="273"/>
      <c r="C315" s="273"/>
      <c r="D315" s="273"/>
    </row>
    <row r="316" spans="2:4" x14ac:dyDescent="0.3">
      <c r="B316" s="273"/>
      <c r="C316" s="273"/>
      <c r="D316" s="273"/>
    </row>
    <row r="317" spans="2:4" x14ac:dyDescent="0.3">
      <c r="B317" s="273"/>
      <c r="C317" s="273"/>
      <c r="D317" s="273"/>
    </row>
    <row r="318" spans="2:4" x14ac:dyDescent="0.3">
      <c r="B318" s="273"/>
      <c r="C318" s="273"/>
      <c r="D318" s="273"/>
    </row>
    <row r="319" spans="2:4" x14ac:dyDescent="0.3">
      <c r="B319" s="273"/>
      <c r="C319" s="273"/>
      <c r="D319" s="273"/>
    </row>
    <row r="320" spans="2:4" x14ac:dyDescent="0.3">
      <c r="B320" s="273"/>
      <c r="C320" s="273"/>
      <c r="D320" s="273"/>
    </row>
    <row r="321" spans="2:4" x14ac:dyDescent="0.3">
      <c r="B321" s="273"/>
      <c r="C321" s="273"/>
      <c r="D321" s="273"/>
    </row>
    <row r="322" spans="2:4" x14ac:dyDescent="0.3">
      <c r="B322" s="273"/>
      <c r="C322" s="273"/>
      <c r="D322" s="273"/>
    </row>
    <row r="323" spans="2:4" x14ac:dyDescent="0.3">
      <c r="B323" s="273"/>
      <c r="C323" s="273"/>
      <c r="D323" s="273"/>
    </row>
    <row r="324" spans="2:4" x14ac:dyDescent="0.3">
      <c r="B324" s="273"/>
      <c r="C324" s="273"/>
      <c r="D324" s="273"/>
    </row>
    <row r="325" spans="2:4" x14ac:dyDescent="0.3">
      <c r="B325" s="273"/>
      <c r="C325" s="273"/>
      <c r="D325" s="273"/>
    </row>
    <row r="326" spans="2:4" x14ac:dyDescent="0.3">
      <c r="B326" s="273"/>
      <c r="C326" s="273"/>
      <c r="D326" s="273"/>
    </row>
    <row r="327" spans="2:4" x14ac:dyDescent="0.3">
      <c r="B327" s="273"/>
      <c r="C327" s="273"/>
      <c r="D327" s="273"/>
    </row>
    <row r="328" spans="2:4" x14ac:dyDescent="0.3">
      <c r="B328" s="273"/>
      <c r="C328" s="273"/>
      <c r="D328" s="273"/>
    </row>
    <row r="329" spans="2:4" x14ac:dyDescent="0.3">
      <c r="B329" s="273"/>
      <c r="C329" s="273"/>
      <c r="D329" s="273"/>
    </row>
    <row r="330" spans="2:4" x14ac:dyDescent="0.3">
      <c r="B330" s="273"/>
      <c r="C330" s="273"/>
      <c r="D330" s="273"/>
    </row>
    <row r="331" spans="2:4" x14ac:dyDescent="0.3">
      <c r="B331" s="273"/>
      <c r="C331" s="273"/>
      <c r="D331" s="273"/>
    </row>
    <row r="332" spans="2:4" x14ac:dyDescent="0.3">
      <c r="B332" s="273"/>
      <c r="C332" s="273"/>
      <c r="D332" s="273"/>
    </row>
    <row r="333" spans="2:4" x14ac:dyDescent="0.3">
      <c r="B333" s="273"/>
      <c r="C333" s="273"/>
      <c r="D333" s="273"/>
    </row>
    <row r="334" spans="2:4" x14ac:dyDescent="0.3">
      <c r="B334" s="273"/>
      <c r="C334" s="273"/>
      <c r="D334" s="273"/>
    </row>
    <row r="335" spans="2:4" x14ac:dyDescent="0.3">
      <c r="B335" s="273"/>
      <c r="C335" s="273"/>
      <c r="D335" s="273"/>
    </row>
    <row r="336" spans="2:4" x14ac:dyDescent="0.3">
      <c r="B336" s="273"/>
      <c r="C336" s="273"/>
      <c r="D336" s="273"/>
    </row>
    <row r="337" spans="2:4" x14ac:dyDescent="0.3">
      <c r="B337" s="273"/>
      <c r="C337" s="273"/>
      <c r="D337" s="273"/>
    </row>
    <row r="338" spans="2:4" x14ac:dyDescent="0.3">
      <c r="B338" s="273"/>
      <c r="C338" s="273"/>
      <c r="D338" s="273"/>
    </row>
    <row r="339" spans="2:4" x14ac:dyDescent="0.3">
      <c r="B339" s="273"/>
      <c r="C339" s="273"/>
      <c r="D339" s="273"/>
    </row>
    <row r="340" spans="2:4" x14ac:dyDescent="0.3">
      <c r="B340" s="273"/>
      <c r="C340" s="273"/>
      <c r="D340" s="273"/>
    </row>
    <row r="341" spans="2:4" x14ac:dyDescent="0.3">
      <c r="B341" s="273"/>
      <c r="C341" s="273"/>
      <c r="D341" s="273"/>
    </row>
    <row r="342" spans="2:4" x14ac:dyDescent="0.3">
      <c r="B342" s="273"/>
      <c r="C342" s="273"/>
      <c r="D342" s="273"/>
    </row>
    <row r="343" spans="2:4" x14ac:dyDescent="0.3">
      <c r="B343" s="273"/>
      <c r="C343" s="273"/>
      <c r="D343" s="273"/>
    </row>
    <row r="344" spans="2:4" x14ac:dyDescent="0.3">
      <c r="B344" s="273"/>
      <c r="C344" s="273"/>
      <c r="D344" s="273"/>
    </row>
    <row r="345" spans="2:4" x14ac:dyDescent="0.3">
      <c r="B345" s="273"/>
      <c r="C345" s="273"/>
      <c r="D345" s="273"/>
    </row>
    <row r="346" spans="2:4" x14ac:dyDescent="0.3">
      <c r="B346" s="273"/>
      <c r="C346" s="273"/>
      <c r="D346" s="273"/>
    </row>
    <row r="347" spans="2:4" x14ac:dyDescent="0.3">
      <c r="B347" s="273"/>
      <c r="C347" s="273"/>
      <c r="D347" s="273"/>
    </row>
    <row r="348" spans="2:4" x14ac:dyDescent="0.3">
      <c r="B348" s="273"/>
      <c r="C348" s="273"/>
      <c r="D348" s="273"/>
    </row>
    <row r="349" spans="2:4" x14ac:dyDescent="0.3">
      <c r="B349" s="273"/>
      <c r="C349" s="273"/>
      <c r="D349" s="273"/>
    </row>
    <row r="350" spans="2:4" x14ac:dyDescent="0.3">
      <c r="B350" s="273"/>
      <c r="C350" s="273"/>
      <c r="D350" s="273"/>
    </row>
    <row r="351" spans="2:4" x14ac:dyDescent="0.3">
      <c r="B351" s="273"/>
      <c r="C351" s="273"/>
      <c r="D351" s="273"/>
    </row>
    <row r="352" spans="2:4" x14ac:dyDescent="0.3">
      <c r="B352" s="273"/>
      <c r="C352" s="273"/>
      <c r="D352" s="273"/>
    </row>
    <row r="353" spans="2:4" x14ac:dyDescent="0.3">
      <c r="B353" s="273"/>
      <c r="C353" s="273"/>
      <c r="D353" s="273"/>
    </row>
    <row r="354" spans="2:4" x14ac:dyDescent="0.3">
      <c r="B354" s="273"/>
      <c r="C354" s="273"/>
      <c r="D354" s="273"/>
    </row>
    <row r="355" spans="2:4" x14ac:dyDescent="0.3">
      <c r="B355" s="273"/>
      <c r="C355" s="273"/>
      <c r="D355" s="273"/>
    </row>
    <row r="356" spans="2:4" x14ac:dyDescent="0.3">
      <c r="B356" s="273"/>
      <c r="C356" s="273"/>
      <c r="D356" s="273"/>
    </row>
    <row r="357" spans="2:4" x14ac:dyDescent="0.3">
      <c r="B357" s="273"/>
      <c r="C357" s="273"/>
      <c r="D357" s="273"/>
    </row>
    <row r="358" spans="2:4" x14ac:dyDescent="0.3">
      <c r="B358" s="273"/>
      <c r="C358" s="273"/>
      <c r="D358" s="273"/>
    </row>
    <row r="359" spans="2:4" x14ac:dyDescent="0.3">
      <c r="B359" s="273"/>
      <c r="C359" s="273"/>
      <c r="D359" s="273"/>
    </row>
    <row r="360" spans="2:4" x14ac:dyDescent="0.3">
      <c r="B360" s="273"/>
      <c r="C360" s="273"/>
      <c r="D360" s="273"/>
    </row>
    <row r="361" spans="2:4" x14ac:dyDescent="0.3">
      <c r="B361" s="273"/>
      <c r="C361" s="273"/>
      <c r="D361" s="273"/>
    </row>
    <row r="362" spans="2:4" x14ac:dyDescent="0.3">
      <c r="B362" s="273"/>
      <c r="C362" s="273"/>
      <c r="D362" s="273"/>
    </row>
    <row r="363" spans="2:4" x14ac:dyDescent="0.3">
      <c r="B363" s="273"/>
      <c r="C363" s="273"/>
      <c r="D363" s="273"/>
    </row>
    <row r="364" spans="2:4" x14ac:dyDescent="0.3">
      <c r="B364" s="273"/>
      <c r="C364" s="273"/>
      <c r="D364" s="273"/>
    </row>
    <row r="365" spans="2:4" x14ac:dyDescent="0.3">
      <c r="B365" s="273"/>
      <c r="C365" s="273"/>
      <c r="D365" s="273"/>
    </row>
    <row r="366" spans="2:4" x14ac:dyDescent="0.3">
      <c r="B366" s="273"/>
      <c r="C366" s="273"/>
      <c r="D366" s="273"/>
    </row>
    <row r="367" spans="2:4" x14ac:dyDescent="0.3">
      <c r="B367" s="273"/>
      <c r="C367" s="273"/>
      <c r="D367" s="273"/>
    </row>
    <row r="368" spans="2:4" x14ac:dyDescent="0.3">
      <c r="B368" s="273"/>
      <c r="C368" s="273"/>
      <c r="D368" s="273"/>
    </row>
    <row r="369" spans="2:4" x14ac:dyDescent="0.3">
      <c r="B369" s="273"/>
      <c r="C369" s="273"/>
      <c r="D369" s="273"/>
    </row>
    <row r="370" spans="2:4" x14ac:dyDescent="0.3">
      <c r="B370" s="273"/>
      <c r="C370" s="273"/>
      <c r="D370" s="273"/>
    </row>
    <row r="371" spans="2:4" x14ac:dyDescent="0.3">
      <c r="B371" s="273"/>
      <c r="C371" s="273"/>
      <c r="D371" s="273"/>
    </row>
    <row r="372" spans="2:4" x14ac:dyDescent="0.3">
      <c r="B372" s="273"/>
      <c r="C372" s="273"/>
      <c r="D372" s="273"/>
    </row>
    <row r="373" spans="2:4" x14ac:dyDescent="0.3">
      <c r="B373" s="273"/>
      <c r="C373" s="273"/>
      <c r="D373" s="273"/>
    </row>
    <row r="374" spans="2:4" x14ac:dyDescent="0.3">
      <c r="B374" s="273"/>
      <c r="C374" s="273"/>
      <c r="D374" s="273"/>
    </row>
    <row r="375" spans="2:4" x14ac:dyDescent="0.3">
      <c r="B375" s="273"/>
      <c r="C375" s="273"/>
      <c r="D375" s="273"/>
    </row>
    <row r="376" spans="2:4" x14ac:dyDescent="0.3">
      <c r="B376" s="273"/>
      <c r="C376" s="273"/>
      <c r="D376" s="273"/>
    </row>
    <row r="377" spans="2:4" x14ac:dyDescent="0.3">
      <c r="B377" s="273"/>
      <c r="C377" s="273"/>
      <c r="D377" s="273"/>
    </row>
    <row r="378" spans="2:4" x14ac:dyDescent="0.3">
      <c r="B378" s="273"/>
      <c r="C378" s="273"/>
      <c r="D378" s="273"/>
    </row>
    <row r="379" spans="2:4" x14ac:dyDescent="0.3">
      <c r="B379" s="273"/>
      <c r="C379" s="273"/>
      <c r="D379" s="273"/>
    </row>
    <row r="380" spans="2:4" x14ac:dyDescent="0.3">
      <c r="B380" s="273"/>
      <c r="C380" s="273"/>
      <c r="D380" s="273"/>
    </row>
    <row r="381" spans="2:4" x14ac:dyDescent="0.3">
      <c r="B381" s="273"/>
      <c r="C381" s="273"/>
      <c r="D381" s="273"/>
    </row>
    <row r="382" spans="2:4" x14ac:dyDescent="0.3">
      <c r="B382" s="273"/>
      <c r="C382" s="273"/>
      <c r="D382" s="273"/>
    </row>
    <row r="383" spans="2:4" x14ac:dyDescent="0.3">
      <c r="B383" s="273"/>
      <c r="C383" s="273"/>
      <c r="D383" s="273"/>
    </row>
    <row r="384" spans="2:4" x14ac:dyDescent="0.3">
      <c r="B384" s="273"/>
      <c r="C384" s="273"/>
      <c r="D384" s="273"/>
    </row>
    <row r="385" spans="2:4" x14ac:dyDescent="0.3">
      <c r="B385" s="273"/>
      <c r="C385" s="273"/>
      <c r="D385" s="273"/>
    </row>
    <row r="386" spans="2:4" x14ac:dyDescent="0.3">
      <c r="B386" s="273"/>
      <c r="C386" s="273"/>
      <c r="D386" s="273"/>
    </row>
    <row r="387" spans="2:4" x14ac:dyDescent="0.3">
      <c r="B387" s="273"/>
      <c r="C387" s="273"/>
      <c r="D387" s="273"/>
    </row>
    <row r="388" spans="2:4" x14ac:dyDescent="0.3">
      <c r="B388" s="273"/>
      <c r="C388" s="273"/>
      <c r="D388" s="273"/>
    </row>
    <row r="389" spans="2:4" x14ac:dyDescent="0.3">
      <c r="B389" s="273"/>
      <c r="C389" s="273"/>
      <c r="D389" s="273"/>
    </row>
    <row r="390" spans="2:4" x14ac:dyDescent="0.3">
      <c r="B390" s="273"/>
      <c r="C390" s="273"/>
      <c r="D390" s="273"/>
    </row>
    <row r="391" spans="2:4" x14ac:dyDescent="0.3">
      <c r="B391" s="273"/>
      <c r="C391" s="273"/>
      <c r="D391" s="273"/>
    </row>
    <row r="392" spans="2:4" x14ac:dyDescent="0.3">
      <c r="B392" s="273"/>
      <c r="C392" s="273"/>
      <c r="D392" s="273"/>
    </row>
    <row r="393" spans="2:4" x14ac:dyDescent="0.3">
      <c r="B393" s="273"/>
      <c r="C393" s="273"/>
      <c r="D393" s="273"/>
    </row>
    <row r="394" spans="2:4" x14ac:dyDescent="0.3">
      <c r="B394" s="273"/>
      <c r="C394" s="273"/>
      <c r="D394" s="273"/>
    </row>
    <row r="395" spans="2:4" x14ac:dyDescent="0.3">
      <c r="B395" s="273"/>
      <c r="C395" s="273"/>
      <c r="D395" s="273"/>
    </row>
    <row r="396" spans="2:4" x14ac:dyDescent="0.3">
      <c r="B396" s="273"/>
      <c r="C396" s="273"/>
      <c r="D396" s="273"/>
    </row>
    <row r="397" spans="2:4" x14ac:dyDescent="0.3">
      <c r="B397" s="273"/>
      <c r="C397" s="273"/>
      <c r="D397" s="273"/>
    </row>
    <row r="398" spans="2:4" x14ac:dyDescent="0.3">
      <c r="B398" s="273"/>
      <c r="C398" s="273"/>
      <c r="D398" s="273"/>
    </row>
    <row r="399" spans="2:4" x14ac:dyDescent="0.3">
      <c r="B399" s="273"/>
      <c r="C399" s="273"/>
      <c r="D399" s="273"/>
    </row>
    <row r="400" spans="2:4" x14ac:dyDescent="0.3">
      <c r="B400" s="273"/>
      <c r="C400" s="273"/>
      <c r="D400" s="273"/>
    </row>
    <row r="401" spans="2:4" x14ac:dyDescent="0.3">
      <c r="B401" s="273"/>
      <c r="C401" s="273"/>
      <c r="D401" s="273"/>
    </row>
    <row r="402" spans="2:4" x14ac:dyDescent="0.3">
      <c r="B402" s="273"/>
      <c r="C402" s="273"/>
      <c r="D402" s="273"/>
    </row>
    <row r="403" spans="2:4" x14ac:dyDescent="0.3">
      <c r="B403" s="273"/>
      <c r="C403" s="273"/>
      <c r="D403" s="273"/>
    </row>
    <row r="404" spans="2:4" x14ac:dyDescent="0.3">
      <c r="B404" s="273"/>
      <c r="C404" s="273"/>
      <c r="D404" s="273"/>
    </row>
    <row r="405" spans="2:4" x14ac:dyDescent="0.3">
      <c r="B405" s="273"/>
      <c r="C405" s="273"/>
      <c r="D405" s="273"/>
    </row>
    <row r="406" spans="2:4" x14ac:dyDescent="0.3">
      <c r="B406" s="273"/>
      <c r="C406" s="273"/>
      <c r="D406" s="273"/>
    </row>
    <row r="407" spans="2:4" x14ac:dyDescent="0.3">
      <c r="B407" s="273"/>
      <c r="C407" s="273"/>
      <c r="D407" s="273"/>
    </row>
    <row r="408" spans="2:4" x14ac:dyDescent="0.3">
      <c r="B408" s="273"/>
      <c r="C408" s="273"/>
      <c r="D408" s="273"/>
    </row>
    <row r="409" spans="2:4" x14ac:dyDescent="0.3">
      <c r="B409" s="273"/>
      <c r="C409" s="273"/>
      <c r="D409" s="273"/>
    </row>
    <row r="410" spans="2:4" x14ac:dyDescent="0.3">
      <c r="B410" s="273"/>
      <c r="C410" s="273"/>
      <c r="D410" s="273"/>
    </row>
    <row r="411" spans="2:4" x14ac:dyDescent="0.3">
      <c r="B411" s="273"/>
      <c r="C411" s="273"/>
      <c r="D411" s="273"/>
    </row>
    <row r="412" spans="2:4" x14ac:dyDescent="0.3">
      <c r="B412" s="273"/>
      <c r="C412" s="273"/>
      <c r="D412" s="273"/>
    </row>
    <row r="413" spans="2:4" x14ac:dyDescent="0.3">
      <c r="B413" s="273"/>
      <c r="C413" s="273"/>
      <c r="D413" s="273"/>
    </row>
    <row r="414" spans="2:4" x14ac:dyDescent="0.3">
      <c r="B414" s="273"/>
      <c r="C414" s="273"/>
      <c r="D414" s="273"/>
    </row>
    <row r="415" spans="2:4" x14ac:dyDescent="0.3">
      <c r="B415" s="273"/>
      <c r="C415" s="273"/>
      <c r="D415" s="273"/>
    </row>
    <row r="416" spans="2:4" x14ac:dyDescent="0.3">
      <c r="B416" s="273"/>
      <c r="C416" s="273"/>
      <c r="D416" s="273"/>
    </row>
    <row r="417" spans="2:4" x14ac:dyDescent="0.3">
      <c r="B417" s="273"/>
      <c r="C417" s="273"/>
      <c r="D417" s="273"/>
    </row>
    <row r="418" spans="2:4" x14ac:dyDescent="0.3">
      <c r="B418" s="273"/>
      <c r="C418" s="273"/>
      <c r="D418" s="273"/>
    </row>
    <row r="419" spans="2:4" x14ac:dyDescent="0.3">
      <c r="B419" s="273"/>
      <c r="C419" s="273"/>
      <c r="D419" s="273"/>
    </row>
    <row r="420" spans="2:4" x14ac:dyDescent="0.3">
      <c r="B420" s="273"/>
      <c r="C420" s="273"/>
      <c r="D420" s="273"/>
    </row>
    <row r="421" spans="2:4" x14ac:dyDescent="0.3">
      <c r="B421" s="273"/>
      <c r="C421" s="273"/>
      <c r="D421" s="273"/>
    </row>
    <row r="422" spans="2:4" x14ac:dyDescent="0.3">
      <c r="B422" s="273"/>
      <c r="C422" s="273"/>
      <c r="D422" s="273"/>
    </row>
    <row r="423" spans="2:4" x14ac:dyDescent="0.3">
      <c r="B423" s="273"/>
      <c r="C423" s="273"/>
      <c r="D423" s="273"/>
    </row>
    <row r="424" spans="2:4" x14ac:dyDescent="0.3">
      <c r="B424" s="273"/>
      <c r="C424" s="273"/>
      <c r="D424" s="273"/>
    </row>
    <row r="425" spans="2:4" x14ac:dyDescent="0.3">
      <c r="B425" s="273"/>
      <c r="C425" s="273"/>
      <c r="D425" s="273"/>
    </row>
    <row r="426" spans="2:4" x14ac:dyDescent="0.3">
      <c r="B426" s="273"/>
      <c r="C426" s="273"/>
      <c r="D426" s="273"/>
    </row>
    <row r="427" spans="2:4" x14ac:dyDescent="0.3">
      <c r="B427" s="273"/>
      <c r="C427" s="273"/>
      <c r="D427" s="273"/>
    </row>
    <row r="428" spans="2:4" x14ac:dyDescent="0.3">
      <c r="B428" s="273"/>
      <c r="C428" s="273"/>
      <c r="D428" s="273"/>
    </row>
    <row r="429" spans="2:4" x14ac:dyDescent="0.3">
      <c r="B429" s="273"/>
      <c r="C429" s="273"/>
      <c r="D429" s="273"/>
    </row>
    <row r="430" spans="2:4" x14ac:dyDescent="0.3">
      <c r="B430" s="273"/>
      <c r="C430" s="273"/>
      <c r="D430" s="273"/>
    </row>
    <row r="431" spans="2:4" x14ac:dyDescent="0.3">
      <c r="B431" s="273"/>
      <c r="C431" s="273"/>
      <c r="D431" s="273"/>
    </row>
    <row r="432" spans="2:4" x14ac:dyDescent="0.3">
      <c r="B432" s="273"/>
      <c r="C432" s="273"/>
      <c r="D432" s="273"/>
    </row>
    <row r="433" spans="2:4" x14ac:dyDescent="0.3">
      <c r="B433" s="273"/>
      <c r="C433" s="273"/>
      <c r="D433" s="273"/>
    </row>
    <row r="434" spans="2:4" x14ac:dyDescent="0.3">
      <c r="B434" s="273"/>
      <c r="C434" s="273"/>
      <c r="D434" s="273"/>
    </row>
    <row r="435" spans="2:4" x14ac:dyDescent="0.3">
      <c r="B435" s="273"/>
      <c r="C435" s="273"/>
      <c r="D435" s="273"/>
    </row>
    <row r="436" spans="2:4" x14ac:dyDescent="0.3">
      <c r="B436" s="273"/>
      <c r="C436" s="273"/>
      <c r="D436" s="273"/>
    </row>
    <row r="437" spans="2:4" x14ac:dyDescent="0.3">
      <c r="B437" s="273"/>
      <c r="C437" s="273"/>
      <c r="D437" s="273"/>
    </row>
    <row r="438" spans="2:4" x14ac:dyDescent="0.3">
      <c r="B438" s="273"/>
      <c r="C438" s="273"/>
      <c r="D438" s="273"/>
    </row>
    <row r="439" spans="2:4" x14ac:dyDescent="0.3">
      <c r="B439" s="273"/>
      <c r="C439" s="273"/>
      <c r="D439" s="273"/>
    </row>
    <row r="440" spans="2:4" x14ac:dyDescent="0.3">
      <c r="B440" s="273"/>
      <c r="C440" s="273"/>
      <c r="D440" s="273"/>
    </row>
    <row r="441" spans="2:4" x14ac:dyDescent="0.3">
      <c r="B441" s="273"/>
      <c r="C441" s="273"/>
      <c r="D441" s="273"/>
    </row>
    <row r="442" spans="2:4" x14ac:dyDescent="0.3">
      <c r="B442" s="273"/>
      <c r="C442" s="273"/>
      <c r="D442" s="273"/>
    </row>
    <row r="443" spans="2:4" x14ac:dyDescent="0.3">
      <c r="B443" s="273"/>
      <c r="C443" s="273"/>
      <c r="D443" s="273"/>
    </row>
    <row r="444" spans="2:4" x14ac:dyDescent="0.3">
      <c r="B444" s="273"/>
      <c r="C444" s="273"/>
      <c r="D444" s="273"/>
    </row>
    <row r="445" spans="2:4" x14ac:dyDescent="0.3">
      <c r="B445" s="273"/>
      <c r="C445" s="273"/>
      <c r="D445" s="273"/>
    </row>
    <row r="446" spans="2:4" x14ac:dyDescent="0.3">
      <c r="B446" s="273"/>
      <c r="C446" s="273"/>
      <c r="D446" s="273"/>
    </row>
    <row r="447" spans="2:4" x14ac:dyDescent="0.3">
      <c r="B447" s="273"/>
      <c r="C447" s="273"/>
      <c r="D447" s="273"/>
    </row>
    <row r="448" spans="2:4" x14ac:dyDescent="0.3">
      <c r="B448" s="273"/>
      <c r="C448" s="273"/>
      <c r="D448" s="273"/>
    </row>
    <row r="449" spans="2:4" x14ac:dyDescent="0.3">
      <c r="B449" s="273"/>
      <c r="C449" s="273"/>
      <c r="D449" s="273"/>
    </row>
    <row r="450" spans="2:4" x14ac:dyDescent="0.3">
      <c r="B450" s="273"/>
      <c r="C450" s="273"/>
      <c r="D450" s="273"/>
    </row>
    <row r="451" spans="2:4" x14ac:dyDescent="0.3">
      <c r="B451" s="273"/>
      <c r="C451" s="273"/>
      <c r="D451" s="273"/>
    </row>
    <row r="452" spans="2:4" x14ac:dyDescent="0.3">
      <c r="B452" s="273"/>
      <c r="C452" s="273"/>
      <c r="D452" s="273"/>
    </row>
    <row r="453" spans="2:4" x14ac:dyDescent="0.3">
      <c r="B453" s="273"/>
      <c r="C453" s="273"/>
      <c r="D453" s="273"/>
    </row>
    <row r="454" spans="2:4" x14ac:dyDescent="0.3">
      <c r="B454" s="273"/>
      <c r="C454" s="273"/>
      <c r="D454" s="273"/>
    </row>
    <row r="455" spans="2:4" x14ac:dyDescent="0.3">
      <c r="B455" s="273"/>
      <c r="C455" s="273"/>
      <c r="D455" s="273"/>
    </row>
    <row r="456" spans="2:4" x14ac:dyDescent="0.3">
      <c r="B456" s="273"/>
      <c r="C456" s="273"/>
      <c r="D456" s="273"/>
    </row>
    <row r="457" spans="2:4" x14ac:dyDescent="0.3">
      <c r="B457" s="273"/>
      <c r="C457" s="273"/>
      <c r="D457" s="273"/>
    </row>
    <row r="458" spans="2:4" x14ac:dyDescent="0.3">
      <c r="B458" s="273"/>
      <c r="C458" s="273"/>
      <c r="D458" s="273"/>
    </row>
    <row r="459" spans="2:4" x14ac:dyDescent="0.3">
      <c r="B459" s="273"/>
      <c r="C459" s="273"/>
      <c r="D459" s="273"/>
    </row>
    <row r="460" spans="2:4" x14ac:dyDescent="0.3">
      <c r="B460" s="273"/>
      <c r="C460" s="273"/>
      <c r="D460" s="273"/>
    </row>
    <row r="461" spans="2:4" x14ac:dyDescent="0.3">
      <c r="B461" s="273"/>
      <c r="C461" s="273"/>
      <c r="D461" s="273"/>
    </row>
    <row r="462" spans="2:4" x14ac:dyDescent="0.3">
      <c r="B462" s="273"/>
      <c r="C462" s="273"/>
      <c r="D462" s="273"/>
    </row>
    <row r="463" spans="2:4" x14ac:dyDescent="0.3">
      <c r="B463" s="273"/>
      <c r="C463" s="273"/>
      <c r="D463" s="273"/>
    </row>
    <row r="464" spans="2:4" x14ac:dyDescent="0.3">
      <c r="B464" s="273"/>
      <c r="C464" s="273"/>
      <c r="D464" s="273"/>
    </row>
    <row r="465" spans="2:4" x14ac:dyDescent="0.3">
      <c r="B465" s="273"/>
      <c r="C465" s="273"/>
      <c r="D465" s="273"/>
    </row>
    <row r="466" spans="2:4" x14ac:dyDescent="0.3">
      <c r="B466" s="273"/>
      <c r="C466" s="273"/>
      <c r="D466" s="273"/>
    </row>
    <row r="467" spans="2:4" x14ac:dyDescent="0.3">
      <c r="B467" s="273"/>
      <c r="C467" s="273"/>
      <c r="D467" s="273"/>
    </row>
    <row r="468" spans="2:4" x14ac:dyDescent="0.3">
      <c r="B468" s="273"/>
      <c r="C468" s="273"/>
      <c r="D468" s="273"/>
    </row>
    <row r="469" spans="2:4" x14ac:dyDescent="0.3">
      <c r="B469" s="273"/>
      <c r="C469" s="273"/>
      <c r="D469" s="273"/>
    </row>
    <row r="470" spans="2:4" x14ac:dyDescent="0.3">
      <c r="B470" s="273"/>
      <c r="C470" s="273"/>
      <c r="D470" s="273"/>
    </row>
    <row r="471" spans="2:4" x14ac:dyDescent="0.3">
      <c r="B471" s="273"/>
      <c r="C471" s="273"/>
      <c r="D471" s="273"/>
    </row>
    <row r="472" spans="2:4" x14ac:dyDescent="0.3">
      <c r="B472" s="273"/>
      <c r="C472" s="273"/>
      <c r="D472" s="273"/>
    </row>
    <row r="473" spans="2:4" x14ac:dyDescent="0.3">
      <c r="B473" s="273"/>
      <c r="C473" s="273"/>
      <c r="D473" s="273"/>
    </row>
    <row r="474" spans="2:4" x14ac:dyDescent="0.3">
      <c r="B474" s="273"/>
      <c r="C474" s="273"/>
      <c r="D474" s="273"/>
    </row>
    <row r="475" spans="2:4" x14ac:dyDescent="0.3">
      <c r="B475" s="273"/>
      <c r="C475" s="273"/>
      <c r="D475" s="273"/>
    </row>
    <row r="476" spans="2:4" x14ac:dyDescent="0.3">
      <c r="B476" s="273"/>
      <c r="C476" s="273"/>
      <c r="D476" s="273"/>
    </row>
    <row r="477" spans="2:4" x14ac:dyDescent="0.3">
      <c r="B477" s="273"/>
      <c r="C477" s="273"/>
      <c r="D477" s="273"/>
    </row>
    <row r="478" spans="2:4" x14ac:dyDescent="0.3">
      <c r="B478" s="273"/>
      <c r="C478" s="273"/>
      <c r="D478" s="273"/>
    </row>
    <row r="479" spans="2:4" x14ac:dyDescent="0.3">
      <c r="B479" s="273"/>
      <c r="C479" s="273"/>
      <c r="D479" s="273"/>
    </row>
    <row r="480" spans="2:4" x14ac:dyDescent="0.3">
      <c r="B480" s="273"/>
      <c r="C480" s="273"/>
      <c r="D480" s="273"/>
    </row>
    <row r="481" spans="2:4" x14ac:dyDescent="0.3">
      <c r="B481" s="273"/>
      <c r="C481" s="273"/>
      <c r="D481" s="273"/>
    </row>
    <row r="482" spans="2:4" x14ac:dyDescent="0.3">
      <c r="B482" s="273"/>
      <c r="C482" s="273"/>
      <c r="D482" s="273"/>
    </row>
  </sheetData>
  <sheetProtection algorithmName="SHA-512" hashValue="q20PjfSmTpomMTwT6A2xoxFxZ7g1h7MgotVWmSnMYg3SwVmcmium8flh81w/R2UmwPnU1Ii4PqMjIDX9bkvwDw==" saltValue="wLV6SF7D1ddQ/iACy4GMdg==" spinCount="100000" sheet="1" selectLockedCells="1" selectUnlockedCells="1"/>
  <mergeCells count="6">
    <mergeCell ref="D8:F8"/>
    <mergeCell ref="B1:D1"/>
    <mergeCell ref="B4:F4"/>
    <mergeCell ref="D5:F5"/>
    <mergeCell ref="D6:F6"/>
    <mergeCell ref="D7:F7"/>
  </mergeCells>
  <pageMargins left="0.7" right="0.7" top="0.75" bottom="0.75" header="0.3" footer="0.3"/>
  <pageSetup paperSize="9" orientation="portrait" horizontalDpi="1200" verticalDpi="1200" r:id="rId1"/>
  <headerFooter>
    <oddHeader>&amp;L&amp;"Calibri"&amp;8&amp;K000000 Sensitivity: General&amp;1#_x000D_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F23"/>
  <sheetViews>
    <sheetView showGridLines="0" topLeftCell="B1" zoomScaleNormal="100" workbookViewId="0">
      <selection activeCell="B7" sqref="B7:J15"/>
    </sheetView>
  </sheetViews>
  <sheetFormatPr defaultColWidth="7.83203125" defaultRowHeight="14" x14ac:dyDescent="0.3"/>
  <cols>
    <col min="1" max="1" width="3.25" style="136" hidden="1" customWidth="1"/>
    <col min="2" max="2" width="35.58203125" style="137" customWidth="1"/>
    <col min="3" max="3" width="3.25" style="137" customWidth="1"/>
    <col min="4" max="4" width="35.58203125" style="137" customWidth="1"/>
    <col min="5" max="5" width="3.25" style="137" customWidth="1"/>
    <col min="6" max="6" width="25.58203125" style="137" customWidth="1"/>
    <col min="7" max="7" width="3.25" style="137" customWidth="1"/>
    <col min="8" max="9" width="7.83203125" style="136"/>
    <col min="10" max="10" width="2.58203125" style="136" customWidth="1"/>
    <col min="11" max="12" width="7.83203125" style="136"/>
    <col min="13" max="13" width="120.75" style="136" customWidth="1"/>
    <col min="14" max="32" width="7.83203125" style="136"/>
    <col min="33" max="16384" width="7.83203125" style="137"/>
  </cols>
  <sheetData>
    <row r="1" spans="1:13" ht="156" customHeight="1" x14ac:dyDescent="0.3">
      <c r="A1" s="130"/>
      <c r="B1" s="130"/>
      <c r="C1" s="130"/>
      <c r="D1" s="130"/>
      <c r="E1" s="130"/>
      <c r="F1" s="130"/>
      <c r="G1" s="130"/>
    </row>
    <row r="2" spans="1:13" ht="19.5" customHeight="1" x14ac:dyDescent="0.3">
      <c r="A2" s="130"/>
      <c r="B2" s="130"/>
      <c r="C2" s="130"/>
      <c r="D2" s="130"/>
      <c r="E2" s="130"/>
      <c r="F2" s="130"/>
      <c r="G2" s="130"/>
    </row>
    <row r="3" spans="1:13" ht="33.75" customHeight="1" x14ac:dyDescent="0.3">
      <c r="A3" s="130"/>
      <c r="B3" s="138" t="s">
        <v>9</v>
      </c>
      <c r="C3" s="131"/>
      <c r="D3" s="131"/>
      <c r="E3" s="131"/>
      <c r="F3" s="131"/>
      <c r="G3" s="131"/>
      <c r="H3" s="131"/>
      <c r="I3" s="131"/>
      <c r="J3" s="131"/>
      <c r="M3" s="138" t="s">
        <v>10</v>
      </c>
    </row>
    <row r="4" spans="1:13" x14ac:dyDescent="0.3">
      <c r="A4" s="130"/>
      <c r="B4" s="133"/>
      <c r="C4" s="132"/>
      <c r="D4" s="132"/>
      <c r="E4" s="132"/>
      <c r="F4" s="132"/>
      <c r="G4" s="130"/>
    </row>
    <row r="5" spans="1:13" ht="187.5" customHeight="1" x14ac:dyDescent="0.3">
      <c r="B5" s="501" t="s">
        <v>11</v>
      </c>
      <c r="C5" s="501"/>
      <c r="D5" s="501"/>
      <c r="E5" s="501"/>
      <c r="F5" s="501"/>
      <c r="G5" s="501"/>
      <c r="H5" s="501"/>
      <c r="I5" s="501"/>
      <c r="J5" s="501"/>
      <c r="M5" s="498" t="s">
        <v>12</v>
      </c>
    </row>
    <row r="6" spans="1:13" ht="33.75" customHeight="1" x14ac:dyDescent="0.3">
      <c r="A6" s="134"/>
      <c r="B6" s="139" t="s">
        <v>13</v>
      </c>
      <c r="C6" s="140"/>
      <c r="D6" s="140"/>
      <c r="E6" s="140"/>
      <c r="F6" s="140"/>
      <c r="G6" s="140"/>
      <c r="H6" s="502"/>
      <c r="I6" s="502"/>
      <c r="J6" s="502"/>
      <c r="M6" s="498"/>
    </row>
    <row r="7" spans="1:13" ht="14.25" customHeight="1" x14ac:dyDescent="0.3">
      <c r="A7" s="134"/>
      <c r="B7" s="501" t="s">
        <v>14</v>
      </c>
      <c r="C7" s="501"/>
      <c r="D7" s="501"/>
      <c r="E7" s="501"/>
      <c r="F7" s="501"/>
      <c r="G7" s="501"/>
      <c r="H7" s="501"/>
      <c r="I7" s="501"/>
      <c r="J7" s="501"/>
      <c r="M7" s="498"/>
    </row>
    <row r="8" spans="1:13" x14ac:dyDescent="0.3">
      <c r="A8" s="134"/>
      <c r="B8" s="501"/>
      <c r="C8" s="501"/>
      <c r="D8" s="501"/>
      <c r="E8" s="501"/>
      <c r="F8" s="501"/>
      <c r="G8" s="501"/>
      <c r="H8" s="501"/>
      <c r="I8" s="501"/>
      <c r="J8" s="501"/>
      <c r="M8" s="498"/>
    </row>
    <row r="9" spans="1:13" x14ac:dyDescent="0.3">
      <c r="A9" s="135"/>
      <c r="B9" s="501"/>
      <c r="C9" s="501"/>
      <c r="D9" s="501"/>
      <c r="E9" s="501"/>
      <c r="F9" s="501"/>
      <c r="G9" s="501"/>
      <c r="H9" s="501"/>
      <c r="I9" s="501"/>
      <c r="J9" s="501"/>
      <c r="M9" s="498"/>
    </row>
    <row r="10" spans="1:13" x14ac:dyDescent="0.3">
      <c r="A10" s="135"/>
      <c r="B10" s="501"/>
      <c r="C10" s="501"/>
      <c r="D10" s="501"/>
      <c r="E10" s="501"/>
      <c r="F10" s="501"/>
      <c r="G10" s="501"/>
      <c r="H10" s="501"/>
      <c r="I10" s="501"/>
      <c r="J10" s="501"/>
    </row>
    <row r="11" spans="1:13" x14ac:dyDescent="0.3">
      <c r="A11" s="135"/>
      <c r="B11" s="501"/>
      <c r="C11" s="501"/>
      <c r="D11" s="501"/>
      <c r="E11" s="501"/>
      <c r="F11" s="501"/>
      <c r="G11" s="501"/>
      <c r="H11" s="501"/>
      <c r="I11" s="501"/>
      <c r="J11" s="501"/>
    </row>
    <row r="12" spans="1:13" x14ac:dyDescent="0.3">
      <c r="A12" s="135"/>
      <c r="B12" s="501"/>
      <c r="C12" s="501"/>
      <c r="D12" s="501"/>
      <c r="E12" s="501"/>
      <c r="F12" s="501"/>
      <c r="G12" s="501"/>
      <c r="H12" s="501"/>
      <c r="I12" s="501"/>
      <c r="J12" s="501"/>
    </row>
    <row r="13" spans="1:13" x14ac:dyDescent="0.3">
      <c r="A13" s="135"/>
      <c r="B13" s="501"/>
      <c r="C13" s="501"/>
      <c r="D13" s="501"/>
      <c r="E13" s="501"/>
      <c r="F13" s="501"/>
      <c r="G13" s="501"/>
      <c r="H13" s="501"/>
      <c r="I13" s="501"/>
      <c r="J13" s="501"/>
    </row>
    <row r="14" spans="1:13" x14ac:dyDescent="0.3">
      <c r="A14" s="135"/>
      <c r="B14" s="501"/>
      <c r="C14" s="501"/>
      <c r="D14" s="501"/>
      <c r="E14" s="501"/>
      <c r="F14" s="501"/>
      <c r="G14" s="501"/>
      <c r="H14" s="501"/>
      <c r="I14" s="501"/>
      <c r="J14" s="501"/>
    </row>
    <row r="15" spans="1:13" ht="109.5" customHeight="1" x14ac:dyDescent="0.3">
      <c r="A15" s="135"/>
      <c r="B15" s="501"/>
      <c r="C15" s="501"/>
      <c r="D15" s="501"/>
      <c r="E15" s="501"/>
      <c r="F15" s="501"/>
      <c r="G15" s="501"/>
      <c r="H15" s="501"/>
      <c r="I15" s="501"/>
      <c r="J15" s="501"/>
    </row>
    <row r="16" spans="1:13" ht="33.75" customHeight="1" x14ac:dyDescent="0.3">
      <c r="A16" s="135"/>
      <c r="B16" s="499" t="s">
        <v>15</v>
      </c>
      <c r="C16" s="500"/>
      <c r="D16" s="500"/>
      <c r="E16" s="500"/>
      <c r="F16" s="500"/>
      <c r="G16" s="140"/>
      <c r="H16" s="502"/>
      <c r="I16" s="502"/>
      <c r="J16" s="502"/>
    </row>
    <row r="17" spans="1:10" x14ac:dyDescent="0.3">
      <c r="A17" s="135"/>
      <c r="B17" s="135"/>
      <c r="C17" s="135"/>
      <c r="D17" s="135"/>
      <c r="E17" s="135"/>
      <c r="F17" s="135"/>
      <c r="G17" s="135"/>
    </row>
    <row r="18" spans="1:10" ht="132.75" customHeight="1" x14ac:dyDescent="0.3">
      <c r="A18" s="135"/>
      <c r="B18" s="495" t="s">
        <v>16</v>
      </c>
      <c r="C18" s="495"/>
      <c r="D18" s="495"/>
      <c r="E18" s="495"/>
      <c r="F18" s="495"/>
      <c r="G18" s="495"/>
      <c r="H18" s="495"/>
      <c r="I18" s="495"/>
      <c r="J18" s="495"/>
    </row>
    <row r="19" spans="1:10" ht="18" x14ac:dyDescent="0.3">
      <c r="A19" s="135"/>
      <c r="B19" s="496" t="s">
        <v>17</v>
      </c>
      <c r="C19" s="496"/>
      <c r="D19" s="496"/>
      <c r="E19" s="496"/>
      <c r="F19" s="496"/>
      <c r="G19" s="496"/>
      <c r="H19" s="496"/>
      <c r="I19" s="496"/>
      <c r="J19" s="496"/>
    </row>
    <row r="20" spans="1:10" x14ac:dyDescent="0.3">
      <c r="A20" s="135"/>
      <c r="B20" s="135"/>
      <c r="C20" s="135"/>
      <c r="D20" s="135"/>
      <c r="E20" s="135"/>
      <c r="F20" s="135"/>
      <c r="G20" s="135"/>
    </row>
    <row r="21" spans="1:10" ht="208" customHeight="1" x14ac:dyDescent="0.3">
      <c r="A21" s="134"/>
      <c r="B21" s="497" t="s">
        <v>18</v>
      </c>
      <c r="C21" s="497"/>
      <c r="D21" s="497"/>
      <c r="E21" s="497"/>
      <c r="F21" s="497"/>
      <c r="G21" s="497"/>
      <c r="H21" s="497"/>
      <c r="I21" s="497"/>
      <c r="J21" s="497"/>
    </row>
    <row r="22" spans="1:10" x14ac:dyDescent="0.3">
      <c r="A22" s="135"/>
      <c r="B22" s="135"/>
      <c r="C22" s="135"/>
      <c r="D22" s="135"/>
      <c r="E22" s="135"/>
      <c r="F22" s="135"/>
      <c r="G22" s="135"/>
    </row>
    <row r="23" spans="1:10" x14ac:dyDescent="0.3">
      <c r="A23" s="135"/>
      <c r="B23" s="135"/>
      <c r="C23" s="135"/>
      <c r="D23" s="135"/>
      <c r="E23" s="135"/>
      <c r="F23" s="135"/>
      <c r="G23" s="135"/>
    </row>
  </sheetData>
  <sheetProtection algorithmName="SHA-512" hashValue="XODxRXAhbG9mhs2P5+3Zu43ObFsuOS0fYuVnKq3s1rUbHhefHu1NS6tqXAhWjs4QKDHeW/2ZX46VXIoRwIjdMA==" saltValue="GwMyh3w8M0JFHcnLdtUl3Q==" spinCount="100000" sheet="1" selectLockedCells="1" selectUnlockedCells="1"/>
  <mergeCells count="9">
    <mergeCell ref="B18:J18"/>
    <mergeCell ref="B19:J19"/>
    <mergeCell ref="B21:J21"/>
    <mergeCell ref="M5:M9"/>
    <mergeCell ref="B16:F16"/>
    <mergeCell ref="B5:J5"/>
    <mergeCell ref="H6:J6"/>
    <mergeCell ref="B7:J15"/>
    <mergeCell ref="H16:J16"/>
  </mergeCells>
  <pageMargins left="0.70866141732283472" right="0.70866141732283472" top="0.74803149606299213" bottom="0.74803149606299213" header="0.31496062992125984" footer="0.31496062992125984"/>
  <pageSetup paperSize="9" scale="77" orientation="portrait" r:id="rId1"/>
  <headerFooter>
    <oddHeader>&amp;L&amp;"Calibri"&amp;8&amp;K000000 Sensitivity: General&amp;1#_x000D_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E29C5-1671-4312-8105-1DF3A1C04F03}">
  <sheetPr codeName="Sheet3">
    <pageSetUpPr fitToPage="1"/>
  </sheetPr>
  <dimension ref="B1:G112"/>
  <sheetViews>
    <sheetView showGridLines="0" tabSelected="1" zoomScale="80" zoomScaleNormal="80" workbookViewId="0">
      <selection activeCell="E22" sqref="E22"/>
    </sheetView>
  </sheetViews>
  <sheetFormatPr defaultColWidth="9" defaultRowHeight="16.5" customHeight="1" x14ac:dyDescent="0.3"/>
  <cols>
    <col min="1" max="1" width="2.83203125" style="281" customWidth="1"/>
    <col min="2" max="2" width="40.58203125" style="281" customWidth="1"/>
    <col min="3" max="3" width="8.58203125" style="281" customWidth="1"/>
    <col min="4" max="4" width="60.58203125" style="281" customWidth="1"/>
    <col min="5" max="5" width="75.08203125" style="281" customWidth="1"/>
    <col min="6" max="6" width="12.08203125" style="281" hidden="1" customWidth="1"/>
    <col min="7" max="7" width="13.75" style="281" customWidth="1"/>
    <col min="8" max="14" width="9" style="281" customWidth="1"/>
    <col min="15" max="16384" width="9" style="281"/>
  </cols>
  <sheetData>
    <row r="1" spans="2:6" ht="135.75" customHeight="1" x14ac:dyDescent="0.3">
      <c r="F1" s="281" t="s">
        <v>19</v>
      </c>
    </row>
    <row r="4" spans="2:6" ht="20.25" customHeight="1" x14ac:dyDescent="0.3">
      <c r="B4" s="282" t="s">
        <v>20</v>
      </c>
      <c r="C4" s="282"/>
      <c r="D4" s="282"/>
      <c r="F4" s="281" t="s">
        <v>21</v>
      </c>
    </row>
    <row r="5" spans="2:6" ht="20.25" customHeight="1" x14ac:dyDescent="0.3">
      <c r="B5" s="283" t="s">
        <v>22</v>
      </c>
      <c r="C5" s="284"/>
      <c r="D5" s="285"/>
      <c r="F5" s="281" t="s">
        <v>23</v>
      </c>
    </row>
    <row r="6" spans="2:6" ht="20.25" customHeight="1" x14ac:dyDescent="0.3">
      <c r="B6" s="515" t="s">
        <v>24</v>
      </c>
      <c r="C6" s="286"/>
      <c r="D6" s="285"/>
      <c r="F6" s="281" t="s">
        <v>25</v>
      </c>
    </row>
    <row r="7" spans="2:6" ht="20.25" customHeight="1" x14ac:dyDescent="0.3">
      <c r="B7" s="516"/>
      <c r="C7" s="287"/>
      <c r="D7" s="285"/>
      <c r="F7" s="281" t="s">
        <v>26</v>
      </c>
    </row>
    <row r="8" spans="2:6" ht="20.25" customHeight="1" x14ac:dyDescent="0.3">
      <c r="B8" s="517"/>
      <c r="C8" s="288"/>
      <c r="D8" s="285"/>
      <c r="F8" s="281" t="s">
        <v>27</v>
      </c>
    </row>
    <row r="9" spans="2:6" ht="20.25" customHeight="1" x14ac:dyDescent="0.3">
      <c r="B9" s="283" t="s">
        <v>28</v>
      </c>
      <c r="C9" s="284"/>
      <c r="D9" s="289"/>
      <c r="F9" s="281" t="s">
        <v>29</v>
      </c>
    </row>
    <row r="10" spans="2:6" ht="20.25" customHeight="1" x14ac:dyDescent="0.3">
      <c r="B10" s="283" t="s">
        <v>30</v>
      </c>
      <c r="C10" s="284"/>
      <c r="D10" s="289"/>
      <c r="F10" s="281" t="s">
        <v>31</v>
      </c>
    </row>
    <row r="11" spans="2:6" ht="20.25" customHeight="1" x14ac:dyDescent="0.3">
      <c r="B11" s="290"/>
      <c r="C11" s="290"/>
      <c r="D11" s="291"/>
      <c r="F11" s="281" t="s">
        <v>32</v>
      </c>
    </row>
    <row r="12" spans="2:6" ht="20.25" customHeight="1" x14ac:dyDescent="0.3">
      <c r="B12" s="282" t="s">
        <v>33</v>
      </c>
      <c r="C12" s="282"/>
      <c r="D12" s="282" t="s">
        <v>34</v>
      </c>
    </row>
    <row r="13" spans="2:6" ht="20.25" customHeight="1" x14ac:dyDescent="0.3">
      <c r="B13" s="283" t="s">
        <v>35</v>
      </c>
      <c r="C13" s="284"/>
      <c r="D13" s="292"/>
    </row>
    <row r="14" spans="2:6" ht="20.25" customHeight="1" x14ac:dyDescent="0.3">
      <c r="B14" s="283" t="s">
        <v>36</v>
      </c>
      <c r="C14" s="284"/>
      <c r="D14" s="292"/>
    </row>
    <row r="15" spans="2:6" ht="20.25" customHeight="1" x14ac:dyDescent="0.3">
      <c r="B15" s="283" t="s">
        <v>37</v>
      </c>
      <c r="C15" s="284"/>
      <c r="D15" s="292"/>
    </row>
    <row r="16" spans="2:6" ht="20.25" customHeight="1" x14ac:dyDescent="0.3">
      <c r="B16" s="283" t="s">
        <v>38</v>
      </c>
      <c r="C16" s="284"/>
      <c r="D16" s="292"/>
    </row>
    <row r="17" spans="2:7" ht="20.25" customHeight="1" x14ac:dyDescent="0.3">
      <c r="B17" s="283" t="s">
        <v>39</v>
      </c>
      <c r="C17" s="284"/>
      <c r="D17" s="292"/>
    </row>
    <row r="18" spans="2:7" ht="20.25" customHeight="1" x14ac:dyDescent="0.3"/>
    <row r="19" spans="2:7" ht="20.25" customHeight="1" x14ac:dyDescent="0.3">
      <c r="B19" s="282" t="s">
        <v>40</v>
      </c>
      <c r="C19" s="282"/>
      <c r="D19" s="282"/>
    </row>
    <row r="20" spans="2:7" ht="20.25" customHeight="1" x14ac:dyDescent="0.3">
      <c r="B20" s="515" t="s">
        <v>41</v>
      </c>
      <c r="C20" s="286"/>
      <c r="D20" s="518" t="s">
        <v>456</v>
      </c>
    </row>
    <row r="21" spans="2:7" ht="20.25" customHeight="1" x14ac:dyDescent="0.3">
      <c r="B21" s="517"/>
      <c r="C21" s="288"/>
      <c r="D21" s="519"/>
    </row>
    <row r="22" spans="2:7" ht="60" customHeight="1" x14ac:dyDescent="0.3">
      <c r="B22" s="520" t="s">
        <v>42</v>
      </c>
      <c r="C22" s="521"/>
      <c r="D22" s="293" t="s">
        <v>45</v>
      </c>
      <c r="E22" s="487" t="s">
        <v>43</v>
      </c>
      <c r="F22" s="281" t="s">
        <v>44</v>
      </c>
      <c r="G22" s="294"/>
    </row>
    <row r="23" spans="2:7" ht="20.25" customHeight="1" x14ac:dyDescent="0.3">
      <c r="B23" s="295"/>
      <c r="C23" s="295"/>
      <c r="D23" s="296"/>
      <c r="F23" s="281" t="s">
        <v>45</v>
      </c>
    </row>
    <row r="24" spans="2:7" ht="20.25" customHeight="1" x14ac:dyDescent="0.3">
      <c r="B24" s="282" t="s">
        <v>46</v>
      </c>
      <c r="C24" s="282"/>
      <c r="D24" s="297" t="str">
        <f>IF(D22="Yes","Enter the project areas for Office and Industrial","")</f>
        <v/>
      </c>
    </row>
    <row r="25" spans="2:7" ht="20.25" customHeight="1" x14ac:dyDescent="0.3">
      <c r="B25" s="283" t="s">
        <v>47</v>
      </c>
      <c r="C25" s="284"/>
      <c r="D25" s="289"/>
    </row>
    <row r="26" spans="2:7" ht="20.25" customHeight="1" x14ac:dyDescent="0.3">
      <c r="B26" s="283" t="s">
        <v>48</v>
      </c>
      <c r="C26" s="284"/>
      <c r="D26" s="289"/>
    </row>
    <row r="27" spans="2:7" ht="20.25" customHeight="1" x14ac:dyDescent="0.3">
      <c r="B27" s="283" t="s">
        <v>49</v>
      </c>
      <c r="C27" s="284"/>
      <c r="D27" s="488"/>
    </row>
    <row r="28" spans="2:7" ht="20.25" customHeight="1" x14ac:dyDescent="0.3">
      <c r="B28" s="283" t="s">
        <v>50</v>
      </c>
      <c r="C28" s="284"/>
      <c r="D28" s="289"/>
    </row>
    <row r="29" spans="2:7" ht="20.25" customHeight="1" x14ac:dyDescent="0.3">
      <c r="B29" s="283" t="s">
        <v>51</v>
      </c>
      <c r="C29" s="284"/>
      <c r="D29" s="488"/>
    </row>
    <row r="30" spans="2:7" ht="20.25" customHeight="1" x14ac:dyDescent="0.3">
      <c r="B30" s="283" t="s">
        <v>52</v>
      </c>
      <c r="C30" s="284"/>
      <c r="D30" s="289"/>
    </row>
    <row r="31" spans="2:7" ht="20.25" customHeight="1" x14ac:dyDescent="0.3">
      <c r="B31" s="283" t="s">
        <v>53</v>
      </c>
      <c r="C31" s="284"/>
      <c r="D31" s="289"/>
    </row>
    <row r="32" spans="2:7" ht="20.25" customHeight="1" x14ac:dyDescent="0.3">
      <c r="B32" s="282" t="s">
        <v>54</v>
      </c>
      <c r="C32" s="282"/>
      <c r="D32" s="298">
        <f>SUM(D25:D31)</f>
        <v>0</v>
      </c>
    </row>
    <row r="33" spans="2:4" ht="20.25" customHeight="1" x14ac:dyDescent="0.3">
      <c r="B33" s="290"/>
      <c r="C33" s="290"/>
      <c r="D33" s="291"/>
    </row>
    <row r="34" spans="2:4" ht="20.25" customHeight="1" x14ac:dyDescent="0.3">
      <c r="B34" s="282" t="s">
        <v>55</v>
      </c>
      <c r="C34" s="282"/>
      <c r="D34" s="282"/>
    </row>
    <row r="35" spans="2:4" ht="20.25" customHeight="1" x14ac:dyDescent="0.3">
      <c r="B35" s="283" t="s">
        <v>56</v>
      </c>
      <c r="C35" s="284"/>
      <c r="D35" s="285"/>
    </row>
    <row r="36" spans="2:4" ht="20.25" customHeight="1" x14ac:dyDescent="0.3">
      <c r="B36" s="283" t="s">
        <v>57</v>
      </c>
      <c r="C36" s="284"/>
      <c r="D36" s="285"/>
    </row>
    <row r="37" spans="2:4" ht="20.25" customHeight="1" x14ac:dyDescent="0.3">
      <c r="B37" s="299"/>
      <c r="C37" s="299"/>
      <c r="D37" s="300"/>
    </row>
    <row r="38" spans="2:4" ht="20.25" customHeight="1" x14ac:dyDescent="0.3">
      <c r="B38" s="282" t="s">
        <v>58</v>
      </c>
      <c r="C38" s="282"/>
      <c r="D38" s="282" t="s">
        <v>59</v>
      </c>
    </row>
    <row r="39" spans="2:4" ht="20.25" customHeight="1" x14ac:dyDescent="0.3">
      <c r="B39" s="283" t="s">
        <v>60</v>
      </c>
      <c r="C39" s="284"/>
      <c r="D39" s="285"/>
    </row>
    <row r="40" spans="2:4" ht="20.25" customHeight="1" x14ac:dyDescent="0.3">
      <c r="B40" s="283" t="s">
        <v>61</v>
      </c>
      <c r="C40" s="284"/>
      <c r="D40" s="285"/>
    </row>
    <row r="41" spans="2:4" ht="20.25" customHeight="1" x14ac:dyDescent="0.3">
      <c r="B41" s="283" t="s">
        <v>62</v>
      </c>
      <c r="C41" s="284"/>
      <c r="D41" s="285"/>
    </row>
    <row r="42" spans="2:4" ht="20.25" customHeight="1" x14ac:dyDescent="0.3">
      <c r="B42" s="283" t="s">
        <v>63</v>
      </c>
      <c r="C42" s="284"/>
      <c r="D42" s="285"/>
    </row>
    <row r="43" spans="2:4" ht="20.25" customHeight="1" x14ac:dyDescent="0.3">
      <c r="B43" s="283" t="s">
        <v>64</v>
      </c>
      <c r="C43" s="284"/>
      <c r="D43" s="285"/>
    </row>
    <row r="44" spans="2:4" ht="20.25" customHeight="1" x14ac:dyDescent="0.3">
      <c r="B44" s="283" t="s">
        <v>65</v>
      </c>
      <c r="C44" s="284"/>
      <c r="D44" s="285"/>
    </row>
    <row r="45" spans="2:4" ht="20.25" customHeight="1" x14ac:dyDescent="0.3">
      <c r="B45" s="283" t="s">
        <v>66</v>
      </c>
      <c r="C45" s="284"/>
      <c r="D45" s="285"/>
    </row>
    <row r="46" spans="2:4" ht="20.25" customHeight="1" x14ac:dyDescent="0.3">
      <c r="B46" s="283" t="s">
        <v>67</v>
      </c>
      <c r="C46" s="284"/>
      <c r="D46" s="285"/>
    </row>
    <row r="47" spans="2:4" ht="20.25" customHeight="1" x14ac:dyDescent="0.3">
      <c r="B47" s="283" t="s">
        <v>68</v>
      </c>
      <c r="C47" s="284"/>
      <c r="D47" s="285"/>
    </row>
    <row r="48" spans="2:4" ht="20.25" customHeight="1" x14ac:dyDescent="0.3">
      <c r="B48" s="283" t="s">
        <v>69</v>
      </c>
      <c r="C48" s="284"/>
      <c r="D48" s="285"/>
    </row>
    <row r="49" spans="2:5" ht="20.25" customHeight="1" x14ac:dyDescent="0.3">
      <c r="B49" s="283" t="s">
        <v>70</v>
      </c>
      <c r="C49" s="284"/>
      <c r="D49" s="285"/>
    </row>
    <row r="51" spans="2:5" ht="20.25" customHeight="1" x14ac:dyDescent="0.3">
      <c r="B51" s="522" t="s">
        <v>71</v>
      </c>
      <c r="C51" s="522"/>
      <c r="D51" s="522"/>
    </row>
    <row r="52" spans="2:5" ht="92.5" customHeight="1" x14ac:dyDescent="0.3">
      <c r="B52" s="511" t="s">
        <v>72</v>
      </c>
      <c r="C52" s="511"/>
      <c r="D52" s="511"/>
    </row>
    <row r="53" spans="2:5" ht="27.75" customHeight="1" x14ac:dyDescent="0.3">
      <c r="B53" s="503" t="s">
        <v>73</v>
      </c>
      <c r="C53" s="504"/>
      <c r="D53" s="301" t="s">
        <v>44</v>
      </c>
      <c r="E53" s="302" t="str">
        <f>IF(AND(D53="No",COUNTA(E58:E80)&gt;0),"Error: Please select 'Yes' and check if there are any credits that are claimed as Not Applicable","")</f>
        <v/>
      </c>
    </row>
    <row r="54" spans="2:5" ht="44.25" customHeight="1" x14ac:dyDescent="0.3">
      <c r="B54" s="524" t="s">
        <v>74</v>
      </c>
      <c r="C54" s="524"/>
      <c r="D54" s="524"/>
    </row>
    <row r="55" spans="2:5" ht="20.25" customHeight="1" x14ac:dyDescent="0.3">
      <c r="B55" s="303"/>
      <c r="C55" s="303"/>
      <c r="D55" s="303"/>
    </row>
    <row r="56" spans="2:5" ht="30" customHeight="1" x14ac:dyDescent="0.3">
      <c r="B56" s="304" t="s">
        <v>75</v>
      </c>
      <c r="C56" s="304"/>
      <c r="D56" s="304"/>
      <c r="E56" s="305" t="s">
        <v>76</v>
      </c>
    </row>
    <row r="57" spans="2:5" ht="21.75" customHeight="1" x14ac:dyDescent="0.3">
      <c r="B57" s="306" t="s">
        <v>77</v>
      </c>
      <c r="C57" s="307" t="s">
        <v>78</v>
      </c>
      <c r="D57" s="308" t="s">
        <v>79</v>
      </c>
      <c r="E57" s="309" t="s">
        <v>80</v>
      </c>
    </row>
    <row r="58" spans="2:5" ht="20.25" customHeight="1" x14ac:dyDescent="0.3">
      <c r="B58" s="513" t="s">
        <v>81</v>
      </c>
      <c r="C58" s="310">
        <v>9.1</v>
      </c>
      <c r="D58" s="311" t="s">
        <v>82</v>
      </c>
      <c r="E58" s="312"/>
    </row>
    <row r="59" spans="2:5" ht="20.25" customHeight="1" x14ac:dyDescent="0.3">
      <c r="B59" s="513"/>
      <c r="C59" s="313">
        <v>9.1999999999999993</v>
      </c>
      <c r="D59" s="314" t="s">
        <v>83</v>
      </c>
      <c r="E59" s="312"/>
    </row>
    <row r="60" spans="2:5" ht="20.25" customHeight="1" x14ac:dyDescent="0.3">
      <c r="B60" s="514"/>
      <c r="C60" s="313">
        <v>9.3000000000000007</v>
      </c>
      <c r="D60" s="314" t="s">
        <v>84</v>
      </c>
      <c r="E60" s="312"/>
    </row>
    <row r="61" spans="2:5" ht="20.25" customHeight="1" x14ac:dyDescent="0.3">
      <c r="B61" s="512" t="s">
        <v>85</v>
      </c>
      <c r="C61" s="313">
        <v>10.1</v>
      </c>
      <c r="D61" s="314" t="s">
        <v>86</v>
      </c>
      <c r="E61" s="312"/>
    </row>
    <row r="62" spans="2:5" ht="20.25" customHeight="1" x14ac:dyDescent="0.3">
      <c r="B62" s="513"/>
      <c r="C62" s="313">
        <v>10.199999999999999</v>
      </c>
      <c r="D62" s="314" t="s">
        <v>87</v>
      </c>
      <c r="E62" s="312"/>
    </row>
    <row r="63" spans="2:5" ht="20.25" customHeight="1" x14ac:dyDescent="0.3">
      <c r="B63" s="514"/>
      <c r="C63" s="313">
        <v>10.3</v>
      </c>
      <c r="D63" s="314" t="s">
        <v>88</v>
      </c>
      <c r="E63" s="312"/>
    </row>
    <row r="64" spans="2:5" ht="20.25" customHeight="1" x14ac:dyDescent="0.3">
      <c r="B64" s="512" t="s">
        <v>89</v>
      </c>
      <c r="C64" s="313">
        <v>11.2</v>
      </c>
      <c r="D64" s="314" t="s">
        <v>90</v>
      </c>
      <c r="E64" s="312"/>
    </row>
    <row r="65" spans="2:5" ht="20.25" customHeight="1" x14ac:dyDescent="0.3">
      <c r="B65" s="513"/>
      <c r="C65" s="313">
        <v>11.3</v>
      </c>
      <c r="D65" s="314" t="s">
        <v>91</v>
      </c>
      <c r="E65" s="312"/>
    </row>
    <row r="66" spans="2:5" ht="20.25" customHeight="1" x14ac:dyDescent="0.3">
      <c r="B66" s="514"/>
      <c r="C66" s="313">
        <v>11.4</v>
      </c>
      <c r="D66" s="314" t="s">
        <v>92</v>
      </c>
      <c r="E66" s="312"/>
    </row>
    <row r="67" spans="2:5" ht="20.25" customHeight="1" x14ac:dyDescent="0.3">
      <c r="B67" s="512" t="s">
        <v>93</v>
      </c>
      <c r="C67" s="313">
        <v>12.2</v>
      </c>
      <c r="D67" s="314" t="s">
        <v>94</v>
      </c>
      <c r="E67" s="312"/>
    </row>
    <row r="68" spans="2:5" ht="20.25" customHeight="1" x14ac:dyDescent="0.3">
      <c r="B68" s="514"/>
      <c r="C68" s="313">
        <v>12.3</v>
      </c>
      <c r="D68" s="314" t="s">
        <v>95</v>
      </c>
      <c r="E68" s="312"/>
    </row>
    <row r="69" spans="2:5" ht="20.25" customHeight="1" x14ac:dyDescent="0.3">
      <c r="B69" s="512" t="s">
        <v>96</v>
      </c>
      <c r="C69" s="313">
        <v>13.1</v>
      </c>
      <c r="D69" s="314" t="s">
        <v>97</v>
      </c>
      <c r="E69" s="312"/>
    </row>
    <row r="70" spans="2:5" ht="20.25" customHeight="1" x14ac:dyDescent="0.3">
      <c r="B70" s="514"/>
      <c r="C70" s="313">
        <v>13.2</v>
      </c>
      <c r="D70" s="314" t="s">
        <v>98</v>
      </c>
      <c r="E70" s="312"/>
    </row>
    <row r="71" spans="2:5" ht="20.25" customHeight="1" x14ac:dyDescent="0.3">
      <c r="B71" s="512" t="s">
        <v>99</v>
      </c>
      <c r="C71" s="313">
        <v>14.1</v>
      </c>
      <c r="D71" s="314" t="s">
        <v>99</v>
      </c>
      <c r="E71" s="312"/>
    </row>
    <row r="72" spans="2:5" ht="20.25" customHeight="1" x14ac:dyDescent="0.3">
      <c r="B72" s="514"/>
      <c r="C72" s="313">
        <v>14.2</v>
      </c>
      <c r="D72" s="314" t="s">
        <v>100</v>
      </c>
      <c r="E72" s="312"/>
    </row>
    <row r="73" spans="2:5" ht="20.25" customHeight="1" x14ac:dyDescent="0.3">
      <c r="B73" s="506" t="s">
        <v>101</v>
      </c>
      <c r="C73" s="315" t="s">
        <v>102</v>
      </c>
      <c r="D73" s="316" t="s">
        <v>103</v>
      </c>
      <c r="E73" s="312"/>
    </row>
    <row r="74" spans="2:5" ht="20.25" customHeight="1" x14ac:dyDescent="0.3">
      <c r="B74" s="507"/>
      <c r="C74" s="315" t="s">
        <v>104</v>
      </c>
      <c r="D74" s="316" t="s">
        <v>105</v>
      </c>
      <c r="E74" s="312"/>
    </row>
    <row r="75" spans="2:5" ht="20.25" customHeight="1" x14ac:dyDescent="0.3">
      <c r="B75" s="506" t="s">
        <v>106</v>
      </c>
      <c r="C75" s="315" t="s">
        <v>107</v>
      </c>
      <c r="D75" s="316" t="s">
        <v>108</v>
      </c>
      <c r="E75" s="312"/>
    </row>
    <row r="76" spans="2:5" ht="20.25" customHeight="1" x14ac:dyDescent="0.3">
      <c r="B76" s="507"/>
      <c r="C76" s="315" t="s">
        <v>109</v>
      </c>
      <c r="D76" s="316" t="s">
        <v>110</v>
      </c>
      <c r="E76" s="312"/>
    </row>
    <row r="77" spans="2:5" ht="20.25" customHeight="1" x14ac:dyDescent="0.3">
      <c r="B77" s="508" t="s">
        <v>111</v>
      </c>
      <c r="C77" s="317">
        <v>20.100000000000001</v>
      </c>
      <c r="D77" s="318" t="s">
        <v>112</v>
      </c>
      <c r="E77" s="312"/>
    </row>
    <row r="78" spans="2:5" ht="20.25" customHeight="1" x14ac:dyDescent="0.3">
      <c r="B78" s="509"/>
      <c r="C78" s="317">
        <v>20.2</v>
      </c>
      <c r="D78" s="318" t="s">
        <v>113</v>
      </c>
      <c r="E78" s="312"/>
    </row>
    <row r="79" spans="2:5" ht="20.25" customHeight="1" x14ac:dyDescent="0.3">
      <c r="B79" s="510"/>
      <c r="C79" s="317">
        <v>20.3</v>
      </c>
      <c r="D79" s="314" t="s">
        <v>114</v>
      </c>
      <c r="E79" s="312"/>
    </row>
    <row r="80" spans="2:5" ht="20.25" customHeight="1" x14ac:dyDescent="0.3">
      <c r="B80" s="319" t="s">
        <v>115</v>
      </c>
      <c r="C80" s="313">
        <v>24.3</v>
      </c>
      <c r="D80" s="314" t="s">
        <v>116</v>
      </c>
      <c r="E80" s="312"/>
    </row>
    <row r="81" spans="2:5" ht="16.5" customHeight="1" x14ac:dyDescent="0.3">
      <c r="B81" s="319" t="s">
        <v>117</v>
      </c>
      <c r="C81" s="313">
        <v>28</v>
      </c>
      <c r="D81" s="314" t="s">
        <v>117</v>
      </c>
      <c r="E81" s="312"/>
    </row>
    <row r="82" spans="2:5" ht="39.75" customHeight="1" x14ac:dyDescent="0.3">
      <c r="B82" s="523" t="s">
        <v>118</v>
      </c>
      <c r="C82" s="523"/>
      <c r="D82" s="523"/>
      <c r="E82" s="523"/>
    </row>
    <row r="83" spans="2:5" ht="20.25" customHeight="1" x14ac:dyDescent="0.3">
      <c r="B83" s="363"/>
      <c r="C83" s="363"/>
      <c r="D83" s="363"/>
      <c r="E83" s="363"/>
    </row>
    <row r="84" spans="2:5" ht="20.25" customHeight="1" x14ac:dyDescent="0.3">
      <c r="B84" s="522" t="s">
        <v>119</v>
      </c>
      <c r="C84" s="522"/>
      <c r="D84" s="522"/>
      <c r="E84" s="363"/>
    </row>
    <row r="85" spans="2:5" ht="50.25" customHeight="1" x14ac:dyDescent="0.3">
      <c r="B85" s="511" t="s">
        <v>120</v>
      </c>
      <c r="C85" s="511"/>
      <c r="D85" s="511"/>
      <c r="E85" s="363"/>
    </row>
    <row r="86" spans="2:5" ht="27.75" customHeight="1" x14ac:dyDescent="0.3">
      <c r="B86" s="503" t="s">
        <v>121</v>
      </c>
      <c r="C86" s="504"/>
      <c r="D86" s="301" t="s">
        <v>45</v>
      </c>
      <c r="E86" s="363"/>
    </row>
    <row r="87" spans="2:5" ht="20.25" customHeight="1" x14ac:dyDescent="0.3">
      <c r="B87" s="524" t="s">
        <v>122</v>
      </c>
      <c r="C87" s="524"/>
      <c r="D87" s="524"/>
      <c r="E87" s="363"/>
    </row>
    <row r="88" spans="2:5" ht="20.25" customHeight="1" x14ac:dyDescent="0.3">
      <c r="B88" s="363"/>
      <c r="C88" s="363"/>
      <c r="D88" s="363"/>
      <c r="E88" s="363"/>
    </row>
    <row r="89" spans="2:5" ht="30" customHeight="1" x14ac:dyDescent="0.3">
      <c r="B89" s="304" t="s">
        <v>123</v>
      </c>
      <c r="C89" s="304"/>
      <c r="D89" s="304"/>
      <c r="E89" s="305" t="s">
        <v>76</v>
      </c>
    </row>
    <row r="90" spans="2:5" ht="20.25" customHeight="1" x14ac:dyDescent="0.3">
      <c r="B90" s="512" t="s">
        <v>85</v>
      </c>
      <c r="C90" s="313">
        <v>10.199999999999999</v>
      </c>
      <c r="D90" s="314" t="s">
        <v>87</v>
      </c>
      <c r="E90" s="312"/>
    </row>
    <row r="91" spans="2:5" ht="20.25" customHeight="1" x14ac:dyDescent="0.3">
      <c r="B91" s="514"/>
      <c r="C91" s="313">
        <v>10.3</v>
      </c>
      <c r="D91" s="314" t="s">
        <v>88</v>
      </c>
      <c r="E91" s="312"/>
    </row>
    <row r="92" spans="2:5" ht="20.25" customHeight="1" x14ac:dyDescent="0.3">
      <c r="B92" s="512" t="s">
        <v>89</v>
      </c>
      <c r="C92" s="313">
        <v>11.2</v>
      </c>
      <c r="D92" s="314" t="s">
        <v>90</v>
      </c>
      <c r="E92" s="312"/>
    </row>
    <row r="93" spans="2:5" ht="20.25" customHeight="1" x14ac:dyDescent="0.3">
      <c r="B93" s="513"/>
      <c r="C93" s="313">
        <v>11.3</v>
      </c>
      <c r="D93" s="314" t="s">
        <v>91</v>
      </c>
      <c r="E93" s="312"/>
    </row>
    <row r="94" spans="2:5" ht="20.25" customHeight="1" x14ac:dyDescent="0.3">
      <c r="B94" s="514"/>
      <c r="C94" s="313">
        <v>11.4</v>
      </c>
      <c r="D94" s="314" t="s">
        <v>92</v>
      </c>
      <c r="E94" s="312"/>
    </row>
    <row r="95" spans="2:5" ht="20.25" customHeight="1" x14ac:dyDescent="0.3">
      <c r="B95" s="512" t="s">
        <v>96</v>
      </c>
      <c r="C95" s="313">
        <v>13.1</v>
      </c>
      <c r="D95" s="314" t="s">
        <v>97</v>
      </c>
      <c r="E95" s="312"/>
    </row>
    <row r="96" spans="2:5" ht="20.25" customHeight="1" x14ac:dyDescent="0.3">
      <c r="B96" s="514"/>
      <c r="C96" s="313">
        <v>13.2</v>
      </c>
      <c r="D96" s="314" t="s">
        <v>98</v>
      </c>
      <c r="E96" s="312"/>
    </row>
    <row r="97" spans="2:5" ht="20.25" customHeight="1" x14ac:dyDescent="0.3"/>
    <row r="98" spans="2:5" ht="25.5" customHeight="1" x14ac:dyDescent="0.3">
      <c r="B98" s="523" t="s">
        <v>124</v>
      </c>
      <c r="C98" s="523"/>
      <c r="D98" s="523"/>
      <c r="E98" s="523"/>
    </row>
    <row r="100" spans="2:5" ht="20.25" customHeight="1" x14ac:dyDescent="0.3">
      <c r="B100" s="320" t="s">
        <v>125</v>
      </c>
      <c r="C100" s="320"/>
      <c r="D100" s="320"/>
    </row>
    <row r="101" spans="2:5" ht="160" customHeight="1" x14ac:dyDescent="0.3">
      <c r="B101" s="511" t="s">
        <v>126</v>
      </c>
      <c r="C101" s="511"/>
      <c r="D101" s="511"/>
    </row>
    <row r="102" spans="2:5" ht="20.25" customHeight="1" x14ac:dyDescent="0.3">
      <c r="B102" s="503" t="s">
        <v>127</v>
      </c>
      <c r="C102" s="505"/>
      <c r="D102" s="321"/>
    </row>
    <row r="103" spans="2:5" ht="20.25" customHeight="1" x14ac:dyDescent="0.3">
      <c r="B103" s="503" t="s">
        <v>128</v>
      </c>
      <c r="C103" s="505"/>
      <c r="D103" s="321"/>
    </row>
    <row r="104" spans="2:5" ht="20.25" customHeight="1" x14ac:dyDescent="0.3">
      <c r="B104" s="503" t="s">
        <v>129</v>
      </c>
      <c r="C104" s="505"/>
      <c r="D104" s="321"/>
    </row>
    <row r="105" spans="2:5" ht="20.25" customHeight="1" x14ac:dyDescent="0.3">
      <c r="B105" s="503" t="s">
        <v>130</v>
      </c>
      <c r="C105" s="504"/>
      <c r="D105" s="322">
        <f>IF(SEL_YN_Industrial="Yes",0,ROUND(IFERROR((D103)/D102,0),2))</f>
        <v>0</v>
      </c>
      <c r="E105" s="323"/>
    </row>
    <row r="106" spans="2:5" ht="20.25" customHeight="1" x14ac:dyDescent="0.3">
      <c r="B106" s="503" t="s">
        <v>131</v>
      </c>
      <c r="C106" s="504"/>
      <c r="D106" s="322">
        <f>IF(SEL_YN_Industrial="Yes",0,ROUND(IFERROR((D104)/D102,0),2))</f>
        <v>0</v>
      </c>
      <c r="E106" s="323"/>
    </row>
    <row r="107" spans="2:5" ht="45.75" customHeight="1" x14ac:dyDescent="0.3">
      <c r="B107" s="503" t="s">
        <v>132</v>
      </c>
      <c r="C107" s="504"/>
      <c r="D107" s="324" t="str">
        <f>IF(D103="","",IF((D105+D106)&lt;=0.05,"Scaling of Type C credits do not apply when total cold shell areas are &lt;5%.",IF((D105+D106)&gt;=0.95,"Credits will be scaled at 100% so that 100% of the points available in Type C credits may be targeted as Not Applicable.","Credits will be scaled so that "&amp;(1-D105-D106)*100&amp;"% of the points available in Type C credits can be claimed and "&amp;(D105+D106)*100&amp;"% targeted as Not Applicable.")))</f>
        <v/>
      </c>
    </row>
    <row r="108" spans="2:5" ht="45.75" customHeight="1" x14ac:dyDescent="0.3">
      <c r="B108" s="503" t="s">
        <v>133</v>
      </c>
      <c r="C108" s="504"/>
      <c r="D108" s="324" t="str">
        <f>IF(D103="","",IF((D105)&lt;=0.05,"Scaling of Type C credits do not apply when total cold shell areas are &lt;5%.",IF((D105)&gt;=0.95,"Credits will be scaled at 100% so that 100% of the points available in Type C credits may be targeted as Not Applicable.","Credits will be scaled so that "&amp;(1-D105)*100&amp;"% of the points available in Type C credits can be claimed and "&amp;(D105)*100&amp;"% targeted as Not Applicable.")))</f>
        <v/>
      </c>
    </row>
    <row r="109" spans="2:5" ht="16.5" customHeight="1" x14ac:dyDescent="0.3">
      <c r="B109" s="295"/>
      <c r="C109" s="295"/>
    </row>
    <row r="110" spans="2:5" ht="16.5" customHeight="1" x14ac:dyDescent="0.3">
      <c r="B110" s="295"/>
      <c r="C110" s="295"/>
    </row>
    <row r="111" spans="2:5" ht="16.5" customHeight="1" x14ac:dyDescent="0.3">
      <c r="B111" s="295"/>
      <c r="C111" s="295"/>
    </row>
    <row r="112" spans="2:5" ht="16.5" customHeight="1" x14ac:dyDescent="0.3">
      <c r="B112" s="295"/>
      <c r="C112" s="295"/>
    </row>
  </sheetData>
  <sheetProtection algorithmName="SHA-512" hashValue="q0wNs/Z0WmnipAU3jy4faIRSuf0Cu2e/G0+KDHQEbRBhwCJ4ZpnXV+nkk+8mCubWgvjBqWjHGTxSUIp37fbQhA==" saltValue="Onsn9vzxb+twFsMMv8hL4w==" spinCount="100000" sheet="1" objects="1" scenarios="1"/>
  <mergeCells count="34">
    <mergeCell ref="B108:C108"/>
    <mergeCell ref="B98:E98"/>
    <mergeCell ref="B52:D52"/>
    <mergeCell ref="B106:C106"/>
    <mergeCell ref="B84:D84"/>
    <mergeCell ref="B85:D85"/>
    <mergeCell ref="B86:C86"/>
    <mergeCell ref="B87:D87"/>
    <mergeCell ref="B92:B94"/>
    <mergeCell ref="B95:B96"/>
    <mergeCell ref="B90:B91"/>
    <mergeCell ref="B82:E82"/>
    <mergeCell ref="B53:C53"/>
    <mergeCell ref="B54:D54"/>
    <mergeCell ref="B58:B60"/>
    <mergeCell ref="B61:B63"/>
    <mergeCell ref="B6:B8"/>
    <mergeCell ref="B20:B21"/>
    <mergeCell ref="D20:D21"/>
    <mergeCell ref="B22:C22"/>
    <mergeCell ref="B51:D51"/>
    <mergeCell ref="B64:B66"/>
    <mergeCell ref="B67:B68"/>
    <mergeCell ref="B69:B70"/>
    <mergeCell ref="B71:B72"/>
    <mergeCell ref="B73:B74"/>
    <mergeCell ref="B105:C105"/>
    <mergeCell ref="B107:C107"/>
    <mergeCell ref="B104:C104"/>
    <mergeCell ref="B75:B76"/>
    <mergeCell ref="B77:B79"/>
    <mergeCell ref="B101:D101"/>
    <mergeCell ref="B102:C102"/>
    <mergeCell ref="B103:C103"/>
  </mergeCells>
  <dataValidations count="4">
    <dataValidation type="list" allowBlank="1" showInputMessage="1" showErrorMessage="1" sqref="D22" xr:uid="{4728300D-730C-40EE-92A0-52F5400596B6}">
      <formula1>$F$22:$F$23</formula1>
    </dataValidation>
    <dataValidation type="list" allowBlank="1" showInputMessage="1" showErrorMessage="1" sqref="D53 D86" xr:uid="{8FF3BF68-1AB9-4E64-AF18-BD8FF4D41395}">
      <formula1>"Yes,No"</formula1>
    </dataValidation>
    <dataValidation type="list" allowBlank="1" showInputMessage="1" showErrorMessage="1" sqref="E58:E81 E90:E96" xr:uid="{80D09450-18AC-47B5-B97C-F7055F93F977}">
      <formula1>$F$22</formula1>
    </dataValidation>
    <dataValidation type="list" allowBlank="1" showInputMessage="1" showErrorMessage="1" sqref="D10" xr:uid="{CA5B6A52-BDA4-4ED6-9355-EA24FC824C26}">
      <formula1>$F$4:$F$11</formula1>
    </dataValidation>
  </dataValidations>
  <pageMargins left="0.70866141732283472" right="0.70866141732283472" top="0.74803149606299213" bottom="0.74803149606299213" header="0.31496062992125984" footer="0.31496062992125984"/>
  <pageSetup paperSize="9" scale="64" orientation="portrait" horizontalDpi="1200" verticalDpi="1200" r:id="rId1"/>
  <headerFooter>
    <oddHeader>&amp;L&amp;"Calibri"&amp;8&amp;K000000 Sensitivity: General&amp;1#_x000D_</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04348-A325-4854-A629-016AFCFDB95A}">
  <sheetPr codeName="Sheet6">
    <pageSetUpPr fitToPage="1"/>
  </sheetPr>
  <dimension ref="A1:AS151"/>
  <sheetViews>
    <sheetView showGridLines="0" topLeftCell="D1" zoomScale="70" zoomScaleNormal="70" workbookViewId="0">
      <selection activeCell="W12" sqref="W12"/>
    </sheetView>
  </sheetViews>
  <sheetFormatPr defaultColWidth="9" defaultRowHeight="14" x14ac:dyDescent="0.3"/>
  <cols>
    <col min="1" max="3" width="9" style="141" hidden="1" customWidth="1"/>
    <col min="4" max="4" width="8.203125E-2" style="141" customWidth="1"/>
    <col min="5" max="5" width="4" style="141" customWidth="1"/>
    <col min="6" max="6" width="24" style="5" customWidth="1"/>
    <col min="7" max="7" width="47.83203125" style="5" customWidth="1"/>
    <col min="8" max="8" width="9.58203125" style="3" customWidth="1"/>
    <col min="9" max="9" width="51.83203125" style="5" customWidth="1"/>
    <col min="10" max="10" width="4.58203125" style="3" hidden="1" customWidth="1"/>
    <col min="11" max="11" width="17.83203125" style="3" customWidth="1"/>
    <col min="12" max="13" width="15.5" style="3" customWidth="1"/>
    <col min="14" max="14" width="15.5" style="3" hidden="1" customWidth="1"/>
    <col min="15" max="16" width="14" style="6" customWidth="1"/>
    <col min="17" max="18" width="14" style="3" customWidth="1"/>
    <col min="19" max="20" width="14" style="3" hidden="1" customWidth="1"/>
    <col min="21" max="21" width="17" style="168" customWidth="1"/>
    <col min="22" max="22" width="17" style="6" customWidth="1"/>
    <col min="23" max="23" width="57.25" style="217" customWidth="1"/>
    <col min="24" max="24" width="9" style="6" customWidth="1"/>
    <col min="25" max="25" width="8.58203125" style="237" hidden="1" customWidth="1"/>
    <col min="26" max="29" width="54.58203125" style="201" hidden="1" customWidth="1"/>
    <col min="30" max="30" width="9" style="6" hidden="1" customWidth="1"/>
    <col min="31" max="31" width="31.25" style="6" hidden="1" customWidth="1"/>
    <col min="32" max="32" width="9" style="6" hidden="1" customWidth="1"/>
    <col min="33" max="34" width="15.75" style="6" hidden="1" customWidth="1"/>
    <col min="35" max="35" width="9" style="6" hidden="1" customWidth="1"/>
    <col min="36" max="36" width="24.5" style="6" hidden="1" customWidth="1"/>
    <col min="37" max="37" width="48.58203125" style="6" hidden="1" customWidth="1"/>
    <col min="38" max="38" width="12.58203125" style="6" hidden="1" customWidth="1"/>
    <col min="39" max="39" width="13.83203125" style="6" hidden="1" customWidth="1"/>
    <col min="40" max="40" width="14" style="6" hidden="1" customWidth="1"/>
    <col min="41" max="41" width="10.58203125" style="6" hidden="1" customWidth="1"/>
    <col min="42" max="43" width="12" style="6" hidden="1" customWidth="1"/>
    <col min="44" max="45" width="10.75" style="6" hidden="1" customWidth="1"/>
    <col min="46" max="49" width="9" style="6" customWidth="1"/>
    <col min="50" max="16384" width="9" style="6"/>
  </cols>
  <sheetData>
    <row r="1" spans="1:39" ht="43.5" customHeight="1" x14ac:dyDescent="1.05">
      <c r="A1" s="141" t="s">
        <v>19</v>
      </c>
      <c r="B1" s="141" t="s">
        <v>19</v>
      </c>
      <c r="C1" s="141" t="s">
        <v>19</v>
      </c>
      <c r="E1" s="388"/>
      <c r="F1" s="566" t="s">
        <v>134</v>
      </c>
      <c r="G1" s="567"/>
      <c r="H1" s="567"/>
      <c r="I1" s="567"/>
      <c r="J1" s="396"/>
      <c r="K1" s="396"/>
      <c r="L1" s="396"/>
      <c r="M1" s="396"/>
      <c r="N1" s="396"/>
      <c r="O1" s="400"/>
      <c r="P1" s="400"/>
      <c r="Q1" s="48"/>
      <c r="R1" s="48"/>
      <c r="S1" s="48" t="s">
        <v>19</v>
      </c>
      <c r="T1" s="48" t="s">
        <v>19</v>
      </c>
      <c r="U1" s="404"/>
      <c r="V1" s="405"/>
      <c r="W1" s="223"/>
      <c r="X1" s="405"/>
      <c r="Y1" s="568" t="s">
        <v>15</v>
      </c>
      <c r="Z1" s="569"/>
      <c r="AA1" s="569"/>
      <c r="AB1" s="411" t="s">
        <v>135</v>
      </c>
      <c r="AC1" s="412" t="s">
        <v>136</v>
      </c>
      <c r="AD1" s="273"/>
      <c r="AE1" s="6" t="s">
        <v>19</v>
      </c>
      <c r="AF1" s="6" t="s">
        <v>19</v>
      </c>
      <c r="AG1" s="6" t="s">
        <v>19</v>
      </c>
      <c r="AH1" s="6" t="s">
        <v>19</v>
      </c>
    </row>
    <row r="2" spans="1:39" ht="37.5" customHeight="1" thickBot="1" x14ac:dyDescent="0.35">
      <c r="A2" s="155" t="s">
        <v>137</v>
      </c>
      <c r="B2" s="155" t="s">
        <v>138</v>
      </c>
      <c r="C2" s="156" t="s">
        <v>139</v>
      </c>
      <c r="E2" s="388"/>
      <c r="F2" s="7" t="s">
        <v>140</v>
      </c>
      <c r="G2" s="570"/>
      <c r="H2" s="571"/>
      <c r="I2" s="397"/>
      <c r="J2" s="398"/>
      <c r="K2" s="457" t="s">
        <v>141</v>
      </c>
      <c r="L2" s="456" t="s">
        <v>142</v>
      </c>
      <c r="M2" s="329" t="s">
        <v>143</v>
      </c>
      <c r="N2" s="402"/>
      <c r="O2" s="401"/>
      <c r="P2" s="401"/>
      <c r="Q2" s="9" t="s">
        <v>144</v>
      </c>
      <c r="R2" s="9" t="s">
        <v>145</v>
      </c>
      <c r="S2" s="406"/>
      <c r="T2" s="406"/>
      <c r="U2" s="458" t="s">
        <v>146</v>
      </c>
      <c r="V2" s="458" t="s">
        <v>147</v>
      </c>
      <c r="W2" s="223"/>
      <c r="X2" s="407"/>
      <c r="Y2" s="572" t="s">
        <v>148</v>
      </c>
      <c r="Z2" s="573"/>
      <c r="AA2" s="574"/>
      <c r="AB2" s="413"/>
      <c r="AC2" s="407"/>
      <c r="AD2" s="273"/>
    </row>
    <row r="3" spans="1:39" ht="45" customHeight="1" thickBot="1" x14ac:dyDescent="0.35">
      <c r="E3" s="388"/>
      <c r="F3" s="14" t="s">
        <v>149</v>
      </c>
      <c r="G3" s="279" t="str">
        <f>IF(L3&gt;=75,"6 Stars - World Leadership",IF(L3&gt;=60,"5 Star - New Zealand Excellence",IF(L3&gt;=45,"4 Star - New Zealand Best Practice","")))</f>
        <v/>
      </c>
      <c r="H3" s="280"/>
      <c r="I3" s="399"/>
      <c r="J3" s="48"/>
      <c r="K3" s="114">
        <f>K119</f>
        <v>100</v>
      </c>
      <c r="L3" s="115">
        <f>L122</f>
        <v>0</v>
      </c>
      <c r="M3" s="330">
        <f>AQ49</f>
        <v>0</v>
      </c>
      <c r="N3" s="403"/>
      <c r="O3" s="401"/>
      <c r="P3" s="401"/>
      <c r="Q3" s="162">
        <f>Q119</f>
        <v>0</v>
      </c>
      <c r="R3" s="162">
        <f>R119</f>
        <v>0</v>
      </c>
      <c r="S3" s="408"/>
      <c r="T3" s="409" t="str">
        <f>IF(U132&lt;=SUM(T128:T129),"",V132)</f>
        <v/>
      </c>
      <c r="U3" s="459">
        <f>AL18</f>
        <v>0</v>
      </c>
      <c r="V3" s="459">
        <f>AL19</f>
        <v>0</v>
      </c>
      <c r="W3" s="410"/>
      <c r="X3" s="407"/>
      <c r="Y3" s="575"/>
      <c r="Z3" s="576"/>
      <c r="AA3" s="577"/>
      <c r="AB3" s="413"/>
      <c r="AC3" s="407"/>
      <c r="AD3" s="273"/>
    </row>
    <row r="4" spans="1:39" ht="37.5" customHeight="1" x14ac:dyDescent="0.3">
      <c r="E4" s="388"/>
      <c r="F4" s="394"/>
      <c r="G4" s="395"/>
      <c r="H4" s="396"/>
      <c r="I4" s="395"/>
      <c r="J4" s="396"/>
      <c r="K4" s="396"/>
      <c r="L4" s="396"/>
      <c r="M4" s="396"/>
      <c r="N4" s="396"/>
      <c r="O4" s="401"/>
      <c r="P4" s="401"/>
      <c r="Q4" s="396"/>
      <c r="R4" s="396"/>
      <c r="S4" s="396"/>
      <c r="T4" s="396"/>
      <c r="U4" s="404"/>
      <c r="V4" s="405"/>
      <c r="W4" s="225"/>
      <c r="X4" s="405"/>
      <c r="Y4" s="396"/>
      <c r="Z4" s="405"/>
      <c r="AA4" s="405"/>
      <c r="AB4" s="405"/>
      <c r="AC4" s="405"/>
      <c r="AD4" s="273"/>
    </row>
    <row r="5" spans="1:39" ht="45" customHeight="1" x14ac:dyDescent="0.3">
      <c r="E5" s="438" t="s">
        <v>150</v>
      </c>
      <c r="F5" s="18" t="s">
        <v>151</v>
      </c>
      <c r="G5" s="18" t="s">
        <v>152</v>
      </c>
      <c r="H5" s="9" t="s">
        <v>153</v>
      </c>
      <c r="I5" s="18" t="s">
        <v>154</v>
      </c>
      <c r="J5" s="326" t="s">
        <v>155</v>
      </c>
      <c r="K5" s="9" t="s">
        <v>156</v>
      </c>
      <c r="L5" s="9" t="s">
        <v>157</v>
      </c>
      <c r="M5" s="327" t="s">
        <v>158</v>
      </c>
      <c r="N5" s="328" t="s">
        <v>159</v>
      </c>
      <c r="O5" s="26"/>
      <c r="P5" s="26"/>
      <c r="Q5" s="9" t="s">
        <v>160</v>
      </c>
      <c r="R5" s="9" t="s">
        <v>161</v>
      </c>
      <c r="S5" s="9" t="s">
        <v>162</v>
      </c>
      <c r="T5" s="9" t="s">
        <v>163</v>
      </c>
      <c r="U5" s="167" t="s">
        <v>164</v>
      </c>
      <c r="V5" s="167" t="s">
        <v>165</v>
      </c>
      <c r="W5" s="193" t="s">
        <v>166</v>
      </c>
      <c r="X5" s="405"/>
      <c r="Y5" s="240" t="s">
        <v>167</v>
      </c>
      <c r="Z5" s="240" t="s">
        <v>168</v>
      </c>
      <c r="AA5" s="240" t="s">
        <v>169</v>
      </c>
      <c r="AB5" s="240" t="s">
        <v>170</v>
      </c>
      <c r="AC5" s="240" t="s">
        <v>171</v>
      </c>
      <c r="AD5" s="273"/>
    </row>
    <row r="6" spans="1:39" ht="45" customHeight="1" x14ac:dyDescent="0.3">
      <c r="E6" s="439"/>
      <c r="F6" s="20" t="s">
        <v>172</v>
      </c>
      <c r="G6" s="21"/>
      <c r="H6" s="22"/>
      <c r="I6" s="21"/>
      <c r="J6" s="21"/>
      <c r="K6" s="22">
        <f>15-SUM(B7:B24)</f>
        <v>15</v>
      </c>
      <c r="L6" s="22"/>
      <c r="M6" s="325"/>
      <c r="N6" s="325"/>
      <c r="O6" s="26"/>
      <c r="P6" s="26"/>
      <c r="Q6" s="9"/>
      <c r="R6" s="9"/>
      <c r="S6" s="9"/>
      <c r="T6" s="9"/>
      <c r="U6" s="167"/>
      <c r="V6" s="167"/>
      <c r="W6" s="193"/>
      <c r="X6" s="405"/>
      <c r="Y6" s="241" t="s">
        <v>173</v>
      </c>
      <c r="Z6" s="243" t="s">
        <v>174</v>
      </c>
      <c r="AA6" s="243" t="s">
        <v>175</v>
      </c>
      <c r="AB6" s="240"/>
      <c r="AC6" s="240"/>
      <c r="AD6" s="273"/>
      <c r="AG6" s="97"/>
      <c r="AH6" s="97"/>
      <c r="AI6" s="95"/>
      <c r="AJ6" s="95"/>
      <c r="AK6" s="354" t="s">
        <v>176</v>
      </c>
      <c r="AL6" s="354"/>
      <c r="AM6" s="354"/>
    </row>
    <row r="7" spans="1:39" ht="45" customHeight="1" x14ac:dyDescent="0.3">
      <c r="E7" s="440"/>
      <c r="F7" s="173" t="s">
        <v>177</v>
      </c>
      <c r="G7" s="256" t="s">
        <v>178</v>
      </c>
      <c r="H7" s="264">
        <v>1</v>
      </c>
      <c r="I7" s="256" t="s">
        <v>177</v>
      </c>
      <c r="J7" s="24" t="s">
        <v>179</v>
      </c>
      <c r="K7" s="24">
        <v>1</v>
      </c>
      <c r="L7" s="25"/>
      <c r="M7" s="473" t="s">
        <v>180</v>
      </c>
      <c r="N7" s="25"/>
      <c r="O7" s="26"/>
      <c r="P7" s="26"/>
      <c r="Q7" s="27" t="str">
        <f t="shared" ref="Q7:Q21" si="0">IF(OR(U7=$AG$9,U7=$AG$10),L7,"")</f>
        <v/>
      </c>
      <c r="R7" s="27" t="str">
        <f t="shared" ref="R7:R21" si="1">IF(U7=$AG$11,L7,"")</f>
        <v/>
      </c>
      <c r="S7" s="27"/>
      <c r="T7" s="27"/>
      <c r="U7" s="384"/>
      <c r="V7" s="460"/>
      <c r="W7" s="386"/>
      <c r="X7" s="405"/>
      <c r="Y7" s="244"/>
      <c r="Z7" s="245"/>
      <c r="AA7" s="245"/>
      <c r="AB7" s="245"/>
      <c r="AC7" s="245"/>
      <c r="AD7" s="273"/>
      <c r="AG7" s="97"/>
      <c r="AH7" s="97"/>
      <c r="AI7" s="95"/>
      <c r="AJ7" s="95"/>
      <c r="AK7" s="355" t="s">
        <v>181</v>
      </c>
      <c r="AL7" s="356">
        <f>'Building Input Sheet'!D102</f>
        <v>0</v>
      </c>
      <c r="AM7" s="364"/>
    </row>
    <row r="8" spans="1:39" ht="45" customHeight="1" x14ac:dyDescent="0.3">
      <c r="E8" s="440"/>
      <c r="F8" s="527" t="s">
        <v>182</v>
      </c>
      <c r="G8" s="578" t="s">
        <v>183</v>
      </c>
      <c r="H8" s="29">
        <v>2.1</v>
      </c>
      <c r="I8" s="33" t="s">
        <v>184</v>
      </c>
      <c r="J8" s="24" t="s">
        <v>179</v>
      </c>
      <c r="K8" s="259" t="s">
        <v>185</v>
      </c>
      <c r="L8" s="31"/>
      <c r="M8" s="474" t="s">
        <v>180</v>
      </c>
      <c r="N8" s="31"/>
      <c r="O8" s="19"/>
      <c r="P8" s="26"/>
      <c r="Q8" s="27" t="str">
        <f t="shared" si="0"/>
        <v/>
      </c>
      <c r="R8" s="27" t="str">
        <f t="shared" si="1"/>
        <v/>
      </c>
      <c r="S8" s="27"/>
      <c r="T8" s="27"/>
      <c r="U8" s="384"/>
      <c r="V8" s="461"/>
      <c r="W8" s="386"/>
      <c r="X8" s="405"/>
      <c r="Y8" s="244"/>
      <c r="Z8" s="245"/>
      <c r="AA8" s="245"/>
      <c r="AB8" s="245"/>
      <c r="AC8" s="245"/>
      <c r="AD8" s="273"/>
      <c r="AE8" s="105" t="s">
        <v>186</v>
      </c>
      <c r="AF8" s="105"/>
      <c r="AG8" s="97"/>
      <c r="AH8" s="97" t="s">
        <v>187</v>
      </c>
      <c r="AI8" s="95"/>
      <c r="AJ8" s="95"/>
      <c r="AK8" s="355" t="s">
        <v>188</v>
      </c>
      <c r="AL8" s="356">
        <f>'Building Input Sheet'!D103</f>
        <v>0</v>
      </c>
      <c r="AM8" s="364"/>
    </row>
    <row r="9" spans="1:39" ht="45" customHeight="1" x14ac:dyDescent="0.3">
      <c r="E9" s="440"/>
      <c r="F9" s="528"/>
      <c r="G9" s="579"/>
      <c r="H9" s="32">
        <v>2.2000000000000002</v>
      </c>
      <c r="I9" s="33" t="s">
        <v>189</v>
      </c>
      <c r="J9" s="24" t="s">
        <v>179</v>
      </c>
      <c r="K9" s="34">
        <v>1</v>
      </c>
      <c r="L9" s="25"/>
      <c r="M9" s="473" t="s">
        <v>180</v>
      </c>
      <c r="N9" s="25"/>
      <c r="O9" s="26" t="str">
        <f>IF(AND(L9&gt;0,$L$8&lt;&gt;$AH$8),"!","")</f>
        <v/>
      </c>
      <c r="P9" s="26"/>
      <c r="Q9" s="27" t="str">
        <f t="shared" si="0"/>
        <v/>
      </c>
      <c r="R9" s="27" t="str">
        <f t="shared" si="1"/>
        <v/>
      </c>
      <c r="S9" s="27"/>
      <c r="T9" s="27"/>
      <c r="U9" s="384"/>
      <c r="V9" s="461"/>
      <c r="W9" s="386"/>
      <c r="X9" s="405"/>
      <c r="Y9" s="244"/>
      <c r="Z9" s="245"/>
      <c r="AA9" s="245"/>
      <c r="AB9" s="245"/>
      <c r="AC9" s="245"/>
      <c r="AD9" s="273"/>
      <c r="AE9" s="105" t="s">
        <v>190</v>
      </c>
      <c r="AF9" s="105" t="s">
        <v>191</v>
      </c>
      <c r="AG9" s="97" t="s">
        <v>192</v>
      </c>
      <c r="AH9" s="97" t="s">
        <v>193</v>
      </c>
      <c r="AI9" s="95"/>
      <c r="AJ9" s="95"/>
      <c r="AK9" s="355" t="s">
        <v>194</v>
      </c>
      <c r="AL9" s="356">
        <f>'Building Input Sheet'!D104</f>
        <v>0</v>
      </c>
      <c r="AM9" s="364"/>
    </row>
    <row r="10" spans="1:39" ht="45" customHeight="1" x14ac:dyDescent="0.3">
      <c r="E10" s="440"/>
      <c r="F10" s="528"/>
      <c r="G10" s="579"/>
      <c r="H10" s="32">
        <v>2.2999999999999998</v>
      </c>
      <c r="I10" s="33" t="s">
        <v>195</v>
      </c>
      <c r="J10" s="24" t="s">
        <v>179</v>
      </c>
      <c r="K10" s="34">
        <v>1</v>
      </c>
      <c r="L10" s="25"/>
      <c r="M10" s="473" t="s">
        <v>180</v>
      </c>
      <c r="N10" s="25"/>
      <c r="O10" s="26" t="str">
        <f>IF(AND(L10&gt;0,$L$8&lt;&gt;$AH$8),"!","")</f>
        <v/>
      </c>
      <c r="P10" s="26"/>
      <c r="Q10" s="27" t="str">
        <f t="shared" si="0"/>
        <v/>
      </c>
      <c r="R10" s="27" t="str">
        <f t="shared" si="1"/>
        <v/>
      </c>
      <c r="S10" s="27"/>
      <c r="T10" s="27"/>
      <c r="U10" s="384"/>
      <c r="V10" s="461"/>
      <c r="W10" s="386"/>
      <c r="X10" s="405"/>
      <c r="Y10" s="244"/>
      <c r="Z10" s="245"/>
      <c r="AA10" s="245"/>
      <c r="AB10" s="245"/>
      <c r="AC10" s="245"/>
      <c r="AD10" s="273"/>
      <c r="AF10" s="105" t="s">
        <v>196</v>
      </c>
      <c r="AG10" s="97" t="s">
        <v>197</v>
      </c>
      <c r="AH10" s="95"/>
      <c r="AI10" s="95"/>
      <c r="AJ10" s="95"/>
      <c r="AK10" s="357" t="s">
        <v>198</v>
      </c>
      <c r="AL10" s="358" t="e">
        <f>AL8/AL7</f>
        <v>#DIV/0!</v>
      </c>
      <c r="AM10" s="365"/>
    </row>
    <row r="11" spans="1:39" ht="45" customHeight="1" x14ac:dyDescent="0.3">
      <c r="E11" s="440"/>
      <c r="F11" s="528"/>
      <c r="G11" s="579"/>
      <c r="H11" s="32">
        <v>2.4</v>
      </c>
      <c r="I11" s="33" t="s">
        <v>199</v>
      </c>
      <c r="J11" s="24" t="s">
        <v>179</v>
      </c>
      <c r="K11" s="34">
        <v>1</v>
      </c>
      <c r="L11" s="25"/>
      <c r="M11" s="473" t="s">
        <v>180</v>
      </c>
      <c r="N11" s="25"/>
      <c r="O11" s="26" t="str">
        <f>IF(AND(L11&gt;0,$L$8&lt;&gt;$AH$8),"!","")</f>
        <v/>
      </c>
      <c r="P11" s="26"/>
      <c r="Q11" s="27" t="str">
        <f t="shared" si="0"/>
        <v/>
      </c>
      <c r="R11" s="27" t="str">
        <f t="shared" si="1"/>
        <v/>
      </c>
      <c r="S11" s="27"/>
      <c r="T11" s="27"/>
      <c r="U11" s="384"/>
      <c r="V11" s="461"/>
      <c r="W11" s="386"/>
      <c r="X11" s="405"/>
      <c r="Y11" s="244"/>
      <c r="Z11" s="245"/>
      <c r="AA11" s="245"/>
      <c r="AB11" s="245"/>
      <c r="AC11" s="245"/>
      <c r="AD11" s="273"/>
      <c r="AF11" s="105" t="s">
        <v>200</v>
      </c>
      <c r="AG11" s="97" t="s">
        <v>201</v>
      </c>
      <c r="AH11" s="95"/>
      <c r="AI11" s="95"/>
      <c r="AJ11" s="95"/>
      <c r="AK11" s="357" t="s">
        <v>202</v>
      </c>
      <c r="AL11" s="358" t="e">
        <f>AL9/AL7</f>
        <v>#DIV/0!</v>
      </c>
      <c r="AM11" s="365"/>
    </row>
    <row r="12" spans="1:39" ht="45" customHeight="1" x14ac:dyDescent="0.3">
      <c r="E12" s="440"/>
      <c r="F12" s="528"/>
      <c r="G12" s="579"/>
      <c r="H12" s="32">
        <v>2.5</v>
      </c>
      <c r="I12" s="33" t="s">
        <v>203</v>
      </c>
      <c r="J12" s="24" t="s">
        <v>179</v>
      </c>
      <c r="K12" s="34">
        <v>1</v>
      </c>
      <c r="L12" s="25"/>
      <c r="M12" s="473" t="s">
        <v>180</v>
      </c>
      <c r="N12" s="25"/>
      <c r="O12" s="26" t="str">
        <f>IF(AND(L12&gt;0,$L$8&lt;&gt;$AH$8),"!","")</f>
        <v/>
      </c>
      <c r="P12" s="26"/>
      <c r="Q12" s="27" t="str">
        <f t="shared" si="0"/>
        <v/>
      </c>
      <c r="R12" s="27" t="str">
        <f t="shared" si="1"/>
        <v/>
      </c>
      <c r="S12" s="27"/>
      <c r="T12" s="27"/>
      <c r="U12" s="384"/>
      <c r="V12" s="461"/>
      <c r="W12" s="386"/>
      <c r="X12" s="405"/>
      <c r="Y12" s="244"/>
      <c r="Z12" s="245"/>
      <c r="AA12" s="245"/>
      <c r="AB12" s="245"/>
      <c r="AC12" s="245"/>
      <c r="AD12" s="273"/>
      <c r="AF12" s="105" t="s">
        <v>204</v>
      </c>
      <c r="AG12" s="97"/>
      <c r="AH12" s="95"/>
      <c r="AI12" s="95"/>
      <c r="AJ12" s="95"/>
      <c r="AK12" s="357" t="s">
        <v>205</v>
      </c>
      <c r="AL12" s="359" t="e">
        <f>IF(AND((AL10+AL11)&gt;0.05,(AL10+AL11)&lt;&gt;""),"Yes","No")</f>
        <v>#DIV/0!</v>
      </c>
      <c r="AM12" s="366"/>
    </row>
    <row r="13" spans="1:39" ht="45" customHeight="1" x14ac:dyDescent="0.3">
      <c r="E13" s="440"/>
      <c r="F13" s="533" t="s">
        <v>206</v>
      </c>
      <c r="G13" s="563" t="s">
        <v>207</v>
      </c>
      <c r="H13" s="23">
        <v>3.1</v>
      </c>
      <c r="I13" s="256" t="s">
        <v>208</v>
      </c>
      <c r="J13" s="24" t="s">
        <v>179</v>
      </c>
      <c r="K13" s="24">
        <v>2</v>
      </c>
      <c r="L13" s="25"/>
      <c r="M13" s="473" t="s">
        <v>180</v>
      </c>
      <c r="N13" s="25"/>
      <c r="O13" s="26"/>
      <c r="P13" s="26"/>
      <c r="Q13" s="27" t="str">
        <f t="shared" si="0"/>
        <v/>
      </c>
      <c r="R13" s="27" t="str">
        <f t="shared" si="1"/>
        <v/>
      </c>
      <c r="S13" s="27"/>
      <c r="T13" s="27"/>
      <c r="U13" s="384"/>
      <c r="V13" s="461"/>
      <c r="W13" s="386"/>
      <c r="X13" s="405"/>
      <c r="Y13" s="244"/>
      <c r="Z13" s="245"/>
      <c r="AA13" s="245"/>
      <c r="AB13" s="245"/>
      <c r="AC13" s="245"/>
      <c r="AD13" s="273"/>
      <c r="AG13" s="95"/>
      <c r="AH13" s="95"/>
      <c r="AI13" s="95"/>
      <c r="AJ13" s="95"/>
      <c r="AK13" s="357" t="s">
        <v>209</v>
      </c>
      <c r="AL13" s="359" t="str">
        <f>IF('Building Input Sheet'!D53="Yes","Yes","No")</f>
        <v>Yes</v>
      </c>
      <c r="AM13" s="366"/>
    </row>
    <row r="14" spans="1:39" ht="45" customHeight="1" x14ac:dyDescent="0.3">
      <c r="E14" s="440"/>
      <c r="F14" s="527"/>
      <c r="G14" s="564"/>
      <c r="H14" s="23">
        <v>3.2</v>
      </c>
      <c r="I14" s="256" t="s">
        <v>210</v>
      </c>
      <c r="J14" s="24" t="s">
        <v>179</v>
      </c>
      <c r="K14" s="24">
        <v>1</v>
      </c>
      <c r="L14" s="25"/>
      <c r="M14" s="473" t="s">
        <v>180</v>
      </c>
      <c r="N14" s="25"/>
      <c r="O14" s="26"/>
      <c r="P14" s="26"/>
      <c r="Q14" s="27" t="str">
        <f t="shared" si="0"/>
        <v/>
      </c>
      <c r="R14" s="27" t="str">
        <f t="shared" si="1"/>
        <v/>
      </c>
      <c r="S14" s="27"/>
      <c r="T14" s="27"/>
      <c r="U14" s="384"/>
      <c r="V14" s="461"/>
      <c r="W14" s="386"/>
      <c r="X14" s="405"/>
      <c r="Y14" s="244"/>
      <c r="Z14" s="245"/>
      <c r="AA14" s="245"/>
      <c r="AB14" s="245"/>
      <c r="AC14" s="245"/>
      <c r="AD14" s="273"/>
      <c r="AG14" s="95"/>
      <c r="AH14" s="95"/>
      <c r="AI14" s="95"/>
      <c r="AJ14" s="95"/>
      <c r="AK14" s="357" t="s">
        <v>211</v>
      </c>
      <c r="AL14" s="370">
        <f>ROUND(IF('Building Input Sheet'!D105+'Building Input Sheet'!D106&gt;=0.95,0,IF('Building Input Sheet'!D105+'Building Input Sheet'!D106&lt;=0.05,1,1-('Building Input Sheet'!D105+'Building Input Sheet'!D106))),2)</f>
        <v>1</v>
      </c>
      <c r="AM14" s="366"/>
    </row>
    <row r="15" spans="1:39" ht="87" customHeight="1" x14ac:dyDescent="0.3">
      <c r="E15" s="440"/>
      <c r="F15" s="173" t="s">
        <v>212</v>
      </c>
      <c r="G15" s="253" t="s">
        <v>213</v>
      </c>
      <c r="H15" s="264">
        <v>4.0999999999999996</v>
      </c>
      <c r="I15" s="256" t="s">
        <v>212</v>
      </c>
      <c r="J15" s="24" t="s">
        <v>179</v>
      </c>
      <c r="K15" s="24">
        <v>1</v>
      </c>
      <c r="L15" s="25"/>
      <c r="M15" s="473" t="s">
        <v>180</v>
      </c>
      <c r="N15" s="25"/>
      <c r="O15" s="26"/>
      <c r="P15" s="26"/>
      <c r="Q15" s="27" t="str">
        <f t="shared" si="0"/>
        <v/>
      </c>
      <c r="R15" s="27" t="str">
        <f t="shared" si="1"/>
        <v/>
      </c>
      <c r="S15" s="27"/>
      <c r="T15" s="27"/>
      <c r="U15" s="384"/>
      <c r="V15" s="461"/>
      <c r="W15" s="386"/>
      <c r="X15" s="405"/>
      <c r="Y15" s="244"/>
      <c r="Z15" s="245"/>
      <c r="AA15" s="245"/>
      <c r="AB15" s="245"/>
      <c r="AC15" s="245"/>
      <c r="AD15" s="273"/>
      <c r="AG15" s="95"/>
      <c r="AH15" s="95"/>
      <c r="AI15" s="95"/>
      <c r="AJ15" s="95"/>
      <c r="AK15" s="357" t="s">
        <v>214</v>
      </c>
      <c r="AL15" s="370">
        <f>ROUND(IF('Building Input Sheet'!D105&gt;=0.95,0,IF('Building Input Sheet'!D105&lt;=0.05,1,1-'Building Input Sheet'!D105)),2)</f>
        <v>1</v>
      </c>
      <c r="AM15" s="367"/>
    </row>
    <row r="16" spans="1:39" ht="45" customHeight="1" x14ac:dyDescent="0.3">
      <c r="E16" s="440"/>
      <c r="F16" s="528" t="s">
        <v>215</v>
      </c>
      <c r="G16" s="562" t="s">
        <v>216</v>
      </c>
      <c r="H16" s="23">
        <v>5.0999999999999996</v>
      </c>
      <c r="I16" s="256" t="s">
        <v>217</v>
      </c>
      <c r="J16" s="24" t="s">
        <v>179</v>
      </c>
      <c r="K16" s="24">
        <v>1</v>
      </c>
      <c r="L16" s="25"/>
      <c r="M16" s="473" t="s">
        <v>180</v>
      </c>
      <c r="N16" s="25"/>
      <c r="O16" s="26"/>
      <c r="P16" s="26"/>
      <c r="Q16" s="27" t="str">
        <f t="shared" si="0"/>
        <v/>
      </c>
      <c r="R16" s="27" t="str">
        <f t="shared" si="1"/>
        <v/>
      </c>
      <c r="S16" s="27"/>
      <c r="T16" s="27"/>
      <c r="U16" s="384"/>
      <c r="V16" s="461"/>
      <c r="W16" s="386"/>
      <c r="X16" s="405"/>
      <c r="Y16" s="244"/>
      <c r="Z16" s="245"/>
      <c r="AA16" s="245"/>
      <c r="AB16" s="245"/>
      <c r="AC16" s="245"/>
      <c r="AD16" s="273"/>
      <c r="AG16" s="95"/>
      <c r="AH16" s="95"/>
      <c r="AI16" s="95"/>
      <c r="AJ16" s="95"/>
      <c r="AK16" s="361" t="s">
        <v>218</v>
      </c>
      <c r="AL16" s="360">
        <f>AP49</f>
        <v>0</v>
      </c>
      <c r="AM16" s="367"/>
    </row>
    <row r="17" spans="1:45" ht="45" customHeight="1" x14ac:dyDescent="0.3">
      <c r="E17" s="440"/>
      <c r="F17" s="528"/>
      <c r="G17" s="562"/>
      <c r="H17" s="23">
        <v>5.2</v>
      </c>
      <c r="I17" s="256" t="s">
        <v>219</v>
      </c>
      <c r="J17" s="24" t="s">
        <v>179</v>
      </c>
      <c r="K17" s="24">
        <v>1</v>
      </c>
      <c r="L17" s="25"/>
      <c r="M17" s="473" t="s">
        <v>180</v>
      </c>
      <c r="N17" s="25"/>
      <c r="O17" s="26"/>
      <c r="P17" s="26"/>
      <c r="Q17" s="27" t="str">
        <f t="shared" si="0"/>
        <v/>
      </c>
      <c r="R17" s="27" t="str">
        <f t="shared" si="1"/>
        <v/>
      </c>
      <c r="S17" s="27"/>
      <c r="T17" s="27"/>
      <c r="U17" s="384"/>
      <c r="V17" s="461"/>
      <c r="W17" s="386"/>
      <c r="X17" s="405"/>
      <c r="Y17" s="244"/>
      <c r="Z17" s="245"/>
      <c r="AA17" s="245"/>
      <c r="AB17" s="245"/>
      <c r="AC17" s="245"/>
      <c r="AD17" s="273"/>
      <c r="AG17" s="95"/>
      <c r="AH17" s="95"/>
      <c r="AI17" s="95"/>
      <c r="AJ17" s="95"/>
      <c r="AK17" s="357" t="s">
        <v>220</v>
      </c>
      <c r="AL17" s="360">
        <f>AQ49</f>
        <v>0</v>
      </c>
      <c r="AM17" s="367"/>
    </row>
    <row r="18" spans="1:45" ht="45" customHeight="1" x14ac:dyDescent="0.3">
      <c r="E18" s="440"/>
      <c r="F18" s="528" t="s">
        <v>221</v>
      </c>
      <c r="G18" s="562" t="s">
        <v>222</v>
      </c>
      <c r="H18" s="23">
        <v>6.1</v>
      </c>
      <c r="I18" s="256" t="s">
        <v>223</v>
      </c>
      <c r="J18" s="24" t="s">
        <v>179</v>
      </c>
      <c r="K18" s="185" t="s">
        <v>185</v>
      </c>
      <c r="L18" s="31"/>
      <c r="M18" s="474" t="s">
        <v>180</v>
      </c>
      <c r="N18" s="31"/>
      <c r="O18" s="26"/>
      <c r="P18" s="26"/>
      <c r="Q18" s="27" t="str">
        <f t="shared" si="0"/>
        <v/>
      </c>
      <c r="R18" s="27" t="str">
        <f t="shared" si="1"/>
        <v/>
      </c>
      <c r="S18" s="27"/>
      <c r="T18" s="27"/>
      <c r="U18" s="384"/>
      <c r="V18" s="461"/>
      <c r="W18" s="386"/>
      <c r="X18" s="405"/>
      <c r="Y18" s="244"/>
      <c r="Z18" s="245"/>
      <c r="AA18" s="245"/>
      <c r="AB18" s="245"/>
      <c r="AC18" s="245"/>
      <c r="AD18" s="273"/>
      <c r="AG18" s="95"/>
      <c r="AH18" s="95"/>
      <c r="AI18" s="95"/>
      <c r="AJ18" s="95"/>
      <c r="AK18" s="357" t="s">
        <v>224</v>
      </c>
      <c r="AL18" s="360">
        <f>AR49</f>
        <v>0</v>
      </c>
      <c r="AM18" s="367"/>
    </row>
    <row r="19" spans="1:45" ht="45" customHeight="1" x14ac:dyDescent="0.3">
      <c r="E19" s="440"/>
      <c r="F19" s="528"/>
      <c r="G19" s="562"/>
      <c r="H19" s="23">
        <v>6.2</v>
      </c>
      <c r="I19" s="256" t="s">
        <v>225</v>
      </c>
      <c r="J19" s="24" t="s">
        <v>179</v>
      </c>
      <c r="K19" s="24">
        <v>1</v>
      </c>
      <c r="L19" s="25"/>
      <c r="M19" s="473" t="s">
        <v>180</v>
      </c>
      <c r="N19" s="25"/>
      <c r="O19" s="26" t="str">
        <f>IF(AND(L19&gt;0,$L$18&lt;&gt;$AH$8),"!","")</f>
        <v/>
      </c>
      <c r="P19" s="26"/>
      <c r="Q19" s="27" t="str">
        <f t="shared" si="0"/>
        <v/>
      </c>
      <c r="R19" s="27" t="str">
        <f t="shared" si="1"/>
        <v/>
      </c>
      <c r="S19" s="27"/>
      <c r="T19" s="27"/>
      <c r="U19" s="384"/>
      <c r="V19" s="461"/>
      <c r="W19" s="386"/>
      <c r="X19" s="405"/>
      <c r="Y19" s="244"/>
      <c r="Z19" s="245"/>
      <c r="AA19" s="245"/>
      <c r="AB19" s="245"/>
      <c r="AC19" s="245"/>
      <c r="AD19" s="273"/>
      <c r="AG19" s="95"/>
      <c r="AH19" s="95"/>
      <c r="AI19" s="95"/>
      <c r="AJ19" s="95"/>
      <c r="AK19" s="357" t="s">
        <v>226</v>
      </c>
      <c r="AL19" s="360">
        <f>AS49</f>
        <v>0</v>
      </c>
      <c r="AM19" s="367"/>
    </row>
    <row r="20" spans="1:45" ht="45" customHeight="1" x14ac:dyDescent="0.3">
      <c r="E20" s="440"/>
      <c r="F20" s="533" t="s">
        <v>227</v>
      </c>
      <c r="G20" s="531" t="s">
        <v>228</v>
      </c>
      <c r="H20" s="23">
        <v>7.1</v>
      </c>
      <c r="I20" s="256" t="s">
        <v>229</v>
      </c>
      <c r="J20" s="24" t="s">
        <v>230</v>
      </c>
      <c r="K20" s="260" t="s">
        <v>185</v>
      </c>
      <c r="L20" s="36"/>
      <c r="M20" s="475" t="s">
        <v>180</v>
      </c>
      <c r="N20" s="36"/>
      <c r="O20" s="26"/>
      <c r="P20" s="26"/>
      <c r="Q20" s="27" t="str">
        <f t="shared" si="0"/>
        <v/>
      </c>
      <c r="R20" s="27" t="str">
        <f t="shared" si="1"/>
        <v/>
      </c>
      <c r="S20" s="27"/>
      <c r="T20" s="27"/>
      <c r="U20" s="384"/>
      <c r="V20" s="461"/>
      <c r="W20" s="386"/>
      <c r="X20" s="405"/>
      <c r="Y20" s="244"/>
      <c r="Z20" s="245"/>
      <c r="AA20" s="245"/>
      <c r="AB20" s="245"/>
      <c r="AC20" s="245"/>
      <c r="AD20" s="273"/>
      <c r="AG20" s="95"/>
      <c r="AH20" s="95"/>
      <c r="AI20" s="95"/>
      <c r="AJ20" s="95"/>
    </row>
    <row r="21" spans="1:45" ht="45" customHeight="1" x14ac:dyDescent="0.3">
      <c r="E21" s="440"/>
      <c r="F21" s="534"/>
      <c r="G21" s="529"/>
      <c r="H21" s="23">
        <v>7.2</v>
      </c>
      <c r="I21" s="256" t="s">
        <v>231</v>
      </c>
      <c r="J21" s="24" t="s">
        <v>230</v>
      </c>
      <c r="K21" s="35">
        <v>1</v>
      </c>
      <c r="L21" s="37"/>
      <c r="M21" s="476" t="s">
        <v>180</v>
      </c>
      <c r="N21" s="37"/>
      <c r="O21" s="26" t="str">
        <f>IF(AND(L21&gt;0,$L$20&lt;&gt;$AH$8),"!","")</f>
        <v/>
      </c>
      <c r="P21" s="26"/>
      <c r="Q21" s="27" t="str">
        <f t="shared" si="0"/>
        <v/>
      </c>
      <c r="R21" s="27" t="str">
        <f t="shared" si="1"/>
        <v/>
      </c>
      <c r="S21" s="27"/>
      <c r="T21" s="27"/>
      <c r="U21" s="384"/>
      <c r="V21" s="461"/>
      <c r="W21" s="386"/>
      <c r="X21" s="405"/>
      <c r="Y21" s="244"/>
      <c r="Z21" s="245"/>
      <c r="AA21" s="245"/>
      <c r="AB21" s="245"/>
      <c r="AC21" s="245"/>
      <c r="AD21" s="273"/>
      <c r="AG21" s="95"/>
      <c r="AH21" s="95"/>
      <c r="AI21" s="95"/>
      <c r="AJ21" s="95"/>
      <c r="AK21" s="332" t="s">
        <v>232</v>
      </c>
      <c r="AL21" s="333" t="s">
        <v>143</v>
      </c>
      <c r="AM21" s="333" t="s">
        <v>233</v>
      </c>
      <c r="AN21" s="333" t="s">
        <v>234</v>
      </c>
      <c r="AO21" s="333" t="s">
        <v>137</v>
      </c>
      <c r="AP21" s="333" t="s">
        <v>235</v>
      </c>
      <c r="AQ21" s="333" t="s">
        <v>236</v>
      </c>
      <c r="AR21" s="333" t="s">
        <v>146</v>
      </c>
      <c r="AS21" s="334" t="s">
        <v>237</v>
      </c>
    </row>
    <row r="22" spans="1:45" ht="45" customHeight="1" x14ac:dyDescent="0.3">
      <c r="E22" s="440"/>
      <c r="F22" s="527"/>
      <c r="G22" s="530"/>
      <c r="H22" s="23">
        <v>7.3</v>
      </c>
      <c r="I22" s="256" t="s">
        <v>238</v>
      </c>
      <c r="J22" s="24" t="s">
        <v>230</v>
      </c>
      <c r="K22" s="35">
        <v>1</v>
      </c>
      <c r="L22" s="37"/>
      <c r="M22" s="476" t="s">
        <v>180</v>
      </c>
      <c r="N22" s="37"/>
      <c r="O22" s="26" t="str">
        <f>IF(AND(L22&gt;0,$L$20&lt;&gt;$AH$8),"!","")</f>
        <v/>
      </c>
      <c r="P22" s="26"/>
      <c r="Q22" s="27"/>
      <c r="R22" s="27"/>
      <c r="S22" s="27"/>
      <c r="T22" s="27"/>
      <c r="U22" s="384"/>
      <c r="V22" s="461"/>
      <c r="W22" s="386"/>
      <c r="X22" s="405"/>
      <c r="Y22" s="244"/>
      <c r="Z22" s="245"/>
      <c r="AA22" s="245"/>
      <c r="AB22" s="245"/>
      <c r="AC22" s="245"/>
      <c r="AD22" s="273"/>
      <c r="AG22" s="95"/>
      <c r="AH22" s="95"/>
      <c r="AI22" s="95"/>
      <c r="AJ22" s="95"/>
      <c r="AK22" s="335">
        <v>9.1</v>
      </c>
      <c r="AL22" s="336" t="b">
        <f>IF('Building Input Sheet'!E58="Yes",TRUE,FALSE)</f>
        <v>0</v>
      </c>
      <c r="AM22" s="368"/>
      <c r="AN22" s="337"/>
      <c r="AO22" s="338">
        <f>IF(AL22=TRUE,0,1)</f>
        <v>1</v>
      </c>
      <c r="AP22" s="338" t="str">
        <f>IF(AL22=TRUE,1,"-")</f>
        <v>-</v>
      </c>
      <c r="AQ22" s="338">
        <f>IF(AL22=TRUE,AP22,0)</f>
        <v>0</v>
      </c>
      <c r="AR22" s="338">
        <f>IF(AND(AL22=TRUE,OR(V28=$AG$9,V28=$AG$10)),AQ22,0)</f>
        <v>0</v>
      </c>
      <c r="AS22" s="339">
        <f>IF(AND(AL22=TRUE,V28=$AG$11),AQ22,0)</f>
        <v>0</v>
      </c>
    </row>
    <row r="23" spans="1:45" ht="45" customHeight="1" x14ac:dyDescent="0.3">
      <c r="E23" s="440"/>
      <c r="F23" s="533" t="s">
        <v>239</v>
      </c>
      <c r="G23" s="541" t="s">
        <v>190</v>
      </c>
      <c r="H23" s="381" t="s">
        <v>240</v>
      </c>
      <c r="I23" s="382" t="s">
        <v>241</v>
      </c>
      <c r="J23" s="375" t="s">
        <v>179</v>
      </c>
      <c r="K23" s="383" t="str">
        <f>IF(G23=AE8,1,"0")</f>
        <v>0</v>
      </c>
      <c r="L23" s="37"/>
      <c r="M23" s="476" t="s">
        <v>180</v>
      </c>
      <c r="N23" s="37"/>
      <c r="O23" s="26" t="str">
        <f>IF(AND(L23&gt;0,G23="Prescriptive Pathway"),"!","")</f>
        <v/>
      </c>
      <c r="P23" s="26"/>
      <c r="Q23" s="27" t="str">
        <f>IF(OR(U23=$AG$9,U23=$AG$10),L23,"")</f>
        <v/>
      </c>
      <c r="R23" s="27" t="str">
        <f>IF(U23=$AG$11,L23,"")</f>
        <v/>
      </c>
      <c r="S23" s="27"/>
      <c r="T23" s="27"/>
      <c r="U23" s="384"/>
      <c r="V23" s="461"/>
      <c r="W23" s="386"/>
      <c r="X23" s="405"/>
      <c r="Y23" s="244"/>
      <c r="Z23" s="245"/>
      <c r="AA23" s="245"/>
      <c r="AB23" s="245"/>
      <c r="AC23" s="245"/>
      <c r="AD23" s="273"/>
      <c r="AG23" s="95"/>
      <c r="AH23" s="95"/>
      <c r="AI23" s="95"/>
      <c r="AJ23" s="95"/>
      <c r="AK23" s="335">
        <v>9.1999999999999993</v>
      </c>
      <c r="AL23" s="336" t="b">
        <f>IF('Building Input Sheet'!E59="Yes",TRUE,FALSE)</f>
        <v>0</v>
      </c>
      <c r="AM23" s="368"/>
      <c r="AN23" s="337"/>
      <c r="AO23" s="338">
        <f>IF(AL23=TRUE,0,2)</f>
        <v>2</v>
      </c>
      <c r="AP23" s="338" t="str">
        <f>IF(AL23=TRUE,2,"-")</f>
        <v>-</v>
      </c>
      <c r="AQ23" s="338">
        <f>IF(AL23=TRUE,AP23,0)</f>
        <v>0</v>
      </c>
      <c r="AR23" s="338">
        <f>IF(AND(AL23=TRUE,OR(V29=$AG$9,V29=$AG$10)),AQ23,0)</f>
        <v>0</v>
      </c>
      <c r="AS23" s="339">
        <f>IF(AND(AL23=TRUE,V29=$AG$11),AQ23,0)</f>
        <v>0</v>
      </c>
    </row>
    <row r="24" spans="1:45" ht="45" customHeight="1" x14ac:dyDescent="0.3">
      <c r="E24" s="440"/>
      <c r="F24" s="527"/>
      <c r="G24" s="542"/>
      <c r="H24" s="381" t="s">
        <v>242</v>
      </c>
      <c r="I24" s="382" t="s">
        <v>243</v>
      </c>
      <c r="J24" s="375" t="s">
        <v>179</v>
      </c>
      <c r="K24" s="383">
        <f>IF(G23=AE9,1,"0")</f>
        <v>1</v>
      </c>
      <c r="L24" s="37"/>
      <c r="M24" s="476" t="s">
        <v>180</v>
      </c>
      <c r="N24" s="37"/>
      <c r="O24" s="26" t="str">
        <f>IF(AND(L24&gt;0,G23="Performance Pathway"),"!","")</f>
        <v/>
      </c>
      <c r="P24" s="26"/>
      <c r="Q24" s="27" t="str">
        <f>IF(OR(U24=$AG$9,U24=$AG$10),L24,"")</f>
        <v/>
      </c>
      <c r="R24" s="27" t="str">
        <f>IF(U24=$AG$11,L24,"")</f>
        <v/>
      </c>
      <c r="S24" s="27"/>
      <c r="T24" s="27"/>
      <c r="U24" s="384"/>
      <c r="V24" s="461"/>
      <c r="W24" s="386"/>
      <c r="X24" s="405"/>
      <c r="Y24" s="244"/>
      <c r="Z24" s="245"/>
      <c r="AA24" s="245"/>
      <c r="AB24" s="245"/>
      <c r="AC24" s="245"/>
      <c r="AD24" s="273"/>
      <c r="AK24" s="335">
        <v>9.3000000000000007</v>
      </c>
      <c r="AL24" s="336" t="b">
        <f>IF('Building Input Sheet'!E60="Yes",TRUE,FALSE)</f>
        <v>0</v>
      </c>
      <c r="AM24" s="368"/>
      <c r="AN24" s="337"/>
      <c r="AO24" s="338">
        <f>IF(AL24=TRUE,0,1)</f>
        <v>1</v>
      </c>
      <c r="AP24" s="338" t="str">
        <f>IF(AL24=TRUE,1,"-")</f>
        <v>-</v>
      </c>
      <c r="AQ24" s="338">
        <f>IF(AL24=TRUE,AP24,0)</f>
        <v>0</v>
      </c>
      <c r="AR24" s="338">
        <f>IF(AND(AL24=TRUE,OR(V30=$AG$9,V30=$AG$10)),AQ24,0)</f>
        <v>0</v>
      </c>
      <c r="AS24" s="339">
        <f>IF(AND(AL24=TRUE,V30=$AG$11),AQ24,0)</f>
        <v>0</v>
      </c>
    </row>
    <row r="25" spans="1:45" ht="37.5" customHeight="1" x14ac:dyDescent="0.3">
      <c r="E25" s="430"/>
      <c r="F25" s="39" t="s">
        <v>54</v>
      </c>
      <c r="G25" s="39"/>
      <c r="H25" s="40"/>
      <c r="I25" s="39"/>
      <c r="J25" s="39"/>
      <c r="K25" s="40">
        <f>SUM(K7:K24)</f>
        <v>15</v>
      </c>
      <c r="L25" s="40">
        <f>SUM(L7:L24)</f>
        <v>0</v>
      </c>
      <c r="M25" s="40">
        <f t="shared" ref="M25:N25" si="2">SUM(M7:M24)</f>
        <v>0</v>
      </c>
      <c r="N25" s="40">
        <f t="shared" si="2"/>
        <v>0</v>
      </c>
      <c r="O25" s="26" t="str">
        <f>IF(L25&gt;K25,"!","")</f>
        <v/>
      </c>
      <c r="P25" s="26"/>
      <c r="Q25" s="41">
        <f>SUM(Q7:Q24)</f>
        <v>0</v>
      </c>
      <c r="R25" s="41">
        <f>SUM(R7:R24)</f>
        <v>0</v>
      </c>
      <c r="S25" s="416"/>
      <c r="T25" s="416"/>
      <c r="U25" s="417"/>
      <c r="V25" s="48"/>
      <c r="W25" s="418"/>
      <c r="X25" s="405"/>
      <c r="Y25" s="419"/>
      <c r="Z25" s="418"/>
      <c r="AA25" s="418"/>
      <c r="AB25" s="418"/>
      <c r="AC25" s="418"/>
      <c r="AD25" s="273"/>
      <c r="AK25" s="335">
        <v>10.1</v>
      </c>
      <c r="AL25" s="336" t="b">
        <f>IF('Building Input Sheet'!E61="Yes",TRUE,FALSE)</f>
        <v>0</v>
      </c>
      <c r="AM25" s="368"/>
      <c r="AN25" s="337"/>
      <c r="AO25" s="338">
        <f>IF(AL25=TRUE,0,1)</f>
        <v>1</v>
      </c>
      <c r="AP25" s="338" t="str">
        <f>IF(AL25=TRUE,1,"-")</f>
        <v>-</v>
      </c>
      <c r="AQ25" s="338">
        <f>IF(AL25=TRUE,AP25,0)</f>
        <v>0</v>
      </c>
      <c r="AR25" s="338">
        <f>IF(AND(AL25=TRUE,OR(V31=$AG$9,V31=$AG$10)),AQ25,0)</f>
        <v>0</v>
      </c>
      <c r="AS25" s="339">
        <f>IF(AND(AL25=TRUE,V31=$AG$11),AQ25,0)</f>
        <v>0</v>
      </c>
    </row>
    <row r="26" spans="1:45" ht="45" customHeight="1" x14ac:dyDescent="0.3">
      <c r="E26" s="388"/>
      <c r="F26" s="44"/>
      <c r="G26" s="44"/>
      <c r="H26" s="389"/>
      <c r="I26" s="390"/>
      <c r="J26" s="48"/>
      <c r="K26" s="391"/>
      <c r="L26" s="48"/>
      <c r="M26" s="48"/>
      <c r="N26" s="48"/>
      <c r="O26" s="26"/>
      <c r="P26" s="26"/>
      <c r="Q26" s="48"/>
      <c r="R26" s="48"/>
      <c r="S26" s="48"/>
      <c r="T26" s="48"/>
      <c r="U26" s="392"/>
      <c r="V26" s="393"/>
      <c r="W26" s="223"/>
      <c r="X26" s="405"/>
      <c r="Y26" s="248"/>
      <c r="Z26" s="249"/>
      <c r="AA26" s="249"/>
      <c r="AB26" s="249"/>
      <c r="AC26" s="249"/>
      <c r="AD26" s="273"/>
      <c r="AK26" s="335">
        <v>10.199999999999999</v>
      </c>
      <c r="AL26" s="336" t="b">
        <f>IF('Building Input Sheet'!E62="Yes",TRUE,FALSE)</f>
        <v>0</v>
      </c>
      <c r="AM26" s="336" t="b">
        <f>IF('Building Input Sheet'!E90="Yes",TRUE,FALSE)</f>
        <v>0</v>
      </c>
      <c r="AN26" s="337">
        <v>10.199999999999999</v>
      </c>
      <c r="AO26" s="338">
        <f>IF(AL26=TRUE,0,IF(AM26=FALSE,$AL$14,$AL$15))</f>
        <v>1</v>
      </c>
      <c r="AP26" s="338">
        <f>IF(AL26=TRUE,1,1-AO26)</f>
        <v>0</v>
      </c>
      <c r="AQ26" s="338">
        <f>IF(AL26=TRUE,AP26,IF($AL$13="Yes",N32,0))</f>
        <v>0</v>
      </c>
      <c r="AR26" s="338">
        <f>IF(AND(AL26=TRUE,OR(V32=$AG$9,V32=$AG$10)),AQ26,IF(AND($AL$13="yes",OR(V32=$AG$9,V32=$AG$10)),N32,0))</f>
        <v>0</v>
      </c>
      <c r="AS26" s="339">
        <f t="shared" ref="AS26:AS32" si="3">IF(AND(AL26=TRUE,V32=$AG$11),AQ26,IF(V32=$AG$11,N32,0))</f>
        <v>0</v>
      </c>
    </row>
    <row r="27" spans="1:45" ht="45" customHeight="1" x14ac:dyDescent="0.3">
      <c r="E27" s="439"/>
      <c r="F27" s="565" t="s">
        <v>244</v>
      </c>
      <c r="G27" s="565"/>
      <c r="H27" s="565"/>
      <c r="I27" s="565"/>
      <c r="J27" s="49"/>
      <c r="K27" s="154">
        <f>17-SUM(B28:B44)</f>
        <v>17</v>
      </c>
      <c r="L27" s="49"/>
      <c r="M27" s="49"/>
      <c r="N27" s="49"/>
      <c r="O27" s="26"/>
      <c r="P27" s="26"/>
      <c r="Q27" s="154"/>
      <c r="R27" s="154"/>
      <c r="S27" s="154"/>
      <c r="T27" s="154"/>
      <c r="U27" s="171"/>
      <c r="V27" s="171"/>
      <c r="W27" s="222"/>
      <c r="X27" s="414"/>
      <c r="Y27" s="232"/>
      <c r="Z27" s="222"/>
      <c r="AA27" s="222"/>
      <c r="AB27" s="222"/>
      <c r="AC27" s="222"/>
      <c r="AD27" s="273"/>
      <c r="AK27" s="335">
        <v>10.3</v>
      </c>
      <c r="AL27" s="336" t="b">
        <f>IF('Building Input Sheet'!E63="Yes",TRUE,FALSE)</f>
        <v>0</v>
      </c>
      <c r="AM27" s="336" t="b">
        <f>IF('Building Input Sheet'!E91="Yes",TRUE,FALSE)</f>
        <v>0</v>
      </c>
      <c r="AN27" s="337">
        <v>10.3</v>
      </c>
      <c r="AO27" s="338">
        <f>IF(AL27=TRUE,0,IF(AM27=FALSE,$AL$14,$AL$15))</f>
        <v>1</v>
      </c>
      <c r="AP27" s="338">
        <f>IF(AL27=TRUE,1,1-AO27)</f>
        <v>0</v>
      </c>
      <c r="AQ27" s="338">
        <f>IF(AL27=TRUE,AP27,IF($AL$13="Yes",N33,0))</f>
        <v>0</v>
      </c>
      <c r="AR27" s="338">
        <f>IF(AND(AL27=TRUE,OR(V33=$AG$9,V33=$AG$10)),AQ27,IF(AND($AL$13="yes",OR(V33=$AG$9,V33=$AG$10)),N33,0))</f>
        <v>0</v>
      </c>
      <c r="AS27" s="339">
        <f t="shared" si="3"/>
        <v>0</v>
      </c>
    </row>
    <row r="28" spans="1:45" ht="45" customHeight="1" x14ac:dyDescent="0.3">
      <c r="A28" s="141">
        <f>K28</f>
        <v>1</v>
      </c>
      <c r="B28" s="141">
        <f>IF(C28=TRUE,A28,0)</f>
        <v>0</v>
      </c>
      <c r="C28" s="362" t="b">
        <f>AL22</f>
        <v>0</v>
      </c>
      <c r="E28" s="440"/>
      <c r="F28" s="547" t="s">
        <v>81</v>
      </c>
      <c r="G28" s="562" t="s">
        <v>245</v>
      </c>
      <c r="H28" s="23">
        <v>9.1</v>
      </c>
      <c r="I28" s="52" t="s">
        <v>82</v>
      </c>
      <c r="J28" s="24" t="s">
        <v>179</v>
      </c>
      <c r="K28" s="53">
        <f t="shared" ref="K28:K33" si="4">IF(C28=FALSE,AO22,0)</f>
        <v>1</v>
      </c>
      <c r="L28" s="54"/>
      <c r="M28" s="477" t="str">
        <f>AP22</f>
        <v>-</v>
      </c>
      <c r="N28" s="371"/>
      <c r="O28" s="26"/>
      <c r="P28" s="26"/>
      <c r="Q28" s="27" t="str">
        <f t="shared" ref="Q28:Q44" si="5">IF(OR(U28=$AG$9,U28=$AG$10),L28,"")</f>
        <v/>
      </c>
      <c r="R28" s="27" t="str">
        <f t="shared" ref="R28:R44" si="6">IF(U28=$AG$11,L28,"")</f>
        <v/>
      </c>
      <c r="S28" s="27"/>
      <c r="T28" s="27"/>
      <c r="U28" s="384"/>
      <c r="V28" s="462"/>
      <c r="W28" s="386"/>
      <c r="X28" s="405"/>
      <c r="Y28" s="244"/>
      <c r="Z28" s="245"/>
      <c r="AA28" s="245"/>
      <c r="AB28" s="245"/>
      <c r="AC28" s="245"/>
      <c r="AD28" s="273"/>
      <c r="AK28" s="340" t="s">
        <v>180</v>
      </c>
      <c r="AL28" s="336">
        <v>0</v>
      </c>
      <c r="AM28" s="368"/>
      <c r="AN28" s="341">
        <v>11.1</v>
      </c>
      <c r="AO28" s="338">
        <v>0</v>
      </c>
      <c r="AP28" s="338">
        <f>IF(AL28=TRUE,"-",0-AO28)</f>
        <v>0</v>
      </c>
      <c r="AQ28" s="338">
        <f>N34</f>
        <v>0</v>
      </c>
      <c r="AR28" s="338">
        <f>IF(AND(AL28=TRUE,V34=$AG$9),AP28,IF(V34=$AG$9,N34,0))</f>
        <v>0</v>
      </c>
      <c r="AS28" s="339">
        <f t="shared" si="3"/>
        <v>0</v>
      </c>
    </row>
    <row r="29" spans="1:45" ht="45" customHeight="1" x14ac:dyDescent="0.3">
      <c r="A29" s="141">
        <v>2</v>
      </c>
      <c r="B29" s="141">
        <f t="shared" ref="B29:B44" si="7">IF(C29=TRUE,A29,0)</f>
        <v>0</v>
      </c>
      <c r="C29" s="362" t="b">
        <f t="shared" ref="C29:C33" si="8">AL23</f>
        <v>0</v>
      </c>
      <c r="E29" s="440"/>
      <c r="F29" s="547"/>
      <c r="G29" s="562"/>
      <c r="H29" s="23">
        <v>9.1999999999999993</v>
      </c>
      <c r="I29" s="52" t="s">
        <v>83</v>
      </c>
      <c r="J29" s="24" t="s">
        <v>179</v>
      </c>
      <c r="K29" s="53">
        <f t="shared" si="4"/>
        <v>2</v>
      </c>
      <c r="L29" s="54"/>
      <c r="M29" s="477" t="str">
        <f>AP23</f>
        <v>-</v>
      </c>
      <c r="N29" s="54"/>
      <c r="O29" s="26"/>
      <c r="P29" s="26"/>
      <c r="Q29" s="27" t="str">
        <f t="shared" si="5"/>
        <v/>
      </c>
      <c r="R29" s="27" t="str">
        <f t="shared" si="6"/>
        <v/>
      </c>
      <c r="S29" s="27"/>
      <c r="T29" s="27"/>
      <c r="U29" s="385"/>
      <c r="V29" s="461"/>
      <c r="W29" s="386"/>
      <c r="X29" s="405"/>
      <c r="Y29" s="244"/>
      <c r="Z29" s="245"/>
      <c r="AA29" s="245"/>
      <c r="AB29" s="245"/>
      <c r="AC29" s="245"/>
      <c r="AD29" s="273"/>
      <c r="AK29" s="335">
        <v>11.2</v>
      </c>
      <c r="AL29" s="336" t="b">
        <f>IF('Building Input Sheet'!E64="Yes",TRUE,FALSE)</f>
        <v>0</v>
      </c>
      <c r="AM29" s="336" t="b">
        <f>IF('Building Input Sheet'!E92="Yes",TRUE,FALSE)</f>
        <v>0</v>
      </c>
      <c r="AN29" s="335">
        <v>11.2</v>
      </c>
      <c r="AO29" s="338">
        <f>IF(AL29=TRUE,0,IF(AM29=FALSE,$AL$14,$AL$15))</f>
        <v>1</v>
      </c>
      <c r="AP29" s="338">
        <f t="shared" ref="AP29:AP36" si="9">IF(AL29=TRUE,1,1-AO29)</f>
        <v>0</v>
      </c>
      <c r="AQ29" s="338">
        <f>IF(AL29=TRUE,AP29,IF($AL$13="Yes",N35,0))</f>
        <v>0</v>
      </c>
      <c r="AR29" s="338">
        <f>IF(AND(AL29=TRUE,OR(V35=$AG$9,V35=$AG$10)),AQ29,IF(AND($AL$13="yes",OR(V35=$AG$9,V35=$AG$10)),N35,0))</f>
        <v>0</v>
      </c>
      <c r="AS29" s="339">
        <f t="shared" si="3"/>
        <v>0</v>
      </c>
    </row>
    <row r="30" spans="1:45" ht="45" customHeight="1" x14ac:dyDescent="0.3">
      <c r="A30" s="141">
        <v>1</v>
      </c>
      <c r="B30" s="141">
        <f t="shared" si="7"/>
        <v>0</v>
      </c>
      <c r="C30" s="362" t="b">
        <f t="shared" si="8"/>
        <v>0</v>
      </c>
      <c r="E30" s="440"/>
      <c r="F30" s="547"/>
      <c r="G30" s="562"/>
      <c r="H30" s="23">
        <v>9.3000000000000007</v>
      </c>
      <c r="I30" s="52" t="s">
        <v>84</v>
      </c>
      <c r="J30" s="24" t="s">
        <v>179</v>
      </c>
      <c r="K30" s="53">
        <f t="shared" si="4"/>
        <v>1</v>
      </c>
      <c r="L30" s="54"/>
      <c r="M30" s="477" t="str">
        <f t="shared" ref="M30:M33" si="10">AP24</f>
        <v>-</v>
      </c>
      <c r="N30" s="54"/>
      <c r="O30" s="26"/>
      <c r="P30" s="26"/>
      <c r="Q30" s="27" t="str">
        <f t="shared" si="5"/>
        <v/>
      </c>
      <c r="R30" s="27" t="str">
        <f t="shared" si="6"/>
        <v/>
      </c>
      <c r="S30" s="27"/>
      <c r="T30" s="27"/>
      <c r="U30" s="385"/>
      <c r="V30" s="461"/>
      <c r="W30" s="386"/>
      <c r="X30" s="405"/>
      <c r="Y30" s="244"/>
      <c r="Z30" s="245"/>
      <c r="AA30" s="245"/>
      <c r="AB30" s="245"/>
      <c r="AC30" s="245"/>
      <c r="AD30" s="273"/>
      <c r="AK30" s="335">
        <v>11.3</v>
      </c>
      <c r="AL30" s="336" t="b">
        <f>IF('Building Input Sheet'!E65="Yes",TRUE,FALSE)</f>
        <v>0</v>
      </c>
      <c r="AM30" s="336" t="b">
        <f>IF('Building Input Sheet'!E93="Yes",TRUE,FALSE)</f>
        <v>0</v>
      </c>
      <c r="AN30" s="335">
        <v>11.3</v>
      </c>
      <c r="AO30" s="338">
        <f t="shared" ref="AO30:AO31" si="11">IF(AL30=TRUE,0,IF(AM30=FALSE,$AL$14,$AL$15))</f>
        <v>1</v>
      </c>
      <c r="AP30" s="338">
        <f t="shared" si="9"/>
        <v>0</v>
      </c>
      <c r="AQ30" s="338">
        <f>IF(AL30=TRUE,AP30,IF($AL$13="Yes",N36,0))</f>
        <v>0</v>
      </c>
      <c r="AR30" s="338">
        <f>IF(AND(AL30=TRUE,OR(V36=$AG$9,V36=$AG$10)),AQ30,IF(AND($AL$13="yes",OR(V36=$AG$9,V36=$AG$10)),N36,0))</f>
        <v>0</v>
      </c>
      <c r="AS30" s="339">
        <f t="shared" si="3"/>
        <v>0</v>
      </c>
    </row>
    <row r="31" spans="1:45" ht="45" customHeight="1" x14ac:dyDescent="0.3">
      <c r="A31" s="141">
        <v>1</v>
      </c>
      <c r="B31" s="141">
        <f t="shared" si="7"/>
        <v>0</v>
      </c>
      <c r="C31" s="362" t="b">
        <f t="shared" si="8"/>
        <v>0</v>
      </c>
      <c r="E31" s="440"/>
      <c r="F31" s="547" t="s">
        <v>85</v>
      </c>
      <c r="G31" s="562" t="s">
        <v>246</v>
      </c>
      <c r="H31" s="23">
        <v>10.1</v>
      </c>
      <c r="I31" s="52" t="s">
        <v>86</v>
      </c>
      <c r="J31" s="24" t="s">
        <v>179</v>
      </c>
      <c r="K31" s="53">
        <f t="shared" si="4"/>
        <v>1</v>
      </c>
      <c r="L31" s="54"/>
      <c r="M31" s="477" t="str">
        <f t="shared" si="10"/>
        <v>-</v>
      </c>
      <c r="N31" s="54"/>
      <c r="O31" s="26"/>
      <c r="P31" s="26"/>
      <c r="Q31" s="27" t="str">
        <f t="shared" si="5"/>
        <v/>
      </c>
      <c r="R31" s="27" t="str">
        <f t="shared" si="6"/>
        <v/>
      </c>
      <c r="S31" s="27"/>
      <c r="T31" s="27"/>
      <c r="U31" s="385"/>
      <c r="V31" s="461"/>
      <c r="W31" s="386"/>
      <c r="X31" s="405"/>
      <c r="Y31" s="244"/>
      <c r="Z31" s="245"/>
      <c r="AA31" s="245"/>
      <c r="AB31" s="245"/>
      <c r="AC31" s="245"/>
      <c r="AD31" s="273"/>
      <c r="AK31" s="335">
        <v>11.4</v>
      </c>
      <c r="AL31" s="336" t="b">
        <f>IF('Building Input Sheet'!E66="Yes",TRUE,FALSE)</f>
        <v>0</v>
      </c>
      <c r="AM31" s="336" t="b">
        <f>IF('Building Input Sheet'!E94="Yes",TRUE,FALSE)</f>
        <v>0</v>
      </c>
      <c r="AN31" s="335">
        <v>11.4</v>
      </c>
      <c r="AO31" s="338">
        <f t="shared" si="11"/>
        <v>1</v>
      </c>
      <c r="AP31" s="338">
        <f t="shared" si="9"/>
        <v>0</v>
      </c>
      <c r="AQ31" s="338">
        <f>IF(AL31=TRUE,AP31,IF($AL$13="Yes",N37,0))</f>
        <v>0</v>
      </c>
      <c r="AR31" s="338">
        <f>IF(AND(AL31=TRUE,OR(V37=$AG$9,V37=$AG$10)),AQ31,IF(AND($AL$13="yes",OR(V37=$AG$9,V37=$AG$10)),N37,0))</f>
        <v>0</v>
      </c>
      <c r="AS31" s="339">
        <f t="shared" si="3"/>
        <v>0</v>
      </c>
    </row>
    <row r="32" spans="1:45" ht="45" customHeight="1" x14ac:dyDescent="0.3">
      <c r="A32" s="141">
        <v>1</v>
      </c>
      <c r="B32" s="141">
        <f>IF(C32=TRUE,A32,A32-K32)</f>
        <v>0</v>
      </c>
      <c r="C32" s="362" t="b">
        <f t="shared" si="8"/>
        <v>0</v>
      </c>
      <c r="E32" s="440"/>
      <c r="F32" s="547"/>
      <c r="G32" s="562"/>
      <c r="H32" s="23">
        <v>10.199999999999999</v>
      </c>
      <c r="I32" s="52" t="s">
        <v>87</v>
      </c>
      <c r="J32" s="24" t="s">
        <v>247</v>
      </c>
      <c r="K32" s="53">
        <f t="shared" si="4"/>
        <v>1</v>
      </c>
      <c r="L32" s="54"/>
      <c r="M32" s="477">
        <f t="shared" si="10"/>
        <v>0</v>
      </c>
      <c r="N32" s="54"/>
      <c r="O32" s="26"/>
      <c r="P32" s="26"/>
      <c r="Q32" s="27" t="str">
        <f t="shared" si="5"/>
        <v/>
      </c>
      <c r="R32" s="27" t="str">
        <f t="shared" si="6"/>
        <v/>
      </c>
      <c r="S32" s="27"/>
      <c r="T32" s="27"/>
      <c r="U32" s="385"/>
      <c r="V32" s="462"/>
      <c r="W32" s="386"/>
      <c r="X32" s="405"/>
      <c r="Y32" s="244"/>
      <c r="Z32" s="245"/>
      <c r="AA32" s="245"/>
      <c r="AB32" s="245"/>
      <c r="AC32" s="245"/>
      <c r="AD32" s="273"/>
      <c r="AK32" s="342" t="s">
        <v>180</v>
      </c>
      <c r="AL32" s="336">
        <v>0</v>
      </c>
      <c r="AM32" s="368"/>
      <c r="AN32" s="341">
        <v>12.1</v>
      </c>
      <c r="AO32" s="338">
        <v>0</v>
      </c>
      <c r="AP32" s="338">
        <f>IF(AL32=TRUE,"-",0-AO32)</f>
        <v>0</v>
      </c>
      <c r="AQ32" s="338">
        <f>N38</f>
        <v>0</v>
      </c>
      <c r="AR32" s="338">
        <f>IF(AND(AL32=TRUE,V38=$AG$9),AP32,IF(V38=$AG$9,N38,0))</f>
        <v>0</v>
      </c>
      <c r="AS32" s="339">
        <f t="shared" si="3"/>
        <v>0</v>
      </c>
    </row>
    <row r="33" spans="1:45" ht="45" customHeight="1" x14ac:dyDescent="0.3">
      <c r="A33" s="141">
        <v>1</v>
      </c>
      <c r="B33" s="141">
        <f>IF(C33=TRUE,A33,A33-K33)</f>
        <v>0</v>
      </c>
      <c r="C33" s="362" t="b">
        <f t="shared" si="8"/>
        <v>0</v>
      </c>
      <c r="E33" s="440"/>
      <c r="F33" s="547"/>
      <c r="G33" s="562"/>
      <c r="H33" s="23">
        <v>10.3</v>
      </c>
      <c r="I33" s="52" t="s">
        <v>88</v>
      </c>
      <c r="J33" s="24" t="s">
        <v>247</v>
      </c>
      <c r="K33" s="53">
        <f t="shared" si="4"/>
        <v>1</v>
      </c>
      <c r="L33" s="54"/>
      <c r="M33" s="477">
        <f t="shared" si="10"/>
        <v>0</v>
      </c>
      <c r="N33" s="54"/>
      <c r="O33" s="26"/>
      <c r="P33" s="26"/>
      <c r="Q33" s="27" t="str">
        <f t="shared" si="5"/>
        <v/>
      </c>
      <c r="R33" s="27" t="str">
        <f t="shared" si="6"/>
        <v/>
      </c>
      <c r="S33" s="27"/>
      <c r="T33" s="27"/>
      <c r="U33" s="385"/>
      <c r="V33" s="462"/>
      <c r="W33" s="386"/>
      <c r="X33" s="405"/>
      <c r="Y33" s="244"/>
      <c r="Z33" s="245"/>
      <c r="AA33" s="245"/>
      <c r="AB33" s="245"/>
      <c r="AC33" s="245"/>
      <c r="AD33" s="273"/>
      <c r="AK33" s="335">
        <v>12.2</v>
      </c>
      <c r="AL33" s="336" t="b">
        <f>IF('Building Input Sheet'!E67="Yes",TRUE,FALSE)</f>
        <v>0</v>
      </c>
      <c r="AM33" s="368"/>
      <c r="AN33" s="337"/>
      <c r="AO33" s="338">
        <f>IF(AL33=TRUE,0,2)</f>
        <v>2</v>
      </c>
      <c r="AP33" s="338">
        <f>IF(AL33=TRUE,2,0)</f>
        <v>0</v>
      </c>
      <c r="AQ33" s="338">
        <f>IF(AL33=TRUE,AP33,0)</f>
        <v>0</v>
      </c>
      <c r="AR33" s="338">
        <f>IF(AND(AL33=TRUE,OR(V39=$AG$9,V39=$AG$10)),AQ33,0)</f>
        <v>0</v>
      </c>
      <c r="AS33" s="339">
        <f>IF(AND(AL33=TRUE,V39=$AG$11),AQ33,0)</f>
        <v>0</v>
      </c>
    </row>
    <row r="34" spans="1:45" ht="45" customHeight="1" x14ac:dyDescent="0.3">
      <c r="E34" s="440"/>
      <c r="F34" s="547" t="s">
        <v>89</v>
      </c>
      <c r="G34" s="562" t="s">
        <v>248</v>
      </c>
      <c r="H34" s="23">
        <v>11.1</v>
      </c>
      <c r="I34" s="52" t="s">
        <v>249</v>
      </c>
      <c r="J34" s="24" t="s">
        <v>247</v>
      </c>
      <c r="K34" s="261" t="s">
        <v>185</v>
      </c>
      <c r="L34" s="54"/>
      <c r="M34" s="478" t="s">
        <v>180</v>
      </c>
      <c r="N34" s="54"/>
      <c r="O34" s="26"/>
      <c r="P34" s="26"/>
      <c r="Q34" s="27" t="str">
        <f t="shared" si="5"/>
        <v/>
      </c>
      <c r="R34" s="27" t="str">
        <f t="shared" si="6"/>
        <v/>
      </c>
      <c r="S34" s="27"/>
      <c r="T34" s="27"/>
      <c r="U34" s="385"/>
      <c r="V34" s="461"/>
      <c r="W34" s="386"/>
      <c r="X34" s="405"/>
      <c r="Y34" s="244"/>
      <c r="Z34" s="245"/>
      <c r="AA34" s="245"/>
      <c r="AB34" s="245"/>
      <c r="AC34" s="245"/>
      <c r="AD34" s="273"/>
      <c r="AK34" s="335">
        <v>12.3</v>
      </c>
      <c r="AL34" s="336" t="b">
        <f>IF('Building Input Sheet'!E68="Yes",TRUE,FALSE)</f>
        <v>0</v>
      </c>
      <c r="AM34" s="368"/>
      <c r="AN34" s="337"/>
      <c r="AO34" s="338">
        <f>IF(AL34=TRUE,0,1)</f>
        <v>1</v>
      </c>
      <c r="AP34" s="338">
        <f>IF(AL34=TRUE,1,0)</f>
        <v>0</v>
      </c>
      <c r="AQ34" s="338">
        <f>IF(AL34=TRUE,AP34,0)</f>
        <v>0</v>
      </c>
      <c r="AR34" s="338">
        <f>IF(AND(AL34=TRUE,OR(V40=$AG$9,V40=$AG$10)),AQ34,0)</f>
        <v>0</v>
      </c>
      <c r="AS34" s="339">
        <f>IF(AND(AL34=TRUE,V40=$AG$11),AQ34,0)</f>
        <v>0</v>
      </c>
    </row>
    <row r="35" spans="1:45" ht="45" customHeight="1" x14ac:dyDescent="0.3">
      <c r="A35" s="141">
        <v>1</v>
      </c>
      <c r="B35" s="141">
        <f>IF(C35=TRUE,A35,A35-K35)</f>
        <v>0</v>
      </c>
      <c r="C35" s="362" t="b">
        <f>AL29</f>
        <v>0</v>
      </c>
      <c r="E35" s="440"/>
      <c r="F35" s="547"/>
      <c r="G35" s="562"/>
      <c r="H35" s="23">
        <v>11.2</v>
      </c>
      <c r="I35" s="52" t="s">
        <v>90</v>
      </c>
      <c r="J35" s="24" t="s">
        <v>247</v>
      </c>
      <c r="K35" s="53">
        <f>IF(C35=FALSE,AO29,0)</f>
        <v>1</v>
      </c>
      <c r="L35" s="54"/>
      <c r="M35" s="477">
        <f>AP29</f>
        <v>0</v>
      </c>
      <c r="N35" s="54"/>
      <c r="O35" s="26" t="str">
        <f>IF(AND(OR(L35&gt;0,M35&gt;0),$L$34&lt;&gt;$AH$8),"!","")</f>
        <v/>
      </c>
      <c r="P35" s="26"/>
      <c r="Q35" s="27" t="str">
        <f t="shared" si="5"/>
        <v/>
      </c>
      <c r="R35" s="27" t="str">
        <f t="shared" si="6"/>
        <v/>
      </c>
      <c r="S35" s="27"/>
      <c r="T35" s="27"/>
      <c r="U35" s="385"/>
      <c r="V35" s="462"/>
      <c r="W35" s="386"/>
      <c r="X35" s="405"/>
      <c r="Y35" s="244"/>
      <c r="Z35" s="245"/>
      <c r="AA35" s="245"/>
      <c r="AB35" s="245"/>
      <c r="AC35" s="245"/>
      <c r="AD35" s="273"/>
      <c r="AK35" s="335">
        <v>13.1</v>
      </c>
      <c r="AL35" s="336" t="b">
        <f>IF('Building Input Sheet'!E69="Yes",TRUE,FALSE)</f>
        <v>0</v>
      </c>
      <c r="AM35" s="336" t="b">
        <f>IF('Building Input Sheet'!E95="Yes",TRUE,FALSE)</f>
        <v>0</v>
      </c>
      <c r="AN35" s="337">
        <v>13.1</v>
      </c>
      <c r="AO35" s="338">
        <f t="shared" ref="AO35:AO36" si="12">IF(AL35=TRUE,0,IF(AM35=FALSE,$AL$14,$AL$15))</f>
        <v>1</v>
      </c>
      <c r="AP35" s="338">
        <f t="shared" si="9"/>
        <v>0</v>
      </c>
      <c r="AQ35" s="338">
        <f>IF(AL35=TRUE,AP35,IF($AL$13="Yes",N42,0))</f>
        <v>0</v>
      </c>
      <c r="AR35" s="338">
        <f>IF(AND(AL35=TRUE,OR(V41=$AG$9,V41=$AG$10)),AQ35,IF(AND($AL$13="yes",OR(V41=$AG$9,V41=$AG$10)),N41,0))</f>
        <v>0</v>
      </c>
      <c r="AS35" s="339">
        <f>IF(AND(AL35=TRUE,V41=$AG$11),AQ35,IF(V41=$AG$11,N41,0))</f>
        <v>0</v>
      </c>
    </row>
    <row r="36" spans="1:45" ht="45" customHeight="1" x14ac:dyDescent="0.3">
      <c r="A36" s="141">
        <v>1</v>
      </c>
      <c r="B36" s="141">
        <f>IF(C36=TRUE,A36,A36-K36)</f>
        <v>0</v>
      </c>
      <c r="C36" s="362" t="b">
        <f>AL30</f>
        <v>0</v>
      </c>
      <c r="E36" s="440"/>
      <c r="F36" s="547"/>
      <c r="G36" s="562"/>
      <c r="H36" s="23">
        <v>11.3</v>
      </c>
      <c r="I36" s="52" t="s">
        <v>91</v>
      </c>
      <c r="J36" s="24" t="s">
        <v>247</v>
      </c>
      <c r="K36" s="53">
        <f>IF(C36=FALSE,AO30,0)</f>
        <v>1</v>
      </c>
      <c r="L36" s="54"/>
      <c r="M36" s="477">
        <f t="shared" ref="M36:M37" si="13">AP30</f>
        <v>0</v>
      </c>
      <c r="N36" s="54"/>
      <c r="O36" s="26" t="str">
        <f t="shared" ref="O36:O37" si="14">IF(AND(OR(L36&gt;0,M36&gt;0),$L$34&lt;&gt;$AH$8),"!","")</f>
        <v/>
      </c>
      <c r="P36" s="26"/>
      <c r="Q36" s="27" t="str">
        <f t="shared" si="5"/>
        <v/>
      </c>
      <c r="R36" s="27" t="str">
        <f t="shared" si="6"/>
        <v/>
      </c>
      <c r="S36" s="27"/>
      <c r="T36" s="27"/>
      <c r="U36" s="385"/>
      <c r="V36" s="462"/>
      <c r="W36" s="386"/>
      <c r="X36" s="405"/>
      <c r="Y36" s="244"/>
      <c r="Z36" s="245"/>
      <c r="AA36" s="245"/>
      <c r="AB36" s="245"/>
      <c r="AC36" s="245"/>
      <c r="AD36" s="273"/>
      <c r="AK36" s="335">
        <v>13.2</v>
      </c>
      <c r="AL36" s="336" t="b">
        <f>IF('Building Input Sheet'!E70="Yes",TRUE,FALSE)</f>
        <v>0</v>
      </c>
      <c r="AM36" s="336" t="b">
        <f>IF('Building Input Sheet'!E96="Yes",TRUE,FALSE)</f>
        <v>0</v>
      </c>
      <c r="AN36" s="337">
        <v>13.2</v>
      </c>
      <c r="AO36" s="338">
        <f t="shared" si="12"/>
        <v>1</v>
      </c>
      <c r="AP36" s="338">
        <f t="shared" si="9"/>
        <v>0</v>
      </c>
      <c r="AQ36" s="338">
        <f>IF(AL36=TRUE,AP36,IF($AL$13="Yes",N43,0))</f>
        <v>0</v>
      </c>
      <c r="AR36" s="338">
        <f>IF(AND(AL36=TRUE,OR(V42=$AG$9,V42=$AG$10)),AQ36,IF(AND($AL$13="yes",OR(V42=$AG$9,V42=$AG$10)),N42,0))</f>
        <v>0</v>
      </c>
      <c r="AS36" s="339">
        <f>IF(AND(AL36=TRUE,V42=$AG$11),AQ36,IF(V42=$AG$11,N42,0))</f>
        <v>0</v>
      </c>
    </row>
    <row r="37" spans="1:45" ht="45" customHeight="1" x14ac:dyDescent="0.3">
      <c r="A37" s="141">
        <v>1</v>
      </c>
      <c r="B37" s="141">
        <f>IF(C37=TRUE,A37,A37-K37)</f>
        <v>0</v>
      </c>
      <c r="C37" s="362" t="b">
        <f>AL31</f>
        <v>0</v>
      </c>
      <c r="E37" s="440"/>
      <c r="F37" s="547"/>
      <c r="G37" s="562"/>
      <c r="H37" s="23">
        <v>11.4</v>
      </c>
      <c r="I37" s="52" t="s">
        <v>92</v>
      </c>
      <c r="J37" s="24" t="s">
        <v>247</v>
      </c>
      <c r="K37" s="53">
        <f>IF(C37=FALSE,AO31,0)</f>
        <v>1</v>
      </c>
      <c r="L37" s="54"/>
      <c r="M37" s="477">
        <f t="shared" si="13"/>
        <v>0</v>
      </c>
      <c r="N37" s="54"/>
      <c r="O37" s="26" t="str">
        <f t="shared" si="14"/>
        <v/>
      </c>
      <c r="P37" s="26"/>
      <c r="Q37" s="27" t="str">
        <f t="shared" si="5"/>
        <v/>
      </c>
      <c r="R37" s="27" t="str">
        <f t="shared" si="6"/>
        <v/>
      </c>
      <c r="S37" s="27"/>
      <c r="T37" s="27"/>
      <c r="U37" s="385"/>
      <c r="V37" s="462"/>
      <c r="W37" s="386"/>
      <c r="X37" s="405"/>
      <c r="Y37" s="244"/>
      <c r="Z37" s="245"/>
      <c r="AA37" s="245"/>
      <c r="AB37" s="245"/>
      <c r="AC37" s="245"/>
      <c r="AD37" s="273"/>
      <c r="AK37" s="335">
        <v>14.1</v>
      </c>
      <c r="AL37" s="336" t="b">
        <f>IF('Building Input Sheet'!E71="Yes",TRUE,FALSE)</f>
        <v>0</v>
      </c>
      <c r="AM37" s="368"/>
      <c r="AN37" s="337"/>
      <c r="AO37" s="338">
        <f>IF(AL37=TRUE,0,1)</f>
        <v>1</v>
      </c>
      <c r="AP37" s="338" t="str">
        <f>IF(AL37=TRUE,1,"-")</f>
        <v>-</v>
      </c>
      <c r="AQ37" s="338">
        <f>IF(AL37=TRUE,AP37,0)</f>
        <v>0</v>
      </c>
      <c r="AR37" s="338">
        <f>IF(AND(AL37=TRUE,OR(V43=$AG$9,V43=$AG$10)),AQ37,0)</f>
        <v>0</v>
      </c>
      <c r="AS37" s="339">
        <f>IF(AND(AL37=TRUE,V43=$AG$11),AQ37,0)</f>
        <v>0</v>
      </c>
    </row>
    <row r="38" spans="1:45" ht="45" customHeight="1" x14ac:dyDescent="0.3">
      <c r="E38" s="440"/>
      <c r="F38" s="547" t="s">
        <v>93</v>
      </c>
      <c r="G38" s="562" t="s">
        <v>250</v>
      </c>
      <c r="H38" s="23">
        <v>12.1</v>
      </c>
      <c r="I38" s="52" t="s">
        <v>251</v>
      </c>
      <c r="J38" s="24" t="s">
        <v>247</v>
      </c>
      <c r="K38" s="261" t="s">
        <v>185</v>
      </c>
      <c r="L38" s="54"/>
      <c r="M38" s="478" t="s">
        <v>180</v>
      </c>
      <c r="N38" s="54"/>
      <c r="O38" s="26"/>
      <c r="P38" s="26"/>
      <c r="Q38" s="27" t="str">
        <f t="shared" si="5"/>
        <v/>
      </c>
      <c r="R38" s="27" t="str">
        <f t="shared" si="6"/>
        <v/>
      </c>
      <c r="S38" s="27"/>
      <c r="T38" s="27"/>
      <c r="U38" s="385"/>
      <c r="V38" s="461"/>
      <c r="W38" s="386"/>
      <c r="X38" s="405"/>
      <c r="Y38" s="244"/>
      <c r="Z38" s="245"/>
      <c r="AA38" s="245"/>
      <c r="AB38" s="245"/>
      <c r="AC38" s="245"/>
      <c r="AD38" s="273"/>
      <c r="AK38" s="335">
        <v>14.2</v>
      </c>
      <c r="AL38" s="336" t="b">
        <f>IF('Building Input Sheet'!E72="Yes",TRUE,FALSE)</f>
        <v>0</v>
      </c>
      <c r="AM38" s="368"/>
      <c r="AN38" s="337"/>
      <c r="AO38" s="338">
        <f>IF(AL38=TRUE,0,1)</f>
        <v>1</v>
      </c>
      <c r="AP38" s="338" t="str">
        <f>IF(AL38=TRUE,1,"-")</f>
        <v>-</v>
      </c>
      <c r="AQ38" s="338">
        <f>IF(AL38=TRUE,AP38,0)</f>
        <v>0</v>
      </c>
      <c r="AR38" s="338">
        <f>IF(AND(AL38=TRUE,OR(V44=$AG$9,V44=$AG$10)),AQ38,0)</f>
        <v>0</v>
      </c>
      <c r="AS38" s="339">
        <f>IF(AND(AL38=TRUE,V44=$AG$11),AQ38,0)</f>
        <v>0</v>
      </c>
    </row>
    <row r="39" spans="1:45" ht="45" customHeight="1" x14ac:dyDescent="0.3">
      <c r="A39" s="141">
        <v>2</v>
      </c>
      <c r="B39" s="141">
        <f t="shared" si="7"/>
        <v>0</v>
      </c>
      <c r="C39" s="362" t="b">
        <f t="shared" ref="C39:C44" si="15">AL33</f>
        <v>0</v>
      </c>
      <c r="E39" s="440"/>
      <c r="F39" s="547"/>
      <c r="G39" s="562"/>
      <c r="H39" s="23">
        <v>12.2</v>
      </c>
      <c r="I39" s="52" t="s">
        <v>94</v>
      </c>
      <c r="J39" s="24" t="s">
        <v>179</v>
      </c>
      <c r="K39" s="53">
        <f t="shared" ref="K39:K44" si="16">IF(C39=FALSE,AO33,0)</f>
        <v>2</v>
      </c>
      <c r="L39" s="54"/>
      <c r="M39" s="477">
        <f>AP33</f>
        <v>0</v>
      </c>
      <c r="N39" s="54"/>
      <c r="O39" s="26" t="str">
        <f>IF(AND(OR(L39&gt;0,M39&gt;0),$L$38&lt;&gt;$AH$8),"!","")</f>
        <v/>
      </c>
      <c r="P39" s="26"/>
      <c r="Q39" s="27" t="str">
        <f t="shared" si="5"/>
        <v/>
      </c>
      <c r="R39" s="27" t="str">
        <f t="shared" si="6"/>
        <v/>
      </c>
      <c r="S39" s="27"/>
      <c r="T39" s="27"/>
      <c r="U39" s="385"/>
      <c r="V39" s="461"/>
      <c r="W39" s="386"/>
      <c r="X39" s="405"/>
      <c r="Y39" s="244"/>
      <c r="Z39" s="245"/>
      <c r="AA39" s="245"/>
      <c r="AB39" s="245"/>
      <c r="AC39" s="245"/>
      <c r="AD39" s="273"/>
      <c r="AK39" s="335" t="s">
        <v>102</v>
      </c>
      <c r="AL39" s="336" t="b">
        <f>IF('Building Input Sheet'!E73="Yes",TRUE,FALSE)</f>
        <v>0</v>
      </c>
      <c r="AM39" s="368"/>
      <c r="AN39" s="337"/>
      <c r="AO39" s="338">
        <f>IF(AL39=TRUE,0,1)</f>
        <v>1</v>
      </c>
      <c r="AP39" s="338" t="str">
        <f t="shared" ref="AP39:AP47" si="17">IF(AL39=TRUE,1,"-")</f>
        <v>-</v>
      </c>
      <c r="AQ39" s="338">
        <f>IF(AND(AL39=TRUE,G56=AE58),AP39,0)</f>
        <v>0</v>
      </c>
      <c r="AR39" s="338">
        <f>IF(AND(AL39=TRUE,OR(V58=$AG$9,V58=$AG$10)),AQ39,0)</f>
        <v>0</v>
      </c>
      <c r="AS39" s="339">
        <f>IF(V58=$AG$11,AQ39,0)</f>
        <v>0</v>
      </c>
    </row>
    <row r="40" spans="1:45" ht="45" customHeight="1" x14ac:dyDescent="0.3">
      <c r="A40" s="141">
        <v>1</v>
      </c>
      <c r="B40" s="141">
        <f t="shared" si="7"/>
        <v>0</v>
      </c>
      <c r="C40" s="362" t="b">
        <f t="shared" si="15"/>
        <v>0</v>
      </c>
      <c r="E40" s="440"/>
      <c r="F40" s="547"/>
      <c r="G40" s="562"/>
      <c r="H40" s="23">
        <v>12.3</v>
      </c>
      <c r="I40" s="52" t="s">
        <v>95</v>
      </c>
      <c r="J40" s="24" t="s">
        <v>179</v>
      </c>
      <c r="K40" s="53">
        <f t="shared" si="16"/>
        <v>1</v>
      </c>
      <c r="L40" s="54"/>
      <c r="M40" s="477">
        <f t="shared" ref="M40:M44" si="18">AP34</f>
        <v>0</v>
      </c>
      <c r="N40" s="54"/>
      <c r="O40" s="26" t="str">
        <f>IF(AND(OR(L40&gt;0,M40&lt;&gt;0),$L$38&lt;&gt;$AH$8),"!","")</f>
        <v/>
      </c>
      <c r="P40" s="26"/>
      <c r="Q40" s="27" t="str">
        <f t="shared" si="5"/>
        <v/>
      </c>
      <c r="R40" s="27" t="str">
        <f t="shared" si="6"/>
        <v/>
      </c>
      <c r="S40" s="27"/>
      <c r="T40" s="27"/>
      <c r="U40" s="385"/>
      <c r="V40" s="461"/>
      <c r="W40" s="386"/>
      <c r="X40" s="405"/>
      <c r="Y40" s="244"/>
      <c r="Z40" s="245"/>
      <c r="AA40" s="245"/>
      <c r="AB40" s="245"/>
      <c r="AC40" s="245"/>
      <c r="AD40" s="273"/>
      <c r="AK40" s="335" t="s">
        <v>104</v>
      </c>
      <c r="AL40" s="336" t="b">
        <f>IF('Building Input Sheet'!E74="Yes",TRUE,FALSE)</f>
        <v>0</v>
      </c>
      <c r="AM40" s="368"/>
      <c r="AN40" s="337"/>
      <c r="AO40" s="338">
        <f>IF(AL40=TRUE,0,2)</f>
        <v>2</v>
      </c>
      <c r="AP40" s="338" t="str">
        <f>IF(AL40=TRUE,2,"-")</f>
        <v>-</v>
      </c>
      <c r="AQ40" s="338">
        <f>IF(AND(AL40=TRUE,G56=AE58),AP40,0)</f>
        <v>0</v>
      </c>
      <c r="AR40" s="338">
        <f>IF(AND(AL40=TRUE,OR(V59=$AG$9,V59=$AG$10)),AQ40,0)</f>
        <v>0</v>
      </c>
      <c r="AS40" s="339">
        <f>IF(V59=$AG$11,AQ40,0)</f>
        <v>0</v>
      </c>
    </row>
    <row r="41" spans="1:45" ht="45" customHeight="1" x14ac:dyDescent="0.3">
      <c r="A41" s="141">
        <v>1</v>
      </c>
      <c r="B41" s="141">
        <f>IF(C41=TRUE,A41,A41-K41)</f>
        <v>0</v>
      </c>
      <c r="C41" s="362" t="b">
        <f t="shared" si="15"/>
        <v>0</v>
      </c>
      <c r="E41" s="440"/>
      <c r="F41" s="547" t="s">
        <v>96</v>
      </c>
      <c r="G41" s="562" t="s">
        <v>252</v>
      </c>
      <c r="H41" s="23">
        <v>13.1</v>
      </c>
      <c r="I41" s="52" t="s">
        <v>97</v>
      </c>
      <c r="J41" s="24" t="s">
        <v>247</v>
      </c>
      <c r="K41" s="53">
        <f t="shared" si="16"/>
        <v>1</v>
      </c>
      <c r="L41" s="54"/>
      <c r="M41" s="477">
        <f t="shared" si="18"/>
        <v>0</v>
      </c>
      <c r="N41" s="54"/>
      <c r="O41" s="26"/>
      <c r="P41" s="26"/>
      <c r="Q41" s="27" t="str">
        <f t="shared" si="5"/>
        <v/>
      </c>
      <c r="R41" s="27" t="str">
        <f t="shared" si="6"/>
        <v/>
      </c>
      <c r="S41" s="27"/>
      <c r="T41" s="27"/>
      <c r="U41" s="385"/>
      <c r="V41" s="462"/>
      <c r="W41" s="386"/>
      <c r="X41" s="405"/>
      <c r="Y41" s="244"/>
      <c r="Z41" s="245"/>
      <c r="AA41" s="245"/>
      <c r="AB41" s="245"/>
      <c r="AC41" s="245"/>
      <c r="AD41" s="273"/>
      <c r="AK41" s="335" t="s">
        <v>107</v>
      </c>
      <c r="AL41" s="336" t="b">
        <f>IF('Building Input Sheet'!E75="Yes",TRUE,FALSE)</f>
        <v>0</v>
      </c>
      <c r="AM41" s="368"/>
      <c r="AN41" s="337"/>
      <c r="AO41" s="338">
        <f t="shared" ref="AO41:AO47" si="19">IF(AL41=TRUE,0,1)</f>
        <v>1</v>
      </c>
      <c r="AP41" s="338" t="str">
        <f t="shared" si="17"/>
        <v>-</v>
      </c>
      <c r="AQ41" s="338">
        <f>IF(AND(AL41=TRUE,G70=AE71),AP41,0)</f>
        <v>0</v>
      </c>
      <c r="AR41" s="338">
        <f>IF(AND(AL41=TRUE,OR(V74=$AG$9,V74=$AG$10)),AQ41,0)</f>
        <v>0</v>
      </c>
      <c r="AS41" s="339">
        <f>IF(V74=$AG$11,AQ41,0)</f>
        <v>0</v>
      </c>
    </row>
    <row r="42" spans="1:45" ht="45" customHeight="1" x14ac:dyDescent="0.3">
      <c r="A42" s="141">
        <v>1</v>
      </c>
      <c r="B42" s="141">
        <f>IF(C42=TRUE,A42,A42-K42)</f>
        <v>0</v>
      </c>
      <c r="C42" s="362" t="b">
        <f t="shared" si="15"/>
        <v>0</v>
      </c>
      <c r="E42" s="440"/>
      <c r="F42" s="547"/>
      <c r="G42" s="562"/>
      <c r="H42" s="23">
        <v>13.2</v>
      </c>
      <c r="I42" s="52" t="s">
        <v>98</v>
      </c>
      <c r="J42" s="24" t="s">
        <v>247</v>
      </c>
      <c r="K42" s="53">
        <f t="shared" si="16"/>
        <v>1</v>
      </c>
      <c r="L42" s="54"/>
      <c r="M42" s="477">
        <f t="shared" si="18"/>
        <v>0</v>
      </c>
      <c r="N42" s="54"/>
      <c r="O42" s="26"/>
      <c r="P42" s="26"/>
      <c r="Q42" s="27" t="str">
        <f t="shared" si="5"/>
        <v/>
      </c>
      <c r="R42" s="27" t="str">
        <f t="shared" si="6"/>
        <v/>
      </c>
      <c r="S42" s="27"/>
      <c r="T42" s="27"/>
      <c r="U42" s="385"/>
      <c r="V42" s="462"/>
      <c r="W42" s="386"/>
      <c r="X42" s="405"/>
      <c r="Y42" s="244"/>
      <c r="Z42" s="245"/>
      <c r="AA42" s="245"/>
      <c r="AB42" s="245"/>
      <c r="AC42" s="245"/>
      <c r="AD42" s="273"/>
      <c r="AK42" s="335" t="s">
        <v>109</v>
      </c>
      <c r="AL42" s="336" t="b">
        <f>IF('Building Input Sheet'!E76="Yes",TRUE,FALSE)</f>
        <v>0</v>
      </c>
      <c r="AM42" s="368"/>
      <c r="AN42" s="337"/>
      <c r="AO42" s="338">
        <f t="shared" si="19"/>
        <v>1</v>
      </c>
      <c r="AP42" s="338" t="str">
        <f t="shared" si="17"/>
        <v>-</v>
      </c>
      <c r="AQ42" s="338">
        <f>IF(AND(AL42=TRUE,G70=AE71),AP42,0)</f>
        <v>0</v>
      </c>
      <c r="AR42" s="338">
        <f>IF(AND(AL42=TRUE,OR(V75=$AG$9,V75=$AG$10)),AQ42,0)</f>
        <v>0</v>
      </c>
      <c r="AS42" s="339">
        <f>IF(V75=$AG$11,AQ42,0)</f>
        <v>0</v>
      </c>
    </row>
    <row r="43" spans="1:45" ht="45" customHeight="1" x14ac:dyDescent="0.3">
      <c r="A43" s="141">
        <v>1</v>
      </c>
      <c r="B43" s="141">
        <f t="shared" si="7"/>
        <v>0</v>
      </c>
      <c r="C43" s="362" t="b">
        <f t="shared" si="15"/>
        <v>0</v>
      </c>
      <c r="E43" s="440"/>
      <c r="F43" s="547" t="s">
        <v>99</v>
      </c>
      <c r="G43" s="562" t="s">
        <v>253</v>
      </c>
      <c r="H43" s="23">
        <v>14.1</v>
      </c>
      <c r="I43" s="52" t="s">
        <v>99</v>
      </c>
      <c r="J43" s="24" t="s">
        <v>179</v>
      </c>
      <c r="K43" s="53">
        <f t="shared" si="16"/>
        <v>1</v>
      </c>
      <c r="L43" s="54"/>
      <c r="M43" s="477" t="str">
        <f t="shared" si="18"/>
        <v>-</v>
      </c>
      <c r="N43" s="54"/>
      <c r="O43" s="26"/>
      <c r="P43" s="26"/>
      <c r="Q43" s="27" t="str">
        <f t="shared" si="5"/>
        <v/>
      </c>
      <c r="R43" s="27" t="str">
        <f t="shared" si="6"/>
        <v/>
      </c>
      <c r="S43" s="27"/>
      <c r="T43" s="27"/>
      <c r="U43" s="385"/>
      <c r="V43" s="461"/>
      <c r="W43" s="386"/>
      <c r="X43" s="405"/>
      <c r="Y43" s="244"/>
      <c r="Z43" s="245"/>
      <c r="AA43" s="245"/>
      <c r="AB43" s="245"/>
      <c r="AC43" s="245"/>
      <c r="AD43" s="273"/>
      <c r="AK43" s="335">
        <v>20.100000000000001</v>
      </c>
      <c r="AL43" s="336" t="b">
        <f>IF('Building Input Sheet'!E77="Yes",TRUE,FALSE)</f>
        <v>0</v>
      </c>
      <c r="AM43" s="368"/>
      <c r="AN43" s="337"/>
      <c r="AO43" s="338">
        <f t="shared" si="19"/>
        <v>1</v>
      </c>
      <c r="AP43" s="338" t="str">
        <f t="shared" si="17"/>
        <v>-</v>
      </c>
      <c r="AQ43" s="338">
        <f>IF(AL43=TRUE,AP43,0)</f>
        <v>0</v>
      </c>
      <c r="AR43" s="338">
        <f>IF(AND(AL43=TRUE,OR(V85=$AG$9,V85=$AG$10)),AQ43,0)</f>
        <v>0</v>
      </c>
      <c r="AS43" s="339">
        <f>IF(V85=$AG$11,AQ43,0)</f>
        <v>0</v>
      </c>
    </row>
    <row r="44" spans="1:45" ht="45" customHeight="1" x14ac:dyDescent="0.3">
      <c r="A44" s="141">
        <v>1</v>
      </c>
      <c r="B44" s="141">
        <f t="shared" si="7"/>
        <v>0</v>
      </c>
      <c r="C44" s="362" t="b">
        <f t="shared" si="15"/>
        <v>0</v>
      </c>
      <c r="E44" s="440"/>
      <c r="F44" s="548"/>
      <c r="G44" s="531"/>
      <c r="H44" s="23">
        <v>14.2</v>
      </c>
      <c r="I44" s="52" t="s">
        <v>100</v>
      </c>
      <c r="J44" s="24" t="s">
        <v>179</v>
      </c>
      <c r="K44" s="53">
        <f t="shared" si="16"/>
        <v>1</v>
      </c>
      <c r="L44" s="54"/>
      <c r="M44" s="477" t="str">
        <f t="shared" si="18"/>
        <v>-</v>
      </c>
      <c r="N44" s="54"/>
      <c r="O44" s="26"/>
      <c r="P44" s="26"/>
      <c r="Q44" s="27" t="str">
        <f t="shared" si="5"/>
        <v/>
      </c>
      <c r="R44" s="27" t="str">
        <f t="shared" si="6"/>
        <v/>
      </c>
      <c r="S44" s="27"/>
      <c r="T44" s="27"/>
      <c r="U44" s="385"/>
      <c r="V44" s="461"/>
      <c r="W44" s="386"/>
      <c r="X44" s="405"/>
      <c r="Y44" s="244"/>
      <c r="Z44" s="245"/>
      <c r="AA44" s="245"/>
      <c r="AB44" s="245"/>
      <c r="AC44" s="245"/>
      <c r="AD44" s="273"/>
      <c r="AK44" s="335">
        <v>20.2</v>
      </c>
      <c r="AL44" s="336" t="b">
        <f>IF('Building Input Sheet'!E78="Yes",TRUE,FALSE)</f>
        <v>0</v>
      </c>
      <c r="AM44" s="368"/>
      <c r="AN44" s="337"/>
      <c r="AO44" s="338">
        <f t="shared" si="19"/>
        <v>1</v>
      </c>
      <c r="AP44" s="338" t="str">
        <f t="shared" si="17"/>
        <v>-</v>
      </c>
      <c r="AQ44" s="338">
        <f>IF(AL44=TRUE,AP44,0)</f>
        <v>0</v>
      </c>
      <c r="AR44" s="338">
        <f>IF(AND(AL44=TRUE,OR(V86=$AG$9,V86=$AG$10)),AQ44,0)</f>
        <v>0</v>
      </c>
      <c r="AS44" s="339">
        <f>IF(V86=$AG$11,AQ44,0)</f>
        <v>0</v>
      </c>
    </row>
    <row r="45" spans="1:45" ht="45" customHeight="1" x14ac:dyDescent="0.3">
      <c r="E45" s="430"/>
      <c r="F45" s="39" t="s">
        <v>54</v>
      </c>
      <c r="G45" s="39"/>
      <c r="H45" s="40"/>
      <c r="I45" s="39"/>
      <c r="J45" s="39"/>
      <c r="K45" s="40">
        <f>SUM(K28:K44)</f>
        <v>17</v>
      </c>
      <c r="L45" s="40">
        <f>SUM(L28:L44)</f>
        <v>0</v>
      </c>
      <c r="M45" s="40">
        <f t="shared" ref="M45:N45" si="20">SUM(M28:M44)</f>
        <v>0</v>
      </c>
      <c r="N45" s="40">
        <f t="shared" si="20"/>
        <v>0</v>
      </c>
      <c r="O45" s="26" t="str">
        <f>IF(L45&gt;K45,"!","")</f>
        <v/>
      </c>
      <c r="P45" s="26"/>
      <c r="Q45" s="41">
        <f t="shared" ref="Q45:R45" si="21">SUM(Q28:Q44)</f>
        <v>0</v>
      </c>
      <c r="R45" s="41">
        <f t="shared" si="21"/>
        <v>0</v>
      </c>
      <c r="S45" s="48"/>
      <c r="T45" s="48"/>
      <c r="U45" s="392"/>
      <c r="V45" s="393"/>
      <c r="W45" s="223"/>
      <c r="X45" s="405"/>
      <c r="Y45" s="248"/>
      <c r="Z45" s="249"/>
      <c r="AA45" s="249"/>
      <c r="AB45" s="249"/>
      <c r="AC45" s="249"/>
      <c r="AD45" s="273"/>
      <c r="AK45" s="335">
        <v>20.3</v>
      </c>
      <c r="AL45" s="336" t="b">
        <f>IF('Building Input Sheet'!E79="Yes",TRUE,FALSE)</f>
        <v>0</v>
      </c>
      <c r="AM45" s="368"/>
      <c r="AN45" s="337"/>
      <c r="AO45" s="338">
        <f t="shared" si="19"/>
        <v>1</v>
      </c>
      <c r="AP45" s="338" t="str">
        <f t="shared" si="17"/>
        <v>-</v>
      </c>
      <c r="AQ45" s="338">
        <f>IF(AL45=TRUE,AP45,0)</f>
        <v>0</v>
      </c>
      <c r="AR45" s="338">
        <f>IF(AND(AL45=TRUE,OR(V87=$AG$9,V87=$AG$10)),AQ45,0)</f>
        <v>0</v>
      </c>
      <c r="AS45" s="339">
        <f>IF(V87=$AG$11,AQ45,0)</f>
        <v>0</v>
      </c>
    </row>
    <row r="46" spans="1:45" ht="45" customHeight="1" x14ac:dyDescent="0.3">
      <c r="E46" s="388"/>
      <c r="F46" s="421"/>
      <c r="G46" s="421"/>
      <c r="H46" s="396"/>
      <c r="I46" s="421"/>
      <c r="J46" s="48"/>
      <c r="K46" s="396"/>
      <c r="L46" s="396"/>
      <c r="M46" s="396"/>
      <c r="N46" s="396"/>
      <c r="O46" s="422"/>
      <c r="P46" s="422"/>
      <c r="Q46" s="396"/>
      <c r="R46" s="396"/>
      <c r="S46" s="396"/>
      <c r="T46" s="396"/>
      <c r="U46" s="420"/>
      <c r="V46" s="393"/>
      <c r="W46" s="223"/>
      <c r="X46" s="405"/>
      <c r="Y46" s="248"/>
      <c r="Z46" s="249"/>
      <c r="AA46" s="249"/>
      <c r="AB46" s="249"/>
      <c r="AC46" s="249"/>
      <c r="AD46" s="273"/>
      <c r="AK46" s="343">
        <v>24.3</v>
      </c>
      <c r="AL46" s="336" t="b">
        <f>IF('Building Input Sheet'!E80="Yes",TRUE,FALSE)</f>
        <v>0</v>
      </c>
      <c r="AM46" s="369"/>
      <c r="AN46" s="344"/>
      <c r="AO46" s="345">
        <f t="shared" si="19"/>
        <v>1</v>
      </c>
      <c r="AP46" s="345" t="str">
        <f t="shared" si="17"/>
        <v>-</v>
      </c>
      <c r="AQ46" s="345">
        <f>IF(AL46=TRUE,AP46,0)</f>
        <v>0</v>
      </c>
      <c r="AR46" s="338">
        <f>IF(AND(AL46=TRUE,OR(V98=$AG$9,V98=$AG$10)),AQ46,0)</f>
        <v>0</v>
      </c>
      <c r="AS46" s="346">
        <f>IF(V98=$AG$11,AQ46,0)</f>
        <v>0</v>
      </c>
    </row>
    <row r="47" spans="1:45" ht="45" customHeight="1" x14ac:dyDescent="0.3">
      <c r="E47" s="388"/>
      <c r="F47" s="421"/>
      <c r="G47" s="421"/>
      <c r="H47" s="396"/>
      <c r="I47" s="421"/>
      <c r="J47" s="48"/>
      <c r="K47" s="396"/>
      <c r="L47" s="396"/>
      <c r="M47" s="396"/>
      <c r="N47" s="396"/>
      <c r="O47" s="422"/>
      <c r="P47" s="422"/>
      <c r="Q47" s="396"/>
      <c r="R47" s="396"/>
      <c r="S47" s="396"/>
      <c r="T47" s="396"/>
      <c r="U47" s="420"/>
      <c r="V47" s="393"/>
      <c r="W47" s="223"/>
      <c r="X47" s="405"/>
      <c r="Y47" s="248"/>
      <c r="Z47" s="249"/>
      <c r="AA47" s="249"/>
      <c r="AB47" s="249"/>
      <c r="AC47" s="249"/>
      <c r="AD47" s="273"/>
      <c r="AK47" s="472">
        <v>28</v>
      </c>
      <c r="AL47" s="336" t="b">
        <f>IF('Building Input Sheet'!E81="Yes",TRUE,FALSE)</f>
        <v>0</v>
      </c>
      <c r="AM47" s="369"/>
      <c r="AN47" s="344"/>
      <c r="AO47" s="345">
        <f t="shared" si="19"/>
        <v>1</v>
      </c>
      <c r="AP47" s="345" t="str">
        <f t="shared" si="17"/>
        <v>-</v>
      </c>
      <c r="AQ47" s="345">
        <f>IF(AL47=TRUE,AP47,0)</f>
        <v>0</v>
      </c>
      <c r="AR47" s="338">
        <f>IF(AND(AL47=TRUE,OR(V99=$AG$9,V99=$AG$10)),AQ47,0)</f>
        <v>0</v>
      </c>
      <c r="AS47" s="346">
        <f>IF(V99=$AG$11,AQ47,0)</f>
        <v>0</v>
      </c>
    </row>
    <row r="48" spans="1:45" ht="45" customHeight="1" x14ac:dyDescent="0.3">
      <c r="E48" s="439"/>
      <c r="F48" s="525" t="s">
        <v>254</v>
      </c>
      <c r="G48" s="525"/>
      <c r="H48" s="525"/>
      <c r="I48" s="525"/>
      <c r="J48" s="49"/>
      <c r="K48" s="49">
        <f>22-SUM(B49:B52)</f>
        <v>22</v>
      </c>
      <c r="L48" s="49"/>
      <c r="M48" s="49"/>
      <c r="N48" s="49"/>
      <c r="O48" s="423"/>
      <c r="P48" s="423"/>
      <c r="Q48" s="145"/>
      <c r="R48" s="145"/>
      <c r="S48" s="145"/>
      <c r="T48" s="145"/>
      <c r="U48" s="171"/>
      <c r="V48" s="387"/>
      <c r="W48" s="224"/>
      <c r="X48" s="415"/>
      <c r="Y48" s="232"/>
      <c r="Z48" s="224"/>
      <c r="AA48" s="224"/>
      <c r="AB48" s="224"/>
      <c r="AC48" s="224"/>
      <c r="AD48" s="273"/>
      <c r="AK48" s="13"/>
      <c r="AL48" s="13"/>
      <c r="AM48" s="13"/>
      <c r="AN48" s="13"/>
      <c r="AO48" s="347" t="s">
        <v>255</v>
      </c>
      <c r="AP48" s="329" t="s">
        <v>256</v>
      </c>
      <c r="AQ48" s="329" t="s">
        <v>143</v>
      </c>
      <c r="AR48" s="329" t="s">
        <v>146</v>
      </c>
      <c r="AS48" s="348" t="s">
        <v>237</v>
      </c>
    </row>
    <row r="49" spans="2:45" ht="45" customHeight="1" x14ac:dyDescent="0.35">
      <c r="E49" s="440"/>
      <c r="F49" s="560" t="s">
        <v>257</v>
      </c>
      <c r="G49" s="562" t="s">
        <v>258</v>
      </c>
      <c r="H49" s="148">
        <v>15.1</v>
      </c>
      <c r="I49" s="178" t="s">
        <v>259</v>
      </c>
      <c r="J49" s="24" t="s">
        <v>179</v>
      </c>
      <c r="K49" s="262" t="s">
        <v>259</v>
      </c>
      <c r="L49" s="82"/>
      <c r="M49" s="479" t="s">
        <v>180</v>
      </c>
      <c r="N49" s="82"/>
      <c r="O49" s="19" t="str">
        <f>IF($L$49=0,"CR","")</f>
        <v>CR</v>
      </c>
      <c r="P49" s="26"/>
      <c r="Q49" s="27" t="str">
        <f>IF(OR(U49=$AG$9,U49=$AG$10),L49,"")</f>
        <v/>
      </c>
      <c r="R49" s="27" t="str">
        <f>IF(U49=$AG$11,L49,"")</f>
        <v/>
      </c>
      <c r="S49" s="27"/>
      <c r="T49" s="27"/>
      <c r="U49" s="385"/>
      <c r="V49" s="461"/>
      <c r="W49" s="386"/>
      <c r="X49" s="405"/>
      <c r="Y49" s="244"/>
      <c r="Z49" s="245"/>
      <c r="AA49" s="245"/>
      <c r="AB49" s="245"/>
      <c r="AC49" s="245"/>
      <c r="AD49" s="273"/>
      <c r="AK49" s="13"/>
      <c r="AL49" s="13"/>
      <c r="AM49" s="13"/>
      <c r="AN49" s="13"/>
      <c r="AO49" s="349"/>
      <c r="AP49" s="350">
        <f>SUM(AP22:AP47)</f>
        <v>0</v>
      </c>
      <c r="AQ49" s="351">
        <f>SUM(AQ22:AQ47)</f>
        <v>0</v>
      </c>
      <c r="AR49" s="351">
        <f>SUM(AR22:AR47)</f>
        <v>0</v>
      </c>
      <c r="AS49" s="353">
        <f>SUM(AS22:AS47)</f>
        <v>0</v>
      </c>
    </row>
    <row r="50" spans="2:45" ht="45" customHeight="1" x14ac:dyDescent="0.3">
      <c r="E50" s="440"/>
      <c r="F50" s="561"/>
      <c r="G50" s="531"/>
      <c r="H50" s="148">
        <v>15.2</v>
      </c>
      <c r="I50" s="157" t="s">
        <v>260</v>
      </c>
      <c r="J50" s="24" t="s">
        <v>179</v>
      </c>
      <c r="K50" s="102">
        <v>20</v>
      </c>
      <c r="L50" s="82"/>
      <c r="M50" s="479" t="s">
        <v>180</v>
      </c>
      <c r="N50" s="82"/>
      <c r="O50" s="26" t="str">
        <f>IF(AND(L50&gt;0,L49&lt;&gt;$AH$8),"!","")</f>
        <v/>
      </c>
      <c r="P50" s="26"/>
      <c r="Q50" s="27" t="str">
        <f>IF(OR(U50=$AG$9,U50=$AG$10),L50,"")</f>
        <v/>
      </c>
      <c r="R50" s="27" t="str">
        <f>IF(U50=$AG$11,L50,"")</f>
        <v/>
      </c>
      <c r="S50" s="27"/>
      <c r="T50" s="27"/>
      <c r="U50" s="385"/>
      <c r="V50" s="461"/>
      <c r="W50" s="386"/>
      <c r="X50" s="405"/>
      <c r="Y50" s="244"/>
      <c r="Z50" s="245"/>
      <c r="AA50" s="245"/>
      <c r="AB50" s="245"/>
      <c r="AC50" s="245"/>
      <c r="AD50" s="273"/>
    </row>
    <row r="51" spans="2:45" ht="45" customHeight="1" x14ac:dyDescent="0.3">
      <c r="E51" s="440"/>
      <c r="F51" s="547" t="s">
        <v>261</v>
      </c>
      <c r="G51" s="549" t="s">
        <v>186</v>
      </c>
      <c r="H51" s="149" t="s">
        <v>262</v>
      </c>
      <c r="I51" s="158" t="s">
        <v>263</v>
      </c>
      <c r="J51" s="24" t="s">
        <v>179</v>
      </c>
      <c r="K51" s="98" t="str">
        <f>IF(G51=AE51,1,"0")</f>
        <v>0</v>
      </c>
      <c r="L51" s="82"/>
      <c r="M51" s="479" t="s">
        <v>180</v>
      </c>
      <c r="N51" s="82"/>
      <c r="O51" s="26"/>
      <c r="P51" s="26"/>
      <c r="Q51" s="27" t="str">
        <f>IF(OR(U51=$AG$9,U51=$AG$10),L51,"")</f>
        <v/>
      </c>
      <c r="R51" s="27" t="str">
        <f>IF(U51=$AG$11,L51,"")</f>
        <v/>
      </c>
      <c r="S51" s="27"/>
      <c r="T51" s="27"/>
      <c r="U51" s="385"/>
      <c r="V51" s="461"/>
      <c r="W51" s="386"/>
      <c r="X51" s="273"/>
      <c r="Y51" s="244"/>
      <c r="Z51" s="245"/>
      <c r="AA51" s="245"/>
      <c r="AB51" s="245"/>
      <c r="AC51" s="245"/>
      <c r="AD51" s="273"/>
      <c r="AE51" s="4" t="s">
        <v>190</v>
      </c>
    </row>
    <row r="52" spans="2:45" ht="45" customHeight="1" x14ac:dyDescent="0.3">
      <c r="E52" s="440"/>
      <c r="F52" s="548"/>
      <c r="G52" s="550"/>
      <c r="H52" s="150" t="s">
        <v>264</v>
      </c>
      <c r="I52" s="159" t="s">
        <v>265</v>
      </c>
      <c r="J52" s="24" t="s">
        <v>179</v>
      </c>
      <c r="K52" s="99">
        <f>IF(G51=AE52,2,"0")</f>
        <v>2</v>
      </c>
      <c r="L52" s="89"/>
      <c r="M52" s="480" t="s">
        <v>180</v>
      </c>
      <c r="N52" s="89"/>
      <c r="O52" s="424"/>
      <c r="P52" s="26"/>
      <c r="Q52" s="27" t="str">
        <f>IF(OR(U52=$AG$9,U52=$AG$10),L52,"")</f>
        <v/>
      </c>
      <c r="R52" s="27" t="str">
        <f>IF(U52=$AG$11,L52,"")</f>
        <v/>
      </c>
      <c r="S52" s="27"/>
      <c r="T52" s="27"/>
      <c r="U52" s="385"/>
      <c r="V52" s="461"/>
      <c r="W52" s="386"/>
      <c r="X52" s="273"/>
      <c r="Y52" s="244"/>
      <c r="Z52" s="245"/>
      <c r="AA52" s="245"/>
      <c r="AB52" s="245"/>
      <c r="AC52" s="245"/>
      <c r="AD52" s="273"/>
      <c r="AE52" s="6" t="s">
        <v>186</v>
      </c>
    </row>
    <row r="53" spans="2:45" ht="45" customHeight="1" x14ac:dyDescent="0.3">
      <c r="E53" s="430"/>
      <c r="F53" s="39" t="s">
        <v>54</v>
      </c>
      <c r="G53" s="39"/>
      <c r="H53" s="40"/>
      <c r="I53" s="39"/>
      <c r="J53" s="39"/>
      <c r="K53" s="40">
        <f>SUM(K49:K52)</f>
        <v>22</v>
      </c>
      <c r="L53" s="40">
        <f>SUM(L49:L52)</f>
        <v>0</v>
      </c>
      <c r="M53" s="40">
        <f t="shared" ref="M53:N53" si="22">SUM(M49:M52)</f>
        <v>0</v>
      </c>
      <c r="N53" s="40">
        <f t="shared" si="22"/>
        <v>0</v>
      </c>
      <c r="O53" s="26" t="str">
        <f>IF(L53&gt;K53,"!","")</f>
        <v/>
      </c>
      <c r="P53" s="26"/>
      <c r="Q53" s="41">
        <f>SUM(Q49:Q52)</f>
        <v>0</v>
      </c>
      <c r="R53" s="41">
        <f>SUM(R49:R52)</f>
        <v>0</v>
      </c>
      <c r="S53" s="48"/>
      <c r="T53" s="48"/>
      <c r="U53" s="392"/>
      <c r="V53" s="393"/>
      <c r="W53" s="223"/>
      <c r="X53" s="405"/>
      <c r="Y53" s="248"/>
      <c r="Z53" s="249"/>
      <c r="AA53" s="249"/>
      <c r="AB53" s="249"/>
      <c r="AC53" s="249"/>
      <c r="AD53" s="273"/>
    </row>
    <row r="54" spans="2:45" ht="45" customHeight="1" x14ac:dyDescent="0.3">
      <c r="E54" s="388"/>
      <c r="F54" s="394"/>
      <c r="G54" s="394"/>
      <c r="H54" s="48"/>
      <c r="I54" s="394"/>
      <c r="J54" s="48"/>
      <c r="K54" s="48"/>
      <c r="L54" s="48"/>
      <c r="M54" s="48"/>
      <c r="N54" s="48"/>
      <c r="O54" s="425"/>
      <c r="P54" s="425"/>
      <c r="Q54" s="48"/>
      <c r="R54" s="48"/>
      <c r="S54" s="48"/>
      <c r="T54" s="48"/>
      <c r="U54" s="392"/>
      <c r="V54" s="273"/>
      <c r="W54" s="223"/>
      <c r="X54" s="405"/>
      <c r="Y54" s="248"/>
      <c r="Z54" s="249"/>
      <c r="AA54" s="249"/>
      <c r="AB54" s="249"/>
      <c r="AC54" s="249"/>
      <c r="AD54" s="273"/>
    </row>
    <row r="55" spans="2:45" ht="45" customHeight="1" x14ac:dyDescent="0.3">
      <c r="E55" s="439"/>
      <c r="F55" s="254" t="s">
        <v>266</v>
      </c>
      <c r="G55" s="67"/>
      <c r="H55" s="68"/>
      <c r="I55" s="67"/>
      <c r="J55" s="49"/>
      <c r="K55" s="49">
        <f>10-SUM(B56:B66)</f>
        <v>10</v>
      </c>
      <c r="L55" s="49"/>
      <c r="M55" s="49"/>
      <c r="N55" s="49"/>
      <c r="O55" s="26"/>
      <c r="P55" s="26"/>
      <c r="Q55" s="154"/>
      <c r="R55" s="154"/>
      <c r="S55" s="154"/>
      <c r="T55" s="154"/>
      <c r="U55" s="171"/>
      <c r="V55" s="171"/>
      <c r="W55" s="222"/>
      <c r="X55" s="415"/>
      <c r="Y55" s="232"/>
      <c r="Z55" s="222"/>
      <c r="AA55" s="222"/>
      <c r="AB55" s="222"/>
      <c r="AC55" s="222"/>
      <c r="AD55" s="273"/>
    </row>
    <row r="56" spans="2:45" ht="45" customHeight="1" x14ac:dyDescent="0.3">
      <c r="E56" s="440"/>
      <c r="F56" s="551" t="s">
        <v>101</v>
      </c>
      <c r="G56" s="554" t="s">
        <v>267</v>
      </c>
      <c r="H56" s="148" t="s">
        <v>268</v>
      </c>
      <c r="I56" s="157" t="s">
        <v>269</v>
      </c>
      <c r="J56" s="24" t="s">
        <v>179</v>
      </c>
      <c r="K56" s="99" t="str">
        <f>IF(G56=AE57,10,"0")</f>
        <v>0</v>
      </c>
      <c r="L56" s="82"/>
      <c r="M56" s="479" t="s">
        <v>180</v>
      </c>
      <c r="N56" s="82"/>
      <c r="O56" s="424"/>
      <c r="P56" s="26"/>
      <c r="Q56" s="27" t="str">
        <f t="shared" ref="Q56:Q66" si="23">IF(OR(U56=$AG$9,U56=$AG$10),L56,"")</f>
        <v/>
      </c>
      <c r="R56" s="27" t="str">
        <f t="shared" ref="R56:R66" si="24">IF(U56=$AG$11,L56,"")</f>
        <v/>
      </c>
      <c r="S56" s="27"/>
      <c r="T56" s="27"/>
      <c r="U56" s="385"/>
      <c r="V56" s="460"/>
      <c r="W56" s="386"/>
      <c r="X56" s="273"/>
      <c r="Y56" s="244"/>
      <c r="Z56" s="245"/>
      <c r="AA56" s="245"/>
      <c r="AB56" s="245"/>
      <c r="AC56" s="245"/>
      <c r="AD56" s="273"/>
    </row>
    <row r="57" spans="2:45" ht="45" customHeight="1" x14ac:dyDescent="0.3">
      <c r="E57" s="440"/>
      <c r="F57" s="552"/>
      <c r="G57" s="555"/>
      <c r="H57" s="148" t="s">
        <v>270</v>
      </c>
      <c r="I57" s="157" t="s">
        <v>271</v>
      </c>
      <c r="J57" s="24" t="s">
        <v>179</v>
      </c>
      <c r="K57" s="99">
        <f>IF($G$56=$AE$58,4,"0")</f>
        <v>4</v>
      </c>
      <c r="L57" s="82"/>
      <c r="M57" s="479" t="s">
        <v>180</v>
      </c>
      <c r="N57" s="82"/>
      <c r="O57" s="424"/>
      <c r="P57" s="26"/>
      <c r="Q57" s="27" t="str">
        <f t="shared" si="23"/>
        <v/>
      </c>
      <c r="R57" s="27" t="str">
        <f t="shared" si="24"/>
        <v/>
      </c>
      <c r="S57" s="27"/>
      <c r="T57" s="27"/>
      <c r="U57" s="385"/>
      <c r="V57" s="461"/>
      <c r="W57" s="386"/>
      <c r="X57" s="273"/>
      <c r="Y57" s="244"/>
      <c r="Z57" s="245"/>
      <c r="AA57" s="245"/>
      <c r="AB57" s="245"/>
      <c r="AC57" s="245"/>
      <c r="AD57" s="273"/>
      <c r="AE57" s="6" t="s">
        <v>272</v>
      </c>
    </row>
    <row r="58" spans="2:45" ht="45" customHeight="1" x14ac:dyDescent="0.3">
      <c r="B58" s="141">
        <f>IF(AND(C58=TRUE,$G$56=$AE$58),1,0)</f>
        <v>0</v>
      </c>
      <c r="C58" s="362" t="b">
        <f>AL39</f>
        <v>0</v>
      </c>
      <c r="E58" s="440"/>
      <c r="F58" s="552"/>
      <c r="G58" s="555"/>
      <c r="H58" s="148" t="s">
        <v>102</v>
      </c>
      <c r="I58" s="157" t="s">
        <v>103</v>
      </c>
      <c r="J58" s="24" t="s">
        <v>179</v>
      </c>
      <c r="K58" s="102">
        <f>IF(OR($G$56=$AE$57,$G$56=$AE$59,C58=TRUE),0,AO39)</f>
        <v>1</v>
      </c>
      <c r="L58" s="82"/>
      <c r="M58" s="479" t="str">
        <f>IF($G$56=$AE$58,AP39,"-")</f>
        <v>-</v>
      </c>
      <c r="N58" s="82"/>
      <c r="O58" s="424"/>
      <c r="P58" s="26"/>
      <c r="Q58" s="27" t="str">
        <f t="shared" si="23"/>
        <v/>
      </c>
      <c r="R58" s="27" t="str">
        <f t="shared" si="24"/>
        <v/>
      </c>
      <c r="S58" s="27"/>
      <c r="T58" s="27"/>
      <c r="U58" s="385"/>
      <c r="V58" s="462"/>
      <c r="W58" s="386"/>
      <c r="X58" s="405"/>
      <c r="Y58" s="244"/>
      <c r="Z58" s="245"/>
      <c r="AA58" s="245"/>
      <c r="AB58" s="245"/>
      <c r="AC58" s="245"/>
      <c r="AD58" s="273"/>
      <c r="AE58" s="6" t="s">
        <v>267</v>
      </c>
    </row>
    <row r="59" spans="2:45" ht="45" customHeight="1" x14ac:dyDescent="0.3">
      <c r="B59" s="141">
        <f>IF(AND(C59=TRUE,$G$56=$AE$58),2,0)</f>
        <v>0</v>
      </c>
      <c r="C59" s="362" t="b">
        <f>AL40</f>
        <v>0</v>
      </c>
      <c r="E59" s="440"/>
      <c r="F59" s="552"/>
      <c r="G59" s="555"/>
      <c r="H59" s="148" t="s">
        <v>104</v>
      </c>
      <c r="I59" s="157" t="s">
        <v>105</v>
      </c>
      <c r="J59" s="24" t="s">
        <v>179</v>
      </c>
      <c r="K59" s="102">
        <f>IF(OR($G$56=$AE$57,$G$56=$AE$59,C59=TRUE),0,AO40)</f>
        <v>2</v>
      </c>
      <c r="L59" s="82"/>
      <c r="M59" s="479" t="str">
        <f>IF($G$56=$AE$58,AP40,"-")</f>
        <v>-</v>
      </c>
      <c r="N59" s="82"/>
      <c r="O59" s="424"/>
      <c r="P59" s="26"/>
      <c r="Q59" s="27" t="str">
        <f t="shared" si="23"/>
        <v/>
      </c>
      <c r="R59" s="27" t="str">
        <f t="shared" si="24"/>
        <v/>
      </c>
      <c r="S59" s="27"/>
      <c r="T59" s="27"/>
      <c r="U59" s="385"/>
      <c r="V59" s="462"/>
      <c r="W59" s="386"/>
      <c r="X59" s="405"/>
      <c r="Y59" s="244"/>
      <c r="Z59" s="245"/>
      <c r="AA59" s="245"/>
      <c r="AB59" s="245"/>
      <c r="AC59" s="245"/>
      <c r="AD59" s="273"/>
      <c r="AE59" s="6" t="s">
        <v>273</v>
      </c>
    </row>
    <row r="60" spans="2:45" ht="45" customHeight="1" x14ac:dyDescent="0.3">
      <c r="E60" s="440"/>
      <c r="F60" s="552"/>
      <c r="G60" s="555"/>
      <c r="H60" s="148" t="s">
        <v>274</v>
      </c>
      <c r="I60" s="157" t="s">
        <v>275</v>
      </c>
      <c r="J60" s="24" t="s">
        <v>179</v>
      </c>
      <c r="K60" s="99">
        <f>IF($G$56=$AE$58,2,"0")</f>
        <v>2</v>
      </c>
      <c r="L60" s="82"/>
      <c r="M60" s="479" t="s">
        <v>180</v>
      </c>
      <c r="N60" s="82"/>
      <c r="O60" s="424"/>
      <c r="P60" s="26"/>
      <c r="Q60" s="27" t="str">
        <f t="shared" si="23"/>
        <v/>
      </c>
      <c r="R60" s="27" t="str">
        <f t="shared" si="24"/>
        <v/>
      </c>
      <c r="S60" s="27"/>
      <c r="T60" s="27"/>
      <c r="U60" s="385"/>
      <c r="V60" s="461"/>
      <c r="W60" s="386"/>
      <c r="X60" s="405"/>
      <c r="Y60" s="244"/>
      <c r="Z60" s="245"/>
      <c r="AA60" s="245"/>
      <c r="AB60" s="245"/>
      <c r="AC60" s="245"/>
      <c r="AD60" s="273"/>
    </row>
    <row r="61" spans="2:45" ht="45" customHeight="1" x14ac:dyDescent="0.3">
      <c r="E61" s="440"/>
      <c r="F61" s="552"/>
      <c r="G61" s="555"/>
      <c r="H61" s="148" t="s">
        <v>276</v>
      </c>
      <c r="I61" s="157" t="s">
        <v>277</v>
      </c>
      <c r="J61" s="24" t="s">
        <v>179</v>
      </c>
      <c r="K61" s="99">
        <f>IF($G$56=$AE$58,1,"0")</f>
        <v>1</v>
      </c>
      <c r="L61" s="82"/>
      <c r="M61" s="479" t="s">
        <v>180</v>
      </c>
      <c r="N61" s="82"/>
      <c r="O61" s="424"/>
      <c r="P61" s="26"/>
      <c r="Q61" s="27" t="str">
        <f t="shared" si="23"/>
        <v/>
      </c>
      <c r="R61" s="27" t="str">
        <f t="shared" si="24"/>
        <v/>
      </c>
      <c r="S61" s="27"/>
      <c r="T61" s="27"/>
      <c r="U61" s="385"/>
      <c r="V61" s="461"/>
      <c r="W61" s="386"/>
      <c r="X61" s="405"/>
      <c r="Y61" s="244"/>
      <c r="Z61" s="245"/>
      <c r="AA61" s="245"/>
      <c r="AB61" s="245"/>
      <c r="AC61" s="245"/>
      <c r="AD61" s="273"/>
    </row>
    <row r="62" spans="2:45" ht="45" customHeight="1" x14ac:dyDescent="0.3">
      <c r="E62" s="440"/>
      <c r="F62" s="552"/>
      <c r="G62" s="555"/>
      <c r="H62" s="148" t="s">
        <v>278</v>
      </c>
      <c r="I62" s="157" t="s">
        <v>271</v>
      </c>
      <c r="J62" s="24" t="s">
        <v>179</v>
      </c>
      <c r="K62" s="102" t="str">
        <f>IF($G$56=$AE$59,1,"0")</f>
        <v>0</v>
      </c>
      <c r="L62" s="82"/>
      <c r="M62" s="479" t="s">
        <v>180</v>
      </c>
      <c r="N62" s="82"/>
      <c r="O62" s="26"/>
      <c r="P62" s="26"/>
      <c r="Q62" s="27" t="str">
        <f t="shared" si="23"/>
        <v/>
      </c>
      <c r="R62" s="27" t="str">
        <f t="shared" si="24"/>
        <v/>
      </c>
      <c r="S62" s="27"/>
      <c r="T62" s="27"/>
      <c r="U62" s="385"/>
      <c r="V62" s="461"/>
      <c r="W62" s="386"/>
      <c r="X62" s="405"/>
      <c r="Y62" s="244"/>
      <c r="Z62" s="245"/>
      <c r="AA62" s="245"/>
      <c r="AB62" s="245"/>
      <c r="AC62" s="245"/>
      <c r="AD62" s="273"/>
    </row>
    <row r="63" spans="2:45" ht="45" customHeight="1" x14ac:dyDescent="0.3">
      <c r="E63" s="440"/>
      <c r="F63" s="552"/>
      <c r="G63" s="555"/>
      <c r="H63" s="148" t="s">
        <v>279</v>
      </c>
      <c r="I63" s="157" t="s">
        <v>103</v>
      </c>
      <c r="J63" s="24" t="s">
        <v>179</v>
      </c>
      <c r="K63" s="102" t="str">
        <f>IF($G$56=$AE$59,1,"0")</f>
        <v>0</v>
      </c>
      <c r="L63" s="82"/>
      <c r="M63" s="479" t="s">
        <v>180</v>
      </c>
      <c r="N63" s="82"/>
      <c r="O63" s="26"/>
      <c r="P63" s="26"/>
      <c r="Q63" s="27" t="str">
        <f t="shared" si="23"/>
        <v/>
      </c>
      <c r="R63" s="27" t="str">
        <f t="shared" si="24"/>
        <v/>
      </c>
      <c r="S63" s="27"/>
      <c r="T63" s="27"/>
      <c r="U63" s="385"/>
      <c r="V63" s="461"/>
      <c r="W63" s="386"/>
      <c r="X63" s="405"/>
      <c r="Y63" s="244"/>
      <c r="Z63" s="245"/>
      <c r="AA63" s="245"/>
      <c r="AB63" s="245"/>
      <c r="AC63" s="245"/>
      <c r="AD63" s="273"/>
    </row>
    <row r="64" spans="2:45" ht="45" customHeight="1" x14ac:dyDescent="0.3">
      <c r="E64" s="440"/>
      <c r="F64" s="552"/>
      <c r="G64" s="555"/>
      <c r="H64" s="148" t="s">
        <v>280</v>
      </c>
      <c r="I64" s="157" t="s">
        <v>105</v>
      </c>
      <c r="J64" s="24" t="s">
        <v>179</v>
      </c>
      <c r="K64" s="102" t="str">
        <f>IF($G$56=$AE$59,5,"0")</f>
        <v>0</v>
      </c>
      <c r="L64" s="82"/>
      <c r="M64" s="479" t="s">
        <v>180</v>
      </c>
      <c r="N64" s="82"/>
      <c r="O64" s="26"/>
      <c r="P64" s="26"/>
      <c r="Q64" s="27" t="str">
        <f t="shared" si="23"/>
        <v/>
      </c>
      <c r="R64" s="27" t="str">
        <f t="shared" si="24"/>
        <v/>
      </c>
      <c r="S64" s="27"/>
      <c r="T64" s="27"/>
      <c r="U64" s="385"/>
      <c r="V64" s="461"/>
      <c r="W64" s="386"/>
      <c r="X64" s="405"/>
      <c r="Y64" s="244"/>
      <c r="Z64" s="245"/>
      <c r="AA64" s="245"/>
      <c r="AB64" s="245"/>
      <c r="AC64" s="245"/>
      <c r="AD64" s="273"/>
    </row>
    <row r="65" spans="2:31" ht="45" customHeight="1" x14ac:dyDescent="0.3">
      <c r="E65" s="440"/>
      <c r="F65" s="552"/>
      <c r="G65" s="555"/>
      <c r="H65" s="148" t="s">
        <v>281</v>
      </c>
      <c r="I65" s="157" t="s">
        <v>275</v>
      </c>
      <c r="J65" s="24" t="s">
        <v>179</v>
      </c>
      <c r="K65" s="102" t="str">
        <f>IF($G$56=$AE$59,2,"0")</f>
        <v>0</v>
      </c>
      <c r="L65" s="82"/>
      <c r="M65" s="479" t="s">
        <v>180</v>
      </c>
      <c r="N65" s="82"/>
      <c r="O65" s="26"/>
      <c r="P65" s="26"/>
      <c r="Q65" s="27" t="str">
        <f t="shared" si="23"/>
        <v/>
      </c>
      <c r="R65" s="27" t="str">
        <f t="shared" si="24"/>
        <v/>
      </c>
      <c r="S65" s="27"/>
      <c r="T65" s="27"/>
      <c r="U65" s="385"/>
      <c r="V65" s="461"/>
      <c r="W65" s="386"/>
      <c r="X65" s="405"/>
      <c r="Y65" s="244"/>
      <c r="Z65" s="245"/>
      <c r="AA65" s="245"/>
      <c r="AB65" s="245"/>
      <c r="AC65" s="245"/>
      <c r="AD65" s="273"/>
    </row>
    <row r="66" spans="2:31" ht="45" customHeight="1" x14ac:dyDescent="0.3">
      <c r="E66" s="440"/>
      <c r="F66" s="553"/>
      <c r="G66" s="556"/>
      <c r="H66" s="148" t="s">
        <v>282</v>
      </c>
      <c r="I66" s="157" t="s">
        <v>283</v>
      </c>
      <c r="J66" s="24" t="s">
        <v>179</v>
      </c>
      <c r="K66" s="102" t="str">
        <f>IF($G$56=$AE$59,2,"0")</f>
        <v>0</v>
      </c>
      <c r="L66" s="82"/>
      <c r="M66" s="479" t="s">
        <v>180</v>
      </c>
      <c r="N66" s="82"/>
      <c r="O66" s="26"/>
      <c r="P66" s="26"/>
      <c r="Q66" s="27" t="str">
        <f t="shared" si="23"/>
        <v/>
      </c>
      <c r="R66" s="27" t="str">
        <f t="shared" si="24"/>
        <v/>
      </c>
      <c r="S66" s="27"/>
      <c r="T66" s="27"/>
      <c r="U66" s="385"/>
      <c r="V66" s="461"/>
      <c r="W66" s="386"/>
      <c r="X66" s="405"/>
      <c r="Y66" s="244"/>
      <c r="Z66" s="245"/>
      <c r="AA66" s="245"/>
      <c r="AB66" s="245"/>
      <c r="AC66" s="245"/>
      <c r="AD66" s="273"/>
    </row>
    <row r="67" spans="2:31" ht="45" customHeight="1" x14ac:dyDescent="0.3">
      <c r="E67" s="430"/>
      <c r="F67" s="39" t="s">
        <v>54</v>
      </c>
      <c r="G67" s="39"/>
      <c r="H67" s="40"/>
      <c r="I67" s="39"/>
      <c r="J67" s="39"/>
      <c r="K67" s="40">
        <f>IF(AND(SUM(K56:K66)&gt;7,$G$56=$AE$59),7,SUM(K56:K66))</f>
        <v>10</v>
      </c>
      <c r="L67" s="40">
        <f>IF(AND(SUM(L56:L66)&gt;7,$G$56=$AE$59),7,SUM(L56:L66))</f>
        <v>0</v>
      </c>
      <c r="M67" s="40">
        <f>IF(AND(SUM(M56:M66)&gt;7,$G$56=$AE$59),7,SUM(M56:M66))</f>
        <v>0</v>
      </c>
      <c r="N67" s="40">
        <f>IF(AND(SUM(N56:N66)&gt;7,$G$56=$AE$59),7,SUM(N56:N66))</f>
        <v>0</v>
      </c>
      <c r="O67" s="26" t="str">
        <f>IF(L67&gt;K67,"!","")</f>
        <v/>
      </c>
      <c r="P67" s="26"/>
      <c r="Q67" s="40">
        <f>IF(AND(SUM(Q56:Q66)&gt;7,$G$56=$AE$59),7,SUM(Q56:Q66))</f>
        <v>0</v>
      </c>
      <c r="R67" s="40">
        <f>IF(AND(SUM(R56:R66)&gt;7,$G$56=$AE$59),7,SUM(R56:R66))</f>
        <v>0</v>
      </c>
      <c r="S67" s="48"/>
      <c r="T67" s="48"/>
      <c r="U67" s="392"/>
      <c r="V67" s="393"/>
      <c r="W67" s="223"/>
      <c r="X67" s="405"/>
      <c r="Y67" s="248"/>
      <c r="Z67" s="249"/>
      <c r="AA67" s="249"/>
      <c r="AB67" s="249"/>
      <c r="AC67" s="249"/>
      <c r="AD67" s="273"/>
    </row>
    <row r="68" spans="2:31" ht="45" customHeight="1" x14ac:dyDescent="0.3">
      <c r="E68" s="388"/>
      <c r="F68" s="394"/>
      <c r="G68" s="394"/>
      <c r="H68" s="48"/>
      <c r="I68" s="394"/>
      <c r="J68" s="48"/>
      <c r="K68" s="48"/>
      <c r="L68" s="48"/>
      <c r="M68" s="48"/>
      <c r="N68" s="48"/>
      <c r="O68" s="425"/>
      <c r="P68" s="425"/>
      <c r="Q68" s="48"/>
      <c r="R68" s="48"/>
      <c r="S68" s="48"/>
      <c r="T68" s="48"/>
      <c r="U68" s="392"/>
      <c r="V68" s="273"/>
      <c r="W68" s="223"/>
      <c r="X68" s="273"/>
      <c r="Y68" s="248"/>
      <c r="Z68" s="249"/>
      <c r="AA68" s="249"/>
      <c r="AB68" s="249"/>
      <c r="AC68" s="249"/>
      <c r="AD68" s="273"/>
    </row>
    <row r="69" spans="2:31" ht="45" customHeight="1" x14ac:dyDescent="0.3">
      <c r="E69" s="439"/>
      <c r="F69" s="254" t="s">
        <v>284</v>
      </c>
      <c r="G69" s="67"/>
      <c r="H69" s="68"/>
      <c r="I69" s="67"/>
      <c r="J69" s="49"/>
      <c r="K69" s="49">
        <f>12-SUM(B70:B75)</f>
        <v>12</v>
      </c>
      <c r="L69" s="49"/>
      <c r="M69" s="49"/>
      <c r="N69" s="49"/>
      <c r="O69" s="26"/>
      <c r="P69" s="26"/>
      <c r="Q69" s="154"/>
      <c r="R69" s="154"/>
      <c r="S69" s="154"/>
      <c r="T69" s="154"/>
      <c r="U69" s="171"/>
      <c r="V69" s="171"/>
      <c r="W69" s="222"/>
      <c r="X69" s="415"/>
      <c r="Y69" s="232"/>
      <c r="Z69" s="222"/>
      <c r="AA69" s="222"/>
      <c r="AB69" s="222"/>
      <c r="AC69" s="222"/>
      <c r="AD69" s="273"/>
    </row>
    <row r="70" spans="2:31" ht="45" customHeight="1" x14ac:dyDescent="0.3">
      <c r="E70" s="440"/>
      <c r="F70" s="557" t="s">
        <v>106</v>
      </c>
      <c r="G70" s="558" t="s">
        <v>186</v>
      </c>
      <c r="H70" s="100" t="s">
        <v>285</v>
      </c>
      <c r="I70" s="101" t="s">
        <v>286</v>
      </c>
      <c r="J70" s="375" t="s">
        <v>179</v>
      </c>
      <c r="K70" s="376">
        <f>IF(G70=AE70,12,0)</f>
        <v>12</v>
      </c>
      <c r="L70" s="374"/>
      <c r="M70" s="481" t="s">
        <v>180</v>
      </c>
      <c r="N70" s="78"/>
      <c r="O70" s="424"/>
      <c r="P70" s="26"/>
      <c r="Q70" s="27" t="str">
        <f t="shared" ref="Q70:Q75" si="25">IF(OR(U70=$AG$9,U70=$AG$10),L70,"")</f>
        <v/>
      </c>
      <c r="R70" s="27" t="str">
        <f t="shared" ref="R70:R75" si="26">IF(U70=$AG$11,L70,"")</f>
        <v/>
      </c>
      <c r="S70" s="27"/>
      <c r="T70" s="27"/>
      <c r="U70" s="384"/>
      <c r="V70" s="463"/>
      <c r="W70" s="386"/>
      <c r="X70" s="405"/>
      <c r="Y70" s="244"/>
      <c r="Z70" s="245"/>
      <c r="AA70" s="245"/>
      <c r="AB70" s="245"/>
      <c r="AC70" s="245"/>
      <c r="AD70" s="273"/>
      <c r="AE70" s="4" t="s">
        <v>186</v>
      </c>
    </row>
    <row r="71" spans="2:31" ht="45" customHeight="1" x14ac:dyDescent="0.3">
      <c r="E71" s="440"/>
      <c r="F71" s="547"/>
      <c r="G71" s="546"/>
      <c r="H71" s="102" t="s">
        <v>287</v>
      </c>
      <c r="I71" s="103" t="s">
        <v>288</v>
      </c>
      <c r="J71" s="375" t="s">
        <v>179</v>
      </c>
      <c r="K71" s="377">
        <f>IF($G$70=$AE$71,1,0)</f>
        <v>0</v>
      </c>
      <c r="L71" s="82"/>
      <c r="M71" s="482" t="s">
        <v>180</v>
      </c>
      <c r="N71" s="79"/>
      <c r="O71" s="424"/>
      <c r="P71" s="26"/>
      <c r="Q71" s="27" t="str">
        <f t="shared" si="25"/>
        <v/>
      </c>
      <c r="R71" s="27" t="str">
        <f t="shared" si="26"/>
        <v/>
      </c>
      <c r="S71" s="27"/>
      <c r="T71" s="27"/>
      <c r="U71" s="385"/>
      <c r="V71" s="464"/>
      <c r="W71" s="386"/>
      <c r="X71" s="405"/>
      <c r="Y71" s="244"/>
      <c r="Z71" s="245"/>
      <c r="AA71" s="245"/>
      <c r="AB71" s="245"/>
      <c r="AC71" s="245"/>
      <c r="AD71" s="273"/>
      <c r="AE71" s="4" t="s">
        <v>190</v>
      </c>
    </row>
    <row r="72" spans="2:31" ht="45" customHeight="1" x14ac:dyDescent="0.3">
      <c r="E72" s="440"/>
      <c r="F72" s="547"/>
      <c r="G72" s="546"/>
      <c r="H72" s="102" t="s">
        <v>289</v>
      </c>
      <c r="I72" s="103" t="s">
        <v>290</v>
      </c>
      <c r="J72" s="375" t="s">
        <v>179</v>
      </c>
      <c r="K72" s="377">
        <f>IF($G$70=$AE$71,1,0)</f>
        <v>0</v>
      </c>
      <c r="L72" s="82"/>
      <c r="M72" s="482" t="s">
        <v>180</v>
      </c>
      <c r="N72" s="79"/>
      <c r="O72" s="424"/>
      <c r="P72" s="26"/>
      <c r="Q72" s="27" t="str">
        <f>IF(OR(U72=$AG$9,U72=$AG$10),#REF!,"")</f>
        <v/>
      </c>
      <c r="R72" s="27" t="str">
        <f>IF(U72=$AG$11,#REF!,"")</f>
        <v/>
      </c>
      <c r="S72" s="27"/>
      <c r="T72" s="27"/>
      <c r="U72" s="385"/>
      <c r="V72" s="464"/>
      <c r="W72" s="386"/>
      <c r="X72" s="405"/>
      <c r="Y72" s="244"/>
      <c r="Z72" s="245"/>
      <c r="AA72" s="245"/>
      <c r="AB72" s="245"/>
      <c r="AC72" s="245"/>
      <c r="AD72" s="273"/>
    </row>
    <row r="73" spans="2:31" ht="45" customHeight="1" x14ac:dyDescent="0.3">
      <c r="E73" s="440"/>
      <c r="F73" s="547"/>
      <c r="G73" s="546"/>
      <c r="H73" s="102" t="s">
        <v>291</v>
      </c>
      <c r="I73" s="103" t="s">
        <v>292</v>
      </c>
      <c r="J73" s="375" t="s">
        <v>179</v>
      </c>
      <c r="K73" s="377">
        <f>IF($G$70=$AE$71,2,0)</f>
        <v>0</v>
      </c>
      <c r="L73" s="82"/>
      <c r="M73" s="482" t="s">
        <v>180</v>
      </c>
      <c r="N73" s="79"/>
      <c r="O73" s="424"/>
      <c r="P73" s="26"/>
      <c r="Q73" s="27" t="str">
        <f>IF(OR(U73=$AG$9,U73=$AG$10),L72,"")</f>
        <v/>
      </c>
      <c r="R73" s="27" t="str">
        <f>IF(U73=$AG$11,L72,"")</f>
        <v/>
      </c>
      <c r="S73" s="27"/>
      <c r="T73" s="27"/>
      <c r="U73" s="385"/>
      <c r="V73" s="464"/>
      <c r="W73" s="386"/>
      <c r="X73" s="405"/>
      <c r="Y73" s="244"/>
      <c r="Z73" s="245"/>
      <c r="AA73" s="245"/>
      <c r="AB73" s="245"/>
      <c r="AC73" s="245"/>
      <c r="AD73" s="273"/>
    </row>
    <row r="74" spans="2:31" ht="45" customHeight="1" x14ac:dyDescent="0.3">
      <c r="B74" s="141">
        <f>IF(AND($G$70=$AE$71,C74=TRUE),1,0)</f>
        <v>0</v>
      </c>
      <c r="C74" s="362" t="b">
        <f>AL41</f>
        <v>0</v>
      </c>
      <c r="E74" s="440"/>
      <c r="F74" s="547"/>
      <c r="G74" s="546"/>
      <c r="H74" s="102" t="s">
        <v>107</v>
      </c>
      <c r="I74" s="378" t="s">
        <v>108</v>
      </c>
      <c r="J74" s="375" t="s">
        <v>179</v>
      </c>
      <c r="K74" s="377">
        <f>IF(OR($G$70=$AE$70,C74=TRUE),0,AO41)</f>
        <v>0</v>
      </c>
      <c r="L74" s="372"/>
      <c r="M74" s="482" t="str">
        <f>IF($G$70=$AE$71,AP41,"-")</f>
        <v>-</v>
      </c>
      <c r="N74" s="79"/>
      <c r="O74" s="424"/>
      <c r="P74" s="26"/>
      <c r="Q74" s="27" t="str">
        <f t="shared" si="25"/>
        <v/>
      </c>
      <c r="R74" s="27" t="str">
        <f t="shared" si="26"/>
        <v/>
      </c>
      <c r="S74" s="27"/>
      <c r="T74" s="27"/>
      <c r="U74" s="385"/>
      <c r="V74" s="462"/>
      <c r="W74" s="386"/>
      <c r="X74" s="405"/>
      <c r="Y74" s="244"/>
      <c r="Z74" s="245"/>
      <c r="AA74" s="245"/>
      <c r="AB74" s="245"/>
      <c r="AC74" s="245"/>
      <c r="AD74" s="273"/>
    </row>
    <row r="75" spans="2:31" ht="45" customHeight="1" x14ac:dyDescent="0.3">
      <c r="B75" s="141">
        <f>IF(AND($G$70=$AE$71,C75=TRUE),1,0)</f>
        <v>0</v>
      </c>
      <c r="C75" s="362" t="b">
        <f>AL42</f>
        <v>0</v>
      </c>
      <c r="E75" s="440"/>
      <c r="F75" s="548"/>
      <c r="G75" s="559"/>
      <c r="H75" s="379" t="s">
        <v>109</v>
      </c>
      <c r="I75" s="378" t="s">
        <v>110</v>
      </c>
      <c r="J75" s="375" t="s">
        <v>179</v>
      </c>
      <c r="K75" s="380">
        <f>IF(OR($G$70=$AE$70,C75=TRUE),0,AO42)</f>
        <v>0</v>
      </c>
      <c r="L75" s="373"/>
      <c r="M75" s="482" t="str">
        <f>IF($G$70=$AE$71,AP42,"-")</f>
        <v>-</v>
      </c>
      <c r="N75" s="80"/>
      <c r="O75" s="424"/>
      <c r="P75" s="26"/>
      <c r="Q75" s="27" t="str">
        <f t="shared" si="25"/>
        <v/>
      </c>
      <c r="R75" s="27" t="str">
        <f t="shared" si="26"/>
        <v/>
      </c>
      <c r="S75" s="27"/>
      <c r="T75" s="27"/>
      <c r="U75" s="385"/>
      <c r="V75" s="462"/>
      <c r="W75" s="386"/>
      <c r="X75" s="405"/>
      <c r="Y75" s="244"/>
      <c r="Z75" s="245"/>
      <c r="AA75" s="245"/>
      <c r="AB75" s="245"/>
      <c r="AC75" s="245"/>
      <c r="AD75" s="273"/>
    </row>
    <row r="76" spans="2:31" ht="45" customHeight="1" x14ac:dyDescent="0.3">
      <c r="E76" s="430"/>
      <c r="F76" s="39" t="s">
        <v>54</v>
      </c>
      <c r="G76" s="39"/>
      <c r="H76" s="40"/>
      <c r="I76" s="39"/>
      <c r="J76" s="39"/>
      <c r="K76" s="40">
        <f>SUM(K70:K75)</f>
        <v>12</v>
      </c>
      <c r="L76" s="40">
        <f>SUM(L70:L75)</f>
        <v>0</v>
      </c>
      <c r="M76" s="40">
        <f t="shared" ref="M76:N76" si="27">SUM(M70:M75)</f>
        <v>0</v>
      </c>
      <c r="N76" s="40">
        <f t="shared" si="27"/>
        <v>0</v>
      </c>
      <c r="O76" s="26" t="str">
        <f>IF(L76&gt;K76,"!","")</f>
        <v/>
      </c>
      <c r="P76" s="26"/>
      <c r="Q76" s="41">
        <f t="shared" ref="Q76:R76" si="28">SUM(Q70:Q75)</f>
        <v>0</v>
      </c>
      <c r="R76" s="41">
        <f t="shared" si="28"/>
        <v>0</v>
      </c>
      <c r="S76" s="48"/>
      <c r="T76" s="48"/>
      <c r="U76" s="392"/>
      <c r="V76" s="393"/>
      <c r="W76" s="223"/>
      <c r="X76" s="405"/>
      <c r="Y76" s="248"/>
      <c r="Z76" s="249"/>
      <c r="AA76" s="249"/>
      <c r="AB76" s="249"/>
      <c r="AC76" s="249"/>
      <c r="AD76" s="273"/>
    </row>
    <row r="77" spans="2:31" ht="45" customHeight="1" x14ac:dyDescent="0.3">
      <c r="E77" s="388"/>
      <c r="F77" s="394"/>
      <c r="G77" s="394"/>
      <c r="H77" s="48"/>
      <c r="I77" s="394"/>
      <c r="J77" s="48"/>
      <c r="K77" s="48"/>
      <c r="L77" s="48"/>
      <c r="M77" s="48"/>
      <c r="N77" s="48"/>
      <c r="O77" s="425"/>
      <c r="P77" s="425"/>
      <c r="Q77" s="48"/>
      <c r="R77" s="48"/>
      <c r="S77" s="48"/>
      <c r="T77" s="48"/>
      <c r="U77" s="392"/>
      <c r="V77" s="273"/>
      <c r="W77" s="223"/>
      <c r="X77" s="273"/>
      <c r="Y77" s="248"/>
      <c r="Z77" s="249"/>
      <c r="AA77" s="249"/>
      <c r="AB77" s="249"/>
      <c r="AC77" s="249"/>
      <c r="AD77" s="273"/>
    </row>
    <row r="78" spans="2:31" ht="45" customHeight="1" x14ac:dyDescent="0.3">
      <c r="E78" s="439"/>
      <c r="F78" s="254" t="s">
        <v>293</v>
      </c>
      <c r="G78" s="67"/>
      <c r="H78" s="49"/>
      <c r="I78" s="67"/>
      <c r="J78" s="49"/>
      <c r="K78" s="49">
        <f>14-SUM(B79:B91)</f>
        <v>14</v>
      </c>
      <c r="L78" s="49"/>
      <c r="M78" s="49"/>
      <c r="N78" s="49"/>
      <c r="O78" s="26"/>
      <c r="P78" s="26"/>
      <c r="Q78" s="154"/>
      <c r="R78" s="154"/>
      <c r="S78" s="154"/>
      <c r="T78" s="154"/>
      <c r="U78" s="171"/>
      <c r="V78" s="171"/>
      <c r="W78" s="222"/>
      <c r="X78" s="415"/>
      <c r="Y78" s="232"/>
      <c r="Z78" s="222"/>
      <c r="AA78" s="222"/>
      <c r="AB78" s="222"/>
      <c r="AC78" s="222"/>
      <c r="AD78" s="273"/>
      <c r="AE78" s="4"/>
    </row>
    <row r="79" spans="2:31" ht="45" customHeight="1" x14ac:dyDescent="0.3">
      <c r="E79" s="440"/>
      <c r="F79" s="543" t="s">
        <v>294</v>
      </c>
      <c r="G79" s="546" t="s">
        <v>295</v>
      </c>
      <c r="H79" s="104" t="s">
        <v>296</v>
      </c>
      <c r="I79" s="179" t="s">
        <v>297</v>
      </c>
      <c r="J79" s="24" t="s">
        <v>179</v>
      </c>
      <c r="K79" s="81">
        <f>IF($G$79=$AE$79,6,0)</f>
        <v>6</v>
      </c>
      <c r="L79" s="64"/>
      <c r="M79" s="483" t="s">
        <v>180</v>
      </c>
      <c r="N79" s="64"/>
      <c r="O79" s="424" t="str">
        <f>IF(SUM(L79:L80)&gt;7,"!", "")</f>
        <v/>
      </c>
      <c r="P79" s="26"/>
      <c r="Q79" s="27" t="str">
        <f>IF(OR(U79=$AG$9,U79=$AG$10),L79,"")</f>
        <v/>
      </c>
      <c r="R79" s="27" t="str">
        <f>IF(U79=$AG$11,L79,"")</f>
        <v/>
      </c>
      <c r="S79" s="27"/>
      <c r="T79" s="27"/>
      <c r="U79" s="384"/>
      <c r="V79" s="463"/>
      <c r="W79" s="386"/>
      <c r="X79" s="405"/>
      <c r="Y79" s="244"/>
      <c r="Z79" s="245"/>
      <c r="AA79" s="245"/>
      <c r="AB79" s="245"/>
      <c r="AC79" s="245"/>
      <c r="AD79" s="273"/>
      <c r="AE79" s="28" t="s">
        <v>295</v>
      </c>
    </row>
    <row r="80" spans="2:31" ht="45" customHeight="1" x14ac:dyDescent="0.3">
      <c r="E80" s="440"/>
      <c r="F80" s="544"/>
      <c r="G80" s="546"/>
      <c r="H80" s="104" t="s">
        <v>298</v>
      </c>
      <c r="I80" s="179" t="s">
        <v>299</v>
      </c>
      <c r="J80" s="24" t="s">
        <v>179</v>
      </c>
      <c r="K80" s="81">
        <v>4</v>
      </c>
      <c r="L80" s="64"/>
      <c r="M80" s="483" t="s">
        <v>180</v>
      </c>
      <c r="N80" s="64"/>
      <c r="O80" s="424" t="str">
        <f>IF(SUM(L79:L80)&gt;7,"!", "")</f>
        <v/>
      </c>
      <c r="P80" s="26"/>
      <c r="Q80" s="27" t="str">
        <f>IF(OR(U80=$AG$9,U80=$AG$10),L80,"")</f>
        <v/>
      </c>
      <c r="R80" s="27" t="str">
        <f>IF(U80=$AG$11,L80,"")</f>
        <v/>
      </c>
      <c r="S80" s="27"/>
      <c r="T80" s="27"/>
      <c r="U80" s="385"/>
      <c r="V80" s="464"/>
      <c r="W80" s="386"/>
      <c r="X80" s="405"/>
      <c r="Y80" s="244"/>
      <c r="Z80" s="245"/>
      <c r="AA80" s="245"/>
      <c r="AB80" s="245"/>
      <c r="AC80" s="245"/>
      <c r="AD80" s="273"/>
      <c r="AE80" s="6" t="s">
        <v>300</v>
      </c>
    </row>
    <row r="81" spans="1:31" ht="45" customHeight="1" x14ac:dyDescent="0.3">
      <c r="E81" s="440"/>
      <c r="F81" s="544"/>
      <c r="G81" s="546"/>
      <c r="H81" s="104" t="s">
        <v>301</v>
      </c>
      <c r="I81" s="119" t="s">
        <v>302</v>
      </c>
      <c r="J81" s="24" t="s">
        <v>230</v>
      </c>
      <c r="K81" s="81">
        <f>IF($G$79=$AE$80,3,0)</f>
        <v>0</v>
      </c>
      <c r="L81" s="64"/>
      <c r="M81" s="483" t="s">
        <v>180</v>
      </c>
      <c r="N81" s="64"/>
      <c r="O81" s="532" t="str">
        <f>IF(SUM(L81:L84)&gt;5,"Error: the total number of points available for the 'Material Use' Pathway is 5. Please enter a points score less than or equal to 5.","")</f>
        <v/>
      </c>
      <c r="P81" s="426"/>
      <c r="Q81" s="27" t="str">
        <f>IF(OR(U81=$AG$9,U81=$AG$10),L81,"")</f>
        <v/>
      </c>
      <c r="R81" s="27" t="str">
        <f>IF(U81=$AG$11,L81,"")</f>
        <v/>
      </c>
      <c r="S81" s="27"/>
      <c r="T81" s="27"/>
      <c r="U81" s="385"/>
      <c r="V81" s="464"/>
      <c r="W81" s="386"/>
      <c r="X81" s="405"/>
      <c r="Y81" s="244"/>
      <c r="Z81" s="245"/>
      <c r="AA81" s="245"/>
      <c r="AB81" s="245"/>
      <c r="AC81" s="245"/>
      <c r="AD81" s="273"/>
    </row>
    <row r="82" spans="1:31" ht="45" customHeight="1" x14ac:dyDescent="0.3">
      <c r="E82" s="440"/>
      <c r="F82" s="544"/>
      <c r="G82" s="546"/>
      <c r="H82" s="104" t="s">
        <v>303</v>
      </c>
      <c r="I82" s="119" t="s">
        <v>304</v>
      </c>
      <c r="J82" s="24" t="s">
        <v>230</v>
      </c>
      <c r="K82" s="81">
        <f>IF($G$79=$AE$80,1,0)</f>
        <v>0</v>
      </c>
      <c r="L82" s="64"/>
      <c r="M82" s="483" t="s">
        <v>180</v>
      </c>
      <c r="N82" s="64"/>
      <c r="O82" s="532"/>
      <c r="P82" s="426"/>
      <c r="Q82" s="27" t="str">
        <f>IF(OR(U82=$AG$9,U82=$AG$10),L82,"")</f>
        <v/>
      </c>
      <c r="R82" s="27" t="str">
        <f>IF(U82=$AG$11,L82,"")</f>
        <v/>
      </c>
      <c r="S82" s="27"/>
      <c r="T82" s="27"/>
      <c r="U82" s="385"/>
      <c r="V82" s="464"/>
      <c r="W82" s="386"/>
      <c r="X82" s="405"/>
      <c r="Y82" s="244"/>
      <c r="Z82" s="245"/>
      <c r="AA82" s="245"/>
      <c r="AB82" s="245"/>
      <c r="AC82" s="245"/>
      <c r="AD82" s="273"/>
    </row>
    <row r="83" spans="1:31" ht="45" customHeight="1" x14ac:dyDescent="0.3">
      <c r="E83" s="440"/>
      <c r="F83" s="544"/>
      <c r="G83" s="546"/>
      <c r="H83" s="104" t="s">
        <v>305</v>
      </c>
      <c r="I83" s="120" t="s">
        <v>306</v>
      </c>
      <c r="J83" s="24" t="s">
        <v>230</v>
      </c>
      <c r="K83" s="81">
        <f>IF($G$79=$AE$80,4,0)</f>
        <v>0</v>
      </c>
      <c r="L83" s="64"/>
      <c r="M83" s="483" t="s">
        <v>180</v>
      </c>
      <c r="N83" s="64"/>
      <c r="O83" s="532"/>
      <c r="P83" s="426"/>
      <c r="Q83" s="27"/>
      <c r="R83" s="27"/>
      <c r="S83" s="27"/>
      <c r="T83" s="27"/>
      <c r="U83" s="385"/>
      <c r="V83" s="464"/>
      <c r="W83" s="386"/>
      <c r="X83" s="405"/>
      <c r="Y83" s="244"/>
      <c r="Z83" s="245"/>
      <c r="AA83" s="245"/>
      <c r="AB83" s="245"/>
      <c r="AC83" s="245"/>
      <c r="AD83" s="273"/>
    </row>
    <row r="84" spans="1:31" ht="45" customHeight="1" x14ac:dyDescent="0.3">
      <c r="A84" s="141">
        <v>4</v>
      </c>
      <c r="B84" s="141">
        <f t="shared" ref="B84:B87" si="29">IF(C84=TRUE,A84,0)</f>
        <v>0</v>
      </c>
      <c r="E84" s="440"/>
      <c r="F84" s="545"/>
      <c r="G84" s="546"/>
      <c r="H84" s="104" t="s">
        <v>307</v>
      </c>
      <c r="I84" s="179" t="s">
        <v>308</v>
      </c>
      <c r="J84" s="24" t="s">
        <v>230</v>
      </c>
      <c r="K84" s="81">
        <f>IF($G$79=$AE$80,3,0)</f>
        <v>0</v>
      </c>
      <c r="L84" s="64"/>
      <c r="M84" s="483" t="s">
        <v>180</v>
      </c>
      <c r="N84" s="64"/>
      <c r="O84" s="532"/>
      <c r="P84" s="426"/>
      <c r="Q84" s="27" t="str">
        <f>IF(OR(U84=$AG$9,U84=$AG$10),L84,"")</f>
        <v/>
      </c>
      <c r="R84" s="27" t="str">
        <f>IF(U84=$AG$11,L84,"")</f>
        <v/>
      </c>
      <c r="S84" s="27"/>
      <c r="T84" s="27"/>
      <c r="U84" s="385"/>
      <c r="V84" s="464"/>
      <c r="W84" s="386"/>
      <c r="X84" s="405"/>
      <c r="Y84" s="244"/>
      <c r="Z84" s="245"/>
      <c r="AA84" s="245"/>
      <c r="AB84" s="245"/>
      <c r="AC84" s="245"/>
      <c r="AD84" s="273"/>
    </row>
    <row r="85" spans="1:31" ht="45" customHeight="1" x14ac:dyDescent="0.3">
      <c r="A85" s="141">
        <v>1</v>
      </c>
      <c r="B85" s="141">
        <f t="shared" si="29"/>
        <v>0</v>
      </c>
      <c r="C85" s="362" t="b">
        <f>AL43</f>
        <v>0</v>
      </c>
      <c r="E85" s="440"/>
      <c r="F85" s="533" t="s">
        <v>111</v>
      </c>
      <c r="G85" s="531" t="s">
        <v>309</v>
      </c>
      <c r="H85" s="118">
        <v>20.100000000000001</v>
      </c>
      <c r="I85" s="117" t="s">
        <v>112</v>
      </c>
      <c r="J85" s="24" t="s">
        <v>230</v>
      </c>
      <c r="K85" s="81">
        <f>IF(C85=TRUE,0,AO43)</f>
        <v>1</v>
      </c>
      <c r="L85" s="54"/>
      <c r="M85" s="477" t="str">
        <f>AP43</f>
        <v>-</v>
      </c>
      <c r="N85" s="54"/>
      <c r="O85" s="424"/>
      <c r="P85" s="26"/>
      <c r="Q85" s="27" t="str">
        <f>IF(OR(U85=$AG$9,U85=$AG$10),L85,"")</f>
        <v/>
      </c>
      <c r="R85" s="27" t="str">
        <f>IF(U85=$AG$11,L85,"")</f>
        <v/>
      </c>
      <c r="S85" s="27"/>
      <c r="T85" s="27"/>
      <c r="U85" s="385"/>
      <c r="V85" s="462"/>
      <c r="W85" s="386"/>
      <c r="X85" s="405"/>
      <c r="Y85" s="244"/>
      <c r="Z85" s="245"/>
      <c r="AA85" s="245"/>
      <c r="AB85" s="245"/>
      <c r="AC85" s="245"/>
      <c r="AD85" s="273"/>
    </row>
    <row r="86" spans="1:31" ht="45" customHeight="1" x14ac:dyDescent="0.3">
      <c r="A86" s="141">
        <v>1</v>
      </c>
      <c r="B86" s="141">
        <f t="shared" si="29"/>
        <v>0</v>
      </c>
      <c r="C86" s="362" t="b">
        <f>AL44</f>
        <v>0</v>
      </c>
      <c r="E86" s="440"/>
      <c r="F86" s="534"/>
      <c r="G86" s="535"/>
      <c r="H86" s="118">
        <v>20.2</v>
      </c>
      <c r="I86" s="117" t="s">
        <v>310</v>
      </c>
      <c r="J86" s="24" t="s">
        <v>230</v>
      </c>
      <c r="K86" s="81">
        <f>IF(C86=TRUE,0,AO44)</f>
        <v>1</v>
      </c>
      <c r="L86" s="54"/>
      <c r="M86" s="477" t="str">
        <f>AP44</f>
        <v>-</v>
      </c>
      <c r="N86" s="54"/>
      <c r="O86" s="26"/>
      <c r="P86" s="26"/>
      <c r="Q86" s="27" t="str">
        <f>IF(OR(U86=$AG$9,U86=$AG$10),L86,"")</f>
        <v/>
      </c>
      <c r="R86" s="27" t="str">
        <f>IF(U86=$AG$11,L86,"")</f>
        <v/>
      </c>
      <c r="S86" s="27"/>
      <c r="T86" s="27"/>
      <c r="U86" s="385"/>
      <c r="V86" s="462"/>
      <c r="W86" s="386"/>
      <c r="X86" s="405"/>
      <c r="Y86" s="244"/>
      <c r="Z86" s="245"/>
      <c r="AA86" s="245"/>
      <c r="AB86" s="245"/>
      <c r="AC86" s="245"/>
      <c r="AD86" s="273"/>
    </row>
    <row r="87" spans="1:31" ht="45" customHeight="1" x14ac:dyDescent="0.3">
      <c r="A87" s="141">
        <v>1</v>
      </c>
      <c r="B87" s="141">
        <f t="shared" si="29"/>
        <v>0</v>
      </c>
      <c r="C87" s="362" t="b">
        <f>AL45</f>
        <v>0</v>
      </c>
      <c r="E87" s="440"/>
      <c r="F87" s="527"/>
      <c r="G87" s="536"/>
      <c r="H87" s="118">
        <v>20.3</v>
      </c>
      <c r="I87" s="117" t="s">
        <v>114</v>
      </c>
      <c r="J87" s="24" t="s">
        <v>230</v>
      </c>
      <c r="K87" s="81">
        <f>IF(C87=TRUE,0,AO45)</f>
        <v>1</v>
      </c>
      <c r="L87" s="54"/>
      <c r="M87" s="477" t="str">
        <f>AP45</f>
        <v>-</v>
      </c>
      <c r="N87" s="54"/>
      <c r="O87" s="26"/>
      <c r="P87" s="26"/>
      <c r="Q87" s="27" t="str">
        <f>IF(OR(U87=$AG$9,U87=$AG$10),L87,"")</f>
        <v/>
      </c>
      <c r="R87" s="27" t="str">
        <f>IF(U87=$AG$11,L87,"")</f>
        <v/>
      </c>
      <c r="S87" s="27"/>
      <c r="T87" s="27"/>
      <c r="U87" s="385"/>
      <c r="V87" s="462"/>
      <c r="W87" s="386"/>
      <c r="X87" s="405"/>
      <c r="Y87" s="244"/>
      <c r="Z87" s="245"/>
      <c r="AA87" s="245"/>
      <c r="AB87" s="245"/>
      <c r="AC87" s="245"/>
      <c r="AD87" s="273"/>
    </row>
    <row r="88" spans="1:31" ht="45" customHeight="1" x14ac:dyDescent="0.3">
      <c r="E88" s="440"/>
      <c r="F88" s="173" t="s">
        <v>311</v>
      </c>
      <c r="G88" s="256" t="s">
        <v>312</v>
      </c>
      <c r="H88" s="265">
        <v>21</v>
      </c>
      <c r="I88" s="117" t="s">
        <v>313</v>
      </c>
      <c r="J88" s="24" t="s">
        <v>230</v>
      </c>
      <c r="K88" s="81">
        <v>3</v>
      </c>
      <c r="L88" s="54"/>
      <c r="M88" s="478" t="s">
        <v>180</v>
      </c>
      <c r="N88" s="54"/>
      <c r="O88" s="26"/>
      <c r="P88" s="26"/>
      <c r="Q88" s="27" t="str">
        <f>IF(OR(U88=$AG$9,U88=$AG$10),L88,"")</f>
        <v/>
      </c>
      <c r="R88" s="27" t="str">
        <f>IF(U88=$AG$11,L88,"")</f>
        <v/>
      </c>
      <c r="S88" s="27"/>
      <c r="T88" s="27"/>
      <c r="U88" s="385"/>
      <c r="V88" s="464"/>
      <c r="W88" s="386"/>
      <c r="X88" s="405"/>
      <c r="Y88" s="244"/>
      <c r="Z88" s="245"/>
      <c r="AA88" s="245"/>
      <c r="AB88" s="245"/>
      <c r="AC88" s="245"/>
      <c r="AD88" s="273"/>
    </row>
    <row r="89" spans="1:31" ht="45" customHeight="1" x14ac:dyDescent="0.3">
      <c r="E89" s="440"/>
      <c r="F89" s="538" t="s">
        <v>314</v>
      </c>
      <c r="G89" s="256"/>
      <c r="H89" s="263">
        <v>22.1</v>
      </c>
      <c r="I89" s="117" t="s">
        <v>315</v>
      </c>
      <c r="J89" s="24" t="s">
        <v>230</v>
      </c>
      <c r="K89" s="81" t="s">
        <v>185</v>
      </c>
      <c r="L89" s="31"/>
      <c r="M89" s="478" t="s">
        <v>180</v>
      </c>
      <c r="N89" s="31"/>
      <c r="O89" s="26"/>
      <c r="P89" s="26"/>
      <c r="Q89" s="27"/>
      <c r="R89" s="27"/>
      <c r="S89" s="27"/>
      <c r="T89" s="27"/>
      <c r="U89" s="385"/>
      <c r="V89" s="464"/>
      <c r="W89" s="386"/>
      <c r="X89" s="405"/>
      <c r="Y89" s="244"/>
      <c r="Z89" s="245"/>
      <c r="AA89" s="245"/>
      <c r="AB89" s="245"/>
      <c r="AC89" s="245"/>
      <c r="AD89" s="273"/>
    </row>
    <row r="90" spans="1:31" ht="45" customHeight="1" x14ac:dyDescent="0.3">
      <c r="E90" s="440"/>
      <c r="F90" s="539"/>
      <c r="G90" s="541" t="s">
        <v>316</v>
      </c>
      <c r="H90" s="185" t="s">
        <v>317</v>
      </c>
      <c r="I90" s="117" t="s">
        <v>316</v>
      </c>
      <c r="J90" s="24" t="s">
        <v>230</v>
      </c>
      <c r="K90" s="81">
        <f>IF(G90=AE90,1,"0")</f>
        <v>1</v>
      </c>
      <c r="L90" s="54"/>
      <c r="M90" s="478" t="s">
        <v>180</v>
      </c>
      <c r="N90" s="54"/>
      <c r="O90" s="26" t="str">
        <f>IF(AND(L90&gt;0,$L$89&lt;&gt;$AH$8),"!","")</f>
        <v/>
      </c>
      <c r="P90" s="26"/>
      <c r="Q90" s="27"/>
      <c r="R90" s="27"/>
      <c r="S90" s="27"/>
      <c r="T90" s="27"/>
      <c r="U90" s="385"/>
      <c r="V90" s="464"/>
      <c r="W90" s="386"/>
      <c r="X90" s="405"/>
      <c r="Y90" s="244"/>
      <c r="Z90" s="245"/>
      <c r="AA90" s="245"/>
      <c r="AB90" s="245"/>
      <c r="AC90" s="245"/>
      <c r="AD90" s="273"/>
      <c r="AE90" s="6" t="s">
        <v>316</v>
      </c>
    </row>
    <row r="91" spans="1:31" ht="45" customHeight="1" x14ac:dyDescent="0.3">
      <c r="E91" s="440"/>
      <c r="F91" s="540"/>
      <c r="G91" s="542"/>
      <c r="H91" s="185" t="s">
        <v>318</v>
      </c>
      <c r="I91" s="256" t="s">
        <v>319</v>
      </c>
      <c r="J91" s="24" t="s">
        <v>230</v>
      </c>
      <c r="K91" s="81" t="str">
        <f>IF(G90=AE91,1,"0")</f>
        <v>0</v>
      </c>
      <c r="L91" s="54"/>
      <c r="M91" s="478" t="s">
        <v>180</v>
      </c>
      <c r="N91" s="54"/>
      <c r="O91" s="26" t="str">
        <f>IF(AND(L91&gt;0,$L$89&lt;&gt;$AH$8),"!","")</f>
        <v/>
      </c>
      <c r="P91" s="26"/>
      <c r="Q91" s="27" t="str">
        <f>IF(OR(U91=$AG$9,U91=$AG$10),L91,"")</f>
        <v/>
      </c>
      <c r="R91" s="27" t="str">
        <f>IF(U91=$AG$11,L91,"")</f>
        <v/>
      </c>
      <c r="S91" s="27"/>
      <c r="T91" s="27"/>
      <c r="U91" s="385"/>
      <c r="V91" s="464"/>
      <c r="W91" s="386"/>
      <c r="X91" s="405"/>
      <c r="Y91" s="244"/>
      <c r="Z91" s="245"/>
      <c r="AA91" s="245"/>
      <c r="AB91" s="245"/>
      <c r="AC91" s="245"/>
      <c r="AD91" s="273"/>
      <c r="AE91" s="6" t="s">
        <v>319</v>
      </c>
    </row>
    <row r="92" spans="1:31" ht="45" customHeight="1" x14ac:dyDescent="0.3">
      <c r="E92" s="430"/>
      <c r="F92" s="39" t="s">
        <v>54</v>
      </c>
      <c r="G92" s="39"/>
      <c r="H92" s="40"/>
      <c r="I92" s="39"/>
      <c r="J92" s="39"/>
      <c r="K92" s="40">
        <f>IF(G79=AE80,12,14)</f>
        <v>14</v>
      </c>
      <c r="L92" s="40">
        <f>SUM(L79:L91)</f>
        <v>0</v>
      </c>
      <c r="M92" s="40">
        <f t="shared" ref="M92:N92" si="30">SUM(M79:M91)</f>
        <v>0</v>
      </c>
      <c r="N92" s="40">
        <f t="shared" si="30"/>
        <v>0</v>
      </c>
      <c r="O92" s="26" t="str">
        <f>IF(L92&gt;K92,"!","")</f>
        <v/>
      </c>
      <c r="P92" s="26"/>
      <c r="Q92" s="41">
        <f>SUM(Q79:Q91)</f>
        <v>0</v>
      </c>
      <c r="R92" s="41">
        <f>SUM(R79:R91)</f>
        <v>0</v>
      </c>
      <c r="S92" s="48"/>
      <c r="T92" s="48"/>
      <c r="U92" s="392"/>
      <c r="V92" s="393"/>
      <c r="W92" s="223"/>
      <c r="X92" s="405"/>
      <c r="Y92" s="248"/>
      <c r="Z92" s="249"/>
      <c r="AA92" s="249"/>
      <c r="AB92" s="249"/>
      <c r="AC92" s="249"/>
      <c r="AD92" s="273"/>
    </row>
    <row r="93" spans="1:31" ht="45" customHeight="1" x14ac:dyDescent="0.3">
      <c r="E93" s="388"/>
      <c r="F93" s="394"/>
      <c r="G93" s="394"/>
      <c r="H93" s="48"/>
      <c r="I93" s="394"/>
      <c r="J93" s="48"/>
      <c r="K93" s="48"/>
      <c r="L93" s="48"/>
      <c r="M93" s="48"/>
      <c r="N93" s="48"/>
      <c r="O93" s="425"/>
      <c r="P93" s="425"/>
      <c r="Q93" s="48"/>
      <c r="R93" s="48"/>
      <c r="S93" s="48"/>
      <c r="T93" s="48"/>
      <c r="U93" s="392"/>
      <c r="V93" s="274"/>
      <c r="W93" s="223"/>
      <c r="X93" s="273"/>
      <c r="Y93" s="248"/>
      <c r="Z93" s="249"/>
      <c r="AA93" s="249"/>
      <c r="AB93" s="249"/>
      <c r="AC93" s="249"/>
      <c r="AD93" s="273"/>
    </row>
    <row r="94" spans="1:31" ht="45" customHeight="1" x14ac:dyDescent="0.3">
      <c r="E94" s="439"/>
      <c r="F94" s="525" t="s">
        <v>320</v>
      </c>
      <c r="G94" s="525"/>
      <c r="H94" s="525"/>
      <c r="I94" s="525"/>
      <c r="J94" s="49"/>
      <c r="K94" s="49">
        <f>5-SUM(B95:B98)</f>
        <v>5</v>
      </c>
      <c r="L94" s="49"/>
      <c r="M94" s="49"/>
      <c r="N94" s="49"/>
      <c r="O94" s="26"/>
      <c r="P94" s="26"/>
      <c r="Q94" s="537"/>
      <c r="R94" s="537"/>
      <c r="S94" s="255"/>
      <c r="T94" s="255"/>
      <c r="U94" s="171"/>
      <c r="V94" s="171"/>
      <c r="W94" s="222"/>
      <c r="X94" s="415"/>
      <c r="Y94" s="232"/>
      <c r="Z94" s="222"/>
      <c r="AA94" s="222"/>
      <c r="AB94" s="222"/>
      <c r="AC94" s="222"/>
      <c r="AD94" s="273"/>
    </row>
    <row r="95" spans="1:31" ht="45" customHeight="1" x14ac:dyDescent="0.3">
      <c r="E95" s="440"/>
      <c r="F95" s="276" t="s">
        <v>321</v>
      </c>
      <c r="G95" s="277" t="s">
        <v>322</v>
      </c>
      <c r="H95" s="266">
        <v>23</v>
      </c>
      <c r="I95" s="52" t="s">
        <v>321</v>
      </c>
      <c r="J95" s="24" t="s">
        <v>179</v>
      </c>
      <c r="K95" s="24">
        <v>3</v>
      </c>
      <c r="L95" s="64"/>
      <c r="M95" s="483" t="s">
        <v>180</v>
      </c>
      <c r="N95" s="64"/>
      <c r="O95" s="26"/>
      <c r="P95" s="26"/>
      <c r="Q95" s="27" t="str">
        <f>IF(OR(U95=$AG$9,U95=$AG$10),L95,"")</f>
        <v/>
      </c>
      <c r="R95" s="27" t="str">
        <f>IF(U95=$AG$11,L95,"")</f>
        <v/>
      </c>
      <c r="S95" s="27"/>
      <c r="T95" s="27"/>
      <c r="U95" s="385"/>
      <c r="V95" s="465"/>
      <c r="W95" s="386"/>
      <c r="X95" s="405"/>
      <c r="Y95" s="244"/>
      <c r="Z95" s="245"/>
      <c r="AA95" s="245"/>
      <c r="AB95" s="245"/>
      <c r="AC95" s="245"/>
      <c r="AD95" s="273"/>
    </row>
    <row r="96" spans="1:31" ht="45" customHeight="1" x14ac:dyDescent="0.3">
      <c r="E96" s="440"/>
      <c r="F96" s="528" t="s">
        <v>115</v>
      </c>
      <c r="G96" s="531" t="s">
        <v>323</v>
      </c>
      <c r="H96" s="32">
        <v>24.1</v>
      </c>
      <c r="I96" s="52" t="s">
        <v>324</v>
      </c>
      <c r="J96" s="24" t="s">
        <v>179</v>
      </c>
      <c r="K96" s="185" t="s">
        <v>259</v>
      </c>
      <c r="L96" s="64"/>
      <c r="M96" s="483" t="s">
        <v>180</v>
      </c>
      <c r="N96" s="64"/>
      <c r="O96" s="19" t="str">
        <f>IF($L$96=0,"CR","")</f>
        <v>CR</v>
      </c>
      <c r="P96" s="26"/>
      <c r="Q96" s="27" t="str">
        <f>IF(OR(U96=$AG$9,U96=$AG$10),L96,"")</f>
        <v/>
      </c>
      <c r="R96" s="27" t="str">
        <f>IF(U96=$AG$11,L96,"")</f>
        <v/>
      </c>
      <c r="S96" s="27"/>
      <c r="T96" s="27"/>
      <c r="U96" s="385"/>
      <c r="V96" s="466"/>
      <c r="W96" s="386"/>
      <c r="X96" s="405"/>
      <c r="Y96" s="244"/>
      <c r="Z96" s="245"/>
      <c r="AA96" s="245"/>
      <c r="AB96" s="245"/>
      <c r="AC96" s="245"/>
      <c r="AD96" s="273"/>
    </row>
    <row r="97" spans="1:30" ht="45" customHeight="1" x14ac:dyDescent="0.3">
      <c r="E97" s="440"/>
      <c r="F97" s="528"/>
      <c r="G97" s="529"/>
      <c r="H97" s="32">
        <v>24.2</v>
      </c>
      <c r="I97" s="86" t="s">
        <v>325</v>
      </c>
      <c r="J97" s="24" t="s">
        <v>179</v>
      </c>
      <c r="K97" s="24">
        <v>1</v>
      </c>
      <c r="L97" s="64"/>
      <c r="M97" s="483" t="s">
        <v>180</v>
      </c>
      <c r="N97" s="64"/>
      <c r="O97" s="26" t="str">
        <f>IF(AND(L97&gt;0,$L$96&lt;&gt;$AH$8),"!","")</f>
        <v/>
      </c>
      <c r="P97" s="26"/>
      <c r="Q97" s="27" t="str">
        <f>IF(OR(U97=$AG$9,U97=$AG$10),L97,"")</f>
        <v/>
      </c>
      <c r="R97" s="27" t="str">
        <f>IF(U97=$AG$11,L97,"")</f>
        <v/>
      </c>
      <c r="S97" s="27"/>
      <c r="T97" s="27"/>
      <c r="U97" s="385"/>
      <c r="V97" s="466"/>
      <c r="W97" s="386"/>
      <c r="X97" s="405"/>
      <c r="Y97" s="244"/>
      <c r="Z97" s="245"/>
      <c r="AA97" s="245"/>
      <c r="AB97" s="245"/>
      <c r="AC97" s="245"/>
      <c r="AD97" s="273"/>
    </row>
    <row r="98" spans="1:30" ht="45" customHeight="1" x14ac:dyDescent="0.3">
      <c r="A98" s="141">
        <v>1</v>
      </c>
      <c r="B98" s="141">
        <f t="shared" ref="B98" si="31">IF(C98=TRUE,A98,0)</f>
        <v>0</v>
      </c>
      <c r="C98" s="362" t="b">
        <f>AL46</f>
        <v>0</v>
      </c>
      <c r="E98" s="440"/>
      <c r="F98" s="528"/>
      <c r="G98" s="530"/>
      <c r="H98" s="32">
        <v>24.3</v>
      </c>
      <c r="I98" s="86" t="s">
        <v>116</v>
      </c>
      <c r="J98" s="24" t="s">
        <v>179</v>
      </c>
      <c r="K98" s="24">
        <f>IF(C98=FALSE,AO46,0)</f>
        <v>1</v>
      </c>
      <c r="L98" s="64"/>
      <c r="M98" s="484" t="str">
        <f>AP46</f>
        <v>-</v>
      </c>
      <c r="N98" s="64"/>
      <c r="O98" s="26" t="str">
        <f>IF(AND(L98&gt;0,$L$96&lt;&gt;$AH$8),"!","")</f>
        <v/>
      </c>
      <c r="P98" s="26"/>
      <c r="Q98" s="27" t="str">
        <f>IF(OR(U98=$AG$9,U98=$AG$10),L98,"")</f>
        <v/>
      </c>
      <c r="R98" s="27" t="str">
        <f>IF(U98=$AG$11,L98,"")</f>
        <v/>
      </c>
      <c r="S98" s="27"/>
      <c r="T98" s="27"/>
      <c r="U98" s="385"/>
      <c r="V98" s="462"/>
      <c r="W98" s="386"/>
      <c r="X98" s="405"/>
      <c r="Y98" s="244"/>
      <c r="Z98" s="245"/>
      <c r="AA98" s="245"/>
      <c r="AB98" s="245"/>
      <c r="AC98" s="245"/>
      <c r="AD98" s="273"/>
    </row>
    <row r="99" spans="1:30" ht="45" customHeight="1" x14ac:dyDescent="0.3">
      <c r="E99" s="430"/>
      <c r="F99" s="39" t="s">
        <v>54</v>
      </c>
      <c r="G99" s="39"/>
      <c r="H99" s="40"/>
      <c r="I99" s="39"/>
      <c r="J99" s="39"/>
      <c r="K99" s="40">
        <f>SUM(K95:K98)</f>
        <v>5</v>
      </c>
      <c r="L99" s="40">
        <f>SUM(L95:L98)</f>
        <v>0</v>
      </c>
      <c r="M99" s="40">
        <f t="shared" ref="M99:N99" si="32">SUM(M95:M98)</f>
        <v>0</v>
      </c>
      <c r="N99" s="40">
        <f t="shared" si="32"/>
        <v>0</v>
      </c>
      <c r="O99" s="26" t="str">
        <f>IF(L99&gt;K99,"!","")</f>
        <v/>
      </c>
      <c r="P99" s="26"/>
      <c r="Q99" s="41">
        <f>SUM(Q95:Q98)</f>
        <v>0</v>
      </c>
      <c r="R99" s="41">
        <f>SUM(R95:R98)</f>
        <v>0</v>
      </c>
      <c r="S99" s="48"/>
      <c r="T99" s="48"/>
      <c r="U99" s="392"/>
      <c r="V99" s="393"/>
      <c r="W99" s="223"/>
      <c r="X99" s="405"/>
      <c r="Y99" s="248"/>
      <c r="Z99" s="249"/>
      <c r="AA99" s="249"/>
      <c r="AB99" s="249"/>
      <c r="AC99" s="249"/>
      <c r="AD99" s="273"/>
    </row>
    <row r="100" spans="1:30" ht="45" customHeight="1" x14ac:dyDescent="0.3">
      <c r="E100" s="388"/>
      <c r="F100" s="394"/>
      <c r="G100" s="394"/>
      <c r="H100" s="48"/>
      <c r="I100" s="394"/>
      <c r="J100" s="48"/>
      <c r="K100" s="48"/>
      <c r="L100" s="48"/>
      <c r="M100" s="48"/>
      <c r="N100" s="48"/>
      <c r="O100" s="425"/>
      <c r="P100" s="425"/>
      <c r="Q100" s="48"/>
      <c r="R100" s="48"/>
      <c r="S100" s="48"/>
      <c r="T100" s="48"/>
      <c r="U100" s="392"/>
      <c r="V100" s="273"/>
      <c r="W100" s="223"/>
      <c r="X100" s="273"/>
      <c r="Y100" s="248"/>
      <c r="Z100" s="249"/>
      <c r="AA100" s="249"/>
      <c r="AB100" s="249"/>
      <c r="AC100" s="249"/>
      <c r="AD100" s="273"/>
    </row>
    <row r="101" spans="1:30" ht="45" customHeight="1" x14ac:dyDescent="0.3">
      <c r="E101" s="439"/>
      <c r="F101" s="525" t="s">
        <v>326</v>
      </c>
      <c r="G101" s="525"/>
      <c r="H101" s="525"/>
      <c r="I101" s="525"/>
      <c r="J101" s="49"/>
      <c r="K101" s="49">
        <f>5-SUM(B102:B107)</f>
        <v>5</v>
      </c>
      <c r="L101" s="49"/>
      <c r="M101" s="49"/>
      <c r="N101" s="49"/>
      <c r="O101" s="26"/>
      <c r="P101" s="26"/>
      <c r="Q101" s="154"/>
      <c r="R101" s="154"/>
      <c r="S101" s="154"/>
      <c r="T101" s="154"/>
      <c r="U101" s="171"/>
      <c r="V101" s="171"/>
      <c r="W101" s="222"/>
      <c r="X101" s="415"/>
      <c r="Y101" s="232"/>
      <c r="Z101" s="222"/>
      <c r="AA101" s="222"/>
      <c r="AB101" s="222"/>
      <c r="AC101" s="222"/>
      <c r="AD101" s="273"/>
    </row>
    <row r="102" spans="1:30" ht="45" customHeight="1" x14ac:dyDescent="0.3">
      <c r="E102" s="440"/>
      <c r="F102" s="527" t="s">
        <v>327</v>
      </c>
      <c r="G102" s="529" t="s">
        <v>328</v>
      </c>
      <c r="H102" s="83">
        <v>25.1</v>
      </c>
      <c r="I102" s="52" t="s">
        <v>329</v>
      </c>
      <c r="J102" s="24" t="s">
        <v>179</v>
      </c>
      <c r="K102" s="30">
        <v>1</v>
      </c>
      <c r="L102" s="85"/>
      <c r="M102" s="485" t="s">
        <v>180</v>
      </c>
      <c r="N102" s="85"/>
      <c r="O102" s="424"/>
      <c r="P102" s="26"/>
      <c r="Q102" s="27" t="str">
        <f t="shared" ref="Q102:Q107" si="33">IF(OR(U102=$AG$9,U102=$AG$10),L102,"")</f>
        <v/>
      </c>
      <c r="R102" s="27" t="str">
        <f t="shared" ref="R102:R107" si="34">IF(U102=$AG$11,L102,"")</f>
        <v/>
      </c>
      <c r="S102" s="27"/>
      <c r="T102" s="27"/>
      <c r="U102" s="384"/>
      <c r="V102" s="467"/>
      <c r="W102" s="386"/>
      <c r="X102" s="405"/>
      <c r="Y102" s="244"/>
      <c r="Z102" s="245"/>
      <c r="AA102" s="245"/>
      <c r="AB102" s="245"/>
      <c r="AC102" s="245"/>
      <c r="AD102" s="273"/>
    </row>
    <row r="103" spans="1:30" ht="45" customHeight="1" x14ac:dyDescent="0.3">
      <c r="E103" s="440"/>
      <c r="F103" s="528"/>
      <c r="G103" s="530"/>
      <c r="H103" s="32">
        <v>25.2</v>
      </c>
      <c r="I103" s="52" t="s">
        <v>330</v>
      </c>
      <c r="J103" s="24" t="s">
        <v>179</v>
      </c>
      <c r="K103" s="24">
        <v>1</v>
      </c>
      <c r="L103" s="64"/>
      <c r="M103" s="483" t="s">
        <v>180</v>
      </c>
      <c r="N103" s="64"/>
      <c r="O103" s="424"/>
      <c r="P103" s="26"/>
      <c r="Q103" s="27" t="str">
        <f t="shared" si="33"/>
        <v/>
      </c>
      <c r="R103" s="27" t="str">
        <f t="shared" si="34"/>
        <v/>
      </c>
      <c r="S103" s="27"/>
      <c r="T103" s="27"/>
      <c r="U103" s="385"/>
      <c r="V103" s="468"/>
      <c r="W103" s="386"/>
      <c r="X103" s="405"/>
      <c r="Y103" s="244"/>
      <c r="Z103" s="245"/>
      <c r="AA103" s="245"/>
      <c r="AB103" s="245"/>
      <c r="AC103" s="245"/>
      <c r="AD103" s="273"/>
    </row>
    <row r="104" spans="1:30" ht="45" customHeight="1" x14ac:dyDescent="0.3">
      <c r="E104" s="440"/>
      <c r="F104" s="528" t="s">
        <v>331</v>
      </c>
      <c r="G104" s="531" t="s">
        <v>332</v>
      </c>
      <c r="H104" s="32">
        <v>26.1</v>
      </c>
      <c r="I104" s="86" t="s">
        <v>333</v>
      </c>
      <c r="J104" s="24" t="s">
        <v>179</v>
      </c>
      <c r="K104" s="185" t="s">
        <v>185</v>
      </c>
      <c r="L104" s="64"/>
      <c r="M104" s="483" t="s">
        <v>180</v>
      </c>
      <c r="N104" s="64"/>
      <c r="O104" s="424"/>
      <c r="P104" s="26"/>
      <c r="Q104" s="27" t="str">
        <f t="shared" si="33"/>
        <v/>
      </c>
      <c r="R104" s="27" t="str">
        <f t="shared" si="34"/>
        <v/>
      </c>
      <c r="S104" s="27"/>
      <c r="T104" s="27"/>
      <c r="U104" s="385"/>
      <c r="V104" s="468"/>
      <c r="W104" s="386"/>
      <c r="X104" s="405"/>
      <c r="Y104" s="244"/>
      <c r="Z104" s="245"/>
      <c r="AA104" s="245"/>
      <c r="AB104" s="245"/>
      <c r="AC104" s="245"/>
      <c r="AD104" s="273"/>
    </row>
    <row r="105" spans="1:30" ht="45" customHeight="1" x14ac:dyDescent="0.3">
      <c r="E105" s="440"/>
      <c r="F105" s="528"/>
      <c r="G105" s="530"/>
      <c r="H105" s="34">
        <v>26.2</v>
      </c>
      <c r="I105" s="86" t="s">
        <v>334</v>
      </c>
      <c r="J105" s="24" t="s">
        <v>179</v>
      </c>
      <c r="K105" s="24">
        <v>1</v>
      </c>
      <c r="L105" s="64"/>
      <c r="M105" s="483" t="s">
        <v>180</v>
      </c>
      <c r="N105" s="64"/>
      <c r="O105" s="26" t="str">
        <f>IF(AND(L105&gt;0,$L104&lt;&gt;$AH$8),"!","")</f>
        <v/>
      </c>
      <c r="P105" s="26"/>
      <c r="Q105" s="27" t="str">
        <f t="shared" si="33"/>
        <v/>
      </c>
      <c r="R105" s="27" t="str">
        <f t="shared" si="34"/>
        <v/>
      </c>
      <c r="S105" s="27"/>
      <c r="T105" s="27"/>
      <c r="U105" s="385"/>
      <c r="V105" s="468"/>
      <c r="W105" s="386"/>
      <c r="X105" s="405"/>
      <c r="Y105" s="244"/>
      <c r="Z105" s="245"/>
      <c r="AA105" s="245"/>
      <c r="AB105" s="245"/>
      <c r="AC105" s="245"/>
      <c r="AD105" s="273"/>
    </row>
    <row r="106" spans="1:30" ht="45" customHeight="1" x14ac:dyDescent="0.3">
      <c r="E106" s="440"/>
      <c r="F106" s="173" t="s">
        <v>335</v>
      </c>
      <c r="G106" s="256" t="s">
        <v>336</v>
      </c>
      <c r="H106" s="266">
        <v>27</v>
      </c>
      <c r="I106" s="55" t="s">
        <v>337</v>
      </c>
      <c r="J106" s="24" t="s">
        <v>179</v>
      </c>
      <c r="K106" s="24">
        <v>1</v>
      </c>
      <c r="L106" s="64"/>
      <c r="M106" s="483" t="s">
        <v>180</v>
      </c>
      <c r="N106" s="64"/>
      <c r="O106" s="424"/>
      <c r="P106" s="26"/>
      <c r="Q106" s="27" t="str">
        <f t="shared" si="33"/>
        <v/>
      </c>
      <c r="R106" s="27" t="str">
        <f t="shared" si="34"/>
        <v/>
      </c>
      <c r="S106" s="27"/>
      <c r="T106" s="27"/>
      <c r="U106" s="385"/>
      <c r="V106" s="468"/>
      <c r="W106" s="386"/>
      <c r="X106" s="405"/>
      <c r="Y106" s="244"/>
      <c r="Z106" s="245"/>
      <c r="AA106" s="245"/>
      <c r="AB106" s="245"/>
      <c r="AC106" s="245"/>
      <c r="AD106" s="273"/>
    </row>
    <row r="107" spans="1:30" ht="45" customHeight="1" x14ac:dyDescent="0.3">
      <c r="A107" s="141">
        <v>1</v>
      </c>
      <c r="B107" s="141">
        <f>IF(C107=TRUE,A107,0)</f>
        <v>0</v>
      </c>
      <c r="C107" s="141" t="b">
        <v>0</v>
      </c>
      <c r="E107" s="440"/>
      <c r="F107" s="90" t="s">
        <v>338</v>
      </c>
      <c r="G107" s="257" t="s">
        <v>339</v>
      </c>
      <c r="H107" s="267">
        <v>28</v>
      </c>
      <c r="I107" s="55" t="s">
        <v>340</v>
      </c>
      <c r="J107" s="24" t="s">
        <v>179</v>
      </c>
      <c r="K107" s="24">
        <f>IF(C107=FALSE,1,0)</f>
        <v>1</v>
      </c>
      <c r="L107" s="89"/>
      <c r="M107" s="482" t="str">
        <f>AP47</f>
        <v>-</v>
      </c>
      <c r="N107" s="89"/>
      <c r="O107" s="424"/>
      <c r="P107" s="26"/>
      <c r="Q107" s="27" t="str">
        <f t="shared" si="33"/>
        <v/>
      </c>
      <c r="R107" s="27" t="str">
        <f t="shared" si="34"/>
        <v/>
      </c>
      <c r="S107" s="27"/>
      <c r="T107" s="27"/>
      <c r="U107" s="385"/>
      <c r="V107" s="468"/>
      <c r="W107" s="386"/>
      <c r="X107" s="405"/>
      <c r="Y107" s="244"/>
      <c r="Z107" s="245"/>
      <c r="AA107" s="245"/>
      <c r="AB107" s="245"/>
      <c r="AC107" s="245"/>
      <c r="AD107" s="273"/>
    </row>
    <row r="108" spans="1:30" ht="45" customHeight="1" x14ac:dyDescent="0.3">
      <c r="E108" s="430"/>
      <c r="F108" s="39" t="s">
        <v>54</v>
      </c>
      <c r="G108" s="39"/>
      <c r="H108" s="40"/>
      <c r="I108" s="39"/>
      <c r="J108" s="39"/>
      <c r="K108" s="40">
        <f>SUM(K102:K107)</f>
        <v>5</v>
      </c>
      <c r="L108" s="40">
        <f>SUM(L102:L107)</f>
        <v>0</v>
      </c>
      <c r="M108" s="40">
        <f t="shared" ref="M108:N108" si="35">SUM(M102:M107)</f>
        <v>0</v>
      </c>
      <c r="N108" s="40">
        <f t="shared" si="35"/>
        <v>0</v>
      </c>
      <c r="O108" s="26" t="str">
        <f>IF(L108&gt;K108,"!","")</f>
        <v/>
      </c>
      <c r="P108" s="26"/>
      <c r="Q108" s="41">
        <f t="shared" ref="Q108:R108" si="36">SUM(Q102:Q107)</f>
        <v>0</v>
      </c>
      <c r="R108" s="41">
        <f t="shared" si="36"/>
        <v>0</v>
      </c>
      <c r="S108" s="396"/>
      <c r="T108" s="396"/>
      <c r="U108" s="420"/>
      <c r="V108" s="405"/>
      <c r="W108" s="225"/>
      <c r="X108" s="405"/>
      <c r="Y108" s="250"/>
      <c r="Z108" s="251"/>
      <c r="AA108" s="251"/>
      <c r="AB108" s="251"/>
      <c r="AC108" s="251"/>
      <c r="AD108" s="273"/>
    </row>
    <row r="109" spans="1:30" ht="45" customHeight="1" x14ac:dyDescent="0.3">
      <c r="E109" s="388"/>
      <c r="F109" s="421"/>
      <c r="G109" s="421"/>
      <c r="H109" s="396"/>
      <c r="I109" s="421"/>
      <c r="J109" s="48"/>
      <c r="K109" s="396"/>
      <c r="L109" s="396"/>
      <c r="M109" s="396"/>
      <c r="N109" s="396"/>
      <c r="O109" s="26"/>
      <c r="P109" s="26"/>
      <c r="Q109" s="396"/>
      <c r="R109" s="396"/>
      <c r="S109" s="396"/>
      <c r="T109" s="396"/>
      <c r="U109" s="420"/>
      <c r="V109" s="405"/>
      <c r="W109" s="225"/>
      <c r="X109" s="405"/>
      <c r="Y109" s="250"/>
      <c r="Z109" s="251"/>
      <c r="AA109" s="251"/>
      <c r="AB109" s="251"/>
      <c r="AC109" s="251"/>
      <c r="AD109" s="273"/>
    </row>
    <row r="110" spans="1:30" ht="45" customHeight="1" x14ac:dyDescent="0.3">
      <c r="E110" s="439"/>
      <c r="F110" s="525" t="s">
        <v>341</v>
      </c>
      <c r="G110" s="525"/>
      <c r="H110" s="525"/>
      <c r="I110" s="525"/>
      <c r="J110" s="91"/>
      <c r="K110" s="49">
        <v>10</v>
      </c>
      <c r="L110" s="91"/>
      <c r="M110" s="91"/>
      <c r="N110" s="91"/>
      <c r="O110" s="26"/>
      <c r="P110" s="26"/>
      <c r="Q110" s="92"/>
      <c r="R110" s="92"/>
      <c r="S110" s="92"/>
      <c r="T110" s="92"/>
      <c r="U110" s="172"/>
      <c r="V110" s="172"/>
      <c r="W110" s="226"/>
      <c r="X110" s="415"/>
      <c r="Y110" s="234"/>
      <c r="Z110" s="226"/>
      <c r="AA110" s="226"/>
      <c r="AB110" s="226"/>
      <c r="AC110" s="226"/>
      <c r="AD110" s="273"/>
    </row>
    <row r="111" spans="1:30" ht="45" customHeight="1" x14ac:dyDescent="0.3">
      <c r="E111" s="440"/>
      <c r="F111" s="174" t="s">
        <v>342</v>
      </c>
      <c r="G111" s="93" t="s">
        <v>343</v>
      </c>
      <c r="H111" s="30">
        <v>29.1</v>
      </c>
      <c r="I111" s="177" t="s">
        <v>342</v>
      </c>
      <c r="J111" s="24" t="s">
        <v>179</v>
      </c>
      <c r="K111" s="526">
        <v>10</v>
      </c>
      <c r="L111" s="85"/>
      <c r="M111" s="485" t="s">
        <v>180</v>
      </c>
      <c r="N111" s="85"/>
      <c r="O111" s="424"/>
      <c r="P111" s="26"/>
      <c r="Q111" s="27" t="str">
        <f>IF(OR(U111=$AG$9,U111=$AG$10),L111,"")</f>
        <v/>
      </c>
      <c r="R111" s="27" t="str">
        <f>IF(U111=$AG$11,L111,"")</f>
        <v/>
      </c>
      <c r="S111" s="27"/>
      <c r="T111" s="27"/>
      <c r="U111" s="182"/>
      <c r="V111" s="469"/>
      <c r="W111" s="220"/>
      <c r="X111" s="405"/>
      <c r="Y111" s="244"/>
      <c r="Z111" s="245"/>
      <c r="AA111" s="245"/>
      <c r="AB111" s="245"/>
      <c r="AC111" s="245"/>
      <c r="AD111" s="273"/>
    </row>
    <row r="112" spans="1:30" ht="45" customHeight="1" x14ac:dyDescent="0.3">
      <c r="E112" s="440"/>
      <c r="F112" s="173" t="s">
        <v>344</v>
      </c>
      <c r="G112" s="38" t="s">
        <v>345</v>
      </c>
      <c r="H112" s="24">
        <v>29.2</v>
      </c>
      <c r="I112" s="33" t="s">
        <v>344</v>
      </c>
      <c r="J112" s="24" t="s">
        <v>179</v>
      </c>
      <c r="K112" s="526"/>
      <c r="L112" s="85"/>
      <c r="M112" s="485" t="s">
        <v>180</v>
      </c>
      <c r="N112" s="85"/>
      <c r="O112" s="424"/>
      <c r="P112" s="26"/>
      <c r="Q112" s="27" t="str">
        <f>IF(OR(U112=$AG$9,U112=$AG$10),L112,"")</f>
        <v/>
      </c>
      <c r="R112" s="27" t="str">
        <f>IF(U112=$AG$11,L112,"")</f>
        <v/>
      </c>
      <c r="S112" s="27"/>
      <c r="T112" s="27"/>
      <c r="U112" s="181"/>
      <c r="V112" s="470"/>
      <c r="W112" s="220"/>
      <c r="X112" s="405"/>
      <c r="Y112" s="244"/>
      <c r="Z112" s="245"/>
      <c r="AA112" s="245"/>
      <c r="AB112" s="245"/>
      <c r="AC112" s="245"/>
      <c r="AD112" s="273"/>
    </row>
    <row r="113" spans="1:45" ht="45" customHeight="1" x14ac:dyDescent="0.3">
      <c r="E113" s="440"/>
      <c r="F113" s="173" t="s">
        <v>346</v>
      </c>
      <c r="G113" s="38" t="s">
        <v>347</v>
      </c>
      <c r="H113" s="24">
        <v>29.3</v>
      </c>
      <c r="I113" s="33" t="s">
        <v>346</v>
      </c>
      <c r="J113" s="24" t="s">
        <v>179</v>
      </c>
      <c r="K113" s="526"/>
      <c r="L113" s="85"/>
      <c r="M113" s="485" t="s">
        <v>180</v>
      </c>
      <c r="N113" s="85"/>
      <c r="O113" s="424"/>
      <c r="P113" s="26"/>
      <c r="Q113" s="27" t="str">
        <f>IF(OR(U113=$AG$9,U113=$AG$10),L113,"")</f>
        <v/>
      </c>
      <c r="R113" s="27" t="str">
        <f>IF(U113=$AG$11,L113,"")</f>
        <v/>
      </c>
      <c r="S113" s="27"/>
      <c r="T113" s="27"/>
      <c r="U113" s="181"/>
      <c r="V113" s="470"/>
      <c r="W113" s="220"/>
      <c r="X113" s="405"/>
      <c r="Y113" s="244"/>
      <c r="Z113" s="245"/>
      <c r="AA113" s="245"/>
      <c r="AB113" s="245"/>
      <c r="AC113" s="245"/>
      <c r="AD113" s="273"/>
    </row>
    <row r="114" spans="1:45" ht="45" customHeight="1" x14ac:dyDescent="0.3">
      <c r="E114" s="440"/>
      <c r="F114" s="173" t="s">
        <v>348</v>
      </c>
      <c r="G114" s="38" t="s">
        <v>349</v>
      </c>
      <c r="H114" s="24">
        <v>29.4</v>
      </c>
      <c r="I114" s="33" t="s">
        <v>348</v>
      </c>
      <c r="J114" s="24" t="s">
        <v>179</v>
      </c>
      <c r="K114" s="526"/>
      <c r="L114" s="85"/>
      <c r="M114" s="485" t="s">
        <v>180</v>
      </c>
      <c r="N114" s="85"/>
      <c r="O114" s="424"/>
      <c r="P114" s="26"/>
      <c r="Q114" s="27" t="str">
        <f>IF(OR(U114=$AG$9,U114=$AG$10),L114,"")</f>
        <v/>
      </c>
      <c r="R114" s="27" t="str">
        <f>IF(U114=$AG$11,L114,"")</f>
        <v/>
      </c>
      <c r="S114" s="27"/>
      <c r="T114" s="27"/>
      <c r="U114" s="181"/>
      <c r="V114" s="470"/>
      <c r="W114" s="220"/>
      <c r="X114" s="405"/>
      <c r="Y114" s="244"/>
      <c r="Z114" s="245"/>
      <c r="AA114" s="245"/>
      <c r="AB114" s="245"/>
      <c r="AC114" s="245"/>
      <c r="AD114" s="273"/>
    </row>
    <row r="115" spans="1:45" ht="45" customHeight="1" x14ac:dyDescent="0.3">
      <c r="E115" s="440"/>
      <c r="F115" s="175" t="s">
        <v>350</v>
      </c>
      <c r="G115" s="94" t="s">
        <v>351</v>
      </c>
      <c r="H115" s="56">
        <v>29.5</v>
      </c>
      <c r="I115" s="176" t="s">
        <v>350</v>
      </c>
      <c r="J115" s="24" t="s">
        <v>179</v>
      </c>
      <c r="K115" s="526"/>
      <c r="L115" s="85"/>
      <c r="M115" s="485" t="s">
        <v>180</v>
      </c>
      <c r="N115" s="85"/>
      <c r="O115" s="424"/>
      <c r="P115" s="26"/>
      <c r="Q115" s="27" t="str">
        <f>IF(OR(U115=$AG$9,U115=$AG$10),L115,"")</f>
        <v/>
      </c>
      <c r="R115" s="27" t="str">
        <f>IF(U115=$AG$11,L115,"")</f>
        <v/>
      </c>
      <c r="S115" s="27"/>
      <c r="T115" s="27"/>
      <c r="U115" s="181"/>
      <c r="V115" s="470"/>
      <c r="W115" s="220"/>
      <c r="X115" s="405"/>
      <c r="Y115" s="244"/>
      <c r="Z115" s="245"/>
      <c r="AA115" s="245"/>
      <c r="AB115" s="245"/>
      <c r="AC115" s="245"/>
      <c r="AD115" s="273"/>
    </row>
    <row r="116" spans="1:45" ht="45" customHeight="1" x14ac:dyDescent="0.3">
      <c r="E116" s="430"/>
      <c r="F116" s="39" t="s">
        <v>54</v>
      </c>
      <c r="G116" s="39"/>
      <c r="H116" s="40"/>
      <c r="I116" s="39"/>
      <c r="J116" s="41"/>
      <c r="K116" s="40">
        <f>SUM(K111)</f>
        <v>10</v>
      </c>
      <c r="L116" s="40">
        <f>IF(SUM(L111:L115)&gt;10,10,SUM(L111:L115))</f>
        <v>0</v>
      </c>
      <c r="M116" s="41"/>
      <c r="N116" s="41"/>
      <c r="O116" s="26" t="str">
        <f>IF(L116&gt;K116,"!","")</f>
        <v/>
      </c>
      <c r="P116" s="26"/>
      <c r="Q116" s="41">
        <f t="shared" ref="Q116:R116" si="37">SUM(Q111:Q115)</f>
        <v>0</v>
      </c>
      <c r="R116" s="41">
        <f t="shared" si="37"/>
        <v>0</v>
      </c>
      <c r="S116" s="48"/>
      <c r="T116" s="48"/>
      <c r="U116" s="432"/>
      <c r="V116" s="273"/>
      <c r="W116" s="223"/>
      <c r="X116" s="273"/>
      <c r="Y116" s="433"/>
      <c r="Z116" s="223"/>
      <c r="AA116" s="223"/>
      <c r="AB116" s="223"/>
      <c r="AC116" s="223"/>
      <c r="AD116" s="273"/>
    </row>
    <row r="117" spans="1:45" ht="45" customHeight="1" x14ac:dyDescent="0.3">
      <c r="E117" s="388"/>
      <c r="F117" s="421"/>
      <c r="G117" s="421"/>
      <c r="H117" s="396"/>
      <c r="I117" s="421"/>
      <c r="J117" s="48"/>
      <c r="K117" s="396"/>
      <c r="L117" s="396"/>
      <c r="M117" s="396"/>
      <c r="N117" s="396"/>
      <c r="O117" s="405"/>
      <c r="P117" s="405"/>
      <c r="Q117" s="396"/>
      <c r="R117" s="396"/>
      <c r="S117" s="396"/>
      <c r="T117" s="396"/>
      <c r="U117" s="432"/>
      <c r="V117" s="273"/>
      <c r="W117" s="223"/>
      <c r="X117" s="273"/>
      <c r="Y117" s="433"/>
      <c r="Z117" s="223"/>
      <c r="AA117" s="223"/>
      <c r="AB117" s="223"/>
      <c r="AC117" s="223"/>
      <c r="AD117" s="273"/>
    </row>
    <row r="118" spans="1:45" ht="45" customHeight="1" x14ac:dyDescent="0.3">
      <c r="B118" s="144" t="s">
        <v>352</v>
      </c>
      <c r="E118" s="388"/>
      <c r="F118" s="430"/>
      <c r="G118" s="430"/>
      <c r="H118" s="416"/>
      <c r="I118" s="106" t="s">
        <v>353</v>
      </c>
      <c r="J118" s="331"/>
      <c r="K118" s="9" t="s">
        <v>354</v>
      </c>
      <c r="L118" s="9" t="s">
        <v>355</v>
      </c>
      <c r="M118" s="9"/>
      <c r="N118" s="9"/>
      <c r="O118" s="427"/>
      <c r="P118" s="427"/>
      <c r="Q118" s="9" t="s">
        <v>356</v>
      </c>
      <c r="R118" s="9" t="s">
        <v>357</v>
      </c>
      <c r="S118" s="48"/>
      <c r="T118" s="48"/>
      <c r="U118" s="432"/>
      <c r="V118" s="273"/>
      <c r="W118" s="434"/>
      <c r="X118" s="415"/>
      <c r="Y118" s="435"/>
      <c r="Z118" s="434"/>
      <c r="AA118" s="434"/>
      <c r="AB118" s="434"/>
      <c r="AC118" s="434"/>
      <c r="AD118" s="273"/>
    </row>
    <row r="119" spans="1:45" ht="45" customHeight="1" x14ac:dyDescent="0.3">
      <c r="B119" s="141">
        <f>SUM(B7:B107)</f>
        <v>0</v>
      </c>
      <c r="E119" s="388"/>
      <c r="F119" s="395"/>
      <c r="G119" s="395"/>
      <c r="H119" s="396"/>
      <c r="I119" s="18" t="s">
        <v>358</v>
      </c>
      <c r="J119" s="331"/>
      <c r="K119" s="471">
        <f>100-AQ49</f>
        <v>100</v>
      </c>
      <c r="L119" s="113">
        <f>L25+L45+L53+L67+L76+L92+L99+L108</f>
        <v>0</v>
      </c>
      <c r="M119" s="113"/>
      <c r="N119" s="113"/>
      <c r="O119" s="427"/>
      <c r="P119" s="427"/>
      <c r="Q119" s="113">
        <f>(Q25+Q45+Q53+Q67+Q76+Q92+Q99+Q108)/$K$119*100+Q116</f>
        <v>0</v>
      </c>
      <c r="R119" s="113">
        <f>(R25+R45+R53+R67+R76+R92+R99+R108)/$K$119*100+R116</f>
        <v>0</v>
      </c>
      <c r="S119" s="48"/>
      <c r="T119" s="48"/>
      <c r="U119" s="432"/>
      <c r="V119" s="273"/>
      <c r="W119" s="436"/>
      <c r="X119" s="405"/>
      <c r="Y119" s="437"/>
      <c r="Z119" s="436"/>
      <c r="AA119" s="436"/>
      <c r="AB119" s="436"/>
      <c r="AC119" s="436"/>
      <c r="AD119" s="273"/>
    </row>
    <row r="120" spans="1:45" ht="45" customHeight="1" x14ac:dyDescent="0.3">
      <c r="E120" s="388"/>
      <c r="F120" s="395"/>
      <c r="G120" s="395"/>
      <c r="H120" s="431"/>
      <c r="I120" s="18" t="s">
        <v>359</v>
      </c>
      <c r="J120" s="331"/>
      <c r="K120" s="110"/>
      <c r="L120" s="125">
        <f>L119/K119*100</f>
        <v>0</v>
      </c>
      <c r="M120" s="486"/>
      <c r="N120" s="125"/>
      <c r="O120" s="428"/>
      <c r="P120" s="428"/>
      <c r="Q120" s="427"/>
      <c r="R120" s="427"/>
      <c r="S120" s="48"/>
      <c r="T120" s="48"/>
      <c r="U120" s="432"/>
      <c r="V120" s="273"/>
      <c r="W120" s="436"/>
      <c r="X120" s="405"/>
      <c r="Y120" s="437"/>
      <c r="Z120" s="436"/>
      <c r="AA120" s="436"/>
      <c r="AB120" s="436"/>
      <c r="AC120" s="436"/>
      <c r="AD120" s="273"/>
    </row>
    <row r="121" spans="1:45" ht="45" customHeight="1" x14ac:dyDescent="0.3">
      <c r="E121" s="388"/>
      <c r="F121" s="395"/>
      <c r="G121" s="395"/>
      <c r="H121" s="396"/>
      <c r="I121" s="18" t="s">
        <v>360</v>
      </c>
      <c r="J121" s="331"/>
      <c r="K121" s="112">
        <v>10</v>
      </c>
      <c r="L121" s="113">
        <f>L116</f>
        <v>0</v>
      </c>
      <c r="M121" s="113"/>
      <c r="N121" s="113"/>
      <c r="O121" s="429"/>
      <c r="P121" s="429"/>
      <c r="Q121" s="427"/>
      <c r="R121" s="427"/>
      <c r="S121" s="48"/>
      <c r="T121" s="48"/>
      <c r="U121" s="432"/>
      <c r="V121" s="273"/>
      <c r="W121" s="436"/>
      <c r="X121" s="405"/>
      <c r="Y121" s="437"/>
      <c r="Z121" s="436"/>
      <c r="AA121" s="436"/>
      <c r="AB121" s="436"/>
      <c r="AC121" s="436"/>
      <c r="AD121" s="273"/>
    </row>
    <row r="122" spans="1:45" ht="45" customHeight="1" x14ac:dyDescent="0.3">
      <c r="E122" s="388"/>
      <c r="F122" s="394"/>
      <c r="G122" s="394"/>
      <c r="H122" s="48"/>
      <c r="I122" s="18" t="s">
        <v>361</v>
      </c>
      <c r="J122" s="331"/>
      <c r="K122" s="111"/>
      <c r="L122" s="125">
        <f>L120+L121</f>
        <v>0</v>
      </c>
      <c r="M122" s="486"/>
      <c r="N122" s="125"/>
      <c r="O122" s="273"/>
      <c r="P122" s="273"/>
      <c r="Q122" s="427"/>
      <c r="R122" s="427"/>
      <c r="S122" s="48"/>
      <c r="T122" s="48"/>
      <c r="U122" s="432"/>
      <c r="V122" s="273"/>
      <c r="W122" s="223"/>
      <c r="X122" s="273"/>
      <c r="Y122" s="433"/>
      <c r="Z122" s="223"/>
      <c r="AA122" s="223"/>
      <c r="AB122" s="223"/>
      <c r="AC122" s="223"/>
      <c r="AD122" s="273"/>
    </row>
    <row r="123" spans="1:45" x14ac:dyDescent="0.3">
      <c r="E123" s="388"/>
      <c r="F123" s="394"/>
      <c r="G123" s="394"/>
      <c r="H123" s="48"/>
      <c r="I123" s="394"/>
      <c r="J123" s="48"/>
      <c r="K123" s="48"/>
      <c r="L123" s="48"/>
      <c r="M123" s="48"/>
      <c r="N123" s="48"/>
      <c r="O123" s="273"/>
      <c r="P123" s="273"/>
      <c r="Q123" s="48"/>
      <c r="R123" s="48"/>
      <c r="S123" s="48"/>
      <c r="T123" s="48"/>
      <c r="U123" s="432"/>
      <c r="V123" s="273"/>
      <c r="W123" s="223"/>
      <c r="X123" s="273"/>
      <c r="Y123" s="433"/>
      <c r="Z123" s="223"/>
      <c r="AA123" s="223"/>
      <c r="AB123" s="223"/>
      <c r="AC123" s="223"/>
      <c r="AD123" s="273"/>
    </row>
    <row r="124" spans="1:45" x14ac:dyDescent="0.3">
      <c r="A124" s="388"/>
      <c r="B124" s="388"/>
      <c r="C124" s="388"/>
      <c r="D124" s="388"/>
      <c r="E124" s="388"/>
      <c r="F124" s="394"/>
      <c r="G124" s="394"/>
      <c r="H124" s="48"/>
      <c r="I124" s="394"/>
      <c r="J124" s="48"/>
      <c r="K124" s="48"/>
      <c r="L124" s="48"/>
      <c r="M124" s="48"/>
      <c r="N124" s="48"/>
      <c r="O124" s="273"/>
      <c r="P124" s="273"/>
      <c r="Q124" s="48"/>
      <c r="R124" s="48"/>
      <c r="S124" s="48"/>
      <c r="T124" s="48"/>
      <c r="U124" s="432"/>
      <c r="V124" s="273"/>
      <c r="W124" s="223"/>
      <c r="X124" s="273"/>
      <c r="Y124" s="433"/>
      <c r="Z124" s="223"/>
      <c r="AA124" s="223"/>
      <c r="AB124" s="223"/>
      <c r="AC124" s="223"/>
      <c r="AD124" s="273"/>
      <c r="AE124" s="273"/>
      <c r="AF124" s="273"/>
      <c r="AG124" s="273"/>
      <c r="AH124" s="273"/>
      <c r="AI124" s="273"/>
      <c r="AJ124" s="273"/>
      <c r="AK124" s="273"/>
      <c r="AL124" s="273"/>
      <c r="AM124" s="273"/>
      <c r="AN124" s="273"/>
      <c r="AO124" s="273"/>
      <c r="AP124" s="273"/>
      <c r="AQ124" s="273"/>
      <c r="AR124" s="273"/>
      <c r="AS124" s="273"/>
    </row>
    <row r="125" spans="1:45" x14ac:dyDescent="0.3">
      <c r="A125" s="388"/>
      <c r="B125" s="388"/>
      <c r="C125" s="388"/>
      <c r="D125" s="388"/>
      <c r="E125" s="388"/>
      <c r="F125" s="394"/>
      <c r="G125" s="394"/>
      <c r="H125" s="48"/>
      <c r="I125" s="394"/>
      <c r="J125" s="48"/>
      <c r="K125" s="48"/>
      <c r="L125" s="48"/>
      <c r="M125" s="48"/>
      <c r="N125" s="48"/>
      <c r="O125" s="273"/>
      <c r="P125" s="273"/>
      <c r="Q125" s="48"/>
      <c r="R125" s="48"/>
      <c r="S125" s="48"/>
      <c r="T125" s="48"/>
      <c r="U125" s="432"/>
      <c r="V125" s="273"/>
      <c r="W125" s="223"/>
      <c r="X125" s="273"/>
      <c r="Y125" s="433"/>
      <c r="Z125" s="223"/>
      <c r="AA125" s="223"/>
      <c r="AB125" s="223"/>
      <c r="AC125" s="223"/>
      <c r="AD125" s="273"/>
      <c r="AE125" s="273"/>
      <c r="AF125" s="273"/>
      <c r="AG125" s="273"/>
      <c r="AH125" s="273"/>
      <c r="AI125" s="273"/>
      <c r="AJ125" s="273"/>
      <c r="AK125" s="273"/>
      <c r="AL125" s="273"/>
      <c r="AM125" s="273"/>
      <c r="AN125" s="273"/>
      <c r="AO125" s="273"/>
      <c r="AP125" s="273"/>
      <c r="AQ125" s="273"/>
      <c r="AR125" s="273"/>
      <c r="AS125" s="273"/>
    </row>
    <row r="126" spans="1:45" x14ac:dyDescent="0.3">
      <c r="A126" s="388"/>
      <c r="B126" s="388"/>
      <c r="C126" s="388"/>
      <c r="D126" s="388"/>
      <c r="E126" s="388"/>
      <c r="F126" s="394"/>
      <c r="G126" s="394"/>
      <c r="H126" s="48"/>
      <c r="I126" s="394"/>
      <c r="J126" s="48"/>
      <c r="K126" s="48"/>
      <c r="L126" s="48"/>
      <c r="M126" s="48"/>
      <c r="N126" s="48"/>
      <c r="O126" s="273"/>
      <c r="P126" s="273"/>
      <c r="Q126" s="48"/>
      <c r="R126" s="48"/>
      <c r="S126" s="48"/>
      <c r="T126" s="48"/>
      <c r="U126" s="432"/>
      <c r="V126" s="273"/>
      <c r="W126" s="223"/>
      <c r="X126" s="273"/>
      <c r="Y126" s="433"/>
      <c r="Z126" s="223"/>
      <c r="AA126" s="223"/>
      <c r="AB126" s="223"/>
      <c r="AC126" s="223"/>
      <c r="AD126" s="273"/>
      <c r="AE126" s="273"/>
      <c r="AF126" s="273"/>
      <c r="AG126" s="273"/>
      <c r="AH126" s="273"/>
      <c r="AI126" s="273"/>
      <c r="AJ126" s="273"/>
      <c r="AK126" s="273"/>
      <c r="AL126" s="273"/>
      <c r="AM126" s="273"/>
      <c r="AN126" s="273"/>
      <c r="AO126" s="273"/>
      <c r="AP126" s="273"/>
      <c r="AQ126" s="273"/>
      <c r="AR126" s="273"/>
      <c r="AS126" s="273"/>
    </row>
    <row r="127" spans="1:45" ht="38.25" hidden="1" customHeight="1" x14ac:dyDescent="0.3">
      <c r="A127" s="388"/>
      <c r="B127" s="388"/>
      <c r="C127" s="388"/>
      <c r="D127" s="48" t="s">
        <v>19</v>
      </c>
      <c r="E127" s="388"/>
      <c r="F127" s="394"/>
      <c r="G127" s="394"/>
      <c r="H127" s="48"/>
      <c r="I127" s="394"/>
      <c r="J127" s="48"/>
      <c r="K127" s="48"/>
      <c r="L127" s="48"/>
      <c r="M127" s="48"/>
      <c r="N127" s="48"/>
      <c r="O127" s="273"/>
      <c r="P127" s="273"/>
      <c r="Q127" s="48"/>
      <c r="R127" s="48"/>
      <c r="S127" s="441" t="s">
        <v>362</v>
      </c>
      <c r="T127" s="442" t="s">
        <v>363</v>
      </c>
      <c r="U127" s="443" t="s">
        <v>364</v>
      </c>
      <c r="V127" s="442" t="s">
        <v>365</v>
      </c>
      <c r="W127" s="223"/>
      <c r="X127" s="273"/>
      <c r="Y127" s="433"/>
      <c r="Z127" s="223"/>
      <c r="AA127" s="223"/>
      <c r="AB127" s="223"/>
      <c r="AC127" s="223"/>
      <c r="AD127" s="273"/>
      <c r="AE127" s="273"/>
      <c r="AF127" s="273"/>
      <c r="AG127" s="273"/>
      <c r="AH127" s="273"/>
      <c r="AI127" s="273"/>
      <c r="AJ127" s="273"/>
      <c r="AK127" s="273"/>
      <c r="AL127" s="273"/>
      <c r="AM127" s="273"/>
      <c r="AN127" s="273"/>
      <c r="AO127" s="273"/>
      <c r="AP127" s="273"/>
      <c r="AQ127" s="273"/>
      <c r="AR127" s="273"/>
      <c r="AS127" s="273"/>
    </row>
    <row r="128" spans="1:45" ht="38.25" hidden="1" customHeight="1" x14ac:dyDescent="0.3">
      <c r="A128" s="388"/>
      <c r="B128" s="388"/>
      <c r="C128" s="388"/>
      <c r="D128" s="48" t="s">
        <v>19</v>
      </c>
      <c r="E128" s="388"/>
      <c r="F128" s="394"/>
      <c r="G128" s="394"/>
      <c r="H128" s="48"/>
      <c r="I128" s="394"/>
      <c r="J128" s="48"/>
      <c r="K128" s="48"/>
      <c r="L128" s="48"/>
      <c r="M128" s="48"/>
      <c r="N128" s="48"/>
      <c r="O128" s="273"/>
      <c r="P128" s="273"/>
      <c r="Q128" s="48"/>
      <c r="R128" s="444" t="s">
        <v>191</v>
      </c>
      <c r="S128" s="445"/>
      <c r="T128" s="445">
        <f>COUNTIF(T7:T107,"Core")</f>
        <v>0</v>
      </c>
      <c r="U128" s="446">
        <f>COUNTIF(U7:U107,"Not Awarded - Major Non-compliance")</f>
        <v>0</v>
      </c>
      <c r="V128" s="444"/>
      <c r="W128" s="223"/>
      <c r="X128" s="273"/>
      <c r="Y128" s="433"/>
      <c r="Z128" s="223"/>
      <c r="AA128" s="223"/>
      <c r="AB128" s="223"/>
      <c r="AC128" s="223"/>
      <c r="AD128" s="273"/>
      <c r="AE128" s="273"/>
      <c r="AF128" s="273"/>
      <c r="AG128" s="273"/>
      <c r="AH128" s="273"/>
      <c r="AI128" s="273"/>
      <c r="AJ128" s="273"/>
      <c r="AK128" s="273"/>
      <c r="AL128" s="273"/>
      <c r="AM128" s="273"/>
      <c r="AN128" s="273"/>
      <c r="AO128" s="273"/>
      <c r="AP128" s="273"/>
      <c r="AQ128" s="273"/>
      <c r="AR128" s="273"/>
      <c r="AS128" s="273"/>
    </row>
    <row r="129" spans="1:45" ht="38.25" hidden="1" customHeight="1" x14ac:dyDescent="0.3">
      <c r="A129" s="388"/>
      <c r="B129" s="388"/>
      <c r="C129" s="388"/>
      <c r="D129" s="48" t="s">
        <v>19</v>
      </c>
      <c r="E129" s="388"/>
      <c r="F129" s="394"/>
      <c r="G129" s="394"/>
      <c r="H129" s="48"/>
      <c r="I129" s="394"/>
      <c r="J129" s="48"/>
      <c r="K129" s="48"/>
      <c r="L129" s="48"/>
      <c r="M129" s="48"/>
      <c r="N129" s="48"/>
      <c r="O129" s="273"/>
      <c r="P129" s="273"/>
      <c r="Q129" s="48"/>
      <c r="R129" s="444" t="s">
        <v>196</v>
      </c>
      <c r="S129" s="445">
        <f>COUNTIF(S7:S107,"Stage 1")</f>
        <v>0</v>
      </c>
      <c r="T129" s="445">
        <f>COUNTIF(T7:T107,"Stage 1")</f>
        <v>0</v>
      </c>
      <c r="U129" s="446">
        <f>COUNTIF(U7:U107,"Not Awarded - Major Non-compliance")</f>
        <v>0</v>
      </c>
      <c r="V129" s="447" t="str">
        <f>IF(U129&gt;T129*0.5, "Go to Stage 2", "Assessment Complete")</f>
        <v>Assessment Complete</v>
      </c>
      <c r="W129" s="223"/>
      <c r="X129" s="273"/>
      <c r="Y129" s="433"/>
      <c r="Z129" s="223"/>
      <c r="AA129" s="223"/>
      <c r="AB129" s="223"/>
      <c r="AC129" s="223"/>
      <c r="AD129" s="273"/>
      <c r="AE129" s="273"/>
      <c r="AF129" s="273"/>
      <c r="AG129" s="273"/>
      <c r="AH129" s="273"/>
      <c r="AI129" s="273"/>
      <c r="AJ129" s="273"/>
      <c r="AK129" s="273"/>
      <c r="AL129" s="273"/>
      <c r="AM129" s="273"/>
      <c r="AN129" s="273"/>
      <c r="AO129" s="273"/>
      <c r="AP129" s="273"/>
      <c r="AQ129" s="273"/>
      <c r="AR129" s="273"/>
      <c r="AS129" s="273"/>
    </row>
    <row r="130" spans="1:45" ht="38.25" hidden="1" customHeight="1" x14ac:dyDescent="0.3">
      <c r="A130" s="388"/>
      <c r="B130" s="388"/>
      <c r="C130" s="388"/>
      <c r="D130" s="48" t="s">
        <v>19</v>
      </c>
      <c r="E130" s="388"/>
      <c r="F130" s="394"/>
      <c r="G130" s="394"/>
      <c r="H130" s="48"/>
      <c r="I130" s="394"/>
      <c r="J130" s="48"/>
      <c r="K130" s="48"/>
      <c r="L130" s="48"/>
      <c r="M130" s="48"/>
      <c r="N130" s="48"/>
      <c r="O130" s="273"/>
      <c r="P130" s="273"/>
      <c r="Q130" s="48"/>
      <c r="R130" s="444" t="s">
        <v>200</v>
      </c>
      <c r="S130" s="445">
        <f>COUNTIF(S7:S107,"Stage 2")</f>
        <v>0</v>
      </c>
      <c r="T130" s="445">
        <f>COUNTIF(T7:T107,"Stage 2")</f>
        <v>0</v>
      </c>
      <c r="U130" s="446">
        <f>COUNTIF(U7:U107,"Not Awarded - Major Non-compliance")</f>
        <v>0</v>
      </c>
      <c r="V130" s="447" t="str">
        <f>IF(AND(V129="Go to Stage 2", T130=0),V129,IF(U130&gt;SUM(T129:T130)*0.5,"Go to Stage 3","Assessment Complete"))</f>
        <v>Assessment Complete</v>
      </c>
      <c r="W130" s="223"/>
      <c r="X130" s="273"/>
      <c r="Y130" s="433"/>
      <c r="Z130" s="223"/>
      <c r="AA130" s="223"/>
      <c r="AB130" s="223"/>
      <c r="AC130" s="223"/>
      <c r="AD130" s="273"/>
      <c r="AE130" s="273"/>
      <c r="AF130" s="273"/>
      <c r="AG130" s="273"/>
      <c r="AH130" s="273"/>
      <c r="AI130" s="273"/>
      <c r="AJ130" s="273"/>
      <c r="AK130" s="273"/>
      <c r="AL130" s="273"/>
      <c r="AM130" s="273"/>
      <c r="AN130" s="273"/>
      <c r="AO130" s="273"/>
      <c r="AP130" s="273"/>
      <c r="AQ130" s="273"/>
      <c r="AR130" s="273"/>
      <c r="AS130" s="273"/>
    </row>
    <row r="131" spans="1:45" ht="38.25" hidden="1" customHeight="1" x14ac:dyDescent="0.3">
      <c r="A131" s="388"/>
      <c r="B131" s="388"/>
      <c r="C131" s="388"/>
      <c r="D131" s="48" t="s">
        <v>19</v>
      </c>
      <c r="E131" s="388"/>
      <c r="F131" s="394"/>
      <c r="G131" s="394"/>
      <c r="H131" s="48"/>
      <c r="I131" s="394"/>
      <c r="J131" s="48"/>
      <c r="K131" s="48"/>
      <c r="L131" s="48"/>
      <c r="M131" s="48"/>
      <c r="N131" s="48"/>
      <c r="O131" s="273"/>
      <c r="P131" s="273"/>
      <c r="Q131" s="48"/>
      <c r="R131" s="448" t="s">
        <v>204</v>
      </c>
      <c r="S131" s="445">
        <f>COUNTIF(S7:S107,"Stage 3")</f>
        <v>0</v>
      </c>
      <c r="T131" s="445">
        <f>COUNTIF(T7:T107,"Stage 3")</f>
        <v>0</v>
      </c>
      <c r="U131" s="446">
        <f>COUNTIF(U7:U107,"Not Awarded - Major Non-compliance")</f>
        <v>0</v>
      </c>
      <c r="V131" s="447"/>
      <c r="W131" s="223"/>
      <c r="X131" s="273"/>
      <c r="Y131" s="433"/>
      <c r="Z131" s="223"/>
      <c r="AA131" s="223"/>
      <c r="AB131" s="223"/>
      <c r="AC131" s="223"/>
      <c r="AD131" s="273"/>
      <c r="AE131" s="273"/>
      <c r="AF131" s="273"/>
      <c r="AG131" s="273"/>
      <c r="AH131" s="273"/>
      <c r="AI131" s="273"/>
      <c r="AJ131" s="273"/>
      <c r="AK131" s="273"/>
      <c r="AL131" s="273"/>
      <c r="AM131" s="273"/>
      <c r="AN131" s="273"/>
      <c r="AO131" s="273"/>
      <c r="AP131" s="273"/>
      <c r="AQ131" s="273"/>
      <c r="AR131" s="273"/>
      <c r="AS131" s="273"/>
    </row>
    <row r="132" spans="1:45" ht="38.25" hidden="1" customHeight="1" x14ac:dyDescent="0.3">
      <c r="A132" s="388"/>
      <c r="B132" s="388"/>
      <c r="C132" s="388"/>
      <c r="D132" s="48" t="s">
        <v>19</v>
      </c>
      <c r="E132" s="388"/>
      <c r="F132" s="394"/>
      <c r="G132" s="394"/>
      <c r="H132" s="48"/>
      <c r="I132" s="394"/>
      <c r="J132" s="48"/>
      <c r="K132" s="48"/>
      <c r="L132" s="48"/>
      <c r="M132" s="48"/>
      <c r="N132" s="48"/>
      <c r="O132" s="273"/>
      <c r="P132" s="273"/>
      <c r="Q132" s="48"/>
      <c r="R132" s="48"/>
      <c r="S132" s="449"/>
      <c r="T132" s="450"/>
      <c r="U132" s="451">
        <f>COUNTIF(U7:U107,"Awarded - Compliant")+COUNTIF(U7:U107,"Awarded - Minor non-Compliance")+COUNTIF(U7:U107,"Not Awarded - Major non-compliance")</f>
        <v>0</v>
      </c>
      <c r="V132" s="447" t="str">
        <f>IF(V129="Assessment Complete",V129,IF(V130="Assessment Complete",V130,IF(T128&gt;=1,V130,"Assessment Complete")))</f>
        <v>Assessment Complete</v>
      </c>
      <c r="W132" s="223"/>
      <c r="X132" s="273"/>
      <c r="Y132" s="433"/>
      <c r="Z132" s="223"/>
      <c r="AA132" s="223"/>
      <c r="AB132" s="223"/>
      <c r="AC132" s="223"/>
      <c r="AD132" s="273"/>
      <c r="AE132" s="273"/>
      <c r="AF132" s="273"/>
      <c r="AG132" s="273"/>
      <c r="AH132" s="273"/>
      <c r="AI132" s="273"/>
      <c r="AJ132" s="273"/>
      <c r="AK132" s="273"/>
      <c r="AL132" s="273"/>
      <c r="AM132" s="273"/>
      <c r="AN132" s="273"/>
      <c r="AO132" s="273"/>
      <c r="AP132" s="273"/>
      <c r="AQ132" s="273"/>
      <c r="AR132" s="273"/>
      <c r="AS132" s="273"/>
    </row>
    <row r="133" spans="1:45" x14ac:dyDescent="0.3">
      <c r="A133" s="388"/>
      <c r="B133" s="388"/>
      <c r="C133" s="388"/>
      <c r="D133" s="388"/>
      <c r="E133" s="388"/>
      <c r="F133" s="394"/>
      <c r="G133" s="394"/>
      <c r="H133" s="48"/>
      <c r="I133" s="394"/>
      <c r="J133" s="48"/>
      <c r="K133" s="48"/>
      <c r="L133" s="48"/>
      <c r="M133" s="48"/>
      <c r="N133" s="48"/>
      <c r="O133" s="273"/>
      <c r="P133" s="273"/>
      <c r="Q133" s="48"/>
      <c r="R133" s="48"/>
      <c r="S133" s="452"/>
      <c r="T133" s="452"/>
      <c r="U133" s="453"/>
      <c r="V133" s="391"/>
      <c r="W133" s="223"/>
      <c r="X133" s="273"/>
      <c r="Y133" s="433"/>
      <c r="Z133" s="223"/>
      <c r="AA133" s="223"/>
      <c r="AB133" s="223"/>
      <c r="AC133" s="223"/>
      <c r="AD133" s="273"/>
      <c r="AE133" s="273"/>
      <c r="AF133" s="273"/>
      <c r="AG133" s="273"/>
      <c r="AH133" s="273"/>
      <c r="AI133" s="273"/>
      <c r="AJ133" s="273"/>
      <c r="AK133" s="273"/>
      <c r="AL133" s="273"/>
      <c r="AM133" s="273"/>
      <c r="AN133" s="273"/>
      <c r="AO133" s="273"/>
      <c r="AP133" s="273"/>
      <c r="AQ133" s="273"/>
      <c r="AR133" s="273"/>
      <c r="AS133" s="273"/>
    </row>
    <row r="134" spans="1:45" x14ac:dyDescent="0.3">
      <c r="A134" s="388"/>
      <c r="B134" s="388"/>
      <c r="C134" s="388"/>
      <c r="D134" s="388"/>
      <c r="E134" s="388"/>
      <c r="F134" s="394"/>
      <c r="G134" s="394"/>
      <c r="H134" s="48"/>
      <c r="I134" s="394"/>
      <c r="J134" s="48"/>
      <c r="K134" s="48"/>
      <c r="L134" s="48"/>
      <c r="M134" s="48"/>
      <c r="N134" s="48"/>
      <c r="O134" s="273"/>
      <c r="P134" s="273"/>
      <c r="Q134" s="48"/>
      <c r="R134" s="48"/>
      <c r="S134" s="48"/>
      <c r="T134" s="48"/>
      <c r="U134" s="432"/>
      <c r="V134" s="273"/>
      <c r="W134" s="223"/>
      <c r="X134" s="273"/>
      <c r="Y134" s="433"/>
      <c r="Z134" s="223"/>
      <c r="AA134" s="223"/>
      <c r="AB134" s="223"/>
      <c r="AC134" s="223"/>
      <c r="AD134" s="273"/>
      <c r="AE134" s="273"/>
      <c r="AF134" s="273"/>
      <c r="AG134" s="273"/>
      <c r="AH134" s="273"/>
      <c r="AI134" s="273"/>
      <c r="AJ134" s="273"/>
      <c r="AK134" s="273"/>
      <c r="AL134" s="273"/>
      <c r="AM134" s="273"/>
      <c r="AN134" s="273"/>
      <c r="AO134" s="273"/>
      <c r="AP134" s="273"/>
      <c r="AQ134" s="273"/>
      <c r="AR134" s="273"/>
      <c r="AS134" s="273"/>
    </row>
    <row r="135" spans="1:45" x14ac:dyDescent="0.3">
      <c r="A135" s="388"/>
      <c r="B135" s="388"/>
      <c r="C135" s="388"/>
      <c r="D135" s="388"/>
      <c r="E135" s="388"/>
      <c r="F135" s="394"/>
      <c r="G135" s="394"/>
      <c r="H135" s="48"/>
      <c r="I135" s="394"/>
      <c r="J135" s="48"/>
      <c r="K135" s="48"/>
      <c r="L135" s="48"/>
      <c r="M135" s="48"/>
      <c r="N135" s="48"/>
      <c r="O135" s="273"/>
      <c r="P135" s="273"/>
      <c r="Q135" s="48"/>
      <c r="R135" s="48"/>
      <c r="S135" s="48"/>
      <c r="T135" s="48"/>
      <c r="U135" s="432"/>
      <c r="V135" s="273"/>
      <c r="W135" s="223"/>
      <c r="X135" s="273"/>
      <c r="Y135" s="433"/>
      <c r="Z135" s="223"/>
      <c r="AA135" s="223"/>
      <c r="AB135" s="223"/>
      <c r="AC135" s="223"/>
      <c r="AD135" s="273"/>
      <c r="AE135" s="273"/>
      <c r="AF135" s="273"/>
      <c r="AG135" s="273"/>
      <c r="AH135" s="273"/>
      <c r="AI135" s="273"/>
      <c r="AJ135" s="273"/>
      <c r="AK135" s="273"/>
      <c r="AL135" s="273"/>
      <c r="AM135" s="273"/>
      <c r="AN135" s="273"/>
      <c r="AO135" s="273"/>
      <c r="AP135" s="273"/>
      <c r="AQ135" s="273"/>
      <c r="AR135" s="273"/>
      <c r="AS135" s="273"/>
    </row>
    <row r="136" spans="1:45" x14ac:dyDescent="0.3">
      <c r="A136" s="388"/>
      <c r="B136" s="388"/>
      <c r="C136" s="388"/>
      <c r="D136" s="388"/>
      <c r="E136" s="388"/>
      <c r="F136" s="394"/>
      <c r="G136" s="394"/>
      <c r="H136" s="48"/>
      <c r="I136" s="394"/>
      <c r="J136" s="48"/>
      <c r="K136" s="48"/>
      <c r="L136" s="48"/>
      <c r="M136" s="48"/>
      <c r="N136" s="48"/>
      <c r="O136" s="273"/>
      <c r="P136" s="273"/>
      <c r="Q136" s="48"/>
      <c r="R136" s="48"/>
      <c r="S136" s="48"/>
      <c r="T136" s="48"/>
      <c r="U136" s="432"/>
      <c r="V136" s="273"/>
      <c r="W136" s="223"/>
      <c r="X136" s="273"/>
      <c r="Y136" s="433"/>
      <c r="Z136" s="223"/>
      <c r="AA136" s="223"/>
      <c r="AB136" s="223"/>
      <c r="AC136" s="223"/>
      <c r="AD136" s="273"/>
      <c r="AE136" s="273"/>
      <c r="AF136" s="273"/>
      <c r="AG136" s="273"/>
      <c r="AH136" s="273"/>
      <c r="AI136" s="273"/>
      <c r="AJ136" s="273"/>
      <c r="AK136" s="273"/>
      <c r="AL136" s="273"/>
      <c r="AM136" s="273"/>
      <c r="AN136" s="273"/>
      <c r="AO136" s="273"/>
      <c r="AP136" s="273"/>
      <c r="AQ136" s="273"/>
      <c r="AR136" s="273"/>
      <c r="AS136" s="273"/>
    </row>
    <row r="137" spans="1:45" x14ac:dyDescent="0.3">
      <c r="A137" s="388"/>
      <c r="B137" s="388"/>
      <c r="C137" s="388"/>
      <c r="D137" s="388"/>
      <c r="E137" s="388"/>
      <c r="F137" s="394"/>
      <c r="G137" s="394"/>
      <c r="H137" s="48"/>
      <c r="I137" s="394"/>
      <c r="J137" s="48"/>
      <c r="K137" s="48"/>
      <c r="L137" s="48"/>
      <c r="M137" s="48"/>
      <c r="N137" s="48"/>
      <c r="O137" s="273"/>
      <c r="P137" s="273"/>
      <c r="Q137" s="48"/>
      <c r="R137" s="48"/>
      <c r="S137" s="48"/>
      <c r="T137" s="48"/>
      <c r="U137" s="432"/>
      <c r="V137" s="273"/>
      <c r="W137" s="223"/>
      <c r="X137" s="273"/>
      <c r="Y137" s="433"/>
      <c r="Z137" s="223"/>
      <c r="AA137" s="223"/>
      <c r="AB137" s="223"/>
      <c r="AC137" s="223"/>
      <c r="AD137" s="273"/>
      <c r="AE137" s="273"/>
      <c r="AF137" s="273"/>
      <c r="AG137" s="273"/>
      <c r="AH137" s="273"/>
      <c r="AI137" s="273"/>
      <c r="AJ137" s="273"/>
      <c r="AK137" s="273"/>
      <c r="AL137" s="273"/>
      <c r="AM137" s="273"/>
      <c r="AN137" s="273"/>
      <c r="AO137" s="273"/>
      <c r="AP137" s="273"/>
      <c r="AQ137" s="273"/>
      <c r="AR137" s="273"/>
      <c r="AS137" s="273"/>
    </row>
    <row r="138" spans="1:45" x14ac:dyDescent="0.3">
      <c r="A138" s="388"/>
      <c r="B138" s="388"/>
      <c r="C138" s="388"/>
      <c r="D138" s="388"/>
      <c r="E138" s="388"/>
      <c r="F138" s="394"/>
      <c r="G138" s="394"/>
      <c r="H138" s="48"/>
      <c r="I138" s="394"/>
      <c r="J138" s="48"/>
      <c r="K138" s="48"/>
      <c r="L138" s="48"/>
      <c r="M138" s="48"/>
      <c r="N138" s="48"/>
      <c r="O138" s="273"/>
      <c r="P138" s="273"/>
      <c r="Q138" s="48"/>
      <c r="R138" s="48"/>
      <c r="S138" s="48"/>
      <c r="T138" s="48"/>
      <c r="U138" s="432"/>
      <c r="V138" s="273"/>
      <c r="W138" s="223"/>
      <c r="X138" s="273"/>
      <c r="Y138" s="433"/>
      <c r="Z138" s="223"/>
      <c r="AA138" s="223"/>
      <c r="AB138" s="223"/>
      <c r="AC138" s="223"/>
      <c r="AD138" s="273"/>
      <c r="AE138" s="273"/>
      <c r="AF138" s="273"/>
      <c r="AG138" s="273"/>
      <c r="AH138" s="273"/>
      <c r="AI138" s="273"/>
      <c r="AJ138" s="273"/>
      <c r="AK138" s="273"/>
      <c r="AL138" s="273"/>
      <c r="AM138" s="273"/>
      <c r="AN138" s="273"/>
      <c r="AO138" s="273"/>
      <c r="AP138" s="273"/>
      <c r="AQ138" s="273"/>
      <c r="AR138" s="273"/>
      <c r="AS138" s="273"/>
    </row>
    <row r="139" spans="1:45" x14ac:dyDescent="0.3">
      <c r="A139" s="388"/>
      <c r="B139" s="388"/>
      <c r="C139" s="388"/>
      <c r="D139" s="388"/>
      <c r="E139" s="388"/>
      <c r="F139" s="394"/>
      <c r="G139" s="394"/>
      <c r="H139" s="48"/>
      <c r="I139" s="394"/>
      <c r="J139" s="48"/>
      <c r="K139" s="48"/>
      <c r="L139" s="48"/>
      <c r="M139" s="48"/>
      <c r="N139" s="48"/>
      <c r="O139" s="273"/>
      <c r="P139" s="273"/>
      <c r="Q139" s="48"/>
      <c r="R139" s="48"/>
      <c r="S139" s="48"/>
      <c r="T139" s="48"/>
      <c r="U139" s="432"/>
      <c r="V139" s="273"/>
      <c r="W139" s="223"/>
      <c r="X139" s="273"/>
      <c r="Y139" s="454"/>
      <c r="Z139" s="455"/>
      <c r="AA139" s="455"/>
      <c r="AB139" s="455"/>
      <c r="AC139" s="455"/>
      <c r="AD139" s="273"/>
      <c r="AE139" s="273"/>
      <c r="AF139" s="273"/>
      <c r="AG139" s="273"/>
      <c r="AH139" s="273"/>
      <c r="AI139" s="273"/>
      <c r="AJ139" s="273"/>
      <c r="AK139" s="273"/>
      <c r="AL139" s="273"/>
      <c r="AM139" s="273"/>
      <c r="AN139" s="273"/>
      <c r="AO139" s="273"/>
      <c r="AP139" s="273"/>
      <c r="AQ139" s="273"/>
      <c r="AR139" s="273"/>
      <c r="AS139" s="273"/>
    </row>
    <row r="140" spans="1:45" x14ac:dyDescent="0.3">
      <c r="A140" s="388"/>
      <c r="B140" s="388"/>
      <c r="C140" s="388"/>
      <c r="D140" s="388"/>
      <c r="E140" s="388"/>
      <c r="F140" s="394"/>
      <c r="G140" s="394"/>
      <c r="H140" s="48"/>
      <c r="I140" s="394"/>
      <c r="J140" s="48"/>
      <c r="K140" s="48"/>
      <c r="L140" s="48"/>
      <c r="M140" s="48"/>
      <c r="N140" s="48"/>
      <c r="O140" s="273"/>
      <c r="P140" s="273"/>
      <c r="Q140" s="48"/>
      <c r="R140" s="48"/>
      <c r="S140" s="48"/>
      <c r="T140" s="48"/>
      <c r="U140" s="432"/>
      <c r="V140" s="273"/>
      <c r="W140" s="223"/>
      <c r="X140" s="273"/>
      <c r="Y140" s="454"/>
      <c r="Z140" s="455"/>
      <c r="AA140" s="455"/>
      <c r="AB140" s="455"/>
      <c r="AC140" s="455"/>
      <c r="AD140" s="273"/>
      <c r="AE140" s="273"/>
      <c r="AF140" s="273"/>
      <c r="AG140" s="273"/>
      <c r="AH140" s="273"/>
      <c r="AI140" s="273"/>
      <c r="AJ140" s="273"/>
      <c r="AK140" s="273"/>
      <c r="AL140" s="273"/>
      <c r="AM140" s="273"/>
      <c r="AN140" s="273"/>
      <c r="AO140" s="273"/>
      <c r="AP140" s="273"/>
      <c r="AQ140" s="273"/>
      <c r="AR140" s="273"/>
      <c r="AS140" s="273"/>
    </row>
    <row r="141" spans="1:45" x14ac:dyDescent="0.3">
      <c r="A141" s="388"/>
      <c r="B141" s="388"/>
      <c r="C141" s="388"/>
      <c r="D141" s="388"/>
      <c r="E141" s="388"/>
      <c r="F141" s="394"/>
      <c r="G141" s="394"/>
      <c r="H141" s="48"/>
      <c r="I141" s="394"/>
      <c r="J141" s="48"/>
      <c r="K141" s="48"/>
      <c r="L141" s="48"/>
      <c r="M141" s="48"/>
      <c r="N141" s="48"/>
      <c r="O141" s="273"/>
      <c r="P141" s="273"/>
      <c r="Q141" s="48"/>
      <c r="R141" s="48"/>
      <c r="S141" s="48"/>
      <c r="T141" s="48"/>
      <c r="U141" s="432"/>
      <c r="V141" s="273"/>
      <c r="W141" s="223"/>
      <c r="X141" s="273"/>
      <c r="Y141" s="454"/>
      <c r="Z141" s="455"/>
      <c r="AA141" s="455"/>
      <c r="AB141" s="455"/>
      <c r="AC141" s="455"/>
      <c r="AD141" s="273"/>
      <c r="AE141" s="273"/>
      <c r="AF141" s="273"/>
      <c r="AG141" s="273"/>
      <c r="AH141" s="273"/>
      <c r="AI141" s="273"/>
      <c r="AJ141" s="273"/>
      <c r="AK141" s="273"/>
      <c r="AL141" s="273"/>
      <c r="AM141" s="273"/>
      <c r="AN141" s="273"/>
      <c r="AO141" s="273"/>
      <c r="AP141" s="273"/>
      <c r="AQ141" s="273"/>
      <c r="AR141" s="273"/>
      <c r="AS141" s="273"/>
    </row>
    <row r="142" spans="1:45" x14ac:dyDescent="0.3">
      <c r="A142" s="388"/>
      <c r="B142" s="388"/>
      <c r="C142" s="388"/>
      <c r="D142" s="388"/>
      <c r="E142" s="388"/>
      <c r="F142" s="394"/>
      <c r="G142" s="394"/>
      <c r="H142" s="48"/>
      <c r="I142" s="394"/>
      <c r="J142" s="48"/>
      <c r="K142" s="48"/>
      <c r="L142" s="48"/>
      <c r="M142" s="48"/>
      <c r="N142" s="48"/>
      <c r="O142" s="273"/>
      <c r="P142" s="273"/>
      <c r="Q142" s="48"/>
      <c r="R142" s="48"/>
      <c r="S142" s="48"/>
      <c r="T142" s="48"/>
      <c r="U142" s="432"/>
      <c r="V142" s="273"/>
      <c r="W142" s="223"/>
      <c r="X142" s="273"/>
      <c r="Y142" s="454"/>
      <c r="Z142" s="455"/>
      <c r="AA142" s="455"/>
      <c r="AB142" s="455"/>
      <c r="AC142" s="455"/>
      <c r="AD142" s="273"/>
      <c r="AE142" s="273"/>
      <c r="AF142" s="273"/>
      <c r="AG142" s="273"/>
      <c r="AH142" s="273"/>
      <c r="AI142" s="273"/>
      <c r="AJ142" s="273"/>
      <c r="AK142" s="273"/>
      <c r="AL142" s="273"/>
      <c r="AM142" s="273"/>
      <c r="AN142" s="273"/>
      <c r="AO142" s="273"/>
      <c r="AP142" s="273"/>
      <c r="AQ142" s="273"/>
      <c r="AR142" s="273"/>
      <c r="AS142" s="273"/>
    </row>
    <row r="143" spans="1:45" x14ac:dyDescent="0.3">
      <c r="A143" s="388"/>
      <c r="B143" s="388"/>
      <c r="C143" s="388"/>
      <c r="D143" s="388"/>
      <c r="E143" s="388"/>
      <c r="F143" s="394"/>
      <c r="G143" s="394"/>
      <c r="H143" s="48"/>
      <c r="I143" s="394"/>
      <c r="J143" s="48"/>
      <c r="K143" s="48"/>
      <c r="L143" s="48"/>
      <c r="M143" s="48"/>
      <c r="N143" s="48"/>
      <c r="O143" s="273"/>
      <c r="P143" s="273"/>
      <c r="Q143" s="48"/>
      <c r="R143" s="48"/>
      <c r="S143" s="48"/>
      <c r="T143" s="48"/>
      <c r="U143" s="432"/>
      <c r="V143" s="273"/>
      <c r="W143" s="223"/>
      <c r="X143" s="273"/>
      <c r="Y143" s="454"/>
      <c r="Z143" s="455"/>
      <c r="AA143" s="455"/>
      <c r="AB143" s="455"/>
      <c r="AC143" s="455"/>
      <c r="AD143" s="273"/>
      <c r="AE143" s="273"/>
      <c r="AF143" s="273"/>
      <c r="AG143" s="273"/>
      <c r="AH143" s="273"/>
      <c r="AI143" s="273"/>
      <c r="AJ143" s="273"/>
      <c r="AK143" s="273"/>
      <c r="AL143" s="273"/>
      <c r="AM143" s="273"/>
      <c r="AN143" s="273"/>
      <c r="AO143" s="273"/>
      <c r="AP143" s="273"/>
      <c r="AQ143" s="273"/>
      <c r="AR143" s="273"/>
      <c r="AS143" s="273"/>
    </row>
    <row r="144" spans="1:45" x14ac:dyDescent="0.3">
      <c r="A144" s="388"/>
      <c r="B144" s="388"/>
      <c r="C144" s="388"/>
      <c r="D144" s="388"/>
      <c r="E144" s="388"/>
      <c r="F144" s="394"/>
      <c r="G144" s="394"/>
      <c r="H144" s="48"/>
      <c r="I144" s="394"/>
      <c r="J144" s="48"/>
      <c r="K144" s="48"/>
      <c r="L144" s="48"/>
      <c r="M144" s="48"/>
      <c r="N144" s="48"/>
      <c r="O144" s="273"/>
      <c r="P144" s="273"/>
      <c r="Q144" s="48"/>
      <c r="R144" s="48"/>
      <c r="S144" s="48"/>
      <c r="T144" s="48"/>
      <c r="U144" s="432"/>
      <c r="V144" s="273"/>
      <c r="W144" s="223"/>
      <c r="X144" s="273"/>
      <c r="Y144" s="454"/>
      <c r="Z144" s="455"/>
      <c r="AA144" s="455"/>
      <c r="AB144" s="455"/>
      <c r="AC144" s="455"/>
      <c r="AD144" s="273"/>
      <c r="AE144" s="273"/>
      <c r="AF144" s="273"/>
      <c r="AG144" s="273"/>
      <c r="AH144" s="273"/>
      <c r="AI144" s="273"/>
      <c r="AJ144" s="273"/>
      <c r="AK144" s="273"/>
      <c r="AL144" s="273"/>
      <c r="AM144" s="273"/>
      <c r="AN144" s="273"/>
      <c r="AO144" s="273"/>
      <c r="AP144" s="273"/>
      <c r="AQ144" s="273"/>
      <c r="AR144" s="273"/>
      <c r="AS144" s="273"/>
    </row>
    <row r="145" spans="1:45" x14ac:dyDescent="0.3">
      <c r="A145" s="388"/>
      <c r="B145" s="388"/>
      <c r="C145" s="388"/>
      <c r="D145" s="388"/>
      <c r="E145" s="388"/>
      <c r="F145" s="394"/>
      <c r="G145" s="394"/>
      <c r="H145" s="48"/>
      <c r="I145" s="394"/>
      <c r="J145" s="48"/>
      <c r="K145" s="48"/>
      <c r="L145" s="48"/>
      <c r="M145" s="48"/>
      <c r="N145" s="48"/>
      <c r="O145" s="273"/>
      <c r="P145" s="273"/>
      <c r="Q145" s="48"/>
      <c r="R145" s="48"/>
      <c r="S145" s="48"/>
      <c r="T145" s="48"/>
      <c r="U145" s="432"/>
      <c r="V145" s="273"/>
      <c r="W145" s="223"/>
      <c r="X145" s="273"/>
      <c r="Y145" s="454"/>
      <c r="Z145" s="455"/>
      <c r="AA145" s="455"/>
      <c r="AB145" s="455"/>
      <c r="AC145" s="455"/>
      <c r="AD145" s="273"/>
      <c r="AE145" s="273"/>
      <c r="AF145" s="273"/>
      <c r="AG145" s="273"/>
      <c r="AH145" s="273"/>
      <c r="AI145" s="273"/>
      <c r="AJ145" s="273"/>
      <c r="AK145" s="273"/>
      <c r="AL145" s="273"/>
      <c r="AM145" s="273"/>
      <c r="AN145" s="273"/>
      <c r="AO145" s="273"/>
      <c r="AP145" s="273"/>
      <c r="AQ145" s="273"/>
      <c r="AR145" s="273"/>
      <c r="AS145" s="273"/>
    </row>
    <row r="146" spans="1:45" x14ac:dyDescent="0.3">
      <c r="A146" s="388"/>
      <c r="B146" s="388"/>
      <c r="C146" s="388"/>
      <c r="D146" s="388"/>
      <c r="E146" s="388"/>
      <c r="F146" s="394"/>
      <c r="G146" s="394"/>
      <c r="H146" s="48"/>
      <c r="I146" s="394"/>
      <c r="J146" s="48"/>
      <c r="K146" s="48"/>
      <c r="L146" s="48"/>
      <c r="M146" s="48"/>
      <c r="N146" s="48"/>
      <c r="O146" s="273"/>
      <c r="P146" s="273"/>
      <c r="Q146" s="48"/>
      <c r="R146" s="48"/>
      <c r="S146" s="48"/>
      <c r="T146" s="48"/>
      <c r="U146" s="432"/>
      <c r="V146" s="273"/>
      <c r="W146" s="223"/>
      <c r="X146" s="273"/>
      <c r="Y146" s="454"/>
      <c r="Z146" s="455"/>
      <c r="AA146" s="455"/>
      <c r="AB146" s="455"/>
      <c r="AC146" s="455"/>
      <c r="AD146" s="273"/>
      <c r="AE146" s="273"/>
      <c r="AF146" s="273"/>
      <c r="AG146" s="273"/>
      <c r="AH146" s="273"/>
      <c r="AI146" s="273"/>
      <c r="AJ146" s="273"/>
      <c r="AK146" s="273"/>
      <c r="AL146" s="273"/>
      <c r="AM146" s="273"/>
      <c r="AN146" s="273"/>
      <c r="AO146" s="273"/>
      <c r="AP146" s="273"/>
      <c r="AQ146" s="273"/>
      <c r="AR146" s="273"/>
      <c r="AS146" s="273"/>
    </row>
    <row r="147" spans="1:45" x14ac:dyDescent="0.3">
      <c r="A147" s="388"/>
      <c r="B147" s="388"/>
      <c r="C147" s="388"/>
      <c r="D147" s="388"/>
      <c r="E147" s="388"/>
      <c r="F147" s="394"/>
      <c r="G147" s="394"/>
      <c r="H147" s="48"/>
      <c r="I147" s="394"/>
      <c r="J147" s="48"/>
      <c r="K147" s="48"/>
      <c r="L147" s="48"/>
      <c r="M147" s="48"/>
      <c r="N147" s="48"/>
      <c r="O147" s="273"/>
      <c r="P147" s="273"/>
      <c r="Q147" s="48"/>
      <c r="R147" s="48"/>
      <c r="S147" s="48"/>
      <c r="T147" s="48"/>
      <c r="U147" s="432"/>
      <c r="V147" s="273"/>
      <c r="W147" s="223"/>
      <c r="X147" s="273"/>
      <c r="Y147" s="454"/>
      <c r="Z147" s="455"/>
      <c r="AA147" s="455"/>
      <c r="AB147" s="455"/>
      <c r="AC147" s="455"/>
      <c r="AD147" s="273"/>
      <c r="AE147" s="273"/>
      <c r="AF147" s="273"/>
      <c r="AG147" s="273"/>
      <c r="AH147" s="273"/>
      <c r="AI147" s="273"/>
      <c r="AJ147" s="273"/>
      <c r="AK147" s="273"/>
      <c r="AL147" s="273"/>
      <c r="AM147" s="273"/>
      <c r="AN147" s="273"/>
      <c r="AO147" s="273"/>
      <c r="AP147" s="273"/>
      <c r="AQ147" s="273"/>
      <c r="AR147" s="273"/>
      <c r="AS147" s="273"/>
    </row>
    <row r="148" spans="1:45" x14ac:dyDescent="0.3">
      <c r="A148" s="388"/>
      <c r="B148" s="388"/>
      <c r="C148" s="388"/>
      <c r="D148" s="388"/>
      <c r="E148" s="388"/>
      <c r="F148" s="394"/>
      <c r="G148" s="394"/>
      <c r="H148" s="48"/>
      <c r="I148" s="394"/>
      <c r="J148" s="48"/>
      <c r="K148" s="48"/>
      <c r="L148" s="48"/>
      <c r="M148" s="48"/>
      <c r="N148" s="48"/>
      <c r="O148" s="273"/>
      <c r="P148" s="273"/>
      <c r="Q148" s="48"/>
      <c r="R148" s="48"/>
      <c r="S148" s="48"/>
      <c r="T148" s="48"/>
      <c r="U148" s="432"/>
      <c r="V148" s="273"/>
      <c r="W148" s="223"/>
      <c r="X148" s="273"/>
      <c r="Y148" s="454"/>
      <c r="Z148" s="455"/>
      <c r="AA148" s="455"/>
      <c r="AB148" s="455"/>
      <c r="AC148" s="455"/>
      <c r="AD148" s="273"/>
      <c r="AE148" s="273"/>
      <c r="AF148" s="273"/>
      <c r="AG148" s="273"/>
      <c r="AH148" s="273"/>
      <c r="AI148" s="273"/>
      <c r="AJ148" s="273"/>
      <c r="AK148" s="273"/>
      <c r="AL148" s="273"/>
      <c r="AM148" s="273"/>
      <c r="AN148" s="273"/>
      <c r="AO148" s="273"/>
      <c r="AP148" s="273"/>
      <c r="AQ148" s="273"/>
      <c r="AR148" s="273"/>
      <c r="AS148" s="273"/>
    </row>
    <row r="149" spans="1:45" x14ac:dyDescent="0.3">
      <c r="A149" s="388"/>
      <c r="B149" s="388"/>
      <c r="C149" s="388"/>
      <c r="D149" s="388"/>
      <c r="E149" s="388"/>
      <c r="F149" s="394"/>
      <c r="G149" s="394"/>
      <c r="H149" s="48"/>
      <c r="I149" s="394"/>
      <c r="J149" s="48"/>
      <c r="K149" s="48"/>
      <c r="L149" s="48"/>
      <c r="M149" s="48"/>
      <c r="N149" s="48"/>
      <c r="O149" s="273"/>
      <c r="P149" s="273"/>
      <c r="Q149" s="48"/>
      <c r="R149" s="48"/>
      <c r="S149" s="48"/>
      <c r="T149" s="48"/>
      <c r="U149" s="432"/>
      <c r="V149" s="273"/>
      <c r="W149" s="223"/>
      <c r="X149" s="273"/>
      <c r="Y149" s="454"/>
      <c r="Z149" s="455"/>
      <c r="AA149" s="455"/>
      <c r="AB149" s="455"/>
      <c r="AC149" s="455"/>
      <c r="AD149" s="273"/>
      <c r="AE149" s="273"/>
      <c r="AF149" s="273"/>
      <c r="AG149" s="273"/>
      <c r="AH149" s="273"/>
      <c r="AI149" s="273"/>
      <c r="AJ149" s="273"/>
      <c r="AK149" s="273"/>
      <c r="AL149" s="273"/>
      <c r="AM149" s="273"/>
      <c r="AN149" s="273"/>
      <c r="AO149" s="273"/>
      <c r="AP149" s="273"/>
      <c r="AQ149" s="273"/>
      <c r="AR149" s="273"/>
      <c r="AS149" s="273"/>
    </row>
    <row r="150" spans="1:45" x14ac:dyDescent="0.3">
      <c r="A150" s="388"/>
      <c r="B150" s="388"/>
      <c r="C150" s="388"/>
      <c r="D150" s="388"/>
      <c r="E150" s="388"/>
      <c r="F150" s="394"/>
      <c r="G150" s="394"/>
      <c r="H150" s="48"/>
      <c r="I150" s="394"/>
      <c r="J150" s="48"/>
      <c r="K150" s="48"/>
      <c r="L150" s="48"/>
      <c r="M150" s="48"/>
      <c r="N150" s="48"/>
      <c r="O150" s="273"/>
      <c r="P150" s="273"/>
      <c r="Q150" s="48"/>
      <c r="R150" s="48"/>
      <c r="S150" s="48"/>
      <c r="T150" s="48"/>
      <c r="U150" s="432"/>
      <c r="V150" s="273"/>
      <c r="W150" s="223"/>
      <c r="X150" s="273"/>
      <c r="Y150" s="454"/>
      <c r="Z150" s="455"/>
      <c r="AA150" s="455"/>
      <c r="AB150" s="455"/>
      <c r="AC150" s="455"/>
      <c r="AD150" s="273"/>
      <c r="AE150" s="273"/>
      <c r="AF150" s="273"/>
      <c r="AG150" s="273"/>
      <c r="AH150" s="273"/>
      <c r="AI150" s="273"/>
      <c r="AJ150" s="273"/>
      <c r="AK150" s="273"/>
      <c r="AL150" s="273"/>
      <c r="AM150" s="273"/>
      <c r="AN150" s="273"/>
      <c r="AO150" s="273"/>
      <c r="AP150" s="273"/>
      <c r="AQ150" s="273"/>
      <c r="AR150" s="273"/>
      <c r="AS150" s="273"/>
    </row>
    <row r="151" spans="1:45" x14ac:dyDescent="0.3">
      <c r="A151" s="388"/>
      <c r="B151" s="388"/>
      <c r="C151" s="388"/>
      <c r="D151" s="388"/>
      <c r="E151" s="388"/>
      <c r="F151" s="394"/>
      <c r="G151" s="394"/>
      <c r="H151" s="48"/>
      <c r="I151" s="394"/>
      <c r="J151" s="48"/>
      <c r="K151" s="48"/>
      <c r="L151" s="48"/>
      <c r="M151" s="48"/>
      <c r="N151" s="48"/>
      <c r="O151" s="273"/>
      <c r="P151" s="273"/>
      <c r="Q151" s="48"/>
      <c r="R151" s="48"/>
      <c r="S151" s="48"/>
      <c r="T151" s="48"/>
      <c r="U151" s="432"/>
      <c r="V151" s="273"/>
      <c r="W151" s="223"/>
      <c r="X151" s="273"/>
      <c r="Y151" s="454"/>
      <c r="Z151" s="455"/>
      <c r="AA151" s="455"/>
      <c r="AB151" s="455"/>
      <c r="AC151" s="455"/>
      <c r="AD151" s="273"/>
      <c r="AE151" s="273"/>
      <c r="AF151" s="273"/>
      <c r="AG151" s="273"/>
      <c r="AH151" s="273"/>
      <c r="AI151" s="273"/>
      <c r="AJ151" s="273"/>
      <c r="AK151" s="273"/>
      <c r="AL151" s="273"/>
      <c r="AM151" s="273"/>
      <c r="AN151" s="273"/>
      <c r="AO151" s="273"/>
      <c r="AP151" s="273"/>
      <c r="AQ151" s="273"/>
      <c r="AR151" s="273"/>
      <c r="AS151" s="273"/>
    </row>
  </sheetData>
  <sheetProtection algorithmName="SHA-512" hashValue="0ddDpDrTB9qPWsx8FlNQl3mJBFoHi5k645PiiP9Lq/MVzhjoW0irTv61R5tRmNcrzBw0aa0hhxj00/o/wjQwdQ==" saltValue="5wrt9EubyJrTMdYv5dlaVw==" spinCount="100000" sheet="1" objects="1" scenarios="1"/>
  <mergeCells count="56">
    <mergeCell ref="F1:I1"/>
    <mergeCell ref="Y1:AA1"/>
    <mergeCell ref="G2:H2"/>
    <mergeCell ref="Y2:AA3"/>
    <mergeCell ref="F8:F12"/>
    <mergeCell ref="G8:G12"/>
    <mergeCell ref="F28:F30"/>
    <mergeCell ref="G28:G30"/>
    <mergeCell ref="F13:F14"/>
    <mergeCell ref="G13:G14"/>
    <mergeCell ref="F16:F17"/>
    <mergeCell ref="G16:G17"/>
    <mergeCell ref="F18:F19"/>
    <mergeCell ref="G18:G19"/>
    <mergeCell ref="F20:F22"/>
    <mergeCell ref="G20:G22"/>
    <mergeCell ref="F23:F24"/>
    <mergeCell ref="G23:G24"/>
    <mergeCell ref="F27:I27"/>
    <mergeCell ref="F49:F50"/>
    <mergeCell ref="G49:G50"/>
    <mergeCell ref="F31:F33"/>
    <mergeCell ref="G31:G33"/>
    <mergeCell ref="F34:F37"/>
    <mergeCell ref="G34:G37"/>
    <mergeCell ref="F38:F40"/>
    <mergeCell ref="G38:G40"/>
    <mergeCell ref="F41:F42"/>
    <mergeCell ref="G41:G42"/>
    <mergeCell ref="F43:F44"/>
    <mergeCell ref="G43:G44"/>
    <mergeCell ref="F48:I48"/>
    <mergeCell ref="F51:F52"/>
    <mergeCell ref="G51:G52"/>
    <mergeCell ref="F56:F66"/>
    <mergeCell ref="G56:G66"/>
    <mergeCell ref="F70:F75"/>
    <mergeCell ref="G70:G75"/>
    <mergeCell ref="O81:O84"/>
    <mergeCell ref="F85:F87"/>
    <mergeCell ref="G85:G87"/>
    <mergeCell ref="Q94:R94"/>
    <mergeCell ref="F96:F98"/>
    <mergeCell ref="G96:G98"/>
    <mergeCell ref="F89:F91"/>
    <mergeCell ref="G90:G91"/>
    <mergeCell ref="F79:F84"/>
    <mergeCell ref="G79:G84"/>
    <mergeCell ref="F110:I110"/>
    <mergeCell ref="K111:K115"/>
    <mergeCell ref="F94:I94"/>
    <mergeCell ref="F101:I101"/>
    <mergeCell ref="F102:F103"/>
    <mergeCell ref="G102:G103"/>
    <mergeCell ref="F104:F105"/>
    <mergeCell ref="G104:G105"/>
  </mergeCells>
  <conditionalFormatting sqref="G53">
    <cfRule type="expression" dxfId="139" priority="32">
      <formula>$K$52=0</formula>
    </cfRule>
  </conditionalFormatting>
  <conditionalFormatting sqref="H26:I26 K26">
    <cfRule type="expression" dxfId="138" priority="31">
      <formula>#REF!=0</formula>
    </cfRule>
  </conditionalFormatting>
  <conditionalFormatting sqref="H23:L23 Q23:W23">
    <cfRule type="expression" dxfId="137" priority="15">
      <formula>$G$23&lt;&gt;$AE$8</formula>
    </cfRule>
  </conditionalFormatting>
  <conditionalFormatting sqref="H24:L24 Q24:W24">
    <cfRule type="expression" dxfId="136" priority="14">
      <formula>$G$23&lt;&gt;$AE$9</formula>
    </cfRule>
  </conditionalFormatting>
  <conditionalFormatting sqref="H51:L51 Q51:W51">
    <cfRule type="expression" dxfId="135" priority="13">
      <formula>$G$51&lt;&gt;$AE$51</formula>
    </cfRule>
  </conditionalFormatting>
  <conditionalFormatting sqref="H52:L52 Q52:W52">
    <cfRule type="expression" dxfId="134" priority="12">
      <formula>$G$51&lt;&gt;$AE$52</formula>
    </cfRule>
  </conditionalFormatting>
  <conditionalFormatting sqref="H56:L56 Q56:W56">
    <cfRule type="expression" dxfId="133" priority="11">
      <formula>$G$56&lt;&gt;$AE$57</formula>
    </cfRule>
  </conditionalFormatting>
  <conditionalFormatting sqref="H62:L66 Q62:W66">
    <cfRule type="expression" dxfId="132" priority="10">
      <formula>$G$56&lt;&gt;$AE$59</formula>
    </cfRule>
  </conditionalFormatting>
  <conditionalFormatting sqref="H79:L80 Q79:W80">
    <cfRule type="expression" dxfId="131" priority="9">
      <formula>$G$79&lt;&gt;$AE$79</formula>
    </cfRule>
  </conditionalFormatting>
  <conditionalFormatting sqref="H81:L84 Q81:W84">
    <cfRule type="expression" dxfId="130" priority="8">
      <formula>$G$79&lt;&gt;$AE$80</formula>
    </cfRule>
  </conditionalFormatting>
  <conditionalFormatting sqref="H90:L90 Q90:W90">
    <cfRule type="expression" dxfId="129" priority="7">
      <formula>$G$90&lt;&gt;$AE$90</formula>
    </cfRule>
  </conditionalFormatting>
  <conditionalFormatting sqref="H91:L91 Q91:W91">
    <cfRule type="expression" dxfId="128" priority="6">
      <formula>$G$90&lt;&gt;$AE$91</formula>
    </cfRule>
  </conditionalFormatting>
  <conditionalFormatting sqref="H57:M61 Q57:W61">
    <cfRule type="expression" dxfId="127" priority="3">
      <formula>$G$56&lt;&gt;$AE$58</formula>
    </cfRule>
    <cfRule type="expression" priority="4">
      <formula>$G$56&lt;&gt;$AE$58</formula>
    </cfRule>
  </conditionalFormatting>
  <conditionalFormatting sqref="M107">
    <cfRule type="expression" dxfId="126" priority="1">
      <formula>$G$56&lt;&gt;$AE$58</formula>
    </cfRule>
    <cfRule type="expression" priority="2">
      <formula>$G$56&lt;&gt;$AE$58</formula>
    </cfRule>
  </conditionalFormatting>
  <conditionalFormatting sqref="U2:V3">
    <cfRule type="expression" dxfId="125" priority="5">
      <formula>AND($AC$17="No",$AC$18="No")</formula>
    </cfRule>
  </conditionalFormatting>
  <conditionalFormatting sqref="V49:V52 M7:N24 V7:V24 M28:N44 V28:V44 M49:N52 M56:M66 V56:V66 M70:M75 V70:V75 M79:M91 V79:V91 M95:N98 V95:V98 M102:N107 V102:V107 M111:N115 V111:V115">
    <cfRule type="expression" dxfId="124" priority="16">
      <formula>OR($M7="-",AND(_xlfn.ISFORMULA($M7),$M7=0))</formula>
    </cfRule>
  </conditionalFormatting>
  <conditionalFormatting sqref="W7:W24">
    <cfRule type="expression" dxfId="123" priority="27">
      <formula>U7=$AG$11</formula>
    </cfRule>
  </conditionalFormatting>
  <conditionalFormatting sqref="W28:W44">
    <cfRule type="expression" dxfId="122" priority="26">
      <formula>U28=$AG$11</formula>
    </cfRule>
  </conditionalFormatting>
  <conditionalFormatting sqref="W49:W52 W79:W91 W95:W98">
    <cfRule type="expression" dxfId="121" priority="28">
      <formula>U49=$AG$11</formula>
    </cfRule>
  </conditionalFormatting>
  <conditionalFormatting sqref="W56:W66">
    <cfRule type="expression" dxfId="120" priority="17">
      <formula>U56=$AG$11</formula>
    </cfRule>
  </conditionalFormatting>
  <conditionalFormatting sqref="W70 H70:L70 Q70:U70">
    <cfRule type="expression" dxfId="119" priority="30">
      <formula>$G$70&lt;&gt;$AE$70</formula>
    </cfRule>
  </conditionalFormatting>
  <conditionalFormatting sqref="W70:W75">
    <cfRule type="expression" dxfId="118" priority="25">
      <formula>U70=$AG$11</formula>
    </cfRule>
  </conditionalFormatting>
  <conditionalFormatting sqref="W71:W75 H71:L75 Q71:U75">
    <cfRule type="expression" dxfId="117" priority="29">
      <formula>$G$70&lt;&gt;$AE$71</formula>
    </cfRule>
  </conditionalFormatting>
  <conditionalFormatting sqref="W102:W107">
    <cfRule type="expression" dxfId="116" priority="24">
      <formula>U102=$AG$11</formula>
    </cfRule>
  </conditionalFormatting>
  <conditionalFormatting sqref="W111:W115">
    <cfRule type="expression" dxfId="115" priority="23">
      <formula>U111=$AG$11</formula>
    </cfRule>
  </conditionalFormatting>
  <conditionalFormatting sqref="Y7:AC115">
    <cfRule type="expression" dxfId="114" priority="18">
      <formula>$U7=$AG$11</formula>
    </cfRule>
    <cfRule type="expression" dxfId="113" priority="19">
      <formula>$U7=$AG$11</formula>
    </cfRule>
  </conditionalFormatting>
  <dataValidations count="23">
    <dataValidation type="decimal" operator="lessThanOrEqual" allowBlank="1" showInputMessage="1" showErrorMessage="1" sqref="L72" xr:uid="{1D9402AD-7979-4CAD-AC8A-D287B6693484}">
      <formula1>K73</formula1>
    </dataValidation>
    <dataValidation type="decimal" operator="greaterThanOrEqual" allowBlank="1" showInputMessage="1" showErrorMessage="1" sqref="N62 L62 L56 N56" xr:uid="{7975A30A-C300-491B-BC75-2F08CB07BE79}">
      <formula1>K56</formula1>
    </dataValidation>
    <dataValidation type="decimal" allowBlank="1" showInputMessage="1" showErrorMessage="1" sqref="N21:N22 N9:N17 N19 L19 L9:L17 L21:L22 L7 N7" xr:uid="{4C8B6327-3007-4C76-9117-D3258274AADB}">
      <formula1>0</formula1>
      <formula2>K7</formula2>
    </dataValidation>
    <dataValidation type="decimal" operator="lessThanOrEqual" allowBlank="1" showInputMessage="1" showErrorMessage="1" sqref="N116" xr:uid="{B12263FF-3A38-4508-A682-5E09B32176FD}">
      <formula1>L116</formula1>
    </dataValidation>
    <dataValidation type="decimal" operator="lessThanOrEqual" allowBlank="1" showInputMessage="1" showErrorMessage="1" sqref="N97:N98 L116:M116 L74:L75 N63:N66 N105:N107 L102:L103 J116 N28:N33 N90:N91 N95 L95 N39:N44 L105:L107 N102:N103 L28:L33 L35:L37 L39:L44 L57:L61 N57:N61 L63:L66 N70:N75 L79:L88 N79:N88 L90:L91 L97:L98 L50:L52 N50:N52 L70:L71 N35:N37" xr:uid="{E85437E3-2B50-4970-8837-0DFB59627A95}">
      <formula1>I28</formula1>
    </dataValidation>
    <dataValidation type="decimal" operator="lessThanOrEqual" allowBlank="1" showInputMessage="1" showErrorMessage="1" sqref="L23:L24 N23:N24" xr:uid="{6F51E75C-BB4C-4E9D-BDC9-EDE79E7D89F5}">
      <formula1>1</formula1>
    </dataValidation>
    <dataValidation type="decimal" operator="lessThanOrEqual" allowBlank="1" showInputMessage="1" showErrorMessage="1" sqref="L111:L115 N111:N115" xr:uid="{BB6FB794-9CFB-4C74-BE60-F0B46B0B4877}">
      <formula1>10</formula1>
    </dataValidation>
    <dataValidation type="list" allowBlank="1" showInputMessage="1" showErrorMessage="1" sqref="N18 N96 N8 N20 N49 N104 L104 L96 L49 L20 L18 L8 L89 N89" xr:uid="{88A25388-3691-44ED-810D-88AE0DB41C7D}">
      <formula1>$AH$7:$AH$9</formula1>
    </dataValidation>
    <dataValidation type="list" operator="lessThanOrEqual" allowBlank="1" showInputMessage="1" showErrorMessage="1" sqref="N38 L38 L34 N34" xr:uid="{BB67833D-3AF6-4389-8527-618E82DA5C79}">
      <formula1>$AH$7:$AH$9</formula1>
    </dataValidation>
    <dataValidation type="list" allowBlank="1" showInputMessage="1" showErrorMessage="1" sqref="G56" xr:uid="{FFD8BBCB-FEBC-4572-9F39-E8BCAFD152A5}">
      <formula1>$AE$57:$AE$59</formula1>
    </dataValidation>
    <dataValidation type="list" allowBlank="1" showInputMessage="1" showErrorMessage="1" promptTitle="Selection Required" prompt="Please indicate the project's desired pathway." sqref="G90:G91" xr:uid="{1CA58EF6-942C-452B-BDAC-CFA5908ED320}">
      <formula1>$AE$90:$AE$91</formula1>
    </dataValidation>
    <dataValidation type="list" allowBlank="1" showInputMessage="1" showErrorMessage="1" sqref="G54" xr:uid="{F41C3889-EE09-4112-8029-B1BE0A826934}">
      <formula1>$AE$51:$AE$51</formula1>
    </dataValidation>
    <dataValidation type="list" allowBlank="1" showInputMessage="1" showErrorMessage="1" promptTitle="Selection Required" prompt="Please indicate the project's desired pathway." sqref="G51:G52" xr:uid="{BD28FDC0-BDBA-4A41-B2B7-9CC005B697D1}">
      <formula1>$AE$51:$AE$52</formula1>
    </dataValidation>
    <dataValidation type="list" allowBlank="1" showInputMessage="1" showErrorMessage="1" promptTitle="Selection Required" prompt="Please indicate the project's desired pathway." sqref="G23:G24" xr:uid="{B1EAB4C0-C4CB-4693-BAB9-396140ACD5D3}">
      <formula1>$AE$8:$AE$9</formula1>
    </dataValidation>
    <dataValidation type="list" allowBlank="1" showInputMessage="1" showErrorMessage="1" sqref="S102:S107 S79:S91 S70:S75 S28:S44 S7:S24 S49:S52 S95:S98 S56:S66" xr:uid="{94EDEF4D-A8FF-4DCA-A048-701081E7ACC3}">
      <formula1>$AF$10:$AF$12</formula1>
    </dataValidation>
    <dataValidation type="list" allowBlank="1" showInputMessage="1" showErrorMessage="1" sqref="S111:T115" xr:uid="{32E8E770-131E-4FE3-AB23-F47C379B1A99}">
      <formula1>$AF$10</formula1>
    </dataValidation>
    <dataValidation type="list" allowBlank="1" showInputMessage="1" showErrorMessage="1" sqref="T79:T91 T70:T75 T28:T44 T102:T107 T7:T24 T49:T52 T95:T98 T56:T66" xr:uid="{B387667C-33F5-4B7A-A6BB-BC54B62C28DC}">
      <formula1>$AF$9:$AF$12</formula1>
    </dataValidation>
    <dataValidation type="list" allowBlank="1" showInputMessage="1" showErrorMessage="1" promptTitle="Selection Required" prompt="Please indicate the project's desired pathway." sqref="G79:G84" xr:uid="{907C1B6E-4272-493E-98A7-C1FF9CAFC36A}">
      <formula1>$AE$79:$AE$80</formula1>
    </dataValidation>
    <dataValidation type="list" allowBlank="1" showInputMessage="1" showErrorMessage="1" sqref="U111:U115 U102:U107 U79:U91 U70:U75 U28:U44 U7:U24 U49:U52 U95:U98 U56:U66 V28 V32:V33 V35:V37 V39:V44 V58:V59 V74:V75 V85:V87 V98" xr:uid="{34CA6B67-E431-4039-A831-BCA6E854B05B}">
      <formula1>$AG$9:$AG$11</formula1>
    </dataValidation>
    <dataValidation type="list" allowBlank="1" showInputMessage="1" showErrorMessage="1" sqref="G77" xr:uid="{D29F7AB7-D37A-42D1-BCB1-CBB5308B960E}">
      <formula1>$X$70:$X$71</formula1>
    </dataValidation>
    <dataValidation type="list" allowBlank="1" showInputMessage="1" showErrorMessage="1" sqref="G26" xr:uid="{92CE5973-3A6D-4202-82CF-AE8019355E65}">
      <formula1>$X$24:$X$24</formula1>
    </dataValidation>
    <dataValidation type="list" allowBlank="1" showInputMessage="1" showErrorMessage="1" sqref="G68" xr:uid="{CE2A4E86-A570-4FF4-97C8-F28B9D54AEE1}">
      <formula1>$AE$57:$AE$57</formula1>
    </dataValidation>
    <dataValidation type="list" allowBlank="1" showInputMessage="1" showErrorMessage="1" promptTitle="Selection Required" prompt="Please indicate the project's desired pathway." sqref="G70:G75" xr:uid="{E73EB38D-35A0-452D-98EB-341F2D148124}">
      <formula1>$AE$70:$AE$71</formula1>
    </dataValidation>
  </dataValidations>
  <pageMargins left="0.70866141732283472" right="0.70866141732283472" top="0.74803149606299213" bottom="0.74803149606299213" header="0.31496062992125984" footer="0.31496062992125984"/>
  <pageSetup paperSize="9" scale="51" fitToHeight="0" orientation="portrait" horizontalDpi="1200" verticalDpi="1200" r:id="rId1"/>
  <headerFooter>
    <oddHeader>&amp;L&amp;"Calibri"&amp;8&amp;K000000 Sensitivity: General&amp;1#_x000D_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T151"/>
  <sheetViews>
    <sheetView showGridLines="0" topLeftCell="D1" zoomScale="60" zoomScaleNormal="60" workbookViewId="0">
      <selection activeCell="L36" sqref="L36"/>
    </sheetView>
  </sheetViews>
  <sheetFormatPr defaultColWidth="9" defaultRowHeight="14" x14ac:dyDescent="0.3"/>
  <cols>
    <col min="1" max="3" width="9" style="141" hidden="1" customWidth="1"/>
    <col min="4" max="4" width="8.203125E-2" style="141" customWidth="1"/>
    <col min="5" max="5" width="4" style="141" customWidth="1"/>
    <col min="6" max="6" width="24" style="5" customWidth="1"/>
    <col min="7" max="7" width="47.83203125" style="5" customWidth="1"/>
    <col min="8" max="8" width="9.58203125" style="3" customWidth="1"/>
    <col min="9" max="9" width="51.83203125" style="5" customWidth="1"/>
    <col min="10" max="10" width="4.58203125" style="3" hidden="1" customWidth="1"/>
    <col min="11" max="11" width="17.83203125" style="3" customWidth="1"/>
    <col min="12" max="13" width="15.5" style="3" customWidth="1"/>
    <col min="14" max="14" width="15.5" style="3" hidden="1" customWidth="1"/>
    <col min="15" max="16" width="14" style="6" customWidth="1"/>
    <col min="17" max="18" width="14" style="3" customWidth="1"/>
    <col min="19" max="20" width="14" style="3" hidden="1" customWidth="1"/>
    <col min="21" max="21" width="17" style="168" customWidth="1"/>
    <col min="22" max="22" width="17" style="6" customWidth="1"/>
    <col min="23" max="23" width="57.25" style="217" customWidth="1"/>
    <col min="24" max="24" width="9" style="6" customWidth="1"/>
    <col min="25" max="25" width="8.58203125" style="237" hidden="1" customWidth="1"/>
    <col min="26" max="29" width="54.58203125" style="201" hidden="1" customWidth="1"/>
    <col min="30" max="30" width="9" style="6" customWidth="1"/>
    <col min="31" max="31" width="31.25" style="6" hidden="1" customWidth="1"/>
    <col min="32" max="32" width="9" style="6" hidden="1" customWidth="1"/>
    <col min="33" max="34" width="15.75" style="6" hidden="1" customWidth="1"/>
    <col min="35" max="35" width="9" style="6" hidden="1" customWidth="1"/>
    <col min="36" max="36" width="24.5" style="6" hidden="1" customWidth="1"/>
    <col min="37" max="37" width="48.58203125" style="6" hidden="1" customWidth="1"/>
    <col min="38" max="38" width="12.58203125" style="6" hidden="1" customWidth="1"/>
    <col min="39" max="39" width="13.83203125" style="6" hidden="1" customWidth="1"/>
    <col min="40" max="40" width="14" style="6" hidden="1" customWidth="1"/>
    <col min="41" max="41" width="10.58203125" style="6" hidden="1" customWidth="1"/>
    <col min="42" max="43" width="12" style="6" hidden="1" customWidth="1"/>
    <col min="44" max="45" width="10.75" style="6" hidden="1" customWidth="1"/>
    <col min="46" max="46" width="9" style="6" hidden="1" customWidth="1"/>
    <col min="47" max="49" width="9" style="6" customWidth="1"/>
    <col min="50" max="16384" width="9" style="6"/>
  </cols>
  <sheetData>
    <row r="1" spans="1:39" ht="43.5" customHeight="1" x14ac:dyDescent="1.05">
      <c r="A1" s="141" t="s">
        <v>19</v>
      </c>
      <c r="B1" s="141" t="s">
        <v>19</v>
      </c>
      <c r="C1" s="141" t="s">
        <v>19</v>
      </c>
      <c r="E1" s="388"/>
      <c r="F1" s="566" t="s">
        <v>134</v>
      </c>
      <c r="G1" s="567"/>
      <c r="H1" s="567"/>
      <c r="I1" s="567"/>
      <c r="J1" s="396"/>
      <c r="K1" s="396"/>
      <c r="L1" s="396"/>
      <c r="M1" s="396"/>
      <c r="N1" s="396"/>
      <c r="O1" s="400"/>
      <c r="P1" s="400"/>
      <c r="Q1" s="48"/>
      <c r="R1" s="48"/>
      <c r="S1" s="48" t="s">
        <v>19</v>
      </c>
      <c r="T1" s="48" t="s">
        <v>19</v>
      </c>
      <c r="U1" s="404"/>
      <c r="V1" s="405"/>
      <c r="W1" s="223"/>
      <c r="X1" s="405"/>
      <c r="Y1" s="568" t="s">
        <v>15</v>
      </c>
      <c r="Z1" s="569"/>
      <c r="AA1" s="569"/>
      <c r="AB1" s="411" t="s">
        <v>135</v>
      </c>
      <c r="AC1" s="412" t="s">
        <v>136</v>
      </c>
      <c r="AD1" s="273"/>
      <c r="AE1" s="6" t="s">
        <v>19</v>
      </c>
      <c r="AF1" s="6" t="s">
        <v>19</v>
      </c>
      <c r="AG1" s="6" t="s">
        <v>19</v>
      </c>
      <c r="AH1" s="6" t="s">
        <v>19</v>
      </c>
    </row>
    <row r="2" spans="1:39" ht="37.5" customHeight="1" thickBot="1" x14ac:dyDescent="0.35">
      <c r="A2" s="155" t="s">
        <v>137</v>
      </c>
      <c r="B2" s="155" t="s">
        <v>138</v>
      </c>
      <c r="C2" s="156" t="s">
        <v>139</v>
      </c>
      <c r="E2" s="388"/>
      <c r="F2" s="7" t="s">
        <v>140</v>
      </c>
      <c r="G2" s="570"/>
      <c r="H2" s="571"/>
      <c r="I2" s="397"/>
      <c r="J2" s="398"/>
      <c r="K2" s="457" t="s">
        <v>141</v>
      </c>
      <c r="L2" s="456" t="s">
        <v>142</v>
      </c>
      <c r="M2" s="329" t="s">
        <v>143</v>
      </c>
      <c r="N2" s="402"/>
      <c r="O2" s="401"/>
      <c r="P2" s="401"/>
      <c r="Q2" s="9" t="s">
        <v>144</v>
      </c>
      <c r="R2" s="9" t="s">
        <v>145</v>
      </c>
      <c r="S2" s="406"/>
      <c r="T2" s="406"/>
      <c r="U2" s="458" t="s">
        <v>146</v>
      </c>
      <c r="V2" s="458" t="s">
        <v>147</v>
      </c>
      <c r="W2" s="223"/>
      <c r="X2" s="407"/>
      <c r="Y2" s="572" t="s">
        <v>148</v>
      </c>
      <c r="Z2" s="573"/>
      <c r="AA2" s="574"/>
      <c r="AB2" s="413"/>
      <c r="AC2" s="407"/>
      <c r="AD2" s="273"/>
    </row>
    <row r="3" spans="1:39" ht="45" customHeight="1" thickBot="1" x14ac:dyDescent="0.35">
      <c r="E3" s="388"/>
      <c r="F3" s="14" t="s">
        <v>149</v>
      </c>
      <c r="G3" s="279" t="str">
        <f>IF(L3&gt;=75,"6 Stars - World Leadership",IF(L3&gt;=60,"5 Star - New Zealand Excellence",IF(L3&gt;=45,"4 Star - New Zealand Best Practice","")))</f>
        <v/>
      </c>
      <c r="H3" s="280"/>
      <c r="I3" s="399"/>
      <c r="J3" s="48"/>
      <c r="K3" s="114">
        <f>K119</f>
        <v>100</v>
      </c>
      <c r="L3" s="115">
        <f>L122</f>
        <v>0</v>
      </c>
      <c r="M3" s="330">
        <f>AQ49</f>
        <v>0</v>
      </c>
      <c r="N3" s="403"/>
      <c r="O3" s="401"/>
      <c r="P3" s="401"/>
      <c r="Q3" s="162">
        <f>Q119</f>
        <v>0</v>
      </c>
      <c r="R3" s="162">
        <f>R119</f>
        <v>0</v>
      </c>
      <c r="S3" s="408"/>
      <c r="T3" s="409" t="str">
        <f>IF(U132&lt;=SUM(T128:T129),"",V132)</f>
        <v/>
      </c>
      <c r="U3" s="459">
        <f>AL18</f>
        <v>0</v>
      </c>
      <c r="V3" s="459">
        <f>AL19</f>
        <v>0</v>
      </c>
      <c r="W3" s="410"/>
      <c r="X3" s="407"/>
      <c r="Y3" s="575"/>
      <c r="Z3" s="576"/>
      <c r="AA3" s="577"/>
      <c r="AB3" s="413"/>
      <c r="AC3" s="407"/>
      <c r="AD3" s="273"/>
    </row>
    <row r="4" spans="1:39" ht="37.5" customHeight="1" x14ac:dyDescent="0.3">
      <c r="E4" s="388"/>
      <c r="F4" s="394"/>
      <c r="G4" s="395"/>
      <c r="H4" s="396"/>
      <c r="I4" s="395"/>
      <c r="J4" s="396"/>
      <c r="K4" s="396"/>
      <c r="L4" s="396"/>
      <c r="M4" s="396"/>
      <c r="N4" s="396"/>
      <c r="O4" s="401"/>
      <c r="P4" s="401"/>
      <c r="Q4" s="396"/>
      <c r="R4" s="396"/>
      <c r="S4" s="396"/>
      <c r="T4" s="396"/>
      <c r="U4" s="404"/>
      <c r="V4" s="405"/>
      <c r="W4" s="225"/>
      <c r="X4" s="405"/>
      <c r="Y4" s="396"/>
      <c r="Z4" s="405"/>
      <c r="AA4" s="405"/>
      <c r="AB4" s="405"/>
      <c r="AC4" s="405"/>
      <c r="AD4" s="273"/>
    </row>
    <row r="5" spans="1:39" ht="45" customHeight="1" x14ac:dyDescent="0.3">
      <c r="E5" s="438" t="s">
        <v>150</v>
      </c>
      <c r="F5" s="18" t="s">
        <v>151</v>
      </c>
      <c r="G5" s="18" t="s">
        <v>152</v>
      </c>
      <c r="H5" s="9" t="s">
        <v>153</v>
      </c>
      <c r="I5" s="18" t="s">
        <v>154</v>
      </c>
      <c r="J5" s="326" t="s">
        <v>155</v>
      </c>
      <c r="K5" s="9" t="s">
        <v>156</v>
      </c>
      <c r="L5" s="9" t="s">
        <v>157</v>
      </c>
      <c r="M5" s="327" t="s">
        <v>158</v>
      </c>
      <c r="N5" s="328" t="s">
        <v>159</v>
      </c>
      <c r="O5" s="26"/>
      <c r="P5" s="26"/>
      <c r="Q5" s="9" t="s">
        <v>160</v>
      </c>
      <c r="R5" s="9" t="s">
        <v>161</v>
      </c>
      <c r="S5" s="9" t="s">
        <v>162</v>
      </c>
      <c r="T5" s="9" t="s">
        <v>163</v>
      </c>
      <c r="U5" s="167" t="s">
        <v>164</v>
      </c>
      <c r="V5" s="167" t="s">
        <v>165</v>
      </c>
      <c r="W5" s="193" t="s">
        <v>166</v>
      </c>
      <c r="X5" s="405"/>
      <c r="Y5" s="240" t="s">
        <v>167</v>
      </c>
      <c r="Z5" s="240" t="s">
        <v>168</v>
      </c>
      <c r="AA5" s="240" t="s">
        <v>169</v>
      </c>
      <c r="AB5" s="240" t="s">
        <v>170</v>
      </c>
      <c r="AC5" s="240" t="s">
        <v>171</v>
      </c>
      <c r="AD5" s="273"/>
    </row>
    <row r="6" spans="1:39" ht="45" customHeight="1" x14ac:dyDescent="0.3">
      <c r="E6" s="439"/>
      <c r="F6" s="20" t="s">
        <v>172</v>
      </c>
      <c r="G6" s="21"/>
      <c r="H6" s="22"/>
      <c r="I6" s="21"/>
      <c r="J6" s="21"/>
      <c r="K6" s="22">
        <f>15-SUM(B7:B24)</f>
        <v>15</v>
      </c>
      <c r="L6" s="22"/>
      <c r="M6" s="325"/>
      <c r="N6" s="325"/>
      <c r="O6" s="26"/>
      <c r="P6" s="26"/>
      <c r="Q6" s="9"/>
      <c r="R6" s="9"/>
      <c r="S6" s="9"/>
      <c r="T6" s="9"/>
      <c r="U6" s="167"/>
      <c r="V6" s="167"/>
      <c r="W6" s="193"/>
      <c r="X6" s="405"/>
      <c r="Y6" s="241" t="s">
        <v>173</v>
      </c>
      <c r="Z6" s="243" t="s">
        <v>174</v>
      </c>
      <c r="AA6" s="243" t="s">
        <v>175</v>
      </c>
      <c r="AB6" s="240"/>
      <c r="AC6" s="240"/>
      <c r="AD6" s="273"/>
      <c r="AG6" s="97"/>
      <c r="AH6" s="97"/>
      <c r="AI6" s="95"/>
      <c r="AJ6" s="95"/>
      <c r="AK6" s="354" t="s">
        <v>176</v>
      </c>
      <c r="AL6" s="354"/>
      <c r="AM6" s="354"/>
    </row>
    <row r="7" spans="1:39" ht="45" customHeight="1" x14ac:dyDescent="0.3">
      <c r="E7" s="440"/>
      <c r="F7" s="173" t="s">
        <v>177</v>
      </c>
      <c r="G7" s="256" t="s">
        <v>178</v>
      </c>
      <c r="H7" s="264">
        <v>1</v>
      </c>
      <c r="I7" s="256" t="s">
        <v>177</v>
      </c>
      <c r="J7" s="24" t="s">
        <v>179</v>
      </c>
      <c r="K7" s="24">
        <v>1</v>
      </c>
      <c r="L7" s="25"/>
      <c r="M7" s="473" t="s">
        <v>180</v>
      </c>
      <c r="N7" s="25"/>
      <c r="O7" s="26"/>
      <c r="P7" s="26"/>
      <c r="Q7" s="27" t="str">
        <f t="shared" ref="Q7:Q21" si="0">IF(OR(U7=$AG$9,U7=$AG$10),L7,"")</f>
        <v/>
      </c>
      <c r="R7" s="27" t="str">
        <f t="shared" ref="R7:R21" si="1">IF(U7=$AG$11,L7,"")</f>
        <v/>
      </c>
      <c r="S7" s="27"/>
      <c r="T7" s="27"/>
      <c r="U7" s="384"/>
      <c r="V7" s="460"/>
      <c r="W7" s="386"/>
      <c r="X7" s="405"/>
      <c r="Y7" s="244"/>
      <c r="Z7" s="245"/>
      <c r="AA7" s="245"/>
      <c r="AB7" s="245"/>
      <c r="AC7" s="245"/>
      <c r="AD7" s="273"/>
      <c r="AG7" s="97"/>
      <c r="AH7" s="97"/>
      <c r="AI7" s="95"/>
      <c r="AJ7" s="95"/>
      <c r="AK7" s="355" t="s">
        <v>181</v>
      </c>
      <c r="AL7" s="356">
        <f>'Building Input Sheet'!D102</f>
        <v>0</v>
      </c>
      <c r="AM7" s="364"/>
    </row>
    <row r="8" spans="1:39" ht="45" customHeight="1" x14ac:dyDescent="0.3">
      <c r="E8" s="440"/>
      <c r="F8" s="527" t="s">
        <v>182</v>
      </c>
      <c r="G8" s="578" t="s">
        <v>183</v>
      </c>
      <c r="H8" s="29">
        <v>2.1</v>
      </c>
      <c r="I8" s="33" t="s">
        <v>184</v>
      </c>
      <c r="J8" s="24" t="s">
        <v>179</v>
      </c>
      <c r="K8" s="259" t="s">
        <v>185</v>
      </c>
      <c r="L8" s="31"/>
      <c r="M8" s="474" t="s">
        <v>180</v>
      </c>
      <c r="N8" s="31"/>
      <c r="O8" s="19"/>
      <c r="P8" s="26"/>
      <c r="Q8" s="27" t="str">
        <f t="shared" si="0"/>
        <v/>
      </c>
      <c r="R8" s="27" t="str">
        <f t="shared" si="1"/>
        <v/>
      </c>
      <c r="S8" s="27"/>
      <c r="T8" s="27"/>
      <c r="U8" s="384"/>
      <c r="V8" s="461"/>
      <c r="W8" s="386"/>
      <c r="X8" s="405"/>
      <c r="Y8" s="244"/>
      <c r="Z8" s="245"/>
      <c r="AA8" s="245"/>
      <c r="AB8" s="245"/>
      <c r="AC8" s="245"/>
      <c r="AD8" s="273"/>
      <c r="AE8" s="105" t="s">
        <v>186</v>
      </c>
      <c r="AF8" s="105"/>
      <c r="AG8" s="97"/>
      <c r="AH8" s="97" t="s">
        <v>187</v>
      </c>
      <c r="AI8" s="95"/>
      <c r="AJ8" s="95"/>
      <c r="AK8" s="355" t="s">
        <v>188</v>
      </c>
      <c r="AL8" s="356">
        <f>'Building Input Sheet'!D103</f>
        <v>0</v>
      </c>
      <c r="AM8" s="364"/>
    </row>
    <row r="9" spans="1:39" ht="45" customHeight="1" x14ac:dyDescent="0.3">
      <c r="E9" s="440"/>
      <c r="F9" s="528"/>
      <c r="G9" s="579"/>
      <c r="H9" s="32">
        <v>2.2000000000000002</v>
      </c>
      <c r="I9" s="33" t="s">
        <v>189</v>
      </c>
      <c r="J9" s="24" t="s">
        <v>179</v>
      </c>
      <c r="K9" s="34">
        <v>1</v>
      </c>
      <c r="L9" s="25"/>
      <c r="M9" s="473" t="s">
        <v>180</v>
      </c>
      <c r="N9" s="25"/>
      <c r="O9" s="26" t="str">
        <f>IF(AND(L9&gt;0,$L$8&lt;&gt;$AH$8),"!","")</f>
        <v/>
      </c>
      <c r="P9" s="26"/>
      <c r="Q9" s="27" t="str">
        <f t="shared" si="0"/>
        <v/>
      </c>
      <c r="R9" s="27" t="str">
        <f t="shared" si="1"/>
        <v/>
      </c>
      <c r="S9" s="27"/>
      <c r="T9" s="27"/>
      <c r="U9" s="384"/>
      <c r="V9" s="461"/>
      <c r="W9" s="386"/>
      <c r="X9" s="405"/>
      <c r="Y9" s="244"/>
      <c r="Z9" s="245"/>
      <c r="AA9" s="245"/>
      <c r="AB9" s="245"/>
      <c r="AC9" s="245"/>
      <c r="AD9" s="273"/>
      <c r="AE9" s="105" t="s">
        <v>190</v>
      </c>
      <c r="AF9" s="105" t="s">
        <v>191</v>
      </c>
      <c r="AG9" s="97" t="s">
        <v>192</v>
      </c>
      <c r="AH9" s="97" t="s">
        <v>193</v>
      </c>
      <c r="AI9" s="95"/>
      <c r="AJ9" s="95"/>
      <c r="AK9" s="355" t="s">
        <v>194</v>
      </c>
      <c r="AL9" s="356">
        <f>'Building Input Sheet'!D104</f>
        <v>0</v>
      </c>
      <c r="AM9" s="364"/>
    </row>
    <row r="10" spans="1:39" ht="45" customHeight="1" x14ac:dyDescent="0.3">
      <c r="E10" s="440"/>
      <c r="F10" s="528"/>
      <c r="G10" s="579"/>
      <c r="H10" s="32">
        <v>2.2999999999999998</v>
      </c>
      <c r="I10" s="33" t="s">
        <v>195</v>
      </c>
      <c r="J10" s="24" t="s">
        <v>179</v>
      </c>
      <c r="K10" s="34">
        <v>1</v>
      </c>
      <c r="L10" s="25"/>
      <c r="M10" s="473" t="s">
        <v>180</v>
      </c>
      <c r="N10" s="25"/>
      <c r="O10" s="26" t="str">
        <f>IF(AND(L10&gt;0,$L$8&lt;&gt;$AH$8),"!","")</f>
        <v/>
      </c>
      <c r="P10" s="26"/>
      <c r="Q10" s="27" t="str">
        <f t="shared" si="0"/>
        <v/>
      </c>
      <c r="R10" s="27" t="str">
        <f t="shared" si="1"/>
        <v/>
      </c>
      <c r="S10" s="27"/>
      <c r="T10" s="27"/>
      <c r="U10" s="384"/>
      <c r="V10" s="461"/>
      <c r="W10" s="386"/>
      <c r="X10" s="405"/>
      <c r="Y10" s="244"/>
      <c r="Z10" s="245"/>
      <c r="AA10" s="245"/>
      <c r="AB10" s="245"/>
      <c r="AC10" s="245"/>
      <c r="AD10" s="273"/>
      <c r="AF10" s="105" t="s">
        <v>196</v>
      </c>
      <c r="AG10" s="97" t="s">
        <v>197</v>
      </c>
      <c r="AH10" s="95"/>
      <c r="AI10" s="95"/>
      <c r="AJ10" s="95"/>
      <c r="AK10" s="357" t="s">
        <v>198</v>
      </c>
      <c r="AL10" s="358" t="e">
        <f>AL8/AL7</f>
        <v>#DIV/0!</v>
      </c>
      <c r="AM10" s="365"/>
    </row>
    <row r="11" spans="1:39" ht="45" customHeight="1" x14ac:dyDescent="0.3">
      <c r="E11" s="440"/>
      <c r="F11" s="528"/>
      <c r="G11" s="579"/>
      <c r="H11" s="32">
        <v>2.4</v>
      </c>
      <c r="I11" s="33" t="s">
        <v>199</v>
      </c>
      <c r="J11" s="24" t="s">
        <v>179</v>
      </c>
      <c r="K11" s="34">
        <v>1</v>
      </c>
      <c r="L11" s="25"/>
      <c r="M11" s="473" t="s">
        <v>180</v>
      </c>
      <c r="N11" s="25"/>
      <c r="O11" s="26" t="str">
        <f>IF(AND(L11&gt;0,$L$8&lt;&gt;$AH$8),"!","")</f>
        <v/>
      </c>
      <c r="P11" s="26"/>
      <c r="Q11" s="27" t="str">
        <f t="shared" si="0"/>
        <v/>
      </c>
      <c r="R11" s="27" t="str">
        <f t="shared" si="1"/>
        <v/>
      </c>
      <c r="S11" s="27"/>
      <c r="T11" s="27"/>
      <c r="U11" s="384"/>
      <c r="V11" s="461"/>
      <c r="W11" s="386"/>
      <c r="X11" s="405"/>
      <c r="Y11" s="244"/>
      <c r="Z11" s="245"/>
      <c r="AA11" s="245"/>
      <c r="AB11" s="245"/>
      <c r="AC11" s="245"/>
      <c r="AD11" s="273"/>
      <c r="AF11" s="105" t="s">
        <v>200</v>
      </c>
      <c r="AG11" s="97" t="s">
        <v>201</v>
      </c>
      <c r="AH11" s="95"/>
      <c r="AI11" s="95"/>
      <c r="AJ11" s="95"/>
      <c r="AK11" s="357" t="s">
        <v>202</v>
      </c>
      <c r="AL11" s="358" t="e">
        <f>AL9/AL7</f>
        <v>#DIV/0!</v>
      </c>
      <c r="AM11" s="365"/>
    </row>
    <row r="12" spans="1:39" ht="45" customHeight="1" x14ac:dyDescent="0.3">
      <c r="E12" s="440"/>
      <c r="F12" s="528"/>
      <c r="G12" s="579"/>
      <c r="H12" s="32">
        <v>2.5</v>
      </c>
      <c r="I12" s="33" t="s">
        <v>203</v>
      </c>
      <c r="J12" s="24" t="s">
        <v>179</v>
      </c>
      <c r="K12" s="34">
        <v>1</v>
      </c>
      <c r="L12" s="25"/>
      <c r="M12" s="473" t="s">
        <v>180</v>
      </c>
      <c r="N12" s="25"/>
      <c r="O12" s="26" t="str">
        <f>IF(AND(L12&gt;0,$L$8&lt;&gt;$AH$8),"!","")</f>
        <v/>
      </c>
      <c r="P12" s="26"/>
      <c r="Q12" s="27" t="str">
        <f t="shared" si="0"/>
        <v/>
      </c>
      <c r="R12" s="27" t="str">
        <f t="shared" si="1"/>
        <v/>
      </c>
      <c r="S12" s="27"/>
      <c r="T12" s="27"/>
      <c r="U12" s="384"/>
      <c r="V12" s="461"/>
      <c r="W12" s="386"/>
      <c r="X12" s="405"/>
      <c r="Y12" s="244"/>
      <c r="Z12" s="245"/>
      <c r="AA12" s="245"/>
      <c r="AB12" s="245"/>
      <c r="AC12" s="245"/>
      <c r="AD12" s="273"/>
      <c r="AF12" s="105" t="s">
        <v>204</v>
      </c>
      <c r="AG12" s="97"/>
      <c r="AH12" s="95"/>
      <c r="AI12" s="95"/>
      <c r="AJ12" s="95"/>
      <c r="AK12" s="357" t="s">
        <v>205</v>
      </c>
      <c r="AL12" s="359" t="e">
        <f>IF(AND((AL10+AL11)&gt;0.05,(AL10+AL11)&lt;&gt;""),"Yes","No")</f>
        <v>#DIV/0!</v>
      </c>
      <c r="AM12" s="366"/>
    </row>
    <row r="13" spans="1:39" ht="45" customHeight="1" x14ac:dyDescent="0.3">
      <c r="E13" s="440"/>
      <c r="F13" s="533" t="s">
        <v>206</v>
      </c>
      <c r="G13" s="563" t="s">
        <v>207</v>
      </c>
      <c r="H13" s="23">
        <v>3.1</v>
      </c>
      <c r="I13" s="256" t="s">
        <v>208</v>
      </c>
      <c r="J13" s="24" t="s">
        <v>179</v>
      </c>
      <c r="K13" s="24">
        <v>2</v>
      </c>
      <c r="L13" s="25"/>
      <c r="M13" s="473" t="s">
        <v>180</v>
      </c>
      <c r="N13" s="25"/>
      <c r="O13" s="26"/>
      <c r="P13" s="26"/>
      <c r="Q13" s="27" t="str">
        <f t="shared" si="0"/>
        <v/>
      </c>
      <c r="R13" s="27" t="str">
        <f t="shared" si="1"/>
        <v/>
      </c>
      <c r="S13" s="27"/>
      <c r="T13" s="27"/>
      <c r="U13" s="384"/>
      <c r="V13" s="461"/>
      <c r="W13" s="386"/>
      <c r="X13" s="405"/>
      <c r="Y13" s="244"/>
      <c r="Z13" s="245"/>
      <c r="AA13" s="245"/>
      <c r="AB13" s="245"/>
      <c r="AC13" s="245"/>
      <c r="AD13" s="273"/>
      <c r="AG13" s="95"/>
      <c r="AH13" s="95"/>
      <c r="AI13" s="95"/>
      <c r="AJ13" s="95"/>
      <c r="AK13" s="357" t="s">
        <v>209</v>
      </c>
      <c r="AL13" s="359" t="str">
        <f>IF('Building Input Sheet'!D53="Yes","Yes","No")</f>
        <v>Yes</v>
      </c>
      <c r="AM13" s="366"/>
    </row>
    <row r="14" spans="1:39" ht="45" customHeight="1" x14ac:dyDescent="0.3">
      <c r="E14" s="440"/>
      <c r="F14" s="527"/>
      <c r="G14" s="564"/>
      <c r="H14" s="23">
        <v>3.2</v>
      </c>
      <c r="I14" s="256" t="s">
        <v>210</v>
      </c>
      <c r="J14" s="24" t="s">
        <v>179</v>
      </c>
      <c r="K14" s="24">
        <v>1</v>
      </c>
      <c r="L14" s="25"/>
      <c r="M14" s="473" t="s">
        <v>180</v>
      </c>
      <c r="N14" s="25"/>
      <c r="O14" s="26"/>
      <c r="P14" s="26"/>
      <c r="Q14" s="27" t="str">
        <f t="shared" si="0"/>
        <v/>
      </c>
      <c r="R14" s="27" t="str">
        <f t="shared" si="1"/>
        <v/>
      </c>
      <c r="S14" s="27"/>
      <c r="T14" s="27"/>
      <c r="U14" s="384"/>
      <c r="V14" s="461"/>
      <c r="W14" s="386"/>
      <c r="X14" s="405"/>
      <c r="Y14" s="244"/>
      <c r="Z14" s="245"/>
      <c r="AA14" s="245"/>
      <c r="AB14" s="245"/>
      <c r="AC14" s="245"/>
      <c r="AD14" s="273"/>
      <c r="AG14" s="95"/>
      <c r="AH14" s="95"/>
      <c r="AI14" s="95"/>
      <c r="AJ14" s="95"/>
      <c r="AK14" s="357" t="s">
        <v>211</v>
      </c>
      <c r="AL14" s="370">
        <f>ROUND(IF('Building Input Sheet'!D105+'Building Input Sheet'!D106&gt;=0.95,0,IF('Building Input Sheet'!D105+'Building Input Sheet'!D106&lt;=0.05,1,1-('Building Input Sheet'!D105+'Building Input Sheet'!D106))),2)</f>
        <v>1</v>
      </c>
      <c r="AM14" s="366"/>
    </row>
    <row r="15" spans="1:39" ht="87" customHeight="1" x14ac:dyDescent="0.3">
      <c r="E15" s="440"/>
      <c r="F15" s="173" t="s">
        <v>212</v>
      </c>
      <c r="G15" s="253" t="s">
        <v>213</v>
      </c>
      <c r="H15" s="264">
        <v>4.0999999999999996</v>
      </c>
      <c r="I15" s="256" t="s">
        <v>212</v>
      </c>
      <c r="J15" s="24" t="s">
        <v>179</v>
      </c>
      <c r="K15" s="24">
        <v>1</v>
      </c>
      <c r="L15" s="25"/>
      <c r="M15" s="473" t="s">
        <v>180</v>
      </c>
      <c r="N15" s="25"/>
      <c r="O15" s="26"/>
      <c r="P15" s="26"/>
      <c r="Q15" s="27" t="str">
        <f t="shared" si="0"/>
        <v/>
      </c>
      <c r="R15" s="27" t="str">
        <f t="shared" si="1"/>
        <v/>
      </c>
      <c r="S15" s="27"/>
      <c r="T15" s="27"/>
      <c r="U15" s="384"/>
      <c r="V15" s="461"/>
      <c r="W15" s="386"/>
      <c r="X15" s="405"/>
      <c r="Y15" s="244"/>
      <c r="Z15" s="245"/>
      <c r="AA15" s="245"/>
      <c r="AB15" s="245"/>
      <c r="AC15" s="245"/>
      <c r="AD15" s="273"/>
      <c r="AG15" s="95"/>
      <c r="AH15" s="95"/>
      <c r="AI15" s="95"/>
      <c r="AJ15" s="95"/>
      <c r="AK15" s="357" t="s">
        <v>214</v>
      </c>
      <c r="AL15" s="370">
        <f>ROUND(IF('Building Input Sheet'!D105&gt;=0.95,0,IF('Building Input Sheet'!D105&lt;=0.05,1,1-'Building Input Sheet'!D105)),2)</f>
        <v>1</v>
      </c>
      <c r="AM15" s="367"/>
    </row>
    <row r="16" spans="1:39" ht="45" customHeight="1" x14ac:dyDescent="0.3">
      <c r="E16" s="440"/>
      <c r="F16" s="528" t="s">
        <v>215</v>
      </c>
      <c r="G16" s="562" t="s">
        <v>216</v>
      </c>
      <c r="H16" s="23">
        <v>5.0999999999999996</v>
      </c>
      <c r="I16" s="256" t="s">
        <v>217</v>
      </c>
      <c r="J16" s="24" t="s">
        <v>179</v>
      </c>
      <c r="K16" s="24">
        <v>1</v>
      </c>
      <c r="L16" s="25"/>
      <c r="M16" s="473" t="s">
        <v>180</v>
      </c>
      <c r="N16" s="25"/>
      <c r="O16" s="26"/>
      <c r="P16" s="26"/>
      <c r="Q16" s="27" t="str">
        <f t="shared" si="0"/>
        <v/>
      </c>
      <c r="R16" s="27" t="str">
        <f t="shared" si="1"/>
        <v/>
      </c>
      <c r="S16" s="27"/>
      <c r="T16" s="27"/>
      <c r="U16" s="384"/>
      <c r="V16" s="461"/>
      <c r="W16" s="386"/>
      <c r="X16" s="405"/>
      <c r="Y16" s="244"/>
      <c r="Z16" s="245"/>
      <c r="AA16" s="245"/>
      <c r="AB16" s="245"/>
      <c r="AC16" s="245"/>
      <c r="AD16" s="273"/>
      <c r="AG16" s="95"/>
      <c r="AH16" s="95"/>
      <c r="AI16" s="95"/>
      <c r="AJ16" s="95"/>
      <c r="AK16" s="361" t="s">
        <v>218</v>
      </c>
      <c r="AL16" s="360">
        <f>AP49</f>
        <v>0</v>
      </c>
      <c r="AM16" s="367"/>
    </row>
    <row r="17" spans="1:45" ht="45" customHeight="1" x14ac:dyDescent="0.3">
      <c r="E17" s="440"/>
      <c r="F17" s="528"/>
      <c r="G17" s="562"/>
      <c r="H17" s="23">
        <v>5.2</v>
      </c>
      <c r="I17" s="256" t="s">
        <v>219</v>
      </c>
      <c r="J17" s="24" t="s">
        <v>179</v>
      </c>
      <c r="K17" s="24">
        <v>1</v>
      </c>
      <c r="L17" s="25"/>
      <c r="M17" s="473" t="s">
        <v>180</v>
      </c>
      <c r="N17" s="25"/>
      <c r="O17" s="26"/>
      <c r="P17" s="26"/>
      <c r="Q17" s="27" t="str">
        <f t="shared" si="0"/>
        <v/>
      </c>
      <c r="R17" s="27" t="str">
        <f t="shared" si="1"/>
        <v/>
      </c>
      <c r="S17" s="27"/>
      <c r="T17" s="27"/>
      <c r="U17" s="384"/>
      <c r="V17" s="461"/>
      <c r="W17" s="386"/>
      <c r="X17" s="405"/>
      <c r="Y17" s="244"/>
      <c r="Z17" s="245"/>
      <c r="AA17" s="245"/>
      <c r="AB17" s="245"/>
      <c r="AC17" s="245"/>
      <c r="AD17" s="273"/>
      <c r="AG17" s="95"/>
      <c r="AH17" s="95"/>
      <c r="AI17" s="95"/>
      <c r="AJ17" s="95"/>
      <c r="AK17" s="357" t="s">
        <v>220</v>
      </c>
      <c r="AL17" s="360">
        <f>AQ49</f>
        <v>0</v>
      </c>
      <c r="AM17" s="367"/>
    </row>
    <row r="18" spans="1:45" ht="45" customHeight="1" x14ac:dyDescent="0.3">
      <c r="E18" s="440"/>
      <c r="F18" s="528" t="s">
        <v>221</v>
      </c>
      <c r="G18" s="562" t="s">
        <v>222</v>
      </c>
      <c r="H18" s="23">
        <v>6.1</v>
      </c>
      <c r="I18" s="256" t="s">
        <v>223</v>
      </c>
      <c r="J18" s="24" t="s">
        <v>179</v>
      </c>
      <c r="K18" s="185" t="s">
        <v>185</v>
      </c>
      <c r="L18" s="31"/>
      <c r="M18" s="474" t="s">
        <v>180</v>
      </c>
      <c r="N18" s="31"/>
      <c r="O18" s="26"/>
      <c r="P18" s="26"/>
      <c r="Q18" s="27" t="str">
        <f t="shared" si="0"/>
        <v/>
      </c>
      <c r="R18" s="27" t="str">
        <f t="shared" si="1"/>
        <v/>
      </c>
      <c r="S18" s="27"/>
      <c r="T18" s="27"/>
      <c r="U18" s="384"/>
      <c r="V18" s="461"/>
      <c r="W18" s="386"/>
      <c r="X18" s="405"/>
      <c r="Y18" s="244"/>
      <c r="Z18" s="245"/>
      <c r="AA18" s="245"/>
      <c r="AB18" s="245"/>
      <c r="AC18" s="245"/>
      <c r="AD18" s="273"/>
      <c r="AG18" s="95"/>
      <c r="AH18" s="95"/>
      <c r="AI18" s="95"/>
      <c r="AJ18" s="95"/>
      <c r="AK18" s="357" t="s">
        <v>224</v>
      </c>
      <c r="AL18" s="360">
        <f>AR49</f>
        <v>0</v>
      </c>
      <c r="AM18" s="367"/>
    </row>
    <row r="19" spans="1:45" ht="45" customHeight="1" x14ac:dyDescent="0.3">
      <c r="E19" s="440"/>
      <c r="F19" s="528"/>
      <c r="G19" s="562"/>
      <c r="H19" s="23">
        <v>6.2</v>
      </c>
      <c r="I19" s="256" t="s">
        <v>225</v>
      </c>
      <c r="J19" s="24" t="s">
        <v>179</v>
      </c>
      <c r="K19" s="24">
        <v>1</v>
      </c>
      <c r="L19" s="25"/>
      <c r="M19" s="473" t="s">
        <v>180</v>
      </c>
      <c r="N19" s="25"/>
      <c r="O19" s="26" t="str">
        <f>IF(AND(L19&gt;0,$L$18&lt;&gt;$AH$8),"!","")</f>
        <v/>
      </c>
      <c r="P19" s="26"/>
      <c r="Q19" s="27" t="str">
        <f t="shared" si="0"/>
        <v/>
      </c>
      <c r="R19" s="27" t="str">
        <f t="shared" si="1"/>
        <v/>
      </c>
      <c r="S19" s="27"/>
      <c r="T19" s="27"/>
      <c r="U19" s="384"/>
      <c r="V19" s="461"/>
      <c r="W19" s="386"/>
      <c r="X19" s="405"/>
      <c r="Y19" s="244"/>
      <c r="Z19" s="245"/>
      <c r="AA19" s="245"/>
      <c r="AB19" s="245"/>
      <c r="AC19" s="245"/>
      <c r="AD19" s="273"/>
      <c r="AG19" s="95"/>
      <c r="AH19" s="95"/>
      <c r="AI19" s="95"/>
      <c r="AJ19" s="95"/>
      <c r="AK19" s="357" t="s">
        <v>226</v>
      </c>
      <c r="AL19" s="360">
        <f>AS49</f>
        <v>0</v>
      </c>
      <c r="AM19" s="367"/>
    </row>
    <row r="20" spans="1:45" ht="45" customHeight="1" x14ac:dyDescent="0.3">
      <c r="E20" s="440"/>
      <c r="F20" s="533" t="s">
        <v>227</v>
      </c>
      <c r="G20" s="531" t="s">
        <v>228</v>
      </c>
      <c r="H20" s="23">
        <v>7.1</v>
      </c>
      <c r="I20" s="256" t="s">
        <v>229</v>
      </c>
      <c r="J20" s="24" t="s">
        <v>230</v>
      </c>
      <c r="K20" s="260" t="s">
        <v>185</v>
      </c>
      <c r="L20" s="36"/>
      <c r="M20" s="475" t="s">
        <v>180</v>
      </c>
      <c r="N20" s="36"/>
      <c r="O20" s="26"/>
      <c r="P20" s="26"/>
      <c r="Q20" s="27" t="str">
        <f t="shared" si="0"/>
        <v/>
      </c>
      <c r="R20" s="27" t="str">
        <f t="shared" si="1"/>
        <v/>
      </c>
      <c r="S20" s="27"/>
      <c r="T20" s="27"/>
      <c r="U20" s="384"/>
      <c r="V20" s="461"/>
      <c r="W20" s="386"/>
      <c r="X20" s="405"/>
      <c r="Y20" s="244"/>
      <c r="Z20" s="245"/>
      <c r="AA20" s="245"/>
      <c r="AB20" s="245"/>
      <c r="AC20" s="245"/>
      <c r="AD20" s="273"/>
      <c r="AG20" s="95"/>
      <c r="AH20" s="95"/>
      <c r="AI20" s="95"/>
      <c r="AJ20" s="95"/>
    </row>
    <row r="21" spans="1:45" ht="45" customHeight="1" x14ac:dyDescent="0.3">
      <c r="E21" s="440"/>
      <c r="F21" s="534"/>
      <c r="G21" s="529"/>
      <c r="H21" s="23">
        <v>7.2</v>
      </c>
      <c r="I21" s="256" t="s">
        <v>231</v>
      </c>
      <c r="J21" s="24" t="s">
        <v>230</v>
      </c>
      <c r="K21" s="35">
        <v>1</v>
      </c>
      <c r="L21" s="37"/>
      <c r="M21" s="476" t="s">
        <v>180</v>
      </c>
      <c r="N21" s="37"/>
      <c r="O21" s="26" t="str">
        <f>IF(AND(L21&gt;0,$L$20&lt;&gt;$AH$8),"!","")</f>
        <v/>
      </c>
      <c r="P21" s="26"/>
      <c r="Q21" s="27" t="str">
        <f t="shared" si="0"/>
        <v/>
      </c>
      <c r="R21" s="27" t="str">
        <f t="shared" si="1"/>
        <v/>
      </c>
      <c r="S21" s="27"/>
      <c r="T21" s="27"/>
      <c r="U21" s="384"/>
      <c r="V21" s="461"/>
      <c r="W21" s="386"/>
      <c r="X21" s="405"/>
      <c r="Y21" s="244"/>
      <c r="Z21" s="245"/>
      <c r="AA21" s="245"/>
      <c r="AB21" s="245"/>
      <c r="AC21" s="245"/>
      <c r="AD21" s="273"/>
      <c r="AG21" s="95"/>
      <c r="AH21" s="95"/>
      <c r="AI21" s="95"/>
      <c r="AJ21" s="95"/>
      <c r="AK21" s="332" t="s">
        <v>232</v>
      </c>
      <c r="AL21" s="333" t="s">
        <v>143</v>
      </c>
      <c r="AM21" s="333" t="s">
        <v>233</v>
      </c>
      <c r="AN21" s="333" t="s">
        <v>234</v>
      </c>
      <c r="AO21" s="333" t="s">
        <v>137</v>
      </c>
      <c r="AP21" s="333" t="s">
        <v>235</v>
      </c>
      <c r="AQ21" s="333" t="s">
        <v>236</v>
      </c>
      <c r="AR21" s="333" t="s">
        <v>146</v>
      </c>
      <c r="AS21" s="334" t="s">
        <v>237</v>
      </c>
    </row>
    <row r="22" spans="1:45" ht="45" customHeight="1" x14ac:dyDescent="0.3">
      <c r="E22" s="440"/>
      <c r="F22" s="527"/>
      <c r="G22" s="530"/>
      <c r="H22" s="23">
        <v>7.3</v>
      </c>
      <c r="I22" s="256" t="s">
        <v>238</v>
      </c>
      <c r="J22" s="24" t="s">
        <v>230</v>
      </c>
      <c r="K22" s="35">
        <v>1</v>
      </c>
      <c r="L22" s="37"/>
      <c r="M22" s="476" t="s">
        <v>180</v>
      </c>
      <c r="N22" s="37"/>
      <c r="O22" s="26" t="str">
        <f>IF(AND(L22&gt;0,$L$20&lt;&gt;$AH$8),"!","")</f>
        <v/>
      </c>
      <c r="P22" s="26"/>
      <c r="Q22" s="27"/>
      <c r="R22" s="27"/>
      <c r="S22" s="27"/>
      <c r="T22" s="27"/>
      <c r="U22" s="384"/>
      <c r="V22" s="461"/>
      <c r="W22" s="386"/>
      <c r="X22" s="405"/>
      <c r="Y22" s="244"/>
      <c r="Z22" s="245"/>
      <c r="AA22" s="245"/>
      <c r="AB22" s="245"/>
      <c r="AC22" s="245"/>
      <c r="AD22" s="273"/>
      <c r="AG22" s="95"/>
      <c r="AH22" s="95"/>
      <c r="AI22" s="95"/>
      <c r="AJ22" s="95"/>
      <c r="AK22" s="335">
        <v>9.1</v>
      </c>
      <c r="AL22" s="336" t="b">
        <f>IF('Building Input Sheet'!E58="Yes",TRUE,FALSE)</f>
        <v>0</v>
      </c>
      <c r="AM22" s="368"/>
      <c r="AN22" s="337"/>
      <c r="AO22" s="338">
        <f>IF(AL22=TRUE,0,1)</f>
        <v>1</v>
      </c>
      <c r="AP22" s="338" t="str">
        <f>IF(AL22=TRUE,1,"-")</f>
        <v>-</v>
      </c>
      <c r="AQ22" s="338">
        <f>IF(AL22=TRUE,AP22,0)</f>
        <v>0</v>
      </c>
      <c r="AR22" s="338">
        <f>IF(AND(AL22=TRUE,OR(V28=$AG$9,V28=$AG$10)),AQ22,0)</f>
        <v>0</v>
      </c>
      <c r="AS22" s="339">
        <f>IF(AND(AL22=TRUE,V28=$AG$11),AQ22,0)</f>
        <v>0</v>
      </c>
    </row>
    <row r="23" spans="1:45" ht="45" customHeight="1" x14ac:dyDescent="0.3">
      <c r="E23" s="440"/>
      <c r="F23" s="533" t="s">
        <v>239</v>
      </c>
      <c r="G23" s="541" t="s">
        <v>186</v>
      </c>
      <c r="H23" s="381" t="s">
        <v>240</v>
      </c>
      <c r="I23" s="382" t="s">
        <v>241</v>
      </c>
      <c r="J23" s="375" t="s">
        <v>179</v>
      </c>
      <c r="K23" s="383">
        <f>IF(G23=AE8,1,"0")</f>
        <v>1</v>
      </c>
      <c r="L23" s="37"/>
      <c r="M23" s="476" t="s">
        <v>180</v>
      </c>
      <c r="N23" s="37"/>
      <c r="O23" s="26" t="str">
        <f>IF(AND(L23&gt;0,G23="Prescriptive Pathway"),"!","")</f>
        <v/>
      </c>
      <c r="P23" s="26"/>
      <c r="Q23" s="27" t="str">
        <f>IF(OR(U23=$AG$9,U23=$AG$10),L23,"")</f>
        <v/>
      </c>
      <c r="R23" s="27" t="str">
        <f>IF(U23=$AG$11,L23,"")</f>
        <v/>
      </c>
      <c r="S23" s="27"/>
      <c r="T23" s="27"/>
      <c r="U23" s="384"/>
      <c r="V23" s="461"/>
      <c r="W23" s="386"/>
      <c r="X23" s="405"/>
      <c r="Y23" s="244"/>
      <c r="Z23" s="245"/>
      <c r="AA23" s="245"/>
      <c r="AB23" s="245"/>
      <c r="AC23" s="245"/>
      <c r="AD23" s="273"/>
      <c r="AG23" s="95"/>
      <c r="AH23" s="95"/>
      <c r="AI23" s="95"/>
      <c r="AJ23" s="95"/>
      <c r="AK23" s="335">
        <v>9.1999999999999993</v>
      </c>
      <c r="AL23" s="336" t="b">
        <f>IF('Building Input Sheet'!E59="Yes",TRUE,FALSE)</f>
        <v>0</v>
      </c>
      <c r="AM23" s="368"/>
      <c r="AN23" s="337"/>
      <c r="AO23" s="338">
        <f>IF(AL23=TRUE,0,2)</f>
        <v>2</v>
      </c>
      <c r="AP23" s="338" t="str">
        <f>IF(AL23=TRUE,2,"-")</f>
        <v>-</v>
      </c>
      <c r="AQ23" s="338">
        <f>IF(AL23=TRUE,AP23,0)</f>
        <v>0</v>
      </c>
      <c r="AR23" s="338">
        <f>IF(AND(AL23=TRUE,OR(V29=$AG$9,V29=$AG$10)),AQ23,0)</f>
        <v>0</v>
      </c>
      <c r="AS23" s="339">
        <f>IF(AND(AL23=TRUE,V29=$AG$11),AQ23,0)</f>
        <v>0</v>
      </c>
    </row>
    <row r="24" spans="1:45" ht="45" customHeight="1" x14ac:dyDescent="0.3">
      <c r="E24" s="440"/>
      <c r="F24" s="527"/>
      <c r="G24" s="542"/>
      <c r="H24" s="381" t="s">
        <v>242</v>
      </c>
      <c r="I24" s="382" t="s">
        <v>243</v>
      </c>
      <c r="J24" s="375" t="s">
        <v>179</v>
      </c>
      <c r="K24" s="383" t="str">
        <f>IF(G23=AE9,1,"0")</f>
        <v>0</v>
      </c>
      <c r="L24" s="37"/>
      <c r="M24" s="476" t="s">
        <v>180</v>
      </c>
      <c r="N24" s="37"/>
      <c r="O24" s="26" t="str">
        <f>IF(AND(L24&gt;0,G23="Performance Pathway"),"!","")</f>
        <v/>
      </c>
      <c r="P24" s="26"/>
      <c r="Q24" s="27" t="str">
        <f>IF(OR(U24=$AG$9,U24=$AG$10),L24,"")</f>
        <v/>
      </c>
      <c r="R24" s="27" t="str">
        <f>IF(U24=$AG$11,L24,"")</f>
        <v/>
      </c>
      <c r="S24" s="27"/>
      <c r="T24" s="27"/>
      <c r="U24" s="384"/>
      <c r="V24" s="461"/>
      <c r="W24" s="386"/>
      <c r="X24" s="405"/>
      <c r="Y24" s="244"/>
      <c r="Z24" s="245"/>
      <c r="AA24" s="245"/>
      <c r="AB24" s="245"/>
      <c r="AC24" s="245"/>
      <c r="AD24" s="273"/>
      <c r="AK24" s="335">
        <v>9.3000000000000007</v>
      </c>
      <c r="AL24" s="336" t="b">
        <f>IF('Building Input Sheet'!E60="Yes",TRUE,FALSE)</f>
        <v>0</v>
      </c>
      <c r="AM24" s="368"/>
      <c r="AN24" s="337"/>
      <c r="AO24" s="338">
        <f>IF(AL24=TRUE,0,1)</f>
        <v>1</v>
      </c>
      <c r="AP24" s="338" t="str">
        <f>IF(AL24=TRUE,1,"-")</f>
        <v>-</v>
      </c>
      <c r="AQ24" s="338">
        <f>IF(AL24=TRUE,AP24,0)</f>
        <v>0</v>
      </c>
      <c r="AR24" s="338">
        <f>IF(AND(AL24=TRUE,OR(V30=$AG$9,V30=$AG$10)),AQ24,0)</f>
        <v>0</v>
      </c>
      <c r="AS24" s="339">
        <f>IF(AND(AL24=TRUE,V30=$AG$11),AQ24,0)</f>
        <v>0</v>
      </c>
    </row>
    <row r="25" spans="1:45" ht="37.5" customHeight="1" x14ac:dyDescent="0.3">
      <c r="E25" s="430"/>
      <c r="F25" s="39" t="s">
        <v>54</v>
      </c>
      <c r="G25" s="39"/>
      <c r="H25" s="40"/>
      <c r="I25" s="39"/>
      <c r="J25" s="39"/>
      <c r="K25" s="40">
        <f>SUM(K7:K24)</f>
        <v>15</v>
      </c>
      <c r="L25" s="40">
        <f>SUM(L7:L24)</f>
        <v>0</v>
      </c>
      <c r="M25" s="40">
        <f t="shared" ref="M25:N25" si="2">SUM(M7:M24)</f>
        <v>0</v>
      </c>
      <c r="N25" s="40">
        <f t="shared" si="2"/>
        <v>0</v>
      </c>
      <c r="O25" s="26" t="str">
        <f>IF(L25&gt;K25,"!","")</f>
        <v/>
      </c>
      <c r="P25" s="26"/>
      <c r="Q25" s="41">
        <f>SUM(Q7:Q24)</f>
        <v>0</v>
      </c>
      <c r="R25" s="41">
        <f>SUM(R7:R24)</f>
        <v>0</v>
      </c>
      <c r="S25" s="416"/>
      <c r="T25" s="416"/>
      <c r="U25" s="417"/>
      <c r="V25" s="48"/>
      <c r="W25" s="418"/>
      <c r="X25" s="405"/>
      <c r="Y25" s="419"/>
      <c r="Z25" s="418"/>
      <c r="AA25" s="418"/>
      <c r="AB25" s="418"/>
      <c r="AC25" s="418"/>
      <c r="AD25" s="273"/>
      <c r="AK25" s="335">
        <v>10.1</v>
      </c>
      <c r="AL25" s="336" t="b">
        <f>IF('Building Input Sheet'!E61="Yes",TRUE,FALSE)</f>
        <v>0</v>
      </c>
      <c r="AM25" s="368"/>
      <c r="AN25" s="337"/>
      <c r="AO25" s="338">
        <f>IF(AL25=TRUE,0,1)</f>
        <v>1</v>
      </c>
      <c r="AP25" s="338" t="str">
        <f>IF(AL25=TRUE,1,"-")</f>
        <v>-</v>
      </c>
      <c r="AQ25" s="338">
        <f>IF(AL25=TRUE,AP25,0)</f>
        <v>0</v>
      </c>
      <c r="AR25" s="338">
        <f>IF(AND(AL25=TRUE,OR(V31=$AG$9,V31=$AG$10)),AQ25,0)</f>
        <v>0</v>
      </c>
      <c r="AS25" s="339">
        <f>IF(AND(AL25=TRUE,V31=$AG$11),AQ25,0)</f>
        <v>0</v>
      </c>
    </row>
    <row r="26" spans="1:45" ht="45" customHeight="1" x14ac:dyDescent="0.3">
      <c r="E26" s="388"/>
      <c r="F26" s="44"/>
      <c r="G26" s="44"/>
      <c r="H26" s="389"/>
      <c r="I26" s="390"/>
      <c r="J26" s="48"/>
      <c r="K26" s="391"/>
      <c r="L26" s="48"/>
      <c r="M26" s="48"/>
      <c r="N26" s="48"/>
      <c r="O26" s="26"/>
      <c r="P26" s="26"/>
      <c r="Q26" s="48"/>
      <c r="R26" s="48"/>
      <c r="S26" s="48"/>
      <c r="T26" s="48"/>
      <c r="U26" s="392"/>
      <c r="V26" s="393"/>
      <c r="W26" s="223"/>
      <c r="X26" s="405"/>
      <c r="Y26" s="248"/>
      <c r="Z26" s="249"/>
      <c r="AA26" s="249"/>
      <c r="AB26" s="249"/>
      <c r="AC26" s="249"/>
      <c r="AD26" s="273"/>
      <c r="AK26" s="335">
        <v>10.199999999999999</v>
      </c>
      <c r="AL26" s="336" t="b">
        <f>IF('Building Input Sheet'!E62="Yes",TRUE,FALSE)</f>
        <v>0</v>
      </c>
      <c r="AM26" s="336" t="b">
        <f>IF('Building Input Sheet'!E90="Yes",TRUE,FALSE)</f>
        <v>0</v>
      </c>
      <c r="AN26" s="337">
        <v>10.199999999999999</v>
      </c>
      <c r="AO26" s="338">
        <f>IF(AL26=TRUE,0,IF(AM26=FALSE,$AL$14,$AL$15))</f>
        <v>1</v>
      </c>
      <c r="AP26" s="338">
        <f>IF(AL26=TRUE,1,1-AO26)</f>
        <v>0</v>
      </c>
      <c r="AQ26" s="338">
        <f>IF(AL26=TRUE,AP26,IF($AL$13="Yes",N32,0))</f>
        <v>0</v>
      </c>
      <c r="AR26" s="338">
        <f>IF(AND(AL26=TRUE,OR(V32=$AG$9,V32=$AG$10)),AQ26,IF(AND($AL$13="yes",OR(V32=$AG$9,V32=$AG$10)),N32,0))</f>
        <v>0</v>
      </c>
      <c r="AS26" s="339">
        <f t="shared" ref="AS26:AS32" si="3">IF(AND(AL26=TRUE,V32=$AG$11),AQ26,IF(V32=$AG$11,N32,0))</f>
        <v>0</v>
      </c>
    </row>
    <row r="27" spans="1:45" ht="45" customHeight="1" x14ac:dyDescent="0.3">
      <c r="E27" s="439"/>
      <c r="F27" s="565" t="s">
        <v>244</v>
      </c>
      <c r="G27" s="565"/>
      <c r="H27" s="565"/>
      <c r="I27" s="565"/>
      <c r="J27" s="49"/>
      <c r="K27" s="154">
        <f>17-SUM(B28:B44)</f>
        <v>17</v>
      </c>
      <c r="L27" s="49"/>
      <c r="M27" s="49"/>
      <c r="N27" s="49"/>
      <c r="O27" s="26"/>
      <c r="P27" s="26"/>
      <c r="Q27" s="154"/>
      <c r="R27" s="154"/>
      <c r="S27" s="154"/>
      <c r="T27" s="154"/>
      <c r="U27" s="171"/>
      <c r="V27" s="171"/>
      <c r="W27" s="222"/>
      <c r="X27" s="414"/>
      <c r="Y27" s="232"/>
      <c r="Z27" s="222"/>
      <c r="AA27" s="222"/>
      <c r="AB27" s="222"/>
      <c r="AC27" s="222"/>
      <c r="AD27" s="273"/>
      <c r="AK27" s="335">
        <v>10.3</v>
      </c>
      <c r="AL27" s="336" t="b">
        <f>IF('Building Input Sheet'!E63="Yes",TRUE,FALSE)</f>
        <v>0</v>
      </c>
      <c r="AM27" s="336" t="b">
        <f>IF('Building Input Sheet'!E91="Yes",TRUE,FALSE)</f>
        <v>0</v>
      </c>
      <c r="AN27" s="337">
        <v>10.3</v>
      </c>
      <c r="AO27" s="338">
        <f>IF(AL27=TRUE,0,IF(AM27=FALSE,$AL$14,$AL$15))</f>
        <v>1</v>
      </c>
      <c r="AP27" s="338">
        <f>IF(AL27=TRUE,1,1-AO27)</f>
        <v>0</v>
      </c>
      <c r="AQ27" s="338">
        <f>IF(AL27=TRUE,AP27,IF($AL$13="Yes",N33,0))</f>
        <v>0</v>
      </c>
      <c r="AR27" s="338">
        <f>IF(AND(AL27=TRUE,OR(V33=$AG$9,V33=$AG$10)),AQ27,IF(AND($AL$13="yes",OR(V33=$AG$9,V33=$AG$10)),N33,0))</f>
        <v>0</v>
      </c>
      <c r="AS27" s="339">
        <f t="shared" si="3"/>
        <v>0</v>
      </c>
    </row>
    <row r="28" spans="1:45" ht="45" customHeight="1" x14ac:dyDescent="0.3">
      <c r="A28" s="141">
        <f>K28</f>
        <v>1</v>
      </c>
      <c r="B28" s="141">
        <f>IF(C28=TRUE,A28,0)</f>
        <v>0</v>
      </c>
      <c r="C28" s="362" t="b">
        <f>AL22</f>
        <v>0</v>
      </c>
      <c r="E28" s="440"/>
      <c r="F28" s="547" t="s">
        <v>81</v>
      </c>
      <c r="G28" s="562" t="s">
        <v>245</v>
      </c>
      <c r="H28" s="23">
        <v>9.1</v>
      </c>
      <c r="I28" s="52" t="s">
        <v>82</v>
      </c>
      <c r="J28" s="24" t="s">
        <v>179</v>
      </c>
      <c r="K28" s="53">
        <f t="shared" ref="K28:K33" si="4">IF(C28=FALSE,AO22,0)</f>
        <v>1</v>
      </c>
      <c r="L28" s="54"/>
      <c r="M28" s="477" t="str">
        <f>AP22</f>
        <v>-</v>
      </c>
      <c r="N28" s="371"/>
      <c r="O28" s="26"/>
      <c r="P28" s="26"/>
      <c r="Q28" s="27" t="str">
        <f t="shared" ref="Q28:Q44" si="5">IF(OR(U28=$AG$9,U28=$AG$10),L28,"")</f>
        <v/>
      </c>
      <c r="R28" s="27" t="str">
        <f t="shared" ref="R28:R44" si="6">IF(U28=$AG$11,L28,"")</f>
        <v/>
      </c>
      <c r="S28" s="27"/>
      <c r="T28" s="27"/>
      <c r="U28" s="384"/>
      <c r="V28" s="462"/>
      <c r="W28" s="386"/>
      <c r="X28" s="405"/>
      <c r="Y28" s="244"/>
      <c r="Z28" s="245"/>
      <c r="AA28" s="245"/>
      <c r="AB28" s="245"/>
      <c r="AC28" s="245"/>
      <c r="AD28" s="273"/>
      <c r="AK28" s="340" t="s">
        <v>180</v>
      </c>
      <c r="AL28" s="336">
        <v>0</v>
      </c>
      <c r="AM28" s="368"/>
      <c r="AN28" s="341">
        <v>11.1</v>
      </c>
      <c r="AO28" s="338">
        <v>0</v>
      </c>
      <c r="AP28" s="338">
        <f>IF(AL28=TRUE,"-",0-AO28)</f>
        <v>0</v>
      </c>
      <c r="AQ28" s="338">
        <f>N34</f>
        <v>0</v>
      </c>
      <c r="AR28" s="338">
        <f>IF(AND(AL28=TRUE,V34=$AG$9),AP28,IF(V34=$AG$9,N34,0))</f>
        <v>0</v>
      </c>
      <c r="AS28" s="339">
        <f t="shared" si="3"/>
        <v>0</v>
      </c>
    </row>
    <row r="29" spans="1:45" ht="45" customHeight="1" x14ac:dyDescent="0.3">
      <c r="A29" s="141">
        <v>2</v>
      </c>
      <c r="B29" s="141">
        <f t="shared" ref="B29:B44" si="7">IF(C29=TRUE,A29,0)</f>
        <v>0</v>
      </c>
      <c r="C29" s="362" t="b">
        <f t="shared" ref="C29:C33" si="8">AL23</f>
        <v>0</v>
      </c>
      <c r="E29" s="440"/>
      <c r="F29" s="547"/>
      <c r="G29" s="562"/>
      <c r="H29" s="23">
        <v>9.1999999999999993</v>
      </c>
      <c r="I29" s="52" t="s">
        <v>83</v>
      </c>
      <c r="J29" s="24" t="s">
        <v>179</v>
      </c>
      <c r="K29" s="53">
        <f t="shared" si="4"/>
        <v>2</v>
      </c>
      <c r="L29" s="54"/>
      <c r="M29" s="477" t="str">
        <f>AP23</f>
        <v>-</v>
      </c>
      <c r="N29" s="54"/>
      <c r="O29" s="26"/>
      <c r="P29" s="26"/>
      <c r="Q29" s="27" t="str">
        <f t="shared" si="5"/>
        <v/>
      </c>
      <c r="R29" s="27" t="str">
        <f t="shared" si="6"/>
        <v/>
      </c>
      <c r="S29" s="27"/>
      <c r="T29" s="27"/>
      <c r="U29" s="385"/>
      <c r="V29" s="461"/>
      <c r="W29" s="386"/>
      <c r="X29" s="405"/>
      <c r="Y29" s="244"/>
      <c r="Z29" s="245"/>
      <c r="AA29" s="245"/>
      <c r="AB29" s="245"/>
      <c r="AC29" s="245"/>
      <c r="AD29" s="273"/>
      <c r="AK29" s="335">
        <v>11.2</v>
      </c>
      <c r="AL29" s="336" t="b">
        <f>IF('Building Input Sheet'!E64="Yes",TRUE,FALSE)</f>
        <v>0</v>
      </c>
      <c r="AM29" s="336" t="b">
        <f>IF('Building Input Sheet'!E92="Yes",TRUE,FALSE)</f>
        <v>0</v>
      </c>
      <c r="AN29" s="335">
        <v>11.2</v>
      </c>
      <c r="AO29" s="338">
        <f>IF(AL29=TRUE,0,IF(AM29=FALSE,$AL$14,$AL$15))</f>
        <v>1</v>
      </c>
      <c r="AP29" s="338">
        <f t="shared" ref="AP29:AP36" si="9">IF(AL29=TRUE,1,1-AO29)</f>
        <v>0</v>
      </c>
      <c r="AQ29" s="338">
        <f>IF(AL29=TRUE,AP29,IF($AL$13="Yes",N35,0))</f>
        <v>0</v>
      </c>
      <c r="AR29" s="338">
        <f>IF(AND(AL29=TRUE,OR(V35=$AG$9,V35=$AG$10)),AQ29,IF(AND($AL$13="yes",OR(V35=$AG$9,V35=$AG$10)),N35,0))</f>
        <v>0</v>
      </c>
      <c r="AS29" s="339">
        <f t="shared" si="3"/>
        <v>0</v>
      </c>
    </row>
    <row r="30" spans="1:45" ht="45" customHeight="1" x14ac:dyDescent="0.3">
      <c r="A30" s="141">
        <v>1</v>
      </c>
      <c r="B30" s="141">
        <f t="shared" si="7"/>
        <v>0</v>
      </c>
      <c r="C30" s="362" t="b">
        <f t="shared" si="8"/>
        <v>0</v>
      </c>
      <c r="E30" s="440"/>
      <c r="F30" s="547"/>
      <c r="G30" s="562"/>
      <c r="H30" s="23">
        <v>9.3000000000000007</v>
      </c>
      <c r="I30" s="52" t="s">
        <v>84</v>
      </c>
      <c r="J30" s="24" t="s">
        <v>179</v>
      </c>
      <c r="K30" s="53">
        <f t="shared" si="4"/>
        <v>1</v>
      </c>
      <c r="L30" s="54"/>
      <c r="M30" s="477" t="str">
        <f t="shared" ref="M30:M33" si="10">AP24</f>
        <v>-</v>
      </c>
      <c r="N30" s="54"/>
      <c r="O30" s="26"/>
      <c r="P30" s="26"/>
      <c r="Q30" s="27" t="str">
        <f t="shared" si="5"/>
        <v/>
      </c>
      <c r="R30" s="27" t="str">
        <f t="shared" si="6"/>
        <v/>
      </c>
      <c r="S30" s="27"/>
      <c r="T30" s="27"/>
      <c r="U30" s="385"/>
      <c r="V30" s="461"/>
      <c r="W30" s="386"/>
      <c r="X30" s="405"/>
      <c r="Y30" s="244"/>
      <c r="Z30" s="245"/>
      <c r="AA30" s="245"/>
      <c r="AB30" s="245"/>
      <c r="AC30" s="245"/>
      <c r="AD30" s="273"/>
      <c r="AK30" s="335">
        <v>11.3</v>
      </c>
      <c r="AL30" s="336" t="b">
        <f>IF('Building Input Sheet'!E65="Yes",TRUE,FALSE)</f>
        <v>0</v>
      </c>
      <c r="AM30" s="336" t="b">
        <f>IF('Building Input Sheet'!E93="Yes",TRUE,FALSE)</f>
        <v>0</v>
      </c>
      <c r="AN30" s="335">
        <v>11.3</v>
      </c>
      <c r="AO30" s="338">
        <f t="shared" ref="AO30:AO31" si="11">IF(AL30=TRUE,0,IF(AM30=FALSE,$AL$14,$AL$15))</f>
        <v>1</v>
      </c>
      <c r="AP30" s="338">
        <f t="shared" si="9"/>
        <v>0</v>
      </c>
      <c r="AQ30" s="338">
        <f>IF(AL30=TRUE,AP30,IF($AL$13="Yes",N36,0))</f>
        <v>0</v>
      </c>
      <c r="AR30" s="338">
        <f>IF(AND(AL30=TRUE,OR(V36=$AG$9,V36=$AG$10)),AQ30,IF(AND($AL$13="yes",OR(V36=$AG$9,V36=$AG$10)),N36,0))</f>
        <v>0</v>
      </c>
      <c r="AS30" s="339">
        <f t="shared" si="3"/>
        <v>0</v>
      </c>
    </row>
    <row r="31" spans="1:45" ht="45" customHeight="1" x14ac:dyDescent="0.3">
      <c r="A31" s="141">
        <v>1</v>
      </c>
      <c r="B31" s="141">
        <f t="shared" si="7"/>
        <v>0</v>
      </c>
      <c r="C31" s="362" t="b">
        <f t="shared" si="8"/>
        <v>0</v>
      </c>
      <c r="E31" s="440"/>
      <c r="F31" s="547" t="s">
        <v>85</v>
      </c>
      <c r="G31" s="562" t="s">
        <v>246</v>
      </c>
      <c r="H31" s="23">
        <v>10.1</v>
      </c>
      <c r="I31" s="52" t="s">
        <v>86</v>
      </c>
      <c r="J31" s="24" t="s">
        <v>179</v>
      </c>
      <c r="K31" s="53">
        <f t="shared" si="4"/>
        <v>1</v>
      </c>
      <c r="L31" s="54"/>
      <c r="M31" s="477" t="str">
        <f t="shared" si="10"/>
        <v>-</v>
      </c>
      <c r="N31" s="54"/>
      <c r="O31" s="26"/>
      <c r="P31" s="26"/>
      <c r="Q31" s="27" t="str">
        <f t="shared" si="5"/>
        <v/>
      </c>
      <c r="R31" s="27" t="str">
        <f t="shared" si="6"/>
        <v/>
      </c>
      <c r="S31" s="27"/>
      <c r="T31" s="27"/>
      <c r="U31" s="385"/>
      <c r="V31" s="461"/>
      <c r="W31" s="386"/>
      <c r="X31" s="405"/>
      <c r="Y31" s="244"/>
      <c r="Z31" s="245"/>
      <c r="AA31" s="245"/>
      <c r="AB31" s="245"/>
      <c r="AC31" s="245"/>
      <c r="AD31" s="273"/>
      <c r="AK31" s="335">
        <v>11.4</v>
      </c>
      <c r="AL31" s="336" t="b">
        <f>IF('Building Input Sheet'!E66="Yes",TRUE,FALSE)</f>
        <v>0</v>
      </c>
      <c r="AM31" s="336" t="b">
        <f>IF('Building Input Sheet'!E94="Yes",TRUE,FALSE)</f>
        <v>0</v>
      </c>
      <c r="AN31" s="335">
        <v>11.4</v>
      </c>
      <c r="AO31" s="338">
        <f t="shared" si="11"/>
        <v>1</v>
      </c>
      <c r="AP31" s="338">
        <f t="shared" si="9"/>
        <v>0</v>
      </c>
      <c r="AQ31" s="338">
        <f>IF(AL31=TRUE,AP31,IF($AL$13="Yes",N37,0))</f>
        <v>0</v>
      </c>
      <c r="AR31" s="338">
        <f>IF(AND(AL31=TRUE,OR(V37=$AG$9,V37=$AG$10)),AQ31,IF(AND($AL$13="yes",OR(V37=$AG$9,V37=$AG$10)),N37,0))</f>
        <v>0</v>
      </c>
      <c r="AS31" s="339">
        <f t="shared" si="3"/>
        <v>0</v>
      </c>
    </row>
    <row r="32" spans="1:45" ht="45" customHeight="1" x14ac:dyDescent="0.3">
      <c r="A32" s="141">
        <v>1</v>
      </c>
      <c r="B32" s="141">
        <f>IF(C32=TRUE,A32,A32-K32)</f>
        <v>0</v>
      </c>
      <c r="C32" s="362" t="b">
        <f t="shared" si="8"/>
        <v>0</v>
      </c>
      <c r="E32" s="440"/>
      <c r="F32" s="547"/>
      <c r="G32" s="562"/>
      <c r="H32" s="23">
        <v>10.199999999999999</v>
      </c>
      <c r="I32" s="52" t="s">
        <v>87</v>
      </c>
      <c r="J32" s="24" t="s">
        <v>247</v>
      </c>
      <c r="K32" s="53">
        <f t="shared" si="4"/>
        <v>1</v>
      </c>
      <c r="L32" s="54"/>
      <c r="M32" s="477">
        <f t="shared" si="10"/>
        <v>0</v>
      </c>
      <c r="N32" s="54"/>
      <c r="O32" s="26"/>
      <c r="P32" s="26"/>
      <c r="Q32" s="27" t="str">
        <f t="shared" si="5"/>
        <v/>
      </c>
      <c r="R32" s="27" t="str">
        <f t="shared" si="6"/>
        <v/>
      </c>
      <c r="S32" s="27"/>
      <c r="T32" s="27"/>
      <c r="U32" s="385"/>
      <c r="V32" s="462"/>
      <c r="W32" s="386"/>
      <c r="X32" s="405"/>
      <c r="Y32" s="244"/>
      <c r="Z32" s="245"/>
      <c r="AA32" s="245"/>
      <c r="AB32" s="245"/>
      <c r="AC32" s="245"/>
      <c r="AD32" s="273"/>
      <c r="AK32" s="342" t="s">
        <v>180</v>
      </c>
      <c r="AL32" s="336">
        <v>0</v>
      </c>
      <c r="AM32" s="368"/>
      <c r="AN32" s="341">
        <v>12.1</v>
      </c>
      <c r="AO32" s="338">
        <v>0</v>
      </c>
      <c r="AP32" s="338">
        <f>IF(AL32=TRUE,"-",0-AO32)</f>
        <v>0</v>
      </c>
      <c r="AQ32" s="338">
        <f>N38</f>
        <v>0</v>
      </c>
      <c r="AR32" s="338">
        <f>IF(AND(AL32=TRUE,V38=$AG$9),AP32,IF(V38=$AG$9,N38,0))</f>
        <v>0</v>
      </c>
      <c r="AS32" s="339">
        <f t="shared" si="3"/>
        <v>0</v>
      </c>
    </row>
    <row r="33" spans="1:45" ht="45" customHeight="1" x14ac:dyDescent="0.3">
      <c r="A33" s="141">
        <v>1</v>
      </c>
      <c r="B33" s="141">
        <f>IF(C33=TRUE,A33,A33-K33)</f>
        <v>0</v>
      </c>
      <c r="C33" s="362" t="b">
        <f t="shared" si="8"/>
        <v>0</v>
      </c>
      <c r="E33" s="440"/>
      <c r="F33" s="547"/>
      <c r="G33" s="562"/>
      <c r="H33" s="23">
        <v>10.3</v>
      </c>
      <c r="I33" s="52" t="s">
        <v>88</v>
      </c>
      <c r="J33" s="24" t="s">
        <v>247</v>
      </c>
      <c r="K33" s="53">
        <f t="shared" si="4"/>
        <v>1</v>
      </c>
      <c r="L33" s="54"/>
      <c r="M33" s="477">
        <f t="shared" si="10"/>
        <v>0</v>
      </c>
      <c r="N33" s="54"/>
      <c r="O33" s="26"/>
      <c r="P33" s="26"/>
      <c r="Q33" s="27" t="str">
        <f t="shared" si="5"/>
        <v/>
      </c>
      <c r="R33" s="27" t="str">
        <f t="shared" si="6"/>
        <v/>
      </c>
      <c r="S33" s="27"/>
      <c r="T33" s="27"/>
      <c r="U33" s="385"/>
      <c r="V33" s="462"/>
      <c r="W33" s="386"/>
      <c r="X33" s="405"/>
      <c r="Y33" s="244"/>
      <c r="Z33" s="245"/>
      <c r="AA33" s="245"/>
      <c r="AB33" s="245"/>
      <c r="AC33" s="245"/>
      <c r="AD33" s="273"/>
      <c r="AK33" s="335">
        <v>12.2</v>
      </c>
      <c r="AL33" s="336" t="b">
        <f>IF('Building Input Sheet'!E67="Yes",TRUE,FALSE)</f>
        <v>0</v>
      </c>
      <c r="AM33" s="368"/>
      <c r="AN33" s="337"/>
      <c r="AO33" s="338">
        <f>IF(AL33=TRUE,0,2)</f>
        <v>2</v>
      </c>
      <c r="AP33" s="338">
        <f>IF(AL33=TRUE,2,0)</f>
        <v>0</v>
      </c>
      <c r="AQ33" s="338">
        <f>IF(AL33=TRUE,AP33,0)</f>
        <v>0</v>
      </c>
      <c r="AR33" s="338">
        <f>IF(AND(AL33=TRUE,OR(V39=$AG$9,V39=$AG$10)),AQ33,0)</f>
        <v>0</v>
      </c>
      <c r="AS33" s="339">
        <f>IF(AND(AL33=TRUE,V39=$AG$11),AQ33,0)</f>
        <v>0</v>
      </c>
    </row>
    <row r="34" spans="1:45" ht="45" customHeight="1" x14ac:dyDescent="0.3">
      <c r="E34" s="440"/>
      <c r="F34" s="547" t="s">
        <v>89</v>
      </c>
      <c r="G34" s="562" t="s">
        <v>248</v>
      </c>
      <c r="H34" s="23">
        <v>11.1</v>
      </c>
      <c r="I34" s="52" t="s">
        <v>249</v>
      </c>
      <c r="J34" s="24" t="s">
        <v>247</v>
      </c>
      <c r="K34" s="261" t="s">
        <v>185</v>
      </c>
      <c r="L34" s="54"/>
      <c r="M34" s="478" t="s">
        <v>180</v>
      </c>
      <c r="N34" s="54"/>
      <c r="O34" s="26"/>
      <c r="P34" s="26"/>
      <c r="Q34" s="27" t="str">
        <f t="shared" si="5"/>
        <v/>
      </c>
      <c r="R34" s="27" t="str">
        <f t="shared" si="6"/>
        <v/>
      </c>
      <c r="S34" s="27"/>
      <c r="T34" s="27"/>
      <c r="U34" s="385"/>
      <c r="V34" s="461"/>
      <c r="W34" s="386"/>
      <c r="X34" s="405"/>
      <c r="Y34" s="244"/>
      <c r="Z34" s="245"/>
      <c r="AA34" s="245"/>
      <c r="AB34" s="245"/>
      <c r="AC34" s="245"/>
      <c r="AD34" s="273"/>
      <c r="AK34" s="335">
        <v>12.3</v>
      </c>
      <c r="AL34" s="336" t="b">
        <f>IF('Building Input Sheet'!E68="Yes",TRUE,FALSE)</f>
        <v>0</v>
      </c>
      <c r="AM34" s="368"/>
      <c r="AN34" s="337"/>
      <c r="AO34" s="338">
        <f>IF(AL34=TRUE,0,1)</f>
        <v>1</v>
      </c>
      <c r="AP34" s="338">
        <f>IF(AL34=TRUE,2,0)</f>
        <v>0</v>
      </c>
      <c r="AQ34" s="338">
        <f>IF(AL34=TRUE,AP34,0)</f>
        <v>0</v>
      </c>
      <c r="AR34" s="338">
        <f>IF(AND(AL34=TRUE,OR(V40=$AG$9,V40=$AG$10)),AQ34,0)</f>
        <v>0</v>
      </c>
      <c r="AS34" s="339">
        <f>IF(AND(AL34=TRUE,V40=$AG$11),AQ34,0)</f>
        <v>0</v>
      </c>
    </row>
    <row r="35" spans="1:45" ht="45" customHeight="1" x14ac:dyDescent="0.3">
      <c r="A35" s="141">
        <v>1</v>
      </c>
      <c r="B35" s="141">
        <f>IF(C35=TRUE,A35,A35-K35)</f>
        <v>0</v>
      </c>
      <c r="C35" s="362" t="b">
        <f>AL29</f>
        <v>0</v>
      </c>
      <c r="E35" s="440"/>
      <c r="F35" s="547"/>
      <c r="G35" s="562"/>
      <c r="H35" s="23">
        <v>11.2</v>
      </c>
      <c r="I35" s="52" t="s">
        <v>90</v>
      </c>
      <c r="J35" s="24" t="s">
        <v>247</v>
      </c>
      <c r="K35" s="53">
        <f>IF(C35=FALSE,AO29,0)</f>
        <v>1</v>
      </c>
      <c r="L35" s="54"/>
      <c r="M35" s="477">
        <f>AP29</f>
        <v>0</v>
      </c>
      <c r="N35" s="54"/>
      <c r="O35" s="26" t="str">
        <f>IF(AND(OR(L35&gt;0,M35&gt;0),$L$34&lt;&gt;$AH$8),"!","")</f>
        <v/>
      </c>
      <c r="P35" s="26"/>
      <c r="Q35" s="27" t="str">
        <f t="shared" si="5"/>
        <v/>
      </c>
      <c r="R35" s="27" t="str">
        <f t="shared" si="6"/>
        <v/>
      </c>
      <c r="S35" s="27"/>
      <c r="T35" s="27"/>
      <c r="U35" s="385"/>
      <c r="V35" s="462"/>
      <c r="W35" s="386"/>
      <c r="X35" s="405"/>
      <c r="Y35" s="244"/>
      <c r="Z35" s="245"/>
      <c r="AA35" s="245"/>
      <c r="AB35" s="245"/>
      <c r="AC35" s="245"/>
      <c r="AD35" s="273"/>
      <c r="AK35" s="335">
        <v>13.1</v>
      </c>
      <c r="AL35" s="336" t="b">
        <f>IF('Building Input Sheet'!E69="Yes",TRUE,FALSE)</f>
        <v>0</v>
      </c>
      <c r="AM35" s="336" t="b">
        <f>IF('Building Input Sheet'!E95="Yes",TRUE,FALSE)</f>
        <v>0</v>
      </c>
      <c r="AN35" s="337">
        <v>13.1</v>
      </c>
      <c r="AO35" s="338">
        <f t="shared" ref="AO35:AO36" si="12">IF(AL35=TRUE,0,IF(AM35=FALSE,$AL$14,$AL$15))</f>
        <v>1</v>
      </c>
      <c r="AP35" s="338">
        <f t="shared" si="9"/>
        <v>0</v>
      </c>
      <c r="AQ35" s="338">
        <f>IF(AL35=TRUE,AP35,IF($AL$13="Yes",N42,0))</f>
        <v>0</v>
      </c>
      <c r="AR35" s="338">
        <f>IF(AND(AL35=TRUE,OR(V41=$AG$9,V41=$AG$10)),AQ35,IF(AND($AL$13="yes",OR(V41=$AG$9,V41=$AG$10)),N41,0))</f>
        <v>0</v>
      </c>
      <c r="AS35" s="339">
        <f>IF(AND(AL35=TRUE,V41=$AG$11),AQ35,IF(V41=$AG$11,N41,0))</f>
        <v>0</v>
      </c>
    </row>
    <row r="36" spans="1:45" ht="45" customHeight="1" x14ac:dyDescent="0.3">
      <c r="A36" s="141">
        <v>1</v>
      </c>
      <c r="B36" s="141">
        <f>IF(C36=TRUE,A36,A36-K36)</f>
        <v>0</v>
      </c>
      <c r="C36" s="362" t="b">
        <f>AL30</f>
        <v>0</v>
      </c>
      <c r="E36" s="440"/>
      <c r="F36" s="547"/>
      <c r="G36" s="562"/>
      <c r="H36" s="23">
        <v>11.3</v>
      </c>
      <c r="I36" s="52" t="s">
        <v>91</v>
      </c>
      <c r="J36" s="24" t="s">
        <v>247</v>
      </c>
      <c r="K36" s="53">
        <f>IF(C36=FALSE,AO30,0)</f>
        <v>1</v>
      </c>
      <c r="L36" s="54"/>
      <c r="M36" s="477">
        <f t="shared" ref="M36:M37" si="13">AP30</f>
        <v>0</v>
      </c>
      <c r="N36" s="54"/>
      <c r="O36" s="26" t="str">
        <f t="shared" ref="O36:O37" si="14">IF(AND(OR(L36&gt;0,M36&gt;0),$L$34&lt;&gt;$AH$8),"!","")</f>
        <v/>
      </c>
      <c r="P36" s="26"/>
      <c r="Q36" s="27" t="str">
        <f t="shared" si="5"/>
        <v/>
      </c>
      <c r="R36" s="27" t="str">
        <f t="shared" si="6"/>
        <v/>
      </c>
      <c r="S36" s="27"/>
      <c r="T36" s="27"/>
      <c r="U36" s="385"/>
      <c r="V36" s="462"/>
      <c r="W36" s="386"/>
      <c r="X36" s="405"/>
      <c r="Y36" s="244"/>
      <c r="Z36" s="245"/>
      <c r="AA36" s="245"/>
      <c r="AB36" s="245"/>
      <c r="AC36" s="245"/>
      <c r="AD36" s="273"/>
      <c r="AK36" s="335">
        <v>13.2</v>
      </c>
      <c r="AL36" s="336" t="b">
        <f>IF('Building Input Sheet'!E70="Yes",TRUE,FALSE)</f>
        <v>0</v>
      </c>
      <c r="AM36" s="336" t="b">
        <f>IF('Building Input Sheet'!E96="Yes",TRUE,FALSE)</f>
        <v>0</v>
      </c>
      <c r="AN36" s="337">
        <v>13.2</v>
      </c>
      <c r="AO36" s="338">
        <f t="shared" si="12"/>
        <v>1</v>
      </c>
      <c r="AP36" s="338">
        <f t="shared" si="9"/>
        <v>0</v>
      </c>
      <c r="AQ36" s="338">
        <f>IF(AL36=TRUE,AP36,IF($AL$13="Yes",N43,0))</f>
        <v>0</v>
      </c>
      <c r="AR36" s="338">
        <f>IF(AND(AL36=TRUE,OR(V42=$AG$9,V42=$AG$10)),AQ36,IF(AND($AL$13="yes",OR(V42=$AG$9,V42=$AG$10)),N42,0))</f>
        <v>0</v>
      </c>
      <c r="AS36" s="339">
        <f>IF(AND(AL36=TRUE,V42=$AG$11),AQ36,IF(V42=$AG$11,N42,0))</f>
        <v>0</v>
      </c>
    </row>
    <row r="37" spans="1:45" ht="45" customHeight="1" x14ac:dyDescent="0.3">
      <c r="A37" s="141">
        <v>1</v>
      </c>
      <c r="B37" s="141">
        <f>IF(C37=TRUE,A37,A37-K37)</f>
        <v>0</v>
      </c>
      <c r="C37" s="362" t="b">
        <f>AL31</f>
        <v>0</v>
      </c>
      <c r="E37" s="440"/>
      <c r="F37" s="547"/>
      <c r="G37" s="562"/>
      <c r="H37" s="23">
        <v>11.4</v>
      </c>
      <c r="I37" s="52" t="s">
        <v>92</v>
      </c>
      <c r="J37" s="24" t="s">
        <v>247</v>
      </c>
      <c r="K37" s="53">
        <f>IF(C37=FALSE,AO31,0)</f>
        <v>1</v>
      </c>
      <c r="L37" s="54"/>
      <c r="M37" s="477">
        <f t="shared" si="13"/>
        <v>0</v>
      </c>
      <c r="N37" s="54"/>
      <c r="O37" s="26" t="str">
        <f t="shared" si="14"/>
        <v/>
      </c>
      <c r="P37" s="26"/>
      <c r="Q37" s="27" t="str">
        <f t="shared" si="5"/>
        <v/>
      </c>
      <c r="R37" s="27" t="str">
        <f t="shared" si="6"/>
        <v/>
      </c>
      <c r="S37" s="27"/>
      <c r="T37" s="27"/>
      <c r="U37" s="385"/>
      <c r="V37" s="462"/>
      <c r="W37" s="386"/>
      <c r="X37" s="405"/>
      <c r="Y37" s="244"/>
      <c r="Z37" s="245"/>
      <c r="AA37" s="245"/>
      <c r="AB37" s="245"/>
      <c r="AC37" s="245"/>
      <c r="AD37" s="273"/>
      <c r="AK37" s="335">
        <v>14.1</v>
      </c>
      <c r="AL37" s="336" t="b">
        <f>IF('Building Input Sheet'!E71="Yes",TRUE,FALSE)</f>
        <v>0</v>
      </c>
      <c r="AM37" s="368"/>
      <c r="AN37" s="337"/>
      <c r="AO37" s="338">
        <f>IF(AL37=TRUE,0,1)</f>
        <v>1</v>
      </c>
      <c r="AP37" s="338" t="str">
        <f>IF(AL37=TRUE,1,"-")</f>
        <v>-</v>
      </c>
      <c r="AQ37" s="338">
        <f>IF(AL37=TRUE,AP37,0)</f>
        <v>0</v>
      </c>
      <c r="AR37" s="338">
        <f>IF(AND(AL37=TRUE,OR(V43=$AG$9,V43=$AG$10)),AQ37,0)</f>
        <v>0</v>
      </c>
      <c r="AS37" s="339">
        <f>IF(AND(AL37=TRUE,V43=$AG$11),AQ37,0)</f>
        <v>0</v>
      </c>
    </row>
    <row r="38" spans="1:45" ht="45" customHeight="1" x14ac:dyDescent="0.3">
      <c r="E38" s="440"/>
      <c r="F38" s="547" t="s">
        <v>93</v>
      </c>
      <c r="G38" s="562" t="s">
        <v>250</v>
      </c>
      <c r="H38" s="23">
        <v>12.1</v>
      </c>
      <c r="I38" s="52" t="s">
        <v>251</v>
      </c>
      <c r="J38" s="24" t="s">
        <v>247</v>
      </c>
      <c r="K38" s="261" t="s">
        <v>185</v>
      </c>
      <c r="L38" s="54"/>
      <c r="M38" s="478" t="s">
        <v>180</v>
      </c>
      <c r="N38" s="54"/>
      <c r="O38" s="26"/>
      <c r="P38" s="26"/>
      <c r="Q38" s="27" t="str">
        <f t="shared" si="5"/>
        <v/>
      </c>
      <c r="R38" s="27" t="str">
        <f t="shared" si="6"/>
        <v/>
      </c>
      <c r="S38" s="27"/>
      <c r="T38" s="27"/>
      <c r="U38" s="385"/>
      <c r="V38" s="461"/>
      <c r="W38" s="386"/>
      <c r="X38" s="405"/>
      <c r="Y38" s="244"/>
      <c r="Z38" s="245"/>
      <c r="AA38" s="245"/>
      <c r="AB38" s="245"/>
      <c r="AC38" s="245"/>
      <c r="AD38" s="273"/>
      <c r="AK38" s="335">
        <v>14.2</v>
      </c>
      <c r="AL38" s="336" t="b">
        <f>IF('Building Input Sheet'!E72="Yes",TRUE,FALSE)</f>
        <v>0</v>
      </c>
      <c r="AM38" s="368"/>
      <c r="AN38" s="337"/>
      <c r="AO38" s="338">
        <f>IF(AL38=TRUE,0,1)</f>
        <v>1</v>
      </c>
      <c r="AP38" s="338" t="str">
        <f>IF(AL38=TRUE,1,"-")</f>
        <v>-</v>
      </c>
      <c r="AQ38" s="338">
        <f>IF(AL38=TRUE,AP38,0)</f>
        <v>0</v>
      </c>
      <c r="AR38" s="338">
        <f>IF(AND(AL38=TRUE,OR(V44=$AG$9,V44=$AG$10)),AQ38,0)</f>
        <v>0</v>
      </c>
      <c r="AS38" s="339">
        <f>IF(AND(AL38=TRUE,V44=$AG$11),AQ38,0)</f>
        <v>0</v>
      </c>
    </row>
    <row r="39" spans="1:45" ht="45" customHeight="1" x14ac:dyDescent="0.3">
      <c r="A39" s="141">
        <v>2</v>
      </c>
      <c r="B39" s="141">
        <f t="shared" si="7"/>
        <v>0</v>
      </c>
      <c r="C39" s="362" t="b">
        <f t="shared" ref="C39:C44" si="15">AL33</f>
        <v>0</v>
      </c>
      <c r="E39" s="440"/>
      <c r="F39" s="547"/>
      <c r="G39" s="562"/>
      <c r="H39" s="23">
        <v>12.2</v>
      </c>
      <c r="I39" s="52" t="s">
        <v>94</v>
      </c>
      <c r="J39" s="24" t="s">
        <v>179</v>
      </c>
      <c r="K39" s="53">
        <f t="shared" ref="K39:K44" si="16">IF(C39=FALSE,AO33,0)</f>
        <v>2</v>
      </c>
      <c r="L39" s="54"/>
      <c r="M39" s="477">
        <f>AP33</f>
        <v>0</v>
      </c>
      <c r="N39" s="54"/>
      <c r="O39" s="26" t="str">
        <f>IF(AND(OR(L39&gt;0,M39&gt;0),$L$38&lt;&gt;$AH$8),"!","")</f>
        <v/>
      </c>
      <c r="P39" s="26"/>
      <c r="Q39" s="27" t="str">
        <f t="shared" si="5"/>
        <v/>
      </c>
      <c r="R39" s="27" t="str">
        <f t="shared" si="6"/>
        <v/>
      </c>
      <c r="S39" s="27"/>
      <c r="T39" s="27"/>
      <c r="U39" s="385"/>
      <c r="V39" s="461"/>
      <c r="W39" s="386"/>
      <c r="X39" s="405"/>
      <c r="Y39" s="244"/>
      <c r="Z39" s="245"/>
      <c r="AA39" s="245"/>
      <c r="AB39" s="245"/>
      <c r="AC39" s="245"/>
      <c r="AD39" s="273"/>
      <c r="AK39" s="335" t="s">
        <v>102</v>
      </c>
      <c r="AL39" s="336" t="b">
        <f>IF('Building Input Sheet'!E73="Yes",TRUE,FALSE)</f>
        <v>0</v>
      </c>
      <c r="AM39" s="368"/>
      <c r="AN39" s="337"/>
      <c r="AO39" s="338">
        <f>IF(AL39=TRUE,0,1)</f>
        <v>1</v>
      </c>
      <c r="AP39" s="338" t="str">
        <f t="shared" ref="AP39:AP46" si="17">IF(AL39=TRUE,1,"-")</f>
        <v>-</v>
      </c>
      <c r="AQ39" s="338">
        <f>IF(AND(AL39=TRUE,G56=AE58),AP39,0)</f>
        <v>0</v>
      </c>
      <c r="AR39" s="338">
        <f>IF(AND(AL39=TRUE,OR(V58=$AG$9,V58=$AG$10)),AQ39,0)</f>
        <v>0</v>
      </c>
      <c r="AS39" s="339">
        <f>IF(V58=$AG$11,AQ39,0)</f>
        <v>0</v>
      </c>
    </row>
    <row r="40" spans="1:45" ht="45" customHeight="1" x14ac:dyDescent="0.3">
      <c r="A40" s="141">
        <v>1</v>
      </c>
      <c r="B40" s="141">
        <f t="shared" si="7"/>
        <v>0</v>
      </c>
      <c r="C40" s="362" t="b">
        <f t="shared" si="15"/>
        <v>0</v>
      </c>
      <c r="E40" s="440"/>
      <c r="F40" s="547"/>
      <c r="G40" s="562"/>
      <c r="H40" s="23">
        <v>12.3</v>
      </c>
      <c r="I40" s="52" t="s">
        <v>95</v>
      </c>
      <c r="J40" s="24" t="s">
        <v>179</v>
      </c>
      <c r="K40" s="53">
        <f t="shared" si="16"/>
        <v>1</v>
      </c>
      <c r="L40" s="54"/>
      <c r="M40" s="477">
        <f t="shared" ref="M40:M44" si="18">AP34</f>
        <v>0</v>
      </c>
      <c r="N40" s="54"/>
      <c r="O40" s="26" t="str">
        <f>IF(AND(OR(L40&gt;0,M40&gt;0),$L$38&lt;&gt;$AH$8),"!","")</f>
        <v/>
      </c>
      <c r="P40" s="26"/>
      <c r="Q40" s="27" t="str">
        <f t="shared" si="5"/>
        <v/>
      </c>
      <c r="R40" s="27" t="str">
        <f t="shared" si="6"/>
        <v/>
      </c>
      <c r="S40" s="27"/>
      <c r="T40" s="27"/>
      <c r="U40" s="385"/>
      <c r="V40" s="461"/>
      <c r="W40" s="386"/>
      <c r="X40" s="405"/>
      <c r="Y40" s="244"/>
      <c r="Z40" s="245"/>
      <c r="AA40" s="245"/>
      <c r="AB40" s="245"/>
      <c r="AC40" s="245"/>
      <c r="AD40" s="273"/>
      <c r="AK40" s="335" t="s">
        <v>104</v>
      </c>
      <c r="AL40" s="336" t="b">
        <f>IF('Building Input Sheet'!E74="Yes",TRUE,FALSE)</f>
        <v>0</v>
      </c>
      <c r="AM40" s="368"/>
      <c r="AN40" s="337"/>
      <c r="AO40" s="338">
        <f>IF(AL40=TRUE,0,2)</f>
        <v>2</v>
      </c>
      <c r="AP40" s="338" t="str">
        <f>IF(AL40=TRUE,2,"-")</f>
        <v>-</v>
      </c>
      <c r="AQ40" s="338">
        <f>IF(AND(AL40=TRUE,G56=AE58),AP40,0)</f>
        <v>0</v>
      </c>
      <c r="AR40" s="338">
        <f>IF(AND(AL40=TRUE,OR(V59=$AG$9,V59=$AG$10)),AQ40,0)</f>
        <v>0</v>
      </c>
      <c r="AS40" s="339">
        <f>IF(V59=$AG$11,AQ40,0)</f>
        <v>0</v>
      </c>
    </row>
    <row r="41" spans="1:45" ht="45" customHeight="1" x14ac:dyDescent="0.3">
      <c r="A41" s="141">
        <v>1</v>
      </c>
      <c r="B41" s="141">
        <f>IF(C41=TRUE,A41,A41-K41)</f>
        <v>0</v>
      </c>
      <c r="C41" s="362" t="b">
        <f t="shared" si="15"/>
        <v>0</v>
      </c>
      <c r="E41" s="440"/>
      <c r="F41" s="547" t="s">
        <v>96</v>
      </c>
      <c r="G41" s="562" t="s">
        <v>252</v>
      </c>
      <c r="H41" s="23">
        <v>13.1</v>
      </c>
      <c r="I41" s="52" t="s">
        <v>97</v>
      </c>
      <c r="J41" s="24" t="s">
        <v>247</v>
      </c>
      <c r="K41" s="53">
        <f t="shared" si="16"/>
        <v>1</v>
      </c>
      <c r="L41" s="54"/>
      <c r="M41" s="477">
        <f t="shared" si="18"/>
        <v>0</v>
      </c>
      <c r="N41" s="54"/>
      <c r="O41" s="26"/>
      <c r="P41" s="26"/>
      <c r="Q41" s="27" t="str">
        <f t="shared" si="5"/>
        <v/>
      </c>
      <c r="R41" s="27" t="str">
        <f t="shared" si="6"/>
        <v/>
      </c>
      <c r="S41" s="27"/>
      <c r="T41" s="27"/>
      <c r="U41" s="385"/>
      <c r="V41" s="462"/>
      <c r="W41" s="386"/>
      <c r="X41" s="405"/>
      <c r="Y41" s="244"/>
      <c r="Z41" s="245"/>
      <c r="AA41" s="245"/>
      <c r="AB41" s="245"/>
      <c r="AC41" s="245"/>
      <c r="AD41" s="273"/>
      <c r="AK41" s="335" t="s">
        <v>107</v>
      </c>
      <c r="AL41" s="336" t="b">
        <f>IF('Building Input Sheet'!E75="Yes",TRUE,FALSE)</f>
        <v>0</v>
      </c>
      <c r="AM41" s="368"/>
      <c r="AN41" s="337"/>
      <c r="AO41" s="338">
        <f t="shared" ref="AO41:AO46" si="19">IF(AL41=TRUE,0,1)</f>
        <v>1</v>
      </c>
      <c r="AP41" s="338" t="str">
        <f t="shared" si="17"/>
        <v>-</v>
      </c>
      <c r="AQ41" s="338">
        <f>IF(AND(AL41=TRUE,G70=AE71),AP41,0)</f>
        <v>0</v>
      </c>
      <c r="AR41" s="338">
        <f>IF(AND(AL41=TRUE,OR(V74=$AG$9,V74=$AG$10)),AQ41,0)</f>
        <v>0</v>
      </c>
      <c r="AS41" s="339">
        <f>IF(V74=$AG$11,AQ41,0)</f>
        <v>0</v>
      </c>
    </row>
    <row r="42" spans="1:45" ht="45" customHeight="1" x14ac:dyDescent="0.3">
      <c r="A42" s="141">
        <v>1</v>
      </c>
      <c r="B42" s="141">
        <f>IF(C42=TRUE,A42,A42-K42)</f>
        <v>0</v>
      </c>
      <c r="C42" s="362" t="b">
        <f t="shared" si="15"/>
        <v>0</v>
      </c>
      <c r="E42" s="440"/>
      <c r="F42" s="547"/>
      <c r="G42" s="562"/>
      <c r="H42" s="23">
        <v>13.2</v>
      </c>
      <c r="I42" s="52" t="s">
        <v>98</v>
      </c>
      <c r="J42" s="24" t="s">
        <v>247</v>
      </c>
      <c r="K42" s="53">
        <f t="shared" si="16"/>
        <v>1</v>
      </c>
      <c r="L42" s="54"/>
      <c r="M42" s="477">
        <f t="shared" si="18"/>
        <v>0</v>
      </c>
      <c r="N42" s="54"/>
      <c r="O42" s="26"/>
      <c r="P42" s="26"/>
      <c r="Q42" s="27" t="str">
        <f t="shared" si="5"/>
        <v/>
      </c>
      <c r="R42" s="27" t="str">
        <f t="shared" si="6"/>
        <v/>
      </c>
      <c r="S42" s="27"/>
      <c r="T42" s="27"/>
      <c r="U42" s="385"/>
      <c r="V42" s="462"/>
      <c r="W42" s="386"/>
      <c r="X42" s="405"/>
      <c r="Y42" s="244"/>
      <c r="Z42" s="245"/>
      <c r="AA42" s="245"/>
      <c r="AB42" s="245"/>
      <c r="AC42" s="245"/>
      <c r="AD42" s="273"/>
      <c r="AK42" s="335" t="s">
        <v>109</v>
      </c>
      <c r="AL42" s="336" t="b">
        <f>IF('Building Input Sheet'!E76="Yes",TRUE,FALSE)</f>
        <v>0</v>
      </c>
      <c r="AM42" s="368"/>
      <c r="AN42" s="337"/>
      <c r="AO42" s="338">
        <f t="shared" si="19"/>
        <v>1</v>
      </c>
      <c r="AP42" s="338" t="str">
        <f t="shared" si="17"/>
        <v>-</v>
      </c>
      <c r="AQ42" s="338">
        <f>IF(AND(AL42=TRUE,G70=AE71),AP42,0)</f>
        <v>0</v>
      </c>
      <c r="AR42" s="338">
        <f>IF(AND(AL42=TRUE,OR(V75=$AG$9,V75=$AG$10)),AQ42,0)</f>
        <v>0</v>
      </c>
      <c r="AS42" s="339">
        <f>IF(V75=$AG$11,AQ42,0)</f>
        <v>0</v>
      </c>
    </row>
    <row r="43" spans="1:45" ht="45" customHeight="1" x14ac:dyDescent="0.3">
      <c r="A43" s="141">
        <v>1</v>
      </c>
      <c r="B43" s="141">
        <f t="shared" si="7"/>
        <v>0</v>
      </c>
      <c r="C43" s="362" t="b">
        <f t="shared" si="15"/>
        <v>0</v>
      </c>
      <c r="E43" s="440"/>
      <c r="F43" s="547" t="s">
        <v>99</v>
      </c>
      <c r="G43" s="562" t="s">
        <v>253</v>
      </c>
      <c r="H43" s="23">
        <v>14.1</v>
      </c>
      <c r="I43" s="52" t="s">
        <v>99</v>
      </c>
      <c r="J43" s="24" t="s">
        <v>179</v>
      </c>
      <c r="K43" s="53">
        <f t="shared" si="16"/>
        <v>1</v>
      </c>
      <c r="L43" s="54"/>
      <c r="M43" s="477" t="str">
        <f t="shared" si="18"/>
        <v>-</v>
      </c>
      <c r="N43" s="54"/>
      <c r="O43" s="26"/>
      <c r="P43" s="26"/>
      <c r="Q43" s="27" t="str">
        <f t="shared" si="5"/>
        <v/>
      </c>
      <c r="R43" s="27" t="str">
        <f t="shared" si="6"/>
        <v/>
      </c>
      <c r="S43" s="27"/>
      <c r="T43" s="27"/>
      <c r="U43" s="385"/>
      <c r="V43" s="461"/>
      <c r="W43" s="386"/>
      <c r="X43" s="405"/>
      <c r="Y43" s="244"/>
      <c r="Z43" s="245"/>
      <c r="AA43" s="245"/>
      <c r="AB43" s="245"/>
      <c r="AC43" s="245"/>
      <c r="AD43" s="273"/>
      <c r="AK43" s="335">
        <v>20.100000000000001</v>
      </c>
      <c r="AL43" s="336" t="b">
        <f>IF('Building Input Sheet'!E77="Yes",TRUE,FALSE)</f>
        <v>0</v>
      </c>
      <c r="AM43" s="368"/>
      <c r="AN43" s="337"/>
      <c r="AO43" s="338">
        <f t="shared" si="19"/>
        <v>1</v>
      </c>
      <c r="AP43" s="338" t="str">
        <f t="shared" si="17"/>
        <v>-</v>
      </c>
      <c r="AQ43" s="338">
        <f>IF(AL43=TRUE,AP43,0)</f>
        <v>0</v>
      </c>
      <c r="AR43" s="338">
        <f>IF(AND(AL43=TRUE,OR(V85=$AG$9,V85=$AG$10)),AQ43,0)</f>
        <v>0</v>
      </c>
      <c r="AS43" s="339">
        <f>IF(V85=$AG$11,AQ43,0)</f>
        <v>0</v>
      </c>
    </row>
    <row r="44" spans="1:45" ht="45" customHeight="1" x14ac:dyDescent="0.3">
      <c r="A44" s="141">
        <v>1</v>
      </c>
      <c r="B44" s="141">
        <f t="shared" si="7"/>
        <v>0</v>
      </c>
      <c r="C44" s="362" t="b">
        <f t="shared" si="15"/>
        <v>0</v>
      </c>
      <c r="E44" s="440"/>
      <c r="F44" s="548"/>
      <c r="G44" s="531"/>
      <c r="H44" s="23">
        <v>14.2</v>
      </c>
      <c r="I44" s="52" t="s">
        <v>100</v>
      </c>
      <c r="J44" s="24" t="s">
        <v>179</v>
      </c>
      <c r="K44" s="53">
        <f t="shared" si="16"/>
        <v>1</v>
      </c>
      <c r="L44" s="54"/>
      <c r="M44" s="477" t="str">
        <f t="shared" si="18"/>
        <v>-</v>
      </c>
      <c r="N44" s="54"/>
      <c r="O44" s="26"/>
      <c r="P44" s="26"/>
      <c r="Q44" s="27" t="str">
        <f t="shared" si="5"/>
        <v/>
      </c>
      <c r="R44" s="27" t="str">
        <f t="shared" si="6"/>
        <v/>
      </c>
      <c r="S44" s="27"/>
      <c r="T44" s="27"/>
      <c r="U44" s="385"/>
      <c r="V44" s="461"/>
      <c r="W44" s="386"/>
      <c r="X44" s="405"/>
      <c r="Y44" s="244"/>
      <c r="Z44" s="245"/>
      <c r="AA44" s="245"/>
      <c r="AB44" s="245"/>
      <c r="AC44" s="245"/>
      <c r="AD44" s="273"/>
      <c r="AK44" s="335">
        <v>20.2</v>
      </c>
      <c r="AL44" s="336" t="b">
        <f>IF('Building Input Sheet'!E78="Yes",TRUE,FALSE)</f>
        <v>0</v>
      </c>
      <c r="AM44" s="368"/>
      <c r="AN44" s="337"/>
      <c r="AO44" s="338">
        <f t="shared" si="19"/>
        <v>1</v>
      </c>
      <c r="AP44" s="338" t="str">
        <f t="shared" si="17"/>
        <v>-</v>
      </c>
      <c r="AQ44" s="338">
        <f>IF(AL44=TRUE,AP44,0)</f>
        <v>0</v>
      </c>
      <c r="AR44" s="338">
        <f>IF(AND(AL44=TRUE,OR(V86=$AG$9,V86=$AG$10)),AQ44,0)</f>
        <v>0</v>
      </c>
      <c r="AS44" s="339">
        <f>IF(V86=$AG$11,AQ44,0)</f>
        <v>0</v>
      </c>
    </row>
    <row r="45" spans="1:45" ht="45" customHeight="1" x14ac:dyDescent="0.3">
      <c r="E45" s="430"/>
      <c r="F45" s="39" t="s">
        <v>54</v>
      </c>
      <c r="G45" s="39"/>
      <c r="H45" s="40"/>
      <c r="I45" s="39"/>
      <c r="J45" s="39"/>
      <c r="K45" s="40">
        <f>SUM(K28:K44)</f>
        <v>17</v>
      </c>
      <c r="L45" s="40">
        <f>SUM(L28:L44)</f>
        <v>0</v>
      </c>
      <c r="M45" s="40">
        <f t="shared" ref="M45:N45" si="20">SUM(M28:M44)</f>
        <v>0</v>
      </c>
      <c r="N45" s="40">
        <f t="shared" si="20"/>
        <v>0</v>
      </c>
      <c r="O45" s="26" t="str">
        <f>IF(L45&gt;K45,"!","")</f>
        <v/>
      </c>
      <c r="P45" s="26"/>
      <c r="Q45" s="41">
        <f t="shared" ref="Q45:R45" si="21">SUM(Q28:Q44)</f>
        <v>0</v>
      </c>
      <c r="R45" s="41">
        <f t="shared" si="21"/>
        <v>0</v>
      </c>
      <c r="S45" s="48"/>
      <c r="T45" s="48"/>
      <c r="U45" s="392"/>
      <c r="V45" s="393"/>
      <c r="W45" s="223"/>
      <c r="X45" s="405"/>
      <c r="Y45" s="248"/>
      <c r="Z45" s="249"/>
      <c r="AA45" s="249"/>
      <c r="AB45" s="249"/>
      <c r="AC45" s="249"/>
      <c r="AD45" s="273"/>
      <c r="AK45" s="335">
        <v>20.3</v>
      </c>
      <c r="AL45" s="336" t="b">
        <f>IF('Building Input Sheet'!E79="Yes",TRUE,FALSE)</f>
        <v>0</v>
      </c>
      <c r="AM45" s="368"/>
      <c r="AN45" s="337"/>
      <c r="AO45" s="338">
        <f t="shared" si="19"/>
        <v>1</v>
      </c>
      <c r="AP45" s="338" t="str">
        <f t="shared" si="17"/>
        <v>-</v>
      </c>
      <c r="AQ45" s="338">
        <f>IF(AL45=TRUE,AP45,0)</f>
        <v>0</v>
      </c>
      <c r="AR45" s="338">
        <f>IF(AND(AL45=TRUE,OR(V87=$AG$9,V87=$AG$10)),AQ45,0)</f>
        <v>0</v>
      </c>
      <c r="AS45" s="339">
        <f>IF(V87=$AG$11,AQ45,0)</f>
        <v>0</v>
      </c>
    </row>
    <row r="46" spans="1:45" ht="45" customHeight="1" x14ac:dyDescent="0.3">
      <c r="E46" s="388"/>
      <c r="F46" s="421"/>
      <c r="G46" s="421"/>
      <c r="H46" s="396"/>
      <c r="I46" s="421"/>
      <c r="J46" s="48"/>
      <c r="K46" s="396"/>
      <c r="L46" s="396"/>
      <c r="M46" s="396"/>
      <c r="N46" s="396"/>
      <c r="O46" s="422"/>
      <c r="P46" s="422"/>
      <c r="Q46" s="396"/>
      <c r="R46" s="396"/>
      <c r="S46" s="396"/>
      <c r="T46" s="396"/>
      <c r="U46" s="420"/>
      <c r="V46" s="393"/>
      <c r="W46" s="223"/>
      <c r="X46" s="405"/>
      <c r="Y46" s="248"/>
      <c r="Z46" s="249"/>
      <c r="AA46" s="249"/>
      <c r="AB46" s="249"/>
      <c r="AC46" s="249"/>
      <c r="AD46" s="273"/>
      <c r="AK46" s="343">
        <v>24.3</v>
      </c>
      <c r="AL46" s="336" t="b">
        <f>IF('Building Input Sheet'!E80="Yes",TRUE,FALSE)</f>
        <v>0</v>
      </c>
      <c r="AM46" s="369"/>
      <c r="AN46" s="344"/>
      <c r="AO46" s="345">
        <f t="shared" si="19"/>
        <v>1</v>
      </c>
      <c r="AP46" s="345" t="str">
        <f t="shared" si="17"/>
        <v>-</v>
      </c>
      <c r="AQ46" s="345">
        <f>IF(AL46=TRUE,AP46,0)</f>
        <v>0</v>
      </c>
      <c r="AR46" s="338">
        <f>IF(AND(AL46=TRUE,OR(V98=$AG$9,V98=$AG$10)),AQ46,0)</f>
        <v>0</v>
      </c>
      <c r="AS46" s="346">
        <f>IF(V98=$AG$11,AQ46,0)</f>
        <v>0</v>
      </c>
    </row>
    <row r="47" spans="1:45" ht="45" customHeight="1" x14ac:dyDescent="0.3">
      <c r="E47" s="388"/>
      <c r="F47" s="421"/>
      <c r="G47" s="421"/>
      <c r="H47" s="396"/>
      <c r="I47" s="421"/>
      <c r="J47" s="48"/>
      <c r="K47" s="396"/>
      <c r="L47" s="396"/>
      <c r="M47" s="396"/>
      <c r="N47" s="396"/>
      <c r="O47" s="422"/>
      <c r="P47" s="422"/>
      <c r="Q47" s="396"/>
      <c r="R47" s="396"/>
      <c r="S47" s="396"/>
      <c r="T47" s="396"/>
      <c r="U47" s="420"/>
      <c r="V47" s="393"/>
      <c r="W47" s="223"/>
      <c r="X47" s="405"/>
      <c r="Y47" s="248"/>
      <c r="Z47" s="249"/>
      <c r="AA47" s="249"/>
      <c r="AB47" s="249"/>
      <c r="AC47" s="249"/>
      <c r="AD47" s="273"/>
      <c r="AK47" s="472">
        <v>28</v>
      </c>
      <c r="AL47" s="336" t="b">
        <f>IF('Building Input Sheet'!E81="Yes",TRUE,FALSE)</f>
        <v>0</v>
      </c>
      <c r="AM47" s="369"/>
      <c r="AN47" s="344"/>
      <c r="AO47" s="345">
        <f t="shared" ref="AO47" si="22">IF(AL47=TRUE,0,1)</f>
        <v>1</v>
      </c>
      <c r="AP47" s="345" t="str">
        <f t="shared" ref="AP47" si="23">IF(AL47=TRUE,1,"-")</f>
        <v>-</v>
      </c>
      <c r="AQ47" s="345">
        <f>IF(AL47=TRUE,AP47,0)</f>
        <v>0</v>
      </c>
      <c r="AR47" s="338">
        <f>IF(AND(AL47=TRUE,OR(V99=$AG$9,V99=$AG$10)),AQ47,0)</f>
        <v>0</v>
      </c>
      <c r="AS47" s="346">
        <f>IF(V99=$AG$11,AQ47,0)</f>
        <v>0</v>
      </c>
    </row>
    <row r="48" spans="1:45" ht="45" customHeight="1" x14ac:dyDescent="0.3">
      <c r="E48" s="439"/>
      <c r="F48" s="525" t="s">
        <v>254</v>
      </c>
      <c r="G48" s="525"/>
      <c r="H48" s="525"/>
      <c r="I48" s="525"/>
      <c r="J48" s="49"/>
      <c r="K48" s="49">
        <f>22-SUM(B49:B52)</f>
        <v>22</v>
      </c>
      <c r="L48" s="49"/>
      <c r="M48" s="49"/>
      <c r="N48" s="49"/>
      <c r="O48" s="423"/>
      <c r="P48" s="423"/>
      <c r="Q48" s="145"/>
      <c r="R48" s="145"/>
      <c r="S48" s="145"/>
      <c r="T48" s="145"/>
      <c r="U48" s="171"/>
      <c r="V48" s="387"/>
      <c r="W48" s="224"/>
      <c r="X48" s="415"/>
      <c r="Y48" s="232"/>
      <c r="Z48" s="224"/>
      <c r="AA48" s="224"/>
      <c r="AB48" s="224"/>
      <c r="AC48" s="224"/>
      <c r="AD48" s="273"/>
      <c r="AK48" s="13"/>
      <c r="AL48" s="13"/>
      <c r="AM48" s="13"/>
      <c r="AN48" s="13"/>
      <c r="AO48" s="347" t="s">
        <v>255</v>
      </c>
      <c r="AP48" s="329" t="s">
        <v>256</v>
      </c>
      <c r="AQ48" s="329" t="s">
        <v>143</v>
      </c>
      <c r="AR48" s="329" t="s">
        <v>146</v>
      </c>
      <c r="AS48" s="348" t="s">
        <v>237</v>
      </c>
    </row>
    <row r="49" spans="2:45" ht="45" customHeight="1" x14ac:dyDescent="0.35">
      <c r="E49" s="440"/>
      <c r="F49" s="560" t="s">
        <v>257</v>
      </c>
      <c r="G49" s="562" t="s">
        <v>258</v>
      </c>
      <c r="H49" s="148">
        <v>15.1</v>
      </c>
      <c r="I49" s="178" t="s">
        <v>259</v>
      </c>
      <c r="J49" s="24" t="s">
        <v>179</v>
      </c>
      <c r="K49" s="262" t="s">
        <v>259</v>
      </c>
      <c r="L49" s="82"/>
      <c r="M49" s="479" t="s">
        <v>180</v>
      </c>
      <c r="N49" s="82"/>
      <c r="O49" s="19" t="str">
        <f>IF($L$49=0,"CR","")</f>
        <v>CR</v>
      </c>
      <c r="P49" s="26"/>
      <c r="Q49" s="27" t="str">
        <f>IF(OR(U49=$AG$9,U49=$AG$10),L49,"")</f>
        <v/>
      </c>
      <c r="R49" s="27" t="str">
        <f>IF(U49=$AG$11,L49,"")</f>
        <v/>
      </c>
      <c r="S49" s="27"/>
      <c r="T49" s="27"/>
      <c r="U49" s="385"/>
      <c r="V49" s="461"/>
      <c r="W49" s="386"/>
      <c r="X49" s="405"/>
      <c r="Y49" s="244"/>
      <c r="Z49" s="245"/>
      <c r="AA49" s="245"/>
      <c r="AB49" s="245"/>
      <c r="AC49" s="245"/>
      <c r="AD49" s="273"/>
      <c r="AK49" s="13"/>
      <c r="AL49" s="13"/>
      <c r="AM49" s="13"/>
      <c r="AN49" s="13"/>
      <c r="AO49" s="349"/>
      <c r="AP49" s="350">
        <f>SUM(AP22:AP46)</f>
        <v>0</v>
      </c>
      <c r="AQ49" s="351">
        <f>SUM(AQ22:AQ46)</f>
        <v>0</v>
      </c>
      <c r="AR49" s="352">
        <f>SUM(AR22:AR46)</f>
        <v>0</v>
      </c>
      <c r="AS49" s="353">
        <f>SUM(AS22:AS46)</f>
        <v>0</v>
      </c>
    </row>
    <row r="50" spans="2:45" ht="45" customHeight="1" x14ac:dyDescent="0.3">
      <c r="E50" s="440"/>
      <c r="F50" s="561"/>
      <c r="G50" s="531"/>
      <c r="H50" s="148">
        <v>15.2</v>
      </c>
      <c r="I50" s="157" t="s">
        <v>260</v>
      </c>
      <c r="J50" s="24" t="s">
        <v>179</v>
      </c>
      <c r="K50" s="102">
        <v>20</v>
      </c>
      <c r="L50" s="82"/>
      <c r="M50" s="479" t="s">
        <v>180</v>
      </c>
      <c r="N50" s="82"/>
      <c r="O50" s="26" t="str">
        <f>IF(AND(L50&gt;0,L49&lt;&gt;$AH$8),"!","")</f>
        <v/>
      </c>
      <c r="P50" s="26"/>
      <c r="Q50" s="27" t="str">
        <f>IF(OR(U50=$AG$9,U50=$AG$10),L50,"")</f>
        <v/>
      </c>
      <c r="R50" s="27" t="str">
        <f>IF(U50=$AG$11,L50,"")</f>
        <v/>
      </c>
      <c r="S50" s="27"/>
      <c r="T50" s="27"/>
      <c r="U50" s="385"/>
      <c r="V50" s="461"/>
      <c r="W50" s="386"/>
      <c r="X50" s="405"/>
      <c r="Y50" s="244"/>
      <c r="Z50" s="245"/>
      <c r="AA50" s="245"/>
      <c r="AB50" s="245"/>
      <c r="AC50" s="245"/>
      <c r="AD50" s="273"/>
    </row>
    <row r="51" spans="2:45" ht="45" customHeight="1" x14ac:dyDescent="0.3">
      <c r="E51" s="440"/>
      <c r="F51" s="547" t="s">
        <v>261</v>
      </c>
      <c r="G51" s="549" t="s">
        <v>190</v>
      </c>
      <c r="H51" s="149" t="s">
        <v>262</v>
      </c>
      <c r="I51" s="158" t="s">
        <v>263</v>
      </c>
      <c r="J51" s="24" t="s">
        <v>179</v>
      </c>
      <c r="K51" s="98">
        <f>IF(G51=AE51,1,"0")</f>
        <v>1</v>
      </c>
      <c r="L51" s="82"/>
      <c r="M51" s="479" t="s">
        <v>180</v>
      </c>
      <c r="N51" s="82"/>
      <c r="O51" s="26"/>
      <c r="P51" s="26"/>
      <c r="Q51" s="27" t="str">
        <f>IF(OR(U51=$AG$9,U51=$AG$10),L51,"")</f>
        <v/>
      </c>
      <c r="R51" s="27" t="str">
        <f>IF(U51=$AG$11,L51,"")</f>
        <v/>
      </c>
      <c r="S51" s="27"/>
      <c r="T51" s="27"/>
      <c r="U51" s="385"/>
      <c r="V51" s="461"/>
      <c r="W51" s="386"/>
      <c r="X51" s="273"/>
      <c r="Y51" s="244"/>
      <c r="Z51" s="245"/>
      <c r="AA51" s="245"/>
      <c r="AB51" s="245"/>
      <c r="AC51" s="245"/>
      <c r="AD51" s="273"/>
      <c r="AE51" s="4" t="s">
        <v>190</v>
      </c>
    </row>
    <row r="52" spans="2:45" ht="45" customHeight="1" x14ac:dyDescent="0.3">
      <c r="E52" s="440"/>
      <c r="F52" s="548"/>
      <c r="G52" s="550"/>
      <c r="H52" s="150" t="s">
        <v>264</v>
      </c>
      <c r="I52" s="159" t="s">
        <v>265</v>
      </c>
      <c r="J52" s="24" t="s">
        <v>179</v>
      </c>
      <c r="K52" s="99" t="str">
        <f>IF(G51=AE52,2,"0")</f>
        <v>0</v>
      </c>
      <c r="L52" s="89"/>
      <c r="M52" s="480" t="s">
        <v>180</v>
      </c>
      <c r="N52" s="89"/>
      <c r="O52" s="424"/>
      <c r="P52" s="26"/>
      <c r="Q52" s="27" t="str">
        <f>IF(OR(U52=$AG$9,U52=$AG$10),L52,"")</f>
        <v/>
      </c>
      <c r="R52" s="27" t="str">
        <f>IF(U52=$AG$11,L52,"")</f>
        <v/>
      </c>
      <c r="S52" s="27"/>
      <c r="T52" s="27"/>
      <c r="U52" s="385"/>
      <c r="V52" s="461"/>
      <c r="W52" s="386"/>
      <c r="X52" s="273"/>
      <c r="Y52" s="244"/>
      <c r="Z52" s="245"/>
      <c r="AA52" s="245"/>
      <c r="AB52" s="245"/>
      <c r="AC52" s="245"/>
      <c r="AD52" s="273"/>
      <c r="AE52" s="6" t="s">
        <v>186</v>
      </c>
    </row>
    <row r="53" spans="2:45" ht="45" customHeight="1" x14ac:dyDescent="0.3">
      <c r="E53" s="430"/>
      <c r="F53" s="39" t="s">
        <v>54</v>
      </c>
      <c r="G53" s="39"/>
      <c r="H53" s="40"/>
      <c r="I53" s="39"/>
      <c r="J53" s="39"/>
      <c r="K53" s="40">
        <f>SUM(K49:K52)</f>
        <v>21</v>
      </c>
      <c r="L53" s="40">
        <f>SUM(L49:L52)</f>
        <v>0</v>
      </c>
      <c r="M53" s="40">
        <f t="shared" ref="M53:N53" si="24">SUM(M49:M52)</f>
        <v>0</v>
      </c>
      <c r="N53" s="40">
        <f t="shared" si="24"/>
        <v>0</v>
      </c>
      <c r="O53" s="26" t="str">
        <f>IF(L53&gt;K53,"!","")</f>
        <v/>
      </c>
      <c r="P53" s="26"/>
      <c r="Q53" s="41">
        <f>SUM(Q49:Q52)</f>
        <v>0</v>
      </c>
      <c r="R53" s="41">
        <f>SUM(R49:R52)</f>
        <v>0</v>
      </c>
      <c r="S53" s="48"/>
      <c r="T53" s="48"/>
      <c r="U53" s="392"/>
      <c r="V53" s="393"/>
      <c r="W53" s="223"/>
      <c r="X53" s="405"/>
      <c r="Y53" s="248"/>
      <c r="Z53" s="249"/>
      <c r="AA53" s="249"/>
      <c r="AB53" s="249"/>
      <c r="AC53" s="249"/>
      <c r="AD53" s="273"/>
    </row>
    <row r="54" spans="2:45" ht="45" customHeight="1" x14ac:dyDescent="0.3">
      <c r="E54" s="388"/>
      <c r="F54" s="394"/>
      <c r="G54" s="394"/>
      <c r="H54" s="48"/>
      <c r="I54" s="394"/>
      <c r="J54" s="48"/>
      <c r="K54" s="48"/>
      <c r="L54" s="48"/>
      <c r="M54" s="48"/>
      <c r="N54" s="48"/>
      <c r="O54" s="425"/>
      <c r="P54" s="425"/>
      <c r="Q54" s="48"/>
      <c r="R54" s="48"/>
      <c r="S54" s="48"/>
      <c r="T54" s="48"/>
      <c r="U54" s="392"/>
      <c r="V54" s="273"/>
      <c r="W54" s="223"/>
      <c r="X54" s="405"/>
      <c r="Y54" s="248"/>
      <c r="Z54" s="249"/>
      <c r="AA54" s="249"/>
      <c r="AB54" s="249"/>
      <c r="AC54" s="249"/>
      <c r="AD54" s="273"/>
    </row>
    <row r="55" spans="2:45" ht="45" customHeight="1" x14ac:dyDescent="0.3">
      <c r="E55" s="439"/>
      <c r="F55" s="254" t="s">
        <v>266</v>
      </c>
      <c r="G55" s="67"/>
      <c r="H55" s="68"/>
      <c r="I55" s="67"/>
      <c r="J55" s="49"/>
      <c r="K55" s="49">
        <f>10-SUM(B56:B66)</f>
        <v>10</v>
      </c>
      <c r="L55" s="49"/>
      <c r="M55" s="49"/>
      <c r="N55" s="49"/>
      <c r="O55" s="26"/>
      <c r="P55" s="26"/>
      <c r="Q55" s="154"/>
      <c r="R55" s="154"/>
      <c r="S55" s="154"/>
      <c r="T55" s="154"/>
      <c r="U55" s="171"/>
      <c r="V55" s="171"/>
      <c r="W55" s="222"/>
      <c r="X55" s="415"/>
      <c r="Y55" s="232"/>
      <c r="Z55" s="222"/>
      <c r="AA55" s="222"/>
      <c r="AB55" s="222"/>
      <c r="AC55" s="222"/>
      <c r="AD55" s="273"/>
    </row>
    <row r="56" spans="2:45" ht="45" customHeight="1" x14ac:dyDescent="0.3">
      <c r="E56" s="440"/>
      <c r="F56" s="551" t="s">
        <v>101</v>
      </c>
      <c r="G56" s="554" t="s">
        <v>267</v>
      </c>
      <c r="H56" s="148" t="s">
        <v>268</v>
      </c>
      <c r="I56" s="157" t="s">
        <v>269</v>
      </c>
      <c r="J56" s="24" t="s">
        <v>179</v>
      </c>
      <c r="K56" s="99" t="str">
        <f>IF(G56=AE57,10,"0")</f>
        <v>0</v>
      </c>
      <c r="L56" s="82"/>
      <c r="M56" s="479" t="s">
        <v>180</v>
      </c>
      <c r="N56" s="82"/>
      <c r="O56" s="424"/>
      <c r="P56" s="26"/>
      <c r="Q56" s="27" t="str">
        <f t="shared" ref="Q56:Q66" si="25">IF(OR(U56=$AG$9,U56=$AG$10),L56,"")</f>
        <v/>
      </c>
      <c r="R56" s="27" t="str">
        <f t="shared" ref="R56:R66" si="26">IF(U56=$AG$11,L56,"")</f>
        <v/>
      </c>
      <c r="S56" s="27"/>
      <c r="T56" s="27"/>
      <c r="U56" s="385"/>
      <c r="V56" s="460"/>
      <c r="W56" s="386"/>
      <c r="X56" s="273"/>
      <c r="Y56" s="244"/>
      <c r="Z56" s="245"/>
      <c r="AA56" s="245"/>
      <c r="AB56" s="245"/>
      <c r="AC56" s="245"/>
      <c r="AD56" s="273"/>
    </row>
    <row r="57" spans="2:45" ht="45" customHeight="1" x14ac:dyDescent="0.3">
      <c r="E57" s="440"/>
      <c r="F57" s="552"/>
      <c r="G57" s="555"/>
      <c r="H57" s="148" t="s">
        <v>270</v>
      </c>
      <c r="I57" s="157" t="s">
        <v>271</v>
      </c>
      <c r="J57" s="24" t="s">
        <v>179</v>
      </c>
      <c r="K57" s="99">
        <f>IF($G$56=$AE$58,4,"0")</f>
        <v>4</v>
      </c>
      <c r="L57" s="82"/>
      <c r="M57" s="479" t="s">
        <v>180</v>
      </c>
      <c r="N57" s="82"/>
      <c r="O57" s="424"/>
      <c r="P57" s="26"/>
      <c r="Q57" s="27" t="str">
        <f t="shared" si="25"/>
        <v/>
      </c>
      <c r="R57" s="27" t="str">
        <f t="shared" si="26"/>
        <v/>
      </c>
      <c r="S57" s="27"/>
      <c r="T57" s="27"/>
      <c r="U57" s="385"/>
      <c r="V57" s="461"/>
      <c r="W57" s="386"/>
      <c r="X57" s="273"/>
      <c r="Y57" s="244"/>
      <c r="Z57" s="245"/>
      <c r="AA57" s="245"/>
      <c r="AB57" s="245"/>
      <c r="AC57" s="245"/>
      <c r="AD57" s="273"/>
      <c r="AE57" s="6" t="s">
        <v>272</v>
      </c>
    </row>
    <row r="58" spans="2:45" ht="45" customHeight="1" x14ac:dyDescent="0.3">
      <c r="B58" s="141">
        <f>IF(AND(C58=TRUE,$G$56=$AE$58),1,0)</f>
        <v>0</v>
      </c>
      <c r="C58" s="362" t="b">
        <f>AL39</f>
        <v>0</v>
      </c>
      <c r="E58" s="440"/>
      <c r="F58" s="552"/>
      <c r="G58" s="555"/>
      <c r="H58" s="148" t="s">
        <v>102</v>
      </c>
      <c r="I58" s="157" t="s">
        <v>103</v>
      </c>
      <c r="J58" s="24" t="s">
        <v>179</v>
      </c>
      <c r="K58" s="102">
        <f>IF(OR($G$56=$AE$57,$G$56=$AE$59,C58=TRUE),0,AO39)</f>
        <v>1</v>
      </c>
      <c r="L58" s="82"/>
      <c r="M58" s="479" t="str">
        <f>IF($G$56=$AE$58,AP39,"-")</f>
        <v>-</v>
      </c>
      <c r="N58" s="82"/>
      <c r="O58" s="424"/>
      <c r="P58" s="26"/>
      <c r="Q58" s="27" t="str">
        <f t="shared" si="25"/>
        <v/>
      </c>
      <c r="R58" s="27" t="str">
        <f t="shared" si="26"/>
        <v/>
      </c>
      <c r="S58" s="27"/>
      <c r="T58" s="27"/>
      <c r="U58" s="385"/>
      <c r="V58" s="462"/>
      <c r="W58" s="386"/>
      <c r="X58" s="405"/>
      <c r="Y58" s="244"/>
      <c r="Z58" s="245"/>
      <c r="AA58" s="245"/>
      <c r="AB58" s="245"/>
      <c r="AC58" s="245"/>
      <c r="AD58" s="273"/>
      <c r="AE58" s="6" t="s">
        <v>267</v>
      </c>
    </row>
    <row r="59" spans="2:45" ht="45" customHeight="1" x14ac:dyDescent="0.3">
      <c r="B59" s="141">
        <f>IF(AND(C59=TRUE,$G$56=$AE$58),2,0)</f>
        <v>0</v>
      </c>
      <c r="C59" s="362" t="b">
        <f>AL40</f>
        <v>0</v>
      </c>
      <c r="E59" s="440"/>
      <c r="F59" s="552"/>
      <c r="G59" s="555"/>
      <c r="H59" s="148" t="s">
        <v>104</v>
      </c>
      <c r="I59" s="157" t="s">
        <v>105</v>
      </c>
      <c r="J59" s="24" t="s">
        <v>179</v>
      </c>
      <c r="K59" s="102">
        <f>IF(OR($G$56=$AE$57,$G$56=$AE$59,C59=TRUE),0,AO40)</f>
        <v>2</v>
      </c>
      <c r="L59" s="82"/>
      <c r="M59" s="479" t="str">
        <f>IF($G$56=$AE$58,AP40,"-")</f>
        <v>-</v>
      </c>
      <c r="N59" s="82"/>
      <c r="O59" s="424"/>
      <c r="P59" s="26"/>
      <c r="Q59" s="27" t="str">
        <f t="shared" si="25"/>
        <v/>
      </c>
      <c r="R59" s="27" t="str">
        <f t="shared" si="26"/>
        <v/>
      </c>
      <c r="S59" s="27"/>
      <c r="T59" s="27"/>
      <c r="U59" s="385"/>
      <c r="V59" s="462"/>
      <c r="W59" s="386"/>
      <c r="X59" s="405"/>
      <c r="Y59" s="244"/>
      <c r="Z59" s="245"/>
      <c r="AA59" s="245"/>
      <c r="AB59" s="245"/>
      <c r="AC59" s="245"/>
      <c r="AD59" s="273"/>
      <c r="AE59" s="6" t="s">
        <v>273</v>
      </c>
    </row>
    <row r="60" spans="2:45" ht="45" customHeight="1" x14ac:dyDescent="0.3">
      <c r="E60" s="440"/>
      <c r="F60" s="552"/>
      <c r="G60" s="555"/>
      <c r="H60" s="148" t="s">
        <v>274</v>
      </c>
      <c r="I60" s="157" t="s">
        <v>275</v>
      </c>
      <c r="J60" s="24" t="s">
        <v>179</v>
      </c>
      <c r="K60" s="99">
        <f>IF($G$56=$AE$58,2,"0")</f>
        <v>2</v>
      </c>
      <c r="L60" s="82"/>
      <c r="M60" s="479" t="s">
        <v>180</v>
      </c>
      <c r="N60" s="82"/>
      <c r="O60" s="424"/>
      <c r="P60" s="26"/>
      <c r="Q60" s="27" t="str">
        <f t="shared" si="25"/>
        <v/>
      </c>
      <c r="R60" s="27" t="str">
        <f t="shared" si="26"/>
        <v/>
      </c>
      <c r="S60" s="27"/>
      <c r="T60" s="27"/>
      <c r="U60" s="385"/>
      <c r="V60" s="461"/>
      <c r="W60" s="386"/>
      <c r="X60" s="405"/>
      <c r="Y60" s="244"/>
      <c r="Z60" s="245"/>
      <c r="AA60" s="245"/>
      <c r="AB60" s="245"/>
      <c r="AC60" s="245"/>
      <c r="AD60" s="273"/>
    </row>
    <row r="61" spans="2:45" ht="45" customHeight="1" x14ac:dyDescent="0.3">
      <c r="E61" s="440"/>
      <c r="F61" s="552"/>
      <c r="G61" s="555"/>
      <c r="H61" s="148" t="s">
        <v>276</v>
      </c>
      <c r="I61" s="157" t="s">
        <v>277</v>
      </c>
      <c r="J61" s="24" t="s">
        <v>179</v>
      </c>
      <c r="K61" s="99">
        <f>IF($G$56=$AE$58,1,"0")</f>
        <v>1</v>
      </c>
      <c r="L61" s="82"/>
      <c r="M61" s="479" t="s">
        <v>180</v>
      </c>
      <c r="N61" s="82"/>
      <c r="O61" s="424"/>
      <c r="P61" s="26"/>
      <c r="Q61" s="27" t="str">
        <f t="shared" si="25"/>
        <v/>
      </c>
      <c r="R61" s="27" t="str">
        <f t="shared" si="26"/>
        <v/>
      </c>
      <c r="S61" s="27"/>
      <c r="T61" s="27"/>
      <c r="U61" s="385"/>
      <c r="V61" s="461"/>
      <c r="W61" s="386"/>
      <c r="X61" s="405"/>
      <c r="Y61" s="244"/>
      <c r="Z61" s="245"/>
      <c r="AA61" s="245"/>
      <c r="AB61" s="245"/>
      <c r="AC61" s="245"/>
      <c r="AD61" s="273"/>
    </row>
    <row r="62" spans="2:45" ht="45" customHeight="1" x14ac:dyDescent="0.3">
      <c r="E62" s="440"/>
      <c r="F62" s="552"/>
      <c r="G62" s="555"/>
      <c r="H62" s="148" t="s">
        <v>278</v>
      </c>
      <c r="I62" s="157" t="s">
        <v>271</v>
      </c>
      <c r="J62" s="24" t="s">
        <v>179</v>
      </c>
      <c r="K62" s="102" t="str">
        <f>IF($G$56=$AE$59,1,"0")</f>
        <v>0</v>
      </c>
      <c r="L62" s="82"/>
      <c r="M62" s="479" t="s">
        <v>180</v>
      </c>
      <c r="N62" s="82"/>
      <c r="O62" s="26"/>
      <c r="P62" s="26"/>
      <c r="Q62" s="27" t="str">
        <f t="shared" si="25"/>
        <v/>
      </c>
      <c r="R62" s="27" t="str">
        <f t="shared" si="26"/>
        <v/>
      </c>
      <c r="S62" s="27"/>
      <c r="T62" s="27"/>
      <c r="U62" s="385"/>
      <c r="V62" s="461"/>
      <c r="W62" s="386"/>
      <c r="X62" s="405"/>
      <c r="Y62" s="244"/>
      <c r="Z62" s="245"/>
      <c r="AA62" s="245"/>
      <c r="AB62" s="245"/>
      <c r="AC62" s="245"/>
      <c r="AD62" s="273"/>
    </row>
    <row r="63" spans="2:45" ht="45" customHeight="1" x14ac:dyDescent="0.3">
      <c r="E63" s="440"/>
      <c r="F63" s="552"/>
      <c r="G63" s="555"/>
      <c r="H63" s="148" t="s">
        <v>279</v>
      </c>
      <c r="I63" s="157" t="s">
        <v>103</v>
      </c>
      <c r="J63" s="24" t="s">
        <v>179</v>
      </c>
      <c r="K63" s="102" t="str">
        <f>IF($G$56=$AE$59,1,"0")</f>
        <v>0</v>
      </c>
      <c r="L63" s="82"/>
      <c r="M63" s="479" t="s">
        <v>180</v>
      </c>
      <c r="N63" s="82"/>
      <c r="O63" s="26"/>
      <c r="P63" s="26"/>
      <c r="Q63" s="27" t="str">
        <f t="shared" si="25"/>
        <v/>
      </c>
      <c r="R63" s="27" t="str">
        <f t="shared" si="26"/>
        <v/>
      </c>
      <c r="S63" s="27"/>
      <c r="T63" s="27"/>
      <c r="U63" s="385"/>
      <c r="V63" s="461"/>
      <c r="W63" s="386"/>
      <c r="X63" s="405"/>
      <c r="Y63" s="244"/>
      <c r="Z63" s="245"/>
      <c r="AA63" s="245"/>
      <c r="AB63" s="245"/>
      <c r="AC63" s="245"/>
      <c r="AD63" s="273"/>
    </row>
    <row r="64" spans="2:45" ht="45" customHeight="1" x14ac:dyDescent="0.3">
      <c r="E64" s="440"/>
      <c r="F64" s="552"/>
      <c r="G64" s="555"/>
      <c r="H64" s="148" t="s">
        <v>280</v>
      </c>
      <c r="I64" s="157" t="s">
        <v>105</v>
      </c>
      <c r="J64" s="24" t="s">
        <v>179</v>
      </c>
      <c r="K64" s="102" t="str">
        <f>IF($G$56=$AE$59,5,"0")</f>
        <v>0</v>
      </c>
      <c r="L64" s="82"/>
      <c r="M64" s="479" t="s">
        <v>180</v>
      </c>
      <c r="N64" s="82"/>
      <c r="O64" s="26"/>
      <c r="P64" s="26"/>
      <c r="Q64" s="27" t="str">
        <f t="shared" si="25"/>
        <v/>
      </c>
      <c r="R64" s="27" t="str">
        <f t="shared" si="26"/>
        <v/>
      </c>
      <c r="S64" s="27"/>
      <c r="T64" s="27"/>
      <c r="U64" s="385"/>
      <c r="V64" s="461"/>
      <c r="W64" s="386"/>
      <c r="X64" s="405"/>
      <c r="Y64" s="244"/>
      <c r="Z64" s="245"/>
      <c r="AA64" s="245"/>
      <c r="AB64" s="245"/>
      <c r="AC64" s="245"/>
      <c r="AD64" s="273"/>
    </row>
    <row r="65" spans="2:31" ht="45" customHeight="1" x14ac:dyDescent="0.3">
      <c r="E65" s="440"/>
      <c r="F65" s="552"/>
      <c r="G65" s="555"/>
      <c r="H65" s="148" t="s">
        <v>281</v>
      </c>
      <c r="I65" s="157" t="s">
        <v>275</v>
      </c>
      <c r="J65" s="24" t="s">
        <v>179</v>
      </c>
      <c r="K65" s="102" t="str">
        <f>IF($G$56=$AE$59,2,"0")</f>
        <v>0</v>
      </c>
      <c r="L65" s="82"/>
      <c r="M65" s="479" t="s">
        <v>180</v>
      </c>
      <c r="N65" s="82"/>
      <c r="O65" s="26"/>
      <c r="P65" s="26"/>
      <c r="Q65" s="27" t="str">
        <f t="shared" si="25"/>
        <v/>
      </c>
      <c r="R65" s="27" t="str">
        <f t="shared" si="26"/>
        <v/>
      </c>
      <c r="S65" s="27"/>
      <c r="T65" s="27"/>
      <c r="U65" s="385"/>
      <c r="V65" s="461"/>
      <c r="W65" s="386"/>
      <c r="X65" s="405"/>
      <c r="Y65" s="244"/>
      <c r="Z65" s="245"/>
      <c r="AA65" s="245"/>
      <c r="AB65" s="245"/>
      <c r="AC65" s="245"/>
      <c r="AD65" s="273"/>
    </row>
    <row r="66" spans="2:31" ht="45" customHeight="1" x14ac:dyDescent="0.3">
      <c r="E66" s="440"/>
      <c r="F66" s="553"/>
      <c r="G66" s="556"/>
      <c r="H66" s="148" t="s">
        <v>282</v>
      </c>
      <c r="I66" s="157" t="s">
        <v>283</v>
      </c>
      <c r="J66" s="24" t="s">
        <v>179</v>
      </c>
      <c r="K66" s="102" t="str">
        <f>IF($G$56=$AE$59,2,"0")</f>
        <v>0</v>
      </c>
      <c r="L66" s="82"/>
      <c r="M66" s="479" t="s">
        <v>180</v>
      </c>
      <c r="N66" s="82"/>
      <c r="O66" s="26"/>
      <c r="P66" s="26"/>
      <c r="Q66" s="27" t="str">
        <f t="shared" si="25"/>
        <v/>
      </c>
      <c r="R66" s="27" t="str">
        <f t="shared" si="26"/>
        <v/>
      </c>
      <c r="S66" s="27"/>
      <c r="T66" s="27"/>
      <c r="U66" s="385"/>
      <c r="V66" s="461"/>
      <c r="W66" s="386"/>
      <c r="X66" s="405"/>
      <c r="Y66" s="244"/>
      <c r="Z66" s="245"/>
      <c r="AA66" s="245"/>
      <c r="AB66" s="245"/>
      <c r="AC66" s="245"/>
      <c r="AD66" s="273"/>
    </row>
    <row r="67" spans="2:31" ht="45" customHeight="1" x14ac:dyDescent="0.3">
      <c r="E67" s="430"/>
      <c r="F67" s="39" t="s">
        <v>54</v>
      </c>
      <c r="G67" s="39"/>
      <c r="H67" s="40"/>
      <c r="I67" s="39"/>
      <c r="J67" s="39"/>
      <c r="K67" s="40">
        <f>IF(AND(SUM(K56:K66)&gt;7,$G$56=$AE$59),7,SUM(K56:K66))</f>
        <v>10</v>
      </c>
      <c r="L67" s="40">
        <f>IF(AND(SUM(L56:L66)&gt;7,$G$56=$AE$59),7,SUM(L56:L66))</f>
        <v>0</v>
      </c>
      <c r="M67" s="40">
        <f>IF(AND(SUM(M56:M66)&gt;7,$G$56=$AE$59),7,SUM(M56:M66))</f>
        <v>0</v>
      </c>
      <c r="N67" s="40">
        <f>IF(AND(SUM(N56:N66)&gt;7,$G$56=$AE$59),7,SUM(N56:N66))</f>
        <v>0</v>
      </c>
      <c r="O67" s="26" t="str">
        <f>IF(L67&gt;K67,"!","")</f>
        <v/>
      </c>
      <c r="P67" s="26"/>
      <c r="Q67" s="40">
        <f>IF(AND(SUM(Q56:Q66)&gt;7,$G$56=$AE$59),7,SUM(Q56:Q66))</f>
        <v>0</v>
      </c>
      <c r="R67" s="40">
        <f>IF(AND(SUM(R56:R66)&gt;7,$G$56=$AE$59),7,SUM(R56:R66))</f>
        <v>0</v>
      </c>
      <c r="S67" s="48"/>
      <c r="T67" s="48"/>
      <c r="U67" s="392"/>
      <c r="V67" s="393"/>
      <c r="W67" s="223"/>
      <c r="X67" s="405"/>
      <c r="Y67" s="248"/>
      <c r="Z67" s="249"/>
      <c r="AA67" s="249"/>
      <c r="AB67" s="249"/>
      <c r="AC67" s="249"/>
      <c r="AD67" s="273"/>
    </row>
    <row r="68" spans="2:31" ht="45" customHeight="1" x14ac:dyDescent="0.3">
      <c r="E68" s="388"/>
      <c r="F68" s="394"/>
      <c r="G68" s="394"/>
      <c r="H68" s="48"/>
      <c r="I68" s="394"/>
      <c r="J68" s="48"/>
      <c r="K68" s="48"/>
      <c r="L68" s="48"/>
      <c r="M68" s="48"/>
      <c r="N68" s="48"/>
      <c r="O68" s="425"/>
      <c r="P68" s="425"/>
      <c r="Q68" s="48"/>
      <c r="R68" s="48"/>
      <c r="S68" s="48"/>
      <c r="T68" s="48"/>
      <c r="U68" s="392"/>
      <c r="V68" s="273"/>
      <c r="W68" s="223"/>
      <c r="X68" s="273"/>
      <c r="Y68" s="248"/>
      <c r="Z68" s="249"/>
      <c r="AA68" s="249"/>
      <c r="AB68" s="249"/>
      <c r="AC68" s="249"/>
      <c r="AD68" s="273"/>
    </row>
    <row r="69" spans="2:31" ht="45" customHeight="1" x14ac:dyDescent="0.3">
      <c r="E69" s="439"/>
      <c r="F69" s="254" t="s">
        <v>284</v>
      </c>
      <c r="G69" s="67"/>
      <c r="H69" s="68"/>
      <c r="I69" s="67"/>
      <c r="J69" s="49"/>
      <c r="K69" s="49">
        <f>12-SUM(B70:B75)</f>
        <v>12</v>
      </c>
      <c r="L69" s="49"/>
      <c r="M69" s="49"/>
      <c r="N69" s="49"/>
      <c r="O69" s="26"/>
      <c r="P69" s="26"/>
      <c r="Q69" s="154"/>
      <c r="R69" s="154"/>
      <c r="S69" s="154"/>
      <c r="T69" s="154"/>
      <c r="U69" s="171"/>
      <c r="V69" s="171"/>
      <c r="W69" s="222"/>
      <c r="X69" s="415"/>
      <c r="Y69" s="232"/>
      <c r="Z69" s="222"/>
      <c r="AA69" s="222"/>
      <c r="AB69" s="222"/>
      <c r="AC69" s="222"/>
      <c r="AD69" s="273"/>
    </row>
    <row r="70" spans="2:31" ht="45" customHeight="1" x14ac:dyDescent="0.3">
      <c r="E70" s="440"/>
      <c r="F70" s="557" t="s">
        <v>106</v>
      </c>
      <c r="G70" s="558" t="s">
        <v>190</v>
      </c>
      <c r="H70" s="100" t="s">
        <v>285</v>
      </c>
      <c r="I70" s="101" t="s">
        <v>286</v>
      </c>
      <c r="J70" s="375" t="s">
        <v>179</v>
      </c>
      <c r="K70" s="376">
        <f>IF(G70=AE70,12,0)</f>
        <v>0</v>
      </c>
      <c r="L70" s="374"/>
      <c r="M70" s="481" t="s">
        <v>180</v>
      </c>
      <c r="N70" s="78"/>
      <c r="O70" s="424"/>
      <c r="P70" s="26"/>
      <c r="Q70" s="27" t="str">
        <f t="shared" ref="Q70:Q75" si="27">IF(OR(U70=$AG$9,U70=$AG$10),L70,"")</f>
        <v/>
      </c>
      <c r="R70" s="27" t="str">
        <f t="shared" ref="R70:R75" si="28">IF(U70=$AG$11,L70,"")</f>
        <v/>
      </c>
      <c r="S70" s="27"/>
      <c r="T70" s="27"/>
      <c r="U70" s="384"/>
      <c r="V70" s="463"/>
      <c r="W70" s="386"/>
      <c r="X70" s="405"/>
      <c r="Y70" s="244"/>
      <c r="Z70" s="245"/>
      <c r="AA70" s="245"/>
      <c r="AB70" s="245"/>
      <c r="AC70" s="245"/>
      <c r="AD70" s="273"/>
      <c r="AE70" s="4" t="s">
        <v>186</v>
      </c>
    </row>
    <row r="71" spans="2:31" ht="45" customHeight="1" x14ac:dyDescent="0.3">
      <c r="E71" s="440"/>
      <c r="F71" s="547"/>
      <c r="G71" s="546"/>
      <c r="H71" s="102" t="s">
        <v>287</v>
      </c>
      <c r="I71" s="103" t="s">
        <v>288</v>
      </c>
      <c r="J71" s="375" t="s">
        <v>179</v>
      </c>
      <c r="K71" s="377">
        <f>IF($G$70=$AE$71,1,0)</f>
        <v>1</v>
      </c>
      <c r="L71" s="82"/>
      <c r="M71" s="482" t="s">
        <v>180</v>
      </c>
      <c r="N71" s="79"/>
      <c r="O71" s="424"/>
      <c r="P71" s="26"/>
      <c r="Q71" s="27" t="str">
        <f t="shared" si="27"/>
        <v/>
      </c>
      <c r="R71" s="27" t="str">
        <f t="shared" si="28"/>
        <v/>
      </c>
      <c r="S71" s="27"/>
      <c r="T71" s="27"/>
      <c r="U71" s="385"/>
      <c r="V71" s="464"/>
      <c r="W71" s="386"/>
      <c r="X71" s="405"/>
      <c r="Y71" s="244"/>
      <c r="Z71" s="245"/>
      <c r="AA71" s="245"/>
      <c r="AB71" s="245"/>
      <c r="AC71" s="245"/>
      <c r="AD71" s="273"/>
      <c r="AE71" s="4" t="s">
        <v>190</v>
      </c>
    </row>
    <row r="72" spans="2:31" ht="45" customHeight="1" x14ac:dyDescent="0.3">
      <c r="E72" s="440"/>
      <c r="F72" s="547"/>
      <c r="G72" s="546"/>
      <c r="H72" s="102" t="s">
        <v>289</v>
      </c>
      <c r="I72" s="103" t="s">
        <v>290</v>
      </c>
      <c r="J72" s="375" t="s">
        <v>179</v>
      </c>
      <c r="K72" s="377">
        <f>IF($G$70=$AE$71,1,0)</f>
        <v>1</v>
      </c>
      <c r="L72" s="82"/>
      <c r="M72" s="482" t="s">
        <v>180</v>
      </c>
      <c r="N72" s="79"/>
      <c r="O72" s="424"/>
      <c r="P72" s="26"/>
      <c r="Q72" s="27" t="str">
        <f>IF(OR(U72=$AG$9,U72=$AG$10),#REF!,"")</f>
        <v/>
      </c>
      <c r="R72" s="27" t="str">
        <f>IF(U72=$AG$11,#REF!,"")</f>
        <v/>
      </c>
      <c r="S72" s="27"/>
      <c r="T72" s="27"/>
      <c r="U72" s="385"/>
      <c r="V72" s="464"/>
      <c r="W72" s="386"/>
      <c r="X72" s="405"/>
      <c r="Y72" s="244"/>
      <c r="Z72" s="245"/>
      <c r="AA72" s="245"/>
      <c r="AB72" s="245"/>
      <c r="AC72" s="245"/>
      <c r="AD72" s="273"/>
    </row>
    <row r="73" spans="2:31" ht="45" customHeight="1" x14ac:dyDescent="0.3">
      <c r="E73" s="440"/>
      <c r="F73" s="547"/>
      <c r="G73" s="546"/>
      <c r="H73" s="102" t="s">
        <v>291</v>
      </c>
      <c r="I73" s="103" t="s">
        <v>292</v>
      </c>
      <c r="J73" s="375" t="s">
        <v>179</v>
      </c>
      <c r="K73" s="377">
        <f>IF($G$70=$AE$71,2,0)</f>
        <v>2</v>
      </c>
      <c r="L73" s="82"/>
      <c r="M73" s="482" t="s">
        <v>180</v>
      </c>
      <c r="N73" s="79"/>
      <c r="O73" s="424"/>
      <c r="P73" s="26"/>
      <c r="Q73" s="27" t="str">
        <f>IF(OR(U73=$AG$9,U73=$AG$10),L72,"")</f>
        <v/>
      </c>
      <c r="R73" s="27" t="str">
        <f>IF(U73=$AG$11,L72,"")</f>
        <v/>
      </c>
      <c r="S73" s="27"/>
      <c r="T73" s="27"/>
      <c r="U73" s="385"/>
      <c r="V73" s="464"/>
      <c r="W73" s="386"/>
      <c r="X73" s="405"/>
      <c r="Y73" s="244"/>
      <c r="Z73" s="245"/>
      <c r="AA73" s="245"/>
      <c r="AB73" s="245"/>
      <c r="AC73" s="245"/>
      <c r="AD73" s="273"/>
    </row>
    <row r="74" spans="2:31" ht="45" customHeight="1" x14ac:dyDescent="0.3">
      <c r="B74" s="141">
        <f>IF(AND($G$70=$AE$71,C74=TRUE),1,0)</f>
        <v>0</v>
      </c>
      <c r="C74" s="362" t="b">
        <f>AL41</f>
        <v>0</v>
      </c>
      <c r="E74" s="440"/>
      <c r="F74" s="547"/>
      <c r="G74" s="546"/>
      <c r="H74" s="102" t="s">
        <v>107</v>
      </c>
      <c r="I74" s="378" t="s">
        <v>108</v>
      </c>
      <c r="J74" s="375" t="s">
        <v>179</v>
      </c>
      <c r="K74" s="377">
        <f>IF(OR($G$70=$AE$70,C74=TRUE),0,AO41)</f>
        <v>1</v>
      </c>
      <c r="L74" s="372"/>
      <c r="M74" s="482" t="str">
        <f>IF($G$70=$AE$71,AP41,"-")</f>
        <v>-</v>
      </c>
      <c r="N74" s="79"/>
      <c r="O74" s="424"/>
      <c r="P74" s="26"/>
      <c r="Q74" s="27" t="str">
        <f t="shared" si="27"/>
        <v/>
      </c>
      <c r="R74" s="27" t="str">
        <f t="shared" si="28"/>
        <v/>
      </c>
      <c r="S74" s="27"/>
      <c r="T74" s="27"/>
      <c r="U74" s="385"/>
      <c r="V74" s="462"/>
      <c r="W74" s="386"/>
      <c r="X74" s="405"/>
      <c r="Y74" s="244"/>
      <c r="Z74" s="245"/>
      <c r="AA74" s="245"/>
      <c r="AB74" s="245"/>
      <c r="AC74" s="245"/>
      <c r="AD74" s="273"/>
    </row>
    <row r="75" spans="2:31" ht="45" customHeight="1" x14ac:dyDescent="0.3">
      <c r="B75" s="141">
        <f>IF(AND($G$70=$AE$71,C75=TRUE),1,0)</f>
        <v>0</v>
      </c>
      <c r="C75" s="362" t="b">
        <f>AL42</f>
        <v>0</v>
      </c>
      <c r="E75" s="440"/>
      <c r="F75" s="548"/>
      <c r="G75" s="559"/>
      <c r="H75" s="379" t="s">
        <v>109</v>
      </c>
      <c r="I75" s="378" t="s">
        <v>110</v>
      </c>
      <c r="J75" s="375" t="s">
        <v>179</v>
      </c>
      <c r="K75" s="380">
        <f>IF(OR($G$70=$AE$70,C75=TRUE),0,AO42)</f>
        <v>1</v>
      </c>
      <c r="L75" s="373"/>
      <c r="M75" s="482" t="str">
        <f>IF($G$70=$AE$71,AP42,"-")</f>
        <v>-</v>
      </c>
      <c r="N75" s="80"/>
      <c r="O75" s="424"/>
      <c r="P75" s="26"/>
      <c r="Q75" s="27" t="str">
        <f t="shared" si="27"/>
        <v/>
      </c>
      <c r="R75" s="27" t="str">
        <f t="shared" si="28"/>
        <v/>
      </c>
      <c r="S75" s="27"/>
      <c r="T75" s="27"/>
      <c r="U75" s="385"/>
      <c r="V75" s="462"/>
      <c r="W75" s="386"/>
      <c r="X75" s="405"/>
      <c r="Y75" s="244"/>
      <c r="Z75" s="245"/>
      <c r="AA75" s="245"/>
      <c r="AB75" s="245"/>
      <c r="AC75" s="245"/>
      <c r="AD75" s="273"/>
    </row>
    <row r="76" spans="2:31" ht="45" customHeight="1" x14ac:dyDescent="0.3">
      <c r="E76" s="430"/>
      <c r="F76" s="39" t="s">
        <v>54</v>
      </c>
      <c r="G76" s="39"/>
      <c r="H76" s="40"/>
      <c r="I76" s="39"/>
      <c r="J76" s="39"/>
      <c r="K76" s="40">
        <f>SUM(K70:K75)</f>
        <v>6</v>
      </c>
      <c r="L76" s="40">
        <f>SUM(L70:L75)</f>
        <v>0</v>
      </c>
      <c r="M76" s="40">
        <f t="shared" ref="M76:N76" si="29">SUM(M70:M75)</f>
        <v>0</v>
      </c>
      <c r="N76" s="40">
        <f t="shared" si="29"/>
        <v>0</v>
      </c>
      <c r="O76" s="26" t="str">
        <f>IF(L76&gt;K76,"!","")</f>
        <v/>
      </c>
      <c r="P76" s="26"/>
      <c r="Q76" s="41">
        <f t="shared" ref="Q76:R76" si="30">SUM(Q70:Q75)</f>
        <v>0</v>
      </c>
      <c r="R76" s="41">
        <f t="shared" si="30"/>
        <v>0</v>
      </c>
      <c r="S76" s="48"/>
      <c r="T76" s="48"/>
      <c r="U76" s="392"/>
      <c r="V76" s="393"/>
      <c r="W76" s="223"/>
      <c r="X76" s="405"/>
      <c r="Y76" s="248"/>
      <c r="Z76" s="249"/>
      <c r="AA76" s="249"/>
      <c r="AB76" s="249"/>
      <c r="AC76" s="249"/>
      <c r="AD76" s="273"/>
    </row>
    <row r="77" spans="2:31" ht="45" customHeight="1" x14ac:dyDescent="0.3">
      <c r="E77" s="388"/>
      <c r="F77" s="394"/>
      <c r="G77" s="394"/>
      <c r="H77" s="48"/>
      <c r="I77" s="394"/>
      <c r="J77" s="48"/>
      <c r="K77" s="48"/>
      <c r="L77" s="48"/>
      <c r="M77" s="48"/>
      <c r="N77" s="48"/>
      <c r="O77" s="425"/>
      <c r="P77" s="425"/>
      <c r="Q77" s="48"/>
      <c r="R77" s="48"/>
      <c r="S77" s="48"/>
      <c r="T77" s="48"/>
      <c r="U77" s="392"/>
      <c r="V77" s="273"/>
      <c r="W77" s="223"/>
      <c r="X77" s="273"/>
      <c r="Y77" s="248"/>
      <c r="Z77" s="249"/>
      <c r="AA77" s="249"/>
      <c r="AB77" s="249"/>
      <c r="AC77" s="249"/>
      <c r="AD77" s="273"/>
    </row>
    <row r="78" spans="2:31" ht="45" customHeight="1" x14ac:dyDescent="0.3">
      <c r="E78" s="439"/>
      <c r="F78" s="254" t="s">
        <v>293</v>
      </c>
      <c r="G78" s="67"/>
      <c r="H78" s="49"/>
      <c r="I78" s="67"/>
      <c r="J78" s="49"/>
      <c r="K78" s="49">
        <f>14-SUM(B79:B91)</f>
        <v>14</v>
      </c>
      <c r="L78" s="49"/>
      <c r="M78" s="49"/>
      <c r="N78" s="49"/>
      <c r="O78" s="26"/>
      <c r="P78" s="26"/>
      <c r="Q78" s="154"/>
      <c r="R78" s="154"/>
      <c r="S78" s="154"/>
      <c r="T78" s="154"/>
      <c r="U78" s="171"/>
      <c r="V78" s="171"/>
      <c r="W78" s="222"/>
      <c r="X78" s="415"/>
      <c r="Y78" s="232"/>
      <c r="Z78" s="222"/>
      <c r="AA78" s="222"/>
      <c r="AB78" s="222"/>
      <c r="AC78" s="222"/>
      <c r="AD78" s="273"/>
      <c r="AE78" s="4"/>
    </row>
    <row r="79" spans="2:31" ht="45" customHeight="1" x14ac:dyDescent="0.3">
      <c r="E79" s="440"/>
      <c r="F79" s="543" t="s">
        <v>294</v>
      </c>
      <c r="G79" s="546" t="s">
        <v>295</v>
      </c>
      <c r="H79" s="104" t="s">
        <v>296</v>
      </c>
      <c r="I79" s="179" t="s">
        <v>297</v>
      </c>
      <c r="J79" s="24" t="s">
        <v>179</v>
      </c>
      <c r="K79" s="81">
        <f>IF($G$79=$AE$79,6,0)</f>
        <v>6</v>
      </c>
      <c r="L79" s="64"/>
      <c r="M79" s="483" t="s">
        <v>180</v>
      </c>
      <c r="N79" s="64"/>
      <c r="O79" s="424" t="str">
        <f>IF(SUM(L79:L80)&gt;7,"!", "")</f>
        <v/>
      </c>
      <c r="P79" s="26"/>
      <c r="Q79" s="27" t="str">
        <f>IF(OR(U79=$AG$9,U79=$AG$10),L79,"")</f>
        <v/>
      </c>
      <c r="R79" s="27" t="str">
        <f>IF(U79=$AG$11,L79,"")</f>
        <v/>
      </c>
      <c r="S79" s="27"/>
      <c r="T79" s="27"/>
      <c r="U79" s="384"/>
      <c r="V79" s="463"/>
      <c r="W79" s="386"/>
      <c r="X79" s="405"/>
      <c r="Y79" s="244"/>
      <c r="Z79" s="245"/>
      <c r="AA79" s="245"/>
      <c r="AB79" s="245"/>
      <c r="AC79" s="245"/>
      <c r="AD79" s="273"/>
      <c r="AE79" s="28" t="s">
        <v>295</v>
      </c>
    </row>
    <row r="80" spans="2:31" ht="45" customHeight="1" x14ac:dyDescent="0.3">
      <c r="E80" s="440"/>
      <c r="F80" s="544"/>
      <c r="G80" s="546"/>
      <c r="H80" s="104" t="s">
        <v>298</v>
      </c>
      <c r="I80" s="179" t="s">
        <v>299</v>
      </c>
      <c r="J80" s="24" t="s">
        <v>179</v>
      </c>
      <c r="K80" s="81">
        <v>4</v>
      </c>
      <c r="L80" s="64"/>
      <c r="M80" s="483" t="s">
        <v>180</v>
      </c>
      <c r="N80" s="64"/>
      <c r="O80" s="424" t="str">
        <f>IF(SUM(L79:L80)&gt;7,"!", "")</f>
        <v/>
      </c>
      <c r="P80" s="26"/>
      <c r="Q80" s="27" t="str">
        <f>IF(OR(U80=$AG$9,U80=$AG$10),L80,"")</f>
        <v/>
      </c>
      <c r="R80" s="27" t="str">
        <f>IF(U80=$AG$11,L80,"")</f>
        <v/>
      </c>
      <c r="S80" s="27"/>
      <c r="T80" s="27"/>
      <c r="U80" s="385"/>
      <c r="V80" s="464"/>
      <c r="W80" s="386"/>
      <c r="X80" s="405"/>
      <c r="Y80" s="244"/>
      <c r="Z80" s="245"/>
      <c r="AA80" s="245"/>
      <c r="AB80" s="245"/>
      <c r="AC80" s="245"/>
      <c r="AD80" s="273"/>
      <c r="AE80" s="6" t="s">
        <v>300</v>
      </c>
    </row>
    <row r="81" spans="1:31" ht="45" customHeight="1" x14ac:dyDescent="0.3">
      <c r="E81" s="440"/>
      <c r="F81" s="544"/>
      <c r="G81" s="546"/>
      <c r="H81" s="104" t="s">
        <v>301</v>
      </c>
      <c r="I81" s="119" t="s">
        <v>302</v>
      </c>
      <c r="J81" s="24" t="s">
        <v>230</v>
      </c>
      <c r="K81" s="81">
        <f>IF($G$79=$AE$80,3,0)</f>
        <v>0</v>
      </c>
      <c r="L81" s="64"/>
      <c r="M81" s="483" t="s">
        <v>180</v>
      </c>
      <c r="N81" s="64"/>
      <c r="O81" s="532" t="str">
        <f>IF(SUM(L81:L84)&gt;5,"Error: the total number of points available for the 'Material Use' Pathway is 5. Please enter a points score less than or equal to 5.","")</f>
        <v/>
      </c>
      <c r="P81" s="426"/>
      <c r="Q81" s="27" t="str">
        <f>IF(OR(U81=$AG$9,U81=$AG$10),L81,"")</f>
        <v/>
      </c>
      <c r="R81" s="27" t="str">
        <f>IF(U81=$AG$11,L81,"")</f>
        <v/>
      </c>
      <c r="S81" s="27"/>
      <c r="T81" s="27"/>
      <c r="U81" s="385"/>
      <c r="V81" s="464"/>
      <c r="W81" s="386"/>
      <c r="X81" s="405"/>
      <c r="Y81" s="244"/>
      <c r="Z81" s="245"/>
      <c r="AA81" s="245"/>
      <c r="AB81" s="245"/>
      <c r="AC81" s="245"/>
      <c r="AD81" s="273"/>
    </row>
    <row r="82" spans="1:31" ht="45" customHeight="1" x14ac:dyDescent="0.3">
      <c r="E82" s="440"/>
      <c r="F82" s="544"/>
      <c r="G82" s="546"/>
      <c r="H82" s="104" t="s">
        <v>303</v>
      </c>
      <c r="I82" s="119" t="s">
        <v>304</v>
      </c>
      <c r="J82" s="24" t="s">
        <v>230</v>
      </c>
      <c r="K82" s="81">
        <f>IF($G$79=$AE$80,1,0)</f>
        <v>0</v>
      </c>
      <c r="L82" s="64"/>
      <c r="M82" s="483" t="s">
        <v>180</v>
      </c>
      <c r="N82" s="64"/>
      <c r="O82" s="532"/>
      <c r="P82" s="426"/>
      <c r="Q82" s="27" t="str">
        <f>IF(OR(U82=$AG$9,U82=$AG$10),L82,"")</f>
        <v/>
      </c>
      <c r="R82" s="27" t="str">
        <f>IF(U82=$AG$11,L82,"")</f>
        <v/>
      </c>
      <c r="S82" s="27"/>
      <c r="T82" s="27"/>
      <c r="U82" s="385"/>
      <c r="V82" s="464"/>
      <c r="W82" s="386"/>
      <c r="X82" s="405"/>
      <c r="Y82" s="244"/>
      <c r="Z82" s="245"/>
      <c r="AA82" s="245"/>
      <c r="AB82" s="245"/>
      <c r="AC82" s="245"/>
      <c r="AD82" s="273"/>
    </row>
    <row r="83" spans="1:31" ht="45" customHeight="1" x14ac:dyDescent="0.3">
      <c r="E83" s="440"/>
      <c r="F83" s="544"/>
      <c r="G83" s="546"/>
      <c r="H83" s="104" t="s">
        <v>305</v>
      </c>
      <c r="I83" s="120" t="s">
        <v>306</v>
      </c>
      <c r="J83" s="24" t="s">
        <v>230</v>
      </c>
      <c r="K83" s="81">
        <f>IF($G$79=$AE$80,4,0)</f>
        <v>0</v>
      </c>
      <c r="L83" s="64"/>
      <c r="M83" s="483" t="s">
        <v>180</v>
      </c>
      <c r="N83" s="64"/>
      <c r="O83" s="532"/>
      <c r="P83" s="426"/>
      <c r="Q83" s="27"/>
      <c r="R83" s="27"/>
      <c r="S83" s="27"/>
      <c r="T83" s="27"/>
      <c r="U83" s="385"/>
      <c r="V83" s="464"/>
      <c r="W83" s="386"/>
      <c r="X83" s="405"/>
      <c r="Y83" s="244"/>
      <c r="Z83" s="245"/>
      <c r="AA83" s="245"/>
      <c r="AB83" s="245"/>
      <c r="AC83" s="245"/>
      <c r="AD83" s="273"/>
    </row>
    <row r="84" spans="1:31" ht="45" customHeight="1" x14ac:dyDescent="0.3">
      <c r="A84" s="141">
        <v>4</v>
      </c>
      <c r="B84" s="141">
        <f t="shared" ref="B84:B87" si="31">IF(C84=TRUE,A84,0)</f>
        <v>0</v>
      </c>
      <c r="E84" s="440"/>
      <c r="F84" s="545"/>
      <c r="G84" s="546"/>
      <c r="H84" s="104" t="s">
        <v>307</v>
      </c>
      <c r="I84" s="179" t="s">
        <v>308</v>
      </c>
      <c r="J84" s="24" t="s">
        <v>230</v>
      </c>
      <c r="K84" s="81">
        <f>IF($G$79=$AE$80,3,0)</f>
        <v>0</v>
      </c>
      <c r="L84" s="64"/>
      <c r="M84" s="483" t="s">
        <v>180</v>
      </c>
      <c r="N84" s="64"/>
      <c r="O84" s="532"/>
      <c r="P84" s="426"/>
      <c r="Q84" s="27" t="str">
        <f>IF(OR(U84=$AG$9,U84=$AG$10),L84,"")</f>
        <v/>
      </c>
      <c r="R84" s="27" t="str">
        <f>IF(U84=$AG$11,L84,"")</f>
        <v/>
      </c>
      <c r="S84" s="27"/>
      <c r="T84" s="27"/>
      <c r="U84" s="385"/>
      <c r="V84" s="464"/>
      <c r="W84" s="386"/>
      <c r="X84" s="405"/>
      <c r="Y84" s="244"/>
      <c r="Z84" s="245"/>
      <c r="AA84" s="245"/>
      <c r="AB84" s="245"/>
      <c r="AC84" s="245"/>
      <c r="AD84" s="273"/>
    </row>
    <row r="85" spans="1:31" ht="45" customHeight="1" x14ac:dyDescent="0.3">
      <c r="A85" s="141">
        <v>1</v>
      </c>
      <c r="B85" s="141">
        <f t="shared" si="31"/>
        <v>0</v>
      </c>
      <c r="C85" s="362" t="b">
        <f>AL43</f>
        <v>0</v>
      </c>
      <c r="E85" s="440"/>
      <c r="F85" s="533" t="s">
        <v>111</v>
      </c>
      <c r="G85" s="531" t="s">
        <v>309</v>
      </c>
      <c r="H85" s="118">
        <v>20.100000000000001</v>
      </c>
      <c r="I85" s="117" t="s">
        <v>112</v>
      </c>
      <c r="J85" s="24" t="s">
        <v>230</v>
      </c>
      <c r="K85" s="81">
        <f>IF(C85=TRUE,0,AO43)</f>
        <v>1</v>
      </c>
      <c r="L85" s="54"/>
      <c r="M85" s="477" t="str">
        <f>AP43</f>
        <v>-</v>
      </c>
      <c r="N85" s="54"/>
      <c r="O85" s="424"/>
      <c r="P85" s="26"/>
      <c r="Q85" s="27" t="str">
        <f>IF(OR(U85=$AG$9,U85=$AG$10),L85,"")</f>
        <v/>
      </c>
      <c r="R85" s="27" t="str">
        <f>IF(U85=$AG$11,L85,"")</f>
        <v/>
      </c>
      <c r="S85" s="27"/>
      <c r="T85" s="27"/>
      <c r="U85" s="385"/>
      <c r="V85" s="462"/>
      <c r="W85" s="386"/>
      <c r="X85" s="405"/>
      <c r="Y85" s="244"/>
      <c r="Z85" s="245"/>
      <c r="AA85" s="245"/>
      <c r="AB85" s="245"/>
      <c r="AC85" s="245"/>
      <c r="AD85" s="273"/>
    </row>
    <row r="86" spans="1:31" ht="45" customHeight="1" x14ac:dyDescent="0.3">
      <c r="A86" s="141">
        <v>1</v>
      </c>
      <c r="B86" s="141">
        <f t="shared" si="31"/>
        <v>0</v>
      </c>
      <c r="C86" s="362" t="b">
        <f>AL44</f>
        <v>0</v>
      </c>
      <c r="E86" s="440"/>
      <c r="F86" s="534"/>
      <c r="G86" s="535"/>
      <c r="H86" s="118">
        <v>20.2</v>
      </c>
      <c r="I86" s="117" t="s">
        <v>310</v>
      </c>
      <c r="J86" s="24" t="s">
        <v>230</v>
      </c>
      <c r="K86" s="81">
        <f>IF(C86=TRUE,0,AO44)</f>
        <v>1</v>
      </c>
      <c r="L86" s="54"/>
      <c r="M86" s="477" t="str">
        <f>AP44</f>
        <v>-</v>
      </c>
      <c r="N86" s="54"/>
      <c r="O86" s="26"/>
      <c r="P86" s="26"/>
      <c r="Q86" s="27" t="str">
        <f>IF(OR(U86=$AG$9,U86=$AG$10),L86,"")</f>
        <v/>
      </c>
      <c r="R86" s="27" t="str">
        <f>IF(U86=$AG$11,L86,"")</f>
        <v/>
      </c>
      <c r="S86" s="27"/>
      <c r="T86" s="27"/>
      <c r="U86" s="385"/>
      <c r="V86" s="462"/>
      <c r="W86" s="386"/>
      <c r="X86" s="405"/>
      <c r="Y86" s="244"/>
      <c r="Z86" s="245"/>
      <c r="AA86" s="245"/>
      <c r="AB86" s="245"/>
      <c r="AC86" s="245"/>
      <c r="AD86" s="273"/>
    </row>
    <row r="87" spans="1:31" ht="45" customHeight="1" x14ac:dyDescent="0.3">
      <c r="A87" s="141">
        <v>1</v>
      </c>
      <c r="B87" s="141">
        <f t="shared" si="31"/>
        <v>0</v>
      </c>
      <c r="C87" s="362" t="b">
        <f>AL45</f>
        <v>0</v>
      </c>
      <c r="E87" s="440"/>
      <c r="F87" s="527"/>
      <c r="G87" s="536"/>
      <c r="H87" s="118">
        <v>20.3</v>
      </c>
      <c r="I87" s="117" t="s">
        <v>114</v>
      </c>
      <c r="J87" s="24" t="s">
        <v>230</v>
      </c>
      <c r="K87" s="81">
        <f>IF(C87=TRUE,0,AO45)</f>
        <v>1</v>
      </c>
      <c r="L87" s="54"/>
      <c r="M87" s="477" t="str">
        <f>AP45</f>
        <v>-</v>
      </c>
      <c r="N87" s="54"/>
      <c r="O87" s="26"/>
      <c r="P87" s="26"/>
      <c r="Q87" s="27" t="str">
        <f>IF(OR(U87=$AG$9,U87=$AG$10),L87,"")</f>
        <v/>
      </c>
      <c r="R87" s="27" t="str">
        <f>IF(U87=$AG$11,L87,"")</f>
        <v/>
      </c>
      <c r="S87" s="27"/>
      <c r="T87" s="27"/>
      <c r="U87" s="385"/>
      <c r="V87" s="462"/>
      <c r="W87" s="386"/>
      <c r="X87" s="405"/>
      <c r="Y87" s="244"/>
      <c r="Z87" s="245"/>
      <c r="AA87" s="245"/>
      <c r="AB87" s="245"/>
      <c r="AC87" s="245"/>
      <c r="AD87" s="273"/>
    </row>
    <row r="88" spans="1:31" ht="45" customHeight="1" x14ac:dyDescent="0.3">
      <c r="E88" s="440"/>
      <c r="F88" s="173" t="s">
        <v>311</v>
      </c>
      <c r="G88" s="256" t="s">
        <v>312</v>
      </c>
      <c r="H88" s="265">
        <v>21</v>
      </c>
      <c r="I88" s="117" t="s">
        <v>313</v>
      </c>
      <c r="J88" s="24" t="s">
        <v>230</v>
      </c>
      <c r="K88" s="81">
        <v>3</v>
      </c>
      <c r="L88" s="54"/>
      <c r="M88" s="478" t="s">
        <v>180</v>
      </c>
      <c r="N88" s="54"/>
      <c r="O88" s="26"/>
      <c r="P88" s="26"/>
      <c r="Q88" s="27" t="str">
        <f>IF(OR(U88=$AG$9,U88=$AG$10),L88,"")</f>
        <v/>
      </c>
      <c r="R88" s="27" t="str">
        <f>IF(U88=$AG$11,L88,"")</f>
        <v/>
      </c>
      <c r="S88" s="27"/>
      <c r="T88" s="27"/>
      <c r="U88" s="385"/>
      <c r="V88" s="464"/>
      <c r="W88" s="386"/>
      <c r="X88" s="405"/>
      <c r="Y88" s="244"/>
      <c r="Z88" s="245"/>
      <c r="AA88" s="245"/>
      <c r="AB88" s="245"/>
      <c r="AC88" s="245"/>
      <c r="AD88" s="273"/>
    </row>
    <row r="89" spans="1:31" ht="45" customHeight="1" x14ac:dyDescent="0.3">
      <c r="E89" s="440"/>
      <c r="F89" s="538" t="s">
        <v>314</v>
      </c>
      <c r="G89" s="256"/>
      <c r="H89" s="263">
        <v>22.1</v>
      </c>
      <c r="I89" s="117" t="s">
        <v>315</v>
      </c>
      <c r="J89" s="24" t="s">
        <v>230</v>
      </c>
      <c r="K89" s="81" t="s">
        <v>185</v>
      </c>
      <c r="L89" s="31"/>
      <c r="M89" s="478" t="s">
        <v>180</v>
      </c>
      <c r="N89" s="31"/>
      <c r="O89" s="26"/>
      <c r="P89" s="26"/>
      <c r="Q89" s="27"/>
      <c r="R89" s="27"/>
      <c r="S89" s="27"/>
      <c r="T89" s="27"/>
      <c r="U89" s="385"/>
      <c r="V89" s="464"/>
      <c r="W89" s="386"/>
      <c r="X89" s="405"/>
      <c r="Y89" s="244"/>
      <c r="Z89" s="245"/>
      <c r="AA89" s="245"/>
      <c r="AB89" s="245"/>
      <c r="AC89" s="245"/>
      <c r="AD89" s="273"/>
    </row>
    <row r="90" spans="1:31" ht="45" customHeight="1" x14ac:dyDescent="0.3">
      <c r="E90" s="440"/>
      <c r="F90" s="539"/>
      <c r="G90" s="541" t="s">
        <v>316</v>
      </c>
      <c r="H90" s="185" t="s">
        <v>317</v>
      </c>
      <c r="I90" s="117" t="s">
        <v>316</v>
      </c>
      <c r="J90" s="24" t="s">
        <v>230</v>
      </c>
      <c r="K90" s="81">
        <f>IF(G90=AE90,1,"0")</f>
        <v>1</v>
      </c>
      <c r="L90" s="54"/>
      <c r="M90" s="478" t="s">
        <v>180</v>
      </c>
      <c r="N90" s="54"/>
      <c r="O90" s="26" t="str">
        <f>IF(AND(L90&gt;0,$L$89&lt;&gt;$AH$8),"!","")</f>
        <v/>
      </c>
      <c r="P90" s="26"/>
      <c r="Q90" s="27"/>
      <c r="R90" s="27"/>
      <c r="S90" s="27"/>
      <c r="T90" s="27"/>
      <c r="U90" s="385"/>
      <c r="V90" s="464"/>
      <c r="W90" s="386"/>
      <c r="X90" s="405"/>
      <c r="Y90" s="244"/>
      <c r="Z90" s="245"/>
      <c r="AA90" s="245"/>
      <c r="AB90" s="245"/>
      <c r="AC90" s="245"/>
      <c r="AD90" s="273"/>
      <c r="AE90" s="6" t="s">
        <v>316</v>
      </c>
    </row>
    <row r="91" spans="1:31" ht="45" customHeight="1" x14ac:dyDescent="0.3">
      <c r="E91" s="440"/>
      <c r="F91" s="540"/>
      <c r="G91" s="542"/>
      <c r="H91" s="185" t="s">
        <v>318</v>
      </c>
      <c r="I91" s="256" t="s">
        <v>319</v>
      </c>
      <c r="J91" s="24" t="s">
        <v>230</v>
      </c>
      <c r="K91" s="81" t="str">
        <f>IF(G90=AE91,1,"0")</f>
        <v>0</v>
      </c>
      <c r="L91" s="54"/>
      <c r="M91" s="478" t="s">
        <v>180</v>
      </c>
      <c r="N91" s="54"/>
      <c r="O91" s="26" t="str">
        <f>IF(AND(L91&gt;0,$L$89&lt;&gt;$AH$8),"!","")</f>
        <v/>
      </c>
      <c r="P91" s="26"/>
      <c r="Q91" s="27" t="str">
        <f>IF(OR(U91=$AG$9,U91=$AG$10),L91,"")</f>
        <v/>
      </c>
      <c r="R91" s="27" t="str">
        <f>IF(U91=$AG$11,L91,"")</f>
        <v/>
      </c>
      <c r="S91" s="27"/>
      <c r="T91" s="27"/>
      <c r="U91" s="385"/>
      <c r="V91" s="464"/>
      <c r="W91" s="386"/>
      <c r="X91" s="405"/>
      <c r="Y91" s="244"/>
      <c r="Z91" s="245"/>
      <c r="AA91" s="245"/>
      <c r="AB91" s="245"/>
      <c r="AC91" s="245"/>
      <c r="AD91" s="273"/>
      <c r="AE91" s="6" t="s">
        <v>319</v>
      </c>
    </row>
    <row r="92" spans="1:31" ht="45" customHeight="1" x14ac:dyDescent="0.3">
      <c r="E92" s="430"/>
      <c r="F92" s="39" t="s">
        <v>54</v>
      </c>
      <c r="G92" s="39"/>
      <c r="H92" s="40"/>
      <c r="I92" s="39"/>
      <c r="J92" s="39"/>
      <c r="K92" s="40">
        <f>IF(G79=AE80,12,14)</f>
        <v>14</v>
      </c>
      <c r="L92" s="40">
        <f>SUM(L79:L91)</f>
        <v>0</v>
      </c>
      <c r="M92" s="40">
        <f t="shared" ref="M92:N92" si="32">SUM(M79:M91)</f>
        <v>0</v>
      </c>
      <c r="N92" s="40">
        <f t="shared" si="32"/>
        <v>0</v>
      </c>
      <c r="O92" s="26" t="str">
        <f>IF(L92&gt;K92,"!","")</f>
        <v/>
      </c>
      <c r="P92" s="26"/>
      <c r="Q92" s="41">
        <f>SUM(Q79:Q91)</f>
        <v>0</v>
      </c>
      <c r="R92" s="41">
        <f>SUM(R79:R91)</f>
        <v>0</v>
      </c>
      <c r="S92" s="48"/>
      <c r="T92" s="48"/>
      <c r="U92" s="392"/>
      <c r="V92" s="393"/>
      <c r="W92" s="223"/>
      <c r="X92" s="405"/>
      <c r="Y92" s="248"/>
      <c r="Z92" s="249"/>
      <c r="AA92" s="249"/>
      <c r="AB92" s="249"/>
      <c r="AC92" s="249"/>
      <c r="AD92" s="273"/>
    </row>
    <row r="93" spans="1:31" ht="45" customHeight="1" x14ac:dyDescent="0.3">
      <c r="E93" s="388"/>
      <c r="F93" s="394"/>
      <c r="G93" s="394"/>
      <c r="H93" s="48"/>
      <c r="I93" s="394"/>
      <c r="J93" s="48"/>
      <c r="K93" s="48"/>
      <c r="L93" s="48"/>
      <c r="M93" s="48"/>
      <c r="N93" s="48"/>
      <c r="O93" s="425"/>
      <c r="P93" s="425"/>
      <c r="Q93" s="48"/>
      <c r="R93" s="48"/>
      <c r="S93" s="48"/>
      <c r="T93" s="48"/>
      <c r="U93" s="392"/>
      <c r="V93" s="274"/>
      <c r="W93" s="223"/>
      <c r="X93" s="273"/>
      <c r="Y93" s="248"/>
      <c r="Z93" s="249"/>
      <c r="AA93" s="249"/>
      <c r="AB93" s="249"/>
      <c r="AC93" s="249"/>
      <c r="AD93" s="273"/>
    </row>
    <row r="94" spans="1:31" ht="45" customHeight="1" x14ac:dyDescent="0.3">
      <c r="E94" s="439"/>
      <c r="F94" s="525" t="s">
        <v>320</v>
      </c>
      <c r="G94" s="525"/>
      <c r="H94" s="525"/>
      <c r="I94" s="525"/>
      <c r="J94" s="49"/>
      <c r="K94" s="49">
        <f>5-SUM(B95:B98)</f>
        <v>5</v>
      </c>
      <c r="L94" s="49"/>
      <c r="M94" s="49"/>
      <c r="N94" s="49"/>
      <c r="O94" s="26"/>
      <c r="P94" s="26"/>
      <c r="Q94" s="537"/>
      <c r="R94" s="537"/>
      <c r="S94" s="255"/>
      <c r="T94" s="255"/>
      <c r="U94" s="171"/>
      <c r="V94" s="171"/>
      <c r="W94" s="222"/>
      <c r="X94" s="415"/>
      <c r="Y94" s="232"/>
      <c r="Z94" s="222"/>
      <c r="AA94" s="222"/>
      <c r="AB94" s="222"/>
      <c r="AC94" s="222"/>
      <c r="AD94" s="273"/>
    </row>
    <row r="95" spans="1:31" ht="45" customHeight="1" x14ac:dyDescent="0.3">
      <c r="E95" s="440"/>
      <c r="F95" s="276" t="s">
        <v>321</v>
      </c>
      <c r="G95" s="277" t="s">
        <v>322</v>
      </c>
      <c r="H95" s="266">
        <v>23</v>
      </c>
      <c r="I95" s="52" t="s">
        <v>321</v>
      </c>
      <c r="J95" s="24" t="s">
        <v>179</v>
      </c>
      <c r="K95" s="24">
        <v>3</v>
      </c>
      <c r="L95" s="64"/>
      <c r="M95" s="483" t="s">
        <v>180</v>
      </c>
      <c r="N95" s="64"/>
      <c r="O95" s="26"/>
      <c r="P95" s="26"/>
      <c r="Q95" s="27" t="str">
        <f>IF(OR(U95=$AG$9,U95=$AG$10),L95,"")</f>
        <v/>
      </c>
      <c r="R95" s="27" t="str">
        <f>IF(U95=$AG$11,L95,"")</f>
        <v/>
      </c>
      <c r="S95" s="27"/>
      <c r="T95" s="27"/>
      <c r="U95" s="385"/>
      <c r="V95" s="465"/>
      <c r="W95" s="386"/>
      <c r="X95" s="405"/>
      <c r="Y95" s="244"/>
      <c r="Z95" s="245"/>
      <c r="AA95" s="245"/>
      <c r="AB95" s="245"/>
      <c r="AC95" s="245"/>
      <c r="AD95" s="273"/>
    </row>
    <row r="96" spans="1:31" ht="45" customHeight="1" x14ac:dyDescent="0.3">
      <c r="E96" s="440"/>
      <c r="F96" s="528" t="s">
        <v>115</v>
      </c>
      <c r="G96" s="531" t="s">
        <v>323</v>
      </c>
      <c r="H96" s="32">
        <v>24.1</v>
      </c>
      <c r="I96" s="52" t="s">
        <v>324</v>
      </c>
      <c r="J96" s="24" t="s">
        <v>179</v>
      </c>
      <c r="K96" s="185" t="s">
        <v>259</v>
      </c>
      <c r="L96" s="64"/>
      <c r="M96" s="483" t="s">
        <v>180</v>
      </c>
      <c r="N96" s="64"/>
      <c r="O96" s="19" t="str">
        <f>IF($L$96=0,"CR","")</f>
        <v>CR</v>
      </c>
      <c r="P96" s="26"/>
      <c r="Q96" s="27" t="str">
        <f>IF(OR(U96=$AG$9,U96=$AG$10),L96,"")</f>
        <v/>
      </c>
      <c r="R96" s="27" t="str">
        <f>IF(U96=$AG$11,L96,"")</f>
        <v/>
      </c>
      <c r="S96" s="27"/>
      <c r="T96" s="27"/>
      <c r="U96" s="385"/>
      <c r="V96" s="466"/>
      <c r="W96" s="386"/>
      <c r="X96" s="405"/>
      <c r="Y96" s="244"/>
      <c r="Z96" s="245"/>
      <c r="AA96" s="245"/>
      <c r="AB96" s="245"/>
      <c r="AC96" s="245"/>
      <c r="AD96" s="273"/>
    </row>
    <row r="97" spans="1:30" ht="45" customHeight="1" x14ac:dyDescent="0.3">
      <c r="E97" s="440"/>
      <c r="F97" s="528"/>
      <c r="G97" s="529"/>
      <c r="H97" s="32">
        <v>24.2</v>
      </c>
      <c r="I97" s="86" t="s">
        <v>325</v>
      </c>
      <c r="J97" s="24" t="s">
        <v>179</v>
      </c>
      <c r="K97" s="24">
        <v>1</v>
      </c>
      <c r="L97" s="64"/>
      <c r="M97" s="483" t="s">
        <v>180</v>
      </c>
      <c r="N97" s="64"/>
      <c r="O97" s="26" t="str">
        <f>IF(AND(L97&gt;0,$L$96&lt;&gt;$AH$8),"!","")</f>
        <v/>
      </c>
      <c r="P97" s="26"/>
      <c r="Q97" s="27" t="str">
        <f>IF(OR(U97=$AG$9,U97=$AG$10),L97,"")</f>
        <v/>
      </c>
      <c r="R97" s="27" t="str">
        <f>IF(U97=$AG$11,L97,"")</f>
        <v/>
      </c>
      <c r="S97" s="27"/>
      <c r="T97" s="27"/>
      <c r="U97" s="385"/>
      <c r="V97" s="466"/>
      <c r="W97" s="386"/>
      <c r="X97" s="405"/>
      <c r="Y97" s="244"/>
      <c r="Z97" s="245"/>
      <c r="AA97" s="245"/>
      <c r="AB97" s="245"/>
      <c r="AC97" s="245"/>
      <c r="AD97" s="273"/>
    </row>
    <row r="98" spans="1:30" ht="45" customHeight="1" x14ac:dyDescent="0.3">
      <c r="A98" s="141">
        <v>1</v>
      </c>
      <c r="B98" s="141">
        <f t="shared" ref="B98" si="33">IF(C98=TRUE,A98,0)</f>
        <v>0</v>
      </c>
      <c r="C98" s="362" t="b">
        <f>AL46</f>
        <v>0</v>
      </c>
      <c r="E98" s="440"/>
      <c r="F98" s="528"/>
      <c r="G98" s="530"/>
      <c r="H98" s="32">
        <v>24.3</v>
      </c>
      <c r="I98" s="86" t="s">
        <v>116</v>
      </c>
      <c r="J98" s="24" t="s">
        <v>179</v>
      </c>
      <c r="K98" s="24">
        <f>IF(C98=FALSE,AO46,0)</f>
        <v>1</v>
      </c>
      <c r="L98" s="64"/>
      <c r="M98" s="484" t="str">
        <f>AP46</f>
        <v>-</v>
      </c>
      <c r="N98" s="64"/>
      <c r="O98" s="26" t="str">
        <f>IF(AND(L98&gt;0,$L$96&lt;&gt;$AH$8),"!","")</f>
        <v/>
      </c>
      <c r="P98" s="26"/>
      <c r="Q98" s="27" t="str">
        <f>IF(OR(U98=$AG$9,U98=$AG$10),L98,"")</f>
        <v/>
      </c>
      <c r="R98" s="27" t="str">
        <f>IF(U98=$AG$11,L98,"")</f>
        <v/>
      </c>
      <c r="S98" s="27"/>
      <c r="T98" s="27"/>
      <c r="U98" s="385"/>
      <c r="V98" s="462"/>
      <c r="W98" s="386"/>
      <c r="X98" s="405"/>
      <c r="Y98" s="244"/>
      <c r="Z98" s="245"/>
      <c r="AA98" s="245"/>
      <c r="AB98" s="245"/>
      <c r="AC98" s="245"/>
      <c r="AD98" s="273"/>
    </row>
    <row r="99" spans="1:30" ht="45" customHeight="1" x14ac:dyDescent="0.3">
      <c r="E99" s="430"/>
      <c r="F99" s="39" t="s">
        <v>54</v>
      </c>
      <c r="G99" s="39"/>
      <c r="H99" s="40"/>
      <c r="I99" s="39"/>
      <c r="J99" s="39"/>
      <c r="K99" s="40">
        <f>SUM(K95:K98)</f>
        <v>5</v>
      </c>
      <c r="L99" s="40">
        <f>SUM(L95:L98)</f>
        <v>0</v>
      </c>
      <c r="M99" s="40">
        <f t="shared" ref="M99:N99" si="34">SUM(M95:M98)</f>
        <v>0</v>
      </c>
      <c r="N99" s="40">
        <f t="shared" si="34"/>
        <v>0</v>
      </c>
      <c r="O99" s="26" t="str">
        <f>IF(L99&gt;K99,"!","")</f>
        <v/>
      </c>
      <c r="P99" s="26"/>
      <c r="Q99" s="41">
        <f>SUM(Q95:Q98)</f>
        <v>0</v>
      </c>
      <c r="R99" s="41">
        <f>SUM(R95:R98)</f>
        <v>0</v>
      </c>
      <c r="S99" s="48"/>
      <c r="T99" s="48"/>
      <c r="U99" s="392"/>
      <c r="V99" s="393"/>
      <c r="W99" s="223"/>
      <c r="X99" s="405"/>
      <c r="Y99" s="248"/>
      <c r="Z99" s="249"/>
      <c r="AA99" s="249"/>
      <c r="AB99" s="249"/>
      <c r="AC99" s="249"/>
      <c r="AD99" s="273"/>
    </row>
    <row r="100" spans="1:30" ht="45" customHeight="1" x14ac:dyDescent="0.3">
      <c r="E100" s="388"/>
      <c r="F100" s="394"/>
      <c r="G100" s="394"/>
      <c r="H100" s="48"/>
      <c r="I100" s="394"/>
      <c r="J100" s="48"/>
      <c r="K100" s="48"/>
      <c r="L100" s="48"/>
      <c r="M100" s="48"/>
      <c r="N100" s="48"/>
      <c r="O100" s="425"/>
      <c r="P100" s="425"/>
      <c r="Q100" s="48"/>
      <c r="R100" s="48"/>
      <c r="S100" s="48"/>
      <c r="T100" s="48"/>
      <c r="U100" s="392"/>
      <c r="V100" s="273"/>
      <c r="W100" s="223"/>
      <c r="X100" s="273"/>
      <c r="Y100" s="248"/>
      <c r="Z100" s="249"/>
      <c r="AA100" s="249"/>
      <c r="AB100" s="249"/>
      <c r="AC100" s="249"/>
      <c r="AD100" s="273"/>
    </row>
    <row r="101" spans="1:30" ht="45" customHeight="1" x14ac:dyDescent="0.3">
      <c r="E101" s="439"/>
      <c r="F101" s="525" t="s">
        <v>326</v>
      </c>
      <c r="G101" s="525"/>
      <c r="H101" s="525"/>
      <c r="I101" s="525"/>
      <c r="J101" s="49"/>
      <c r="K101" s="49">
        <f>5-SUM(B102:B107)</f>
        <v>5</v>
      </c>
      <c r="L101" s="49"/>
      <c r="M101" s="49"/>
      <c r="N101" s="49"/>
      <c r="O101" s="26"/>
      <c r="P101" s="26"/>
      <c r="Q101" s="154"/>
      <c r="R101" s="154"/>
      <c r="S101" s="154"/>
      <c r="T101" s="154"/>
      <c r="U101" s="171"/>
      <c r="V101" s="171"/>
      <c r="W101" s="222"/>
      <c r="X101" s="415"/>
      <c r="Y101" s="232"/>
      <c r="Z101" s="222"/>
      <c r="AA101" s="222"/>
      <c r="AB101" s="222"/>
      <c r="AC101" s="222"/>
      <c r="AD101" s="273"/>
    </row>
    <row r="102" spans="1:30" ht="45" customHeight="1" x14ac:dyDescent="0.3">
      <c r="E102" s="440"/>
      <c r="F102" s="527" t="s">
        <v>327</v>
      </c>
      <c r="G102" s="529" t="s">
        <v>328</v>
      </c>
      <c r="H102" s="83">
        <v>25.1</v>
      </c>
      <c r="I102" s="52" t="s">
        <v>329</v>
      </c>
      <c r="J102" s="24" t="s">
        <v>179</v>
      </c>
      <c r="K102" s="30">
        <v>1</v>
      </c>
      <c r="L102" s="85"/>
      <c r="M102" s="485" t="s">
        <v>180</v>
      </c>
      <c r="N102" s="85"/>
      <c r="O102" s="424"/>
      <c r="P102" s="26"/>
      <c r="Q102" s="27" t="str">
        <f t="shared" ref="Q102:Q107" si="35">IF(OR(U102=$AG$9,U102=$AG$10),L102,"")</f>
        <v/>
      </c>
      <c r="R102" s="27" t="str">
        <f t="shared" ref="R102:R107" si="36">IF(U102=$AG$11,L102,"")</f>
        <v/>
      </c>
      <c r="S102" s="27"/>
      <c r="T102" s="27"/>
      <c r="U102" s="384"/>
      <c r="V102" s="467"/>
      <c r="W102" s="386"/>
      <c r="X102" s="405"/>
      <c r="Y102" s="244"/>
      <c r="Z102" s="245"/>
      <c r="AA102" s="245"/>
      <c r="AB102" s="245"/>
      <c r="AC102" s="245"/>
      <c r="AD102" s="273"/>
    </row>
    <row r="103" spans="1:30" ht="45" customHeight="1" x14ac:dyDescent="0.3">
      <c r="E103" s="440"/>
      <c r="F103" s="528"/>
      <c r="G103" s="530"/>
      <c r="H103" s="32">
        <v>25.2</v>
      </c>
      <c r="I103" s="52" t="s">
        <v>330</v>
      </c>
      <c r="J103" s="24" t="s">
        <v>179</v>
      </c>
      <c r="K103" s="24">
        <v>1</v>
      </c>
      <c r="L103" s="64"/>
      <c r="M103" s="483" t="s">
        <v>180</v>
      </c>
      <c r="N103" s="64"/>
      <c r="O103" s="424"/>
      <c r="P103" s="26"/>
      <c r="Q103" s="27" t="str">
        <f t="shared" si="35"/>
        <v/>
      </c>
      <c r="R103" s="27" t="str">
        <f t="shared" si="36"/>
        <v/>
      </c>
      <c r="S103" s="27"/>
      <c r="T103" s="27"/>
      <c r="U103" s="385"/>
      <c r="V103" s="468"/>
      <c r="W103" s="386"/>
      <c r="X103" s="405"/>
      <c r="Y103" s="244"/>
      <c r="Z103" s="245"/>
      <c r="AA103" s="245"/>
      <c r="AB103" s="245"/>
      <c r="AC103" s="245"/>
      <c r="AD103" s="273"/>
    </row>
    <row r="104" spans="1:30" ht="45" customHeight="1" x14ac:dyDescent="0.3">
      <c r="E104" s="440"/>
      <c r="F104" s="528" t="s">
        <v>331</v>
      </c>
      <c r="G104" s="531" t="s">
        <v>332</v>
      </c>
      <c r="H104" s="32">
        <v>26.1</v>
      </c>
      <c r="I104" s="86" t="s">
        <v>333</v>
      </c>
      <c r="J104" s="24" t="s">
        <v>179</v>
      </c>
      <c r="K104" s="185" t="s">
        <v>185</v>
      </c>
      <c r="L104" s="64"/>
      <c r="M104" s="483" t="s">
        <v>180</v>
      </c>
      <c r="N104" s="64"/>
      <c r="O104" s="424"/>
      <c r="P104" s="26"/>
      <c r="Q104" s="27" t="str">
        <f t="shared" si="35"/>
        <v/>
      </c>
      <c r="R104" s="27" t="str">
        <f t="shared" si="36"/>
        <v/>
      </c>
      <c r="S104" s="27"/>
      <c r="T104" s="27"/>
      <c r="U104" s="385"/>
      <c r="V104" s="468"/>
      <c r="W104" s="386"/>
      <c r="X104" s="405"/>
      <c r="Y104" s="244"/>
      <c r="Z104" s="245"/>
      <c r="AA104" s="245"/>
      <c r="AB104" s="245"/>
      <c r="AC104" s="245"/>
      <c r="AD104" s="273"/>
    </row>
    <row r="105" spans="1:30" ht="45" customHeight="1" x14ac:dyDescent="0.3">
      <c r="E105" s="440"/>
      <c r="F105" s="528"/>
      <c r="G105" s="530"/>
      <c r="H105" s="34">
        <v>26.2</v>
      </c>
      <c r="I105" s="86" t="s">
        <v>334</v>
      </c>
      <c r="J105" s="24" t="s">
        <v>179</v>
      </c>
      <c r="K105" s="24">
        <v>1</v>
      </c>
      <c r="L105" s="64"/>
      <c r="M105" s="483" t="s">
        <v>180</v>
      </c>
      <c r="N105" s="64"/>
      <c r="O105" s="26" t="str">
        <f>IF(AND(L105&gt;0,$L104&lt;&gt;$AH$8),"!","")</f>
        <v/>
      </c>
      <c r="P105" s="26"/>
      <c r="Q105" s="27" t="str">
        <f t="shared" si="35"/>
        <v/>
      </c>
      <c r="R105" s="27" t="str">
        <f t="shared" si="36"/>
        <v/>
      </c>
      <c r="S105" s="27"/>
      <c r="T105" s="27"/>
      <c r="U105" s="385"/>
      <c r="V105" s="468"/>
      <c r="W105" s="386"/>
      <c r="X105" s="405"/>
      <c r="Y105" s="244"/>
      <c r="Z105" s="245"/>
      <c r="AA105" s="245"/>
      <c r="AB105" s="245"/>
      <c r="AC105" s="245"/>
      <c r="AD105" s="273"/>
    </row>
    <row r="106" spans="1:30" ht="45" customHeight="1" x14ac:dyDescent="0.3">
      <c r="E106" s="440"/>
      <c r="F106" s="173" t="s">
        <v>335</v>
      </c>
      <c r="G106" s="256" t="s">
        <v>336</v>
      </c>
      <c r="H106" s="266">
        <v>27</v>
      </c>
      <c r="I106" s="55" t="s">
        <v>337</v>
      </c>
      <c r="J106" s="24" t="s">
        <v>179</v>
      </c>
      <c r="K106" s="24">
        <v>1</v>
      </c>
      <c r="L106" s="64"/>
      <c r="M106" s="483" t="s">
        <v>180</v>
      </c>
      <c r="N106" s="64"/>
      <c r="O106" s="424"/>
      <c r="P106" s="26"/>
      <c r="Q106" s="27" t="str">
        <f t="shared" si="35"/>
        <v/>
      </c>
      <c r="R106" s="27" t="str">
        <f t="shared" si="36"/>
        <v/>
      </c>
      <c r="S106" s="27"/>
      <c r="T106" s="27"/>
      <c r="U106" s="385"/>
      <c r="V106" s="468"/>
      <c r="W106" s="386"/>
      <c r="X106" s="405"/>
      <c r="Y106" s="244"/>
      <c r="Z106" s="245"/>
      <c r="AA106" s="245"/>
      <c r="AB106" s="245"/>
      <c r="AC106" s="245"/>
      <c r="AD106" s="273"/>
    </row>
    <row r="107" spans="1:30" ht="45" customHeight="1" x14ac:dyDescent="0.3">
      <c r="A107" s="141">
        <v>1</v>
      </c>
      <c r="B107" s="141">
        <f>IF(C107=TRUE,A107,0)</f>
        <v>0</v>
      </c>
      <c r="C107" s="141" t="b">
        <v>0</v>
      </c>
      <c r="E107" s="440"/>
      <c r="F107" s="90" t="s">
        <v>338</v>
      </c>
      <c r="G107" s="257" t="s">
        <v>339</v>
      </c>
      <c r="H107" s="267">
        <v>28</v>
      </c>
      <c r="I107" s="55" t="s">
        <v>340</v>
      </c>
      <c r="J107" s="24" t="s">
        <v>179</v>
      </c>
      <c r="K107" s="24">
        <f>IF(C107=FALSE,1,0)</f>
        <v>1</v>
      </c>
      <c r="L107" s="89"/>
      <c r="M107" s="482" t="str">
        <f>AP47</f>
        <v>-</v>
      </c>
      <c r="N107" s="89"/>
      <c r="O107" s="424"/>
      <c r="P107" s="26"/>
      <c r="Q107" s="27" t="str">
        <f t="shared" si="35"/>
        <v/>
      </c>
      <c r="R107" s="27" t="str">
        <f t="shared" si="36"/>
        <v/>
      </c>
      <c r="S107" s="27"/>
      <c r="T107" s="27"/>
      <c r="U107" s="385"/>
      <c r="V107" s="468"/>
      <c r="W107" s="386"/>
      <c r="X107" s="405"/>
      <c r="Y107" s="244"/>
      <c r="Z107" s="245"/>
      <c r="AA107" s="245"/>
      <c r="AB107" s="245"/>
      <c r="AC107" s="245"/>
      <c r="AD107" s="273"/>
    </row>
    <row r="108" spans="1:30" ht="45" customHeight="1" x14ac:dyDescent="0.3">
      <c r="E108" s="430"/>
      <c r="F108" s="39" t="s">
        <v>54</v>
      </c>
      <c r="G108" s="39"/>
      <c r="H108" s="40"/>
      <c r="I108" s="39"/>
      <c r="J108" s="39"/>
      <c r="K108" s="40">
        <f>SUM(K102:K107)</f>
        <v>5</v>
      </c>
      <c r="L108" s="40">
        <f>SUM(L102:L107)</f>
        <v>0</v>
      </c>
      <c r="M108" s="40">
        <f t="shared" ref="M108:N108" si="37">SUM(M102:M107)</f>
        <v>0</v>
      </c>
      <c r="N108" s="40">
        <f t="shared" si="37"/>
        <v>0</v>
      </c>
      <c r="O108" s="26" t="str">
        <f>IF(L108&gt;K108,"!","")</f>
        <v/>
      </c>
      <c r="P108" s="26"/>
      <c r="Q108" s="41">
        <f t="shared" ref="Q108:R108" si="38">SUM(Q102:Q107)</f>
        <v>0</v>
      </c>
      <c r="R108" s="41">
        <f t="shared" si="38"/>
        <v>0</v>
      </c>
      <c r="S108" s="396"/>
      <c r="T108" s="396"/>
      <c r="U108" s="420"/>
      <c r="V108" s="405"/>
      <c r="W108" s="225"/>
      <c r="X108" s="405"/>
      <c r="Y108" s="250"/>
      <c r="Z108" s="251"/>
      <c r="AA108" s="251"/>
      <c r="AB108" s="251"/>
      <c r="AC108" s="251"/>
      <c r="AD108" s="273"/>
    </row>
    <row r="109" spans="1:30" ht="45" customHeight="1" x14ac:dyDescent="0.3">
      <c r="E109" s="388"/>
      <c r="F109" s="421"/>
      <c r="G109" s="421"/>
      <c r="H109" s="396"/>
      <c r="I109" s="421"/>
      <c r="J109" s="48"/>
      <c r="K109" s="396"/>
      <c r="L109" s="396"/>
      <c r="M109" s="396"/>
      <c r="N109" s="396"/>
      <c r="O109" s="26"/>
      <c r="P109" s="26"/>
      <c r="Q109" s="396"/>
      <c r="R109" s="396"/>
      <c r="S109" s="396"/>
      <c r="T109" s="396"/>
      <c r="U109" s="420"/>
      <c r="V109" s="405"/>
      <c r="W109" s="225"/>
      <c r="X109" s="405"/>
      <c r="Y109" s="250"/>
      <c r="Z109" s="251"/>
      <c r="AA109" s="251"/>
      <c r="AB109" s="251"/>
      <c r="AC109" s="251"/>
      <c r="AD109" s="273"/>
    </row>
    <row r="110" spans="1:30" ht="45" customHeight="1" x14ac:dyDescent="0.3">
      <c r="E110" s="439"/>
      <c r="F110" s="525" t="s">
        <v>341</v>
      </c>
      <c r="G110" s="525"/>
      <c r="H110" s="525"/>
      <c r="I110" s="525"/>
      <c r="J110" s="91"/>
      <c r="K110" s="49">
        <v>10</v>
      </c>
      <c r="L110" s="91"/>
      <c r="M110" s="91"/>
      <c r="N110" s="91"/>
      <c r="O110" s="26"/>
      <c r="P110" s="26"/>
      <c r="Q110" s="92"/>
      <c r="R110" s="92"/>
      <c r="S110" s="92"/>
      <c r="T110" s="92"/>
      <c r="U110" s="172"/>
      <c r="V110" s="172"/>
      <c r="W110" s="226"/>
      <c r="X110" s="415"/>
      <c r="Y110" s="234"/>
      <c r="Z110" s="226"/>
      <c r="AA110" s="226"/>
      <c r="AB110" s="226"/>
      <c r="AC110" s="226"/>
      <c r="AD110" s="273"/>
    </row>
    <row r="111" spans="1:30" ht="45" customHeight="1" x14ac:dyDescent="0.3">
      <c r="E111" s="440"/>
      <c r="F111" s="174" t="s">
        <v>342</v>
      </c>
      <c r="G111" s="93" t="s">
        <v>343</v>
      </c>
      <c r="H111" s="30">
        <v>29.1</v>
      </c>
      <c r="I111" s="177" t="s">
        <v>342</v>
      </c>
      <c r="J111" s="24" t="s">
        <v>179</v>
      </c>
      <c r="K111" s="526">
        <v>10</v>
      </c>
      <c r="L111" s="85"/>
      <c r="M111" s="485" t="s">
        <v>180</v>
      </c>
      <c r="N111" s="85"/>
      <c r="O111" s="424"/>
      <c r="P111" s="26"/>
      <c r="Q111" s="27" t="str">
        <f>IF(OR(U111=$AG$9,U111=$AG$10),L111,"")</f>
        <v/>
      </c>
      <c r="R111" s="27" t="str">
        <f>IF(U111=$AG$11,L111,"")</f>
        <v/>
      </c>
      <c r="S111" s="27"/>
      <c r="T111" s="27"/>
      <c r="U111" s="182"/>
      <c r="V111" s="469"/>
      <c r="W111" s="220"/>
      <c r="X111" s="405"/>
      <c r="Y111" s="244"/>
      <c r="Z111" s="245"/>
      <c r="AA111" s="245"/>
      <c r="AB111" s="245"/>
      <c r="AC111" s="245"/>
      <c r="AD111" s="273"/>
    </row>
    <row r="112" spans="1:30" ht="45" customHeight="1" x14ac:dyDescent="0.3">
      <c r="E112" s="440"/>
      <c r="F112" s="173" t="s">
        <v>344</v>
      </c>
      <c r="G112" s="38" t="s">
        <v>345</v>
      </c>
      <c r="H112" s="24">
        <v>29.2</v>
      </c>
      <c r="I112" s="33" t="s">
        <v>344</v>
      </c>
      <c r="J112" s="24" t="s">
        <v>179</v>
      </c>
      <c r="K112" s="526"/>
      <c r="L112" s="85"/>
      <c r="M112" s="485" t="s">
        <v>180</v>
      </c>
      <c r="N112" s="85"/>
      <c r="O112" s="424"/>
      <c r="P112" s="26"/>
      <c r="Q112" s="27" t="str">
        <f>IF(OR(U112=$AG$9,U112=$AG$10),L112,"")</f>
        <v/>
      </c>
      <c r="R112" s="27" t="str">
        <f>IF(U112=$AG$11,L112,"")</f>
        <v/>
      </c>
      <c r="S112" s="27"/>
      <c r="T112" s="27"/>
      <c r="U112" s="181"/>
      <c r="V112" s="470"/>
      <c r="W112" s="220"/>
      <c r="X112" s="405"/>
      <c r="Y112" s="244"/>
      <c r="Z112" s="245"/>
      <c r="AA112" s="245"/>
      <c r="AB112" s="245"/>
      <c r="AC112" s="245"/>
      <c r="AD112" s="273"/>
    </row>
    <row r="113" spans="1:45" ht="45" customHeight="1" x14ac:dyDescent="0.3">
      <c r="E113" s="440"/>
      <c r="F113" s="173" t="s">
        <v>346</v>
      </c>
      <c r="G113" s="38" t="s">
        <v>347</v>
      </c>
      <c r="H113" s="24">
        <v>29.3</v>
      </c>
      <c r="I113" s="33" t="s">
        <v>346</v>
      </c>
      <c r="J113" s="24" t="s">
        <v>179</v>
      </c>
      <c r="K113" s="526"/>
      <c r="L113" s="85"/>
      <c r="M113" s="485" t="s">
        <v>180</v>
      </c>
      <c r="N113" s="85"/>
      <c r="O113" s="424"/>
      <c r="P113" s="26"/>
      <c r="Q113" s="27" t="str">
        <f>IF(OR(U113=$AG$9,U113=$AG$10),L113,"")</f>
        <v/>
      </c>
      <c r="R113" s="27" t="str">
        <f>IF(U113=$AG$11,L113,"")</f>
        <v/>
      </c>
      <c r="S113" s="27"/>
      <c r="T113" s="27"/>
      <c r="U113" s="181"/>
      <c r="V113" s="470"/>
      <c r="W113" s="220"/>
      <c r="X113" s="405"/>
      <c r="Y113" s="244"/>
      <c r="Z113" s="245"/>
      <c r="AA113" s="245"/>
      <c r="AB113" s="245"/>
      <c r="AC113" s="245"/>
      <c r="AD113" s="273"/>
    </row>
    <row r="114" spans="1:45" ht="45" customHeight="1" x14ac:dyDescent="0.3">
      <c r="E114" s="440"/>
      <c r="F114" s="173" t="s">
        <v>348</v>
      </c>
      <c r="G114" s="38" t="s">
        <v>349</v>
      </c>
      <c r="H114" s="24">
        <v>29.4</v>
      </c>
      <c r="I114" s="33" t="s">
        <v>348</v>
      </c>
      <c r="J114" s="24" t="s">
        <v>179</v>
      </c>
      <c r="K114" s="526"/>
      <c r="L114" s="85"/>
      <c r="M114" s="485" t="s">
        <v>180</v>
      </c>
      <c r="N114" s="85"/>
      <c r="O114" s="424"/>
      <c r="P114" s="26"/>
      <c r="Q114" s="27" t="str">
        <f>IF(OR(U114=$AG$9,U114=$AG$10),L114,"")</f>
        <v/>
      </c>
      <c r="R114" s="27" t="str">
        <f>IF(U114=$AG$11,L114,"")</f>
        <v/>
      </c>
      <c r="S114" s="27"/>
      <c r="T114" s="27"/>
      <c r="U114" s="181"/>
      <c r="V114" s="470"/>
      <c r="W114" s="220"/>
      <c r="X114" s="405"/>
      <c r="Y114" s="244"/>
      <c r="Z114" s="245"/>
      <c r="AA114" s="245"/>
      <c r="AB114" s="245"/>
      <c r="AC114" s="245"/>
      <c r="AD114" s="273"/>
    </row>
    <row r="115" spans="1:45" ht="45" customHeight="1" x14ac:dyDescent="0.3">
      <c r="E115" s="440"/>
      <c r="F115" s="175" t="s">
        <v>350</v>
      </c>
      <c r="G115" s="94" t="s">
        <v>351</v>
      </c>
      <c r="H115" s="56">
        <v>29.5</v>
      </c>
      <c r="I115" s="176" t="s">
        <v>350</v>
      </c>
      <c r="J115" s="24" t="s">
        <v>179</v>
      </c>
      <c r="K115" s="526"/>
      <c r="L115" s="85"/>
      <c r="M115" s="485" t="s">
        <v>180</v>
      </c>
      <c r="N115" s="85"/>
      <c r="O115" s="424"/>
      <c r="P115" s="26"/>
      <c r="Q115" s="27" t="str">
        <f>IF(OR(U115=$AG$9,U115=$AG$10),L115,"")</f>
        <v/>
      </c>
      <c r="R115" s="27" t="str">
        <f>IF(U115=$AG$11,L115,"")</f>
        <v/>
      </c>
      <c r="S115" s="27"/>
      <c r="T115" s="27"/>
      <c r="U115" s="181"/>
      <c r="V115" s="470"/>
      <c r="W115" s="220"/>
      <c r="X115" s="405"/>
      <c r="Y115" s="244"/>
      <c r="Z115" s="245"/>
      <c r="AA115" s="245"/>
      <c r="AB115" s="245"/>
      <c r="AC115" s="245"/>
      <c r="AD115" s="273"/>
    </row>
    <row r="116" spans="1:45" ht="45" customHeight="1" x14ac:dyDescent="0.3">
      <c r="E116" s="430"/>
      <c r="F116" s="39" t="s">
        <v>54</v>
      </c>
      <c r="G116" s="39"/>
      <c r="H116" s="40"/>
      <c r="I116" s="39"/>
      <c r="J116" s="41"/>
      <c r="K116" s="40">
        <f>SUM(K111)</f>
        <v>10</v>
      </c>
      <c r="L116" s="40">
        <f>IF(SUM(L111:L115)&gt;10,10,SUM(L111:L115))</f>
        <v>0</v>
      </c>
      <c r="M116" s="41"/>
      <c r="N116" s="41"/>
      <c r="O116" s="26" t="str">
        <f>IF(L116&gt;K116,"!","")</f>
        <v/>
      </c>
      <c r="P116" s="26"/>
      <c r="Q116" s="41">
        <f t="shared" ref="Q116:R116" si="39">SUM(Q111:Q115)</f>
        <v>0</v>
      </c>
      <c r="R116" s="41">
        <f t="shared" si="39"/>
        <v>0</v>
      </c>
      <c r="S116" s="48"/>
      <c r="T116" s="48"/>
      <c r="U116" s="432"/>
      <c r="V116" s="273"/>
      <c r="W116" s="223"/>
      <c r="X116" s="273"/>
      <c r="Y116" s="433"/>
      <c r="Z116" s="223"/>
      <c r="AA116" s="223"/>
      <c r="AB116" s="223"/>
      <c r="AC116" s="223"/>
      <c r="AD116" s="273"/>
    </row>
    <row r="117" spans="1:45" ht="45" customHeight="1" x14ac:dyDescent="0.3">
      <c r="E117" s="388"/>
      <c r="F117" s="421"/>
      <c r="G117" s="421"/>
      <c r="H117" s="396"/>
      <c r="I117" s="421"/>
      <c r="J117" s="48"/>
      <c r="K117" s="396"/>
      <c r="L117" s="396"/>
      <c r="M117" s="396"/>
      <c r="N117" s="396"/>
      <c r="O117" s="405"/>
      <c r="P117" s="405"/>
      <c r="Q117" s="396"/>
      <c r="R117" s="396"/>
      <c r="S117" s="396"/>
      <c r="T117" s="396"/>
      <c r="U117" s="432"/>
      <c r="V117" s="273"/>
      <c r="W117" s="223"/>
      <c r="X117" s="273"/>
      <c r="Y117" s="433"/>
      <c r="Z117" s="223"/>
      <c r="AA117" s="223"/>
      <c r="AB117" s="223"/>
      <c r="AC117" s="223"/>
      <c r="AD117" s="273"/>
    </row>
    <row r="118" spans="1:45" ht="45" customHeight="1" x14ac:dyDescent="0.3">
      <c r="B118" s="144" t="s">
        <v>352</v>
      </c>
      <c r="E118" s="388"/>
      <c r="F118" s="430"/>
      <c r="G118" s="430"/>
      <c r="H118" s="416"/>
      <c r="I118" s="106" t="s">
        <v>353</v>
      </c>
      <c r="J118" s="331"/>
      <c r="K118" s="9" t="s">
        <v>354</v>
      </c>
      <c r="L118" s="9" t="s">
        <v>355</v>
      </c>
      <c r="M118" s="9"/>
      <c r="N118" s="9"/>
      <c r="O118" s="427"/>
      <c r="P118" s="427"/>
      <c r="Q118" s="9" t="s">
        <v>356</v>
      </c>
      <c r="R118" s="9" t="s">
        <v>357</v>
      </c>
      <c r="S118" s="48"/>
      <c r="T118" s="48"/>
      <c r="U118" s="432"/>
      <c r="V118" s="273"/>
      <c r="W118" s="434"/>
      <c r="X118" s="415"/>
      <c r="Y118" s="435"/>
      <c r="Z118" s="434"/>
      <c r="AA118" s="434"/>
      <c r="AB118" s="434"/>
      <c r="AC118" s="434"/>
      <c r="AD118" s="273"/>
    </row>
    <row r="119" spans="1:45" ht="45" customHeight="1" x14ac:dyDescent="0.3">
      <c r="B119" s="141">
        <f>SUM(B7:B107)</f>
        <v>0</v>
      </c>
      <c r="E119" s="388"/>
      <c r="F119" s="395"/>
      <c r="G119" s="395"/>
      <c r="H119" s="396"/>
      <c r="I119" s="18" t="s">
        <v>358</v>
      </c>
      <c r="J119" s="331"/>
      <c r="K119" s="471">
        <f>100-AQ49</f>
        <v>100</v>
      </c>
      <c r="L119" s="113">
        <f>L25+L45+L53+L67+L76+L92+L99+L108</f>
        <v>0</v>
      </c>
      <c r="M119" s="113"/>
      <c r="N119" s="113"/>
      <c r="O119" s="427"/>
      <c r="P119" s="427"/>
      <c r="Q119" s="113">
        <f>(Q25+Q45+Q53+Q67+Q76+Q92+Q99+Q108)/$K$119*100+Q116</f>
        <v>0</v>
      </c>
      <c r="R119" s="113">
        <f>(R25+R45+R53+R67+R76+R92+R99+R108)/$K$119*100+R116</f>
        <v>0</v>
      </c>
      <c r="S119" s="48"/>
      <c r="T119" s="48"/>
      <c r="U119" s="432"/>
      <c r="V119" s="273"/>
      <c r="W119" s="436"/>
      <c r="X119" s="405"/>
      <c r="Y119" s="437"/>
      <c r="Z119" s="436"/>
      <c r="AA119" s="436"/>
      <c r="AB119" s="436"/>
      <c r="AC119" s="436"/>
      <c r="AD119" s="273"/>
    </row>
    <row r="120" spans="1:45" ht="45" customHeight="1" x14ac:dyDescent="0.3">
      <c r="E120" s="388"/>
      <c r="F120" s="395"/>
      <c r="G120" s="395"/>
      <c r="H120" s="431"/>
      <c r="I120" s="18" t="s">
        <v>359</v>
      </c>
      <c r="J120" s="331"/>
      <c r="K120" s="110"/>
      <c r="L120" s="125">
        <f>L119/K119*100</f>
        <v>0</v>
      </c>
      <c r="M120" s="486"/>
      <c r="N120" s="125"/>
      <c r="O120" s="428"/>
      <c r="P120" s="428"/>
      <c r="Q120" s="427"/>
      <c r="R120" s="427"/>
      <c r="S120" s="48"/>
      <c r="T120" s="48"/>
      <c r="U120" s="432"/>
      <c r="V120" s="273"/>
      <c r="W120" s="436"/>
      <c r="X120" s="405"/>
      <c r="Y120" s="437"/>
      <c r="Z120" s="436"/>
      <c r="AA120" s="436"/>
      <c r="AB120" s="436"/>
      <c r="AC120" s="436"/>
      <c r="AD120" s="273"/>
    </row>
    <row r="121" spans="1:45" ht="45" customHeight="1" x14ac:dyDescent="0.3">
      <c r="E121" s="388"/>
      <c r="F121" s="395"/>
      <c r="G121" s="395"/>
      <c r="H121" s="396"/>
      <c r="I121" s="18" t="s">
        <v>360</v>
      </c>
      <c r="J121" s="331"/>
      <c r="K121" s="112">
        <v>10</v>
      </c>
      <c r="L121" s="113">
        <f>L116</f>
        <v>0</v>
      </c>
      <c r="M121" s="113"/>
      <c r="N121" s="113"/>
      <c r="O121" s="429"/>
      <c r="P121" s="429"/>
      <c r="Q121" s="427"/>
      <c r="R121" s="427"/>
      <c r="S121" s="48"/>
      <c r="T121" s="48"/>
      <c r="U121" s="432"/>
      <c r="V121" s="273"/>
      <c r="W121" s="436"/>
      <c r="X121" s="405"/>
      <c r="Y121" s="437"/>
      <c r="Z121" s="436"/>
      <c r="AA121" s="436"/>
      <c r="AB121" s="436"/>
      <c r="AC121" s="436"/>
      <c r="AD121" s="273"/>
    </row>
    <row r="122" spans="1:45" ht="45" customHeight="1" x14ac:dyDescent="0.3">
      <c r="E122" s="388"/>
      <c r="F122" s="394"/>
      <c r="G122" s="394"/>
      <c r="H122" s="48"/>
      <c r="I122" s="18" t="s">
        <v>361</v>
      </c>
      <c r="J122" s="331"/>
      <c r="K122" s="111"/>
      <c r="L122" s="125">
        <f>L120+L121</f>
        <v>0</v>
      </c>
      <c r="M122" s="486"/>
      <c r="N122" s="125"/>
      <c r="O122" s="273"/>
      <c r="P122" s="273"/>
      <c r="Q122" s="427"/>
      <c r="R122" s="427"/>
      <c r="S122" s="48"/>
      <c r="T122" s="48"/>
      <c r="U122" s="432"/>
      <c r="V122" s="273"/>
      <c r="W122" s="223"/>
      <c r="X122" s="273"/>
      <c r="Y122" s="433"/>
      <c r="Z122" s="223"/>
      <c r="AA122" s="223"/>
      <c r="AB122" s="223"/>
      <c r="AC122" s="223"/>
      <c r="AD122" s="273"/>
    </row>
    <row r="123" spans="1:45" x14ac:dyDescent="0.3">
      <c r="E123" s="388"/>
      <c r="F123" s="394"/>
      <c r="G123" s="394"/>
      <c r="H123" s="48"/>
      <c r="I123" s="394"/>
      <c r="J123" s="48"/>
      <c r="K123" s="48"/>
      <c r="L123" s="48"/>
      <c r="M123" s="48"/>
      <c r="N123" s="48"/>
      <c r="O123" s="273"/>
      <c r="P123" s="273"/>
      <c r="Q123" s="48"/>
      <c r="R123" s="48"/>
      <c r="S123" s="48"/>
      <c r="T123" s="48"/>
      <c r="U123" s="432"/>
      <c r="V123" s="273"/>
      <c r="W123" s="223"/>
      <c r="X123" s="273"/>
      <c r="Y123" s="433"/>
      <c r="Z123" s="223"/>
      <c r="AA123" s="223"/>
      <c r="AB123" s="223"/>
      <c r="AC123" s="223"/>
      <c r="AD123" s="273"/>
    </row>
    <row r="124" spans="1:45" x14ac:dyDescent="0.3">
      <c r="A124" s="388"/>
      <c r="B124" s="388"/>
      <c r="C124" s="388"/>
      <c r="D124" s="388"/>
      <c r="E124" s="388"/>
      <c r="F124" s="394"/>
      <c r="G124" s="394"/>
      <c r="H124" s="48"/>
      <c r="I124" s="394"/>
      <c r="J124" s="48"/>
      <c r="K124" s="48"/>
      <c r="L124" s="48"/>
      <c r="M124" s="48"/>
      <c r="N124" s="48"/>
      <c r="O124" s="273"/>
      <c r="P124" s="273"/>
      <c r="Q124" s="48"/>
      <c r="R124" s="48"/>
      <c r="S124" s="48"/>
      <c r="T124" s="48"/>
      <c r="U124" s="432"/>
      <c r="V124" s="273"/>
      <c r="W124" s="223"/>
      <c r="X124" s="273"/>
      <c r="Y124" s="433"/>
      <c r="Z124" s="223"/>
      <c r="AA124" s="223"/>
      <c r="AB124" s="223"/>
      <c r="AC124" s="223"/>
      <c r="AD124" s="273"/>
      <c r="AE124" s="273"/>
      <c r="AF124" s="273"/>
      <c r="AG124" s="273"/>
      <c r="AH124" s="273"/>
      <c r="AI124" s="273"/>
      <c r="AJ124" s="273"/>
      <c r="AK124" s="273"/>
      <c r="AL124" s="273"/>
      <c r="AM124" s="273"/>
      <c r="AN124" s="273"/>
      <c r="AO124" s="273"/>
      <c r="AP124" s="273"/>
      <c r="AQ124" s="273"/>
      <c r="AR124" s="273"/>
      <c r="AS124" s="273"/>
    </row>
    <row r="125" spans="1:45" x14ac:dyDescent="0.3">
      <c r="A125" s="388"/>
      <c r="B125" s="388"/>
      <c r="C125" s="388"/>
      <c r="D125" s="388"/>
      <c r="E125" s="388"/>
      <c r="F125" s="394"/>
      <c r="G125" s="394"/>
      <c r="H125" s="48"/>
      <c r="I125" s="394"/>
      <c r="J125" s="48"/>
      <c r="K125" s="48"/>
      <c r="L125" s="48"/>
      <c r="M125" s="48"/>
      <c r="N125" s="48"/>
      <c r="O125" s="273"/>
      <c r="P125" s="273"/>
      <c r="Q125" s="48"/>
      <c r="R125" s="48"/>
      <c r="S125" s="48"/>
      <c r="T125" s="48"/>
      <c r="U125" s="432"/>
      <c r="V125" s="273"/>
      <c r="W125" s="223"/>
      <c r="X125" s="273"/>
      <c r="Y125" s="433"/>
      <c r="Z125" s="223"/>
      <c r="AA125" s="223"/>
      <c r="AB125" s="223"/>
      <c r="AC125" s="223"/>
      <c r="AD125" s="273"/>
      <c r="AE125" s="273"/>
      <c r="AF125" s="273"/>
      <c r="AG125" s="273"/>
      <c r="AH125" s="273"/>
      <c r="AI125" s="273"/>
      <c r="AJ125" s="273"/>
      <c r="AK125" s="273"/>
      <c r="AL125" s="273"/>
      <c r="AM125" s="273"/>
      <c r="AN125" s="273"/>
      <c r="AO125" s="273"/>
      <c r="AP125" s="273"/>
      <c r="AQ125" s="273"/>
      <c r="AR125" s="273"/>
      <c r="AS125" s="273"/>
    </row>
    <row r="126" spans="1:45" x14ac:dyDescent="0.3">
      <c r="A126" s="388"/>
      <c r="B126" s="388"/>
      <c r="C126" s="388"/>
      <c r="D126" s="388"/>
      <c r="E126" s="388"/>
      <c r="F126" s="394"/>
      <c r="G126" s="394"/>
      <c r="H126" s="48"/>
      <c r="I126" s="394"/>
      <c r="J126" s="48"/>
      <c r="K126" s="48"/>
      <c r="L126" s="48"/>
      <c r="M126" s="48"/>
      <c r="N126" s="48"/>
      <c r="O126" s="273"/>
      <c r="P126" s="273"/>
      <c r="Q126" s="48"/>
      <c r="R126" s="48"/>
      <c r="S126" s="48"/>
      <c r="T126" s="48"/>
      <c r="U126" s="432"/>
      <c r="V126" s="273"/>
      <c r="W126" s="223"/>
      <c r="X126" s="273"/>
      <c r="Y126" s="433"/>
      <c r="Z126" s="223"/>
      <c r="AA126" s="223"/>
      <c r="AB126" s="223"/>
      <c r="AC126" s="223"/>
      <c r="AD126" s="273"/>
      <c r="AE126" s="273"/>
      <c r="AF126" s="273"/>
      <c r="AG126" s="273"/>
      <c r="AH126" s="273"/>
      <c r="AI126" s="273"/>
      <c r="AJ126" s="273"/>
      <c r="AK126" s="273"/>
      <c r="AL126" s="273"/>
      <c r="AM126" s="273"/>
      <c r="AN126" s="273"/>
      <c r="AO126" s="273"/>
      <c r="AP126" s="273"/>
      <c r="AQ126" s="273"/>
      <c r="AR126" s="273"/>
      <c r="AS126" s="273"/>
    </row>
    <row r="127" spans="1:45" ht="38.25" hidden="1" customHeight="1" x14ac:dyDescent="0.3">
      <c r="A127" s="388"/>
      <c r="B127" s="388"/>
      <c r="C127" s="388"/>
      <c r="D127" s="48" t="s">
        <v>19</v>
      </c>
      <c r="E127" s="388"/>
      <c r="F127" s="394"/>
      <c r="G127" s="394"/>
      <c r="H127" s="48"/>
      <c r="I127" s="394"/>
      <c r="J127" s="48"/>
      <c r="K127" s="48"/>
      <c r="L127" s="48"/>
      <c r="M127" s="48"/>
      <c r="N127" s="48"/>
      <c r="O127" s="273"/>
      <c r="P127" s="273"/>
      <c r="Q127" s="48"/>
      <c r="R127" s="48"/>
      <c r="S127" s="441" t="s">
        <v>362</v>
      </c>
      <c r="T127" s="442" t="s">
        <v>363</v>
      </c>
      <c r="U127" s="443" t="s">
        <v>364</v>
      </c>
      <c r="V127" s="442" t="s">
        <v>365</v>
      </c>
      <c r="W127" s="223"/>
      <c r="X127" s="273"/>
      <c r="Y127" s="433"/>
      <c r="Z127" s="223"/>
      <c r="AA127" s="223"/>
      <c r="AB127" s="223"/>
      <c r="AC127" s="223"/>
      <c r="AD127" s="273"/>
      <c r="AE127" s="273"/>
      <c r="AF127" s="273"/>
      <c r="AG127" s="273"/>
      <c r="AH127" s="273"/>
      <c r="AI127" s="273"/>
      <c r="AJ127" s="273"/>
      <c r="AK127" s="273"/>
      <c r="AL127" s="273"/>
      <c r="AM127" s="273"/>
      <c r="AN127" s="273"/>
      <c r="AO127" s="273"/>
      <c r="AP127" s="273"/>
      <c r="AQ127" s="273"/>
      <c r="AR127" s="273"/>
      <c r="AS127" s="273"/>
    </row>
    <row r="128" spans="1:45" ht="38.25" hidden="1" customHeight="1" x14ac:dyDescent="0.3">
      <c r="A128" s="388"/>
      <c r="B128" s="388"/>
      <c r="C128" s="388"/>
      <c r="D128" s="48" t="s">
        <v>19</v>
      </c>
      <c r="E128" s="388"/>
      <c r="F128" s="394"/>
      <c r="G128" s="394"/>
      <c r="H128" s="48"/>
      <c r="I128" s="394"/>
      <c r="J128" s="48"/>
      <c r="K128" s="48"/>
      <c r="L128" s="48"/>
      <c r="M128" s="48"/>
      <c r="N128" s="48"/>
      <c r="O128" s="273"/>
      <c r="P128" s="273"/>
      <c r="Q128" s="48"/>
      <c r="R128" s="444" t="s">
        <v>191</v>
      </c>
      <c r="S128" s="445"/>
      <c r="T128" s="445">
        <f>COUNTIF(T7:T107,"Core")</f>
        <v>0</v>
      </c>
      <c r="U128" s="446">
        <f>COUNTIF(U7:U107,"Not Awarded - Major Non-compliance")</f>
        <v>0</v>
      </c>
      <c r="V128" s="444"/>
      <c r="W128" s="223"/>
      <c r="X128" s="273"/>
      <c r="Y128" s="433"/>
      <c r="Z128" s="223"/>
      <c r="AA128" s="223"/>
      <c r="AB128" s="223"/>
      <c r="AC128" s="223"/>
      <c r="AD128" s="273"/>
      <c r="AE128" s="273"/>
      <c r="AF128" s="273"/>
      <c r="AG128" s="273"/>
      <c r="AH128" s="273"/>
      <c r="AI128" s="273"/>
      <c r="AJ128" s="273"/>
      <c r="AK128" s="273"/>
      <c r="AL128" s="273"/>
      <c r="AM128" s="273"/>
      <c r="AN128" s="273"/>
      <c r="AO128" s="273"/>
      <c r="AP128" s="273"/>
      <c r="AQ128" s="273"/>
      <c r="AR128" s="273"/>
      <c r="AS128" s="273"/>
    </row>
    <row r="129" spans="1:45" ht="38.25" hidden="1" customHeight="1" x14ac:dyDescent="0.3">
      <c r="A129" s="388"/>
      <c r="B129" s="388"/>
      <c r="C129" s="388"/>
      <c r="D129" s="48" t="s">
        <v>19</v>
      </c>
      <c r="E129" s="388"/>
      <c r="F129" s="394"/>
      <c r="G129" s="394"/>
      <c r="H129" s="48"/>
      <c r="I129" s="394"/>
      <c r="J129" s="48"/>
      <c r="K129" s="48"/>
      <c r="L129" s="48"/>
      <c r="M129" s="48"/>
      <c r="N129" s="48"/>
      <c r="O129" s="273"/>
      <c r="P129" s="273"/>
      <c r="Q129" s="48"/>
      <c r="R129" s="444" t="s">
        <v>196</v>
      </c>
      <c r="S129" s="445">
        <f>COUNTIF(S7:S107,"Stage 1")</f>
        <v>0</v>
      </c>
      <c r="T129" s="445">
        <f>COUNTIF(T7:T107,"Stage 1")</f>
        <v>0</v>
      </c>
      <c r="U129" s="446">
        <f>COUNTIF(U7:U107,"Not Awarded - Major Non-compliance")</f>
        <v>0</v>
      </c>
      <c r="V129" s="447" t="str">
        <f>IF(U129&gt;T129*0.5, "Go to Stage 2", "Assessment Complete")</f>
        <v>Assessment Complete</v>
      </c>
      <c r="W129" s="223"/>
      <c r="X129" s="273"/>
      <c r="Y129" s="433"/>
      <c r="Z129" s="223"/>
      <c r="AA129" s="223"/>
      <c r="AB129" s="223"/>
      <c r="AC129" s="223"/>
      <c r="AD129" s="273"/>
      <c r="AE129" s="273"/>
      <c r="AF129" s="273"/>
      <c r="AG129" s="273"/>
      <c r="AH129" s="273"/>
      <c r="AI129" s="273"/>
      <c r="AJ129" s="273"/>
      <c r="AK129" s="273"/>
      <c r="AL129" s="273"/>
      <c r="AM129" s="273"/>
      <c r="AN129" s="273"/>
      <c r="AO129" s="273"/>
      <c r="AP129" s="273"/>
      <c r="AQ129" s="273"/>
      <c r="AR129" s="273"/>
      <c r="AS129" s="273"/>
    </row>
    <row r="130" spans="1:45" ht="38.25" hidden="1" customHeight="1" x14ac:dyDescent="0.3">
      <c r="A130" s="388"/>
      <c r="B130" s="388"/>
      <c r="C130" s="388"/>
      <c r="D130" s="48" t="s">
        <v>19</v>
      </c>
      <c r="E130" s="388"/>
      <c r="F130" s="394"/>
      <c r="G130" s="394"/>
      <c r="H130" s="48"/>
      <c r="I130" s="394"/>
      <c r="J130" s="48"/>
      <c r="K130" s="48"/>
      <c r="L130" s="48"/>
      <c r="M130" s="48"/>
      <c r="N130" s="48"/>
      <c r="O130" s="273"/>
      <c r="P130" s="273"/>
      <c r="Q130" s="48"/>
      <c r="R130" s="444" t="s">
        <v>200</v>
      </c>
      <c r="S130" s="445">
        <f>COUNTIF(S7:S107,"Stage 2")</f>
        <v>0</v>
      </c>
      <c r="T130" s="445">
        <f>COUNTIF(T7:T107,"Stage 2")</f>
        <v>0</v>
      </c>
      <c r="U130" s="446">
        <f>COUNTIF(U7:U107,"Not Awarded - Major Non-compliance")</f>
        <v>0</v>
      </c>
      <c r="V130" s="447" t="str">
        <f>IF(AND(V129="Go to Stage 2", T130=0),V129,IF(U130&gt;SUM(T129:T130)*0.5,"Go to Stage 3","Assessment Complete"))</f>
        <v>Assessment Complete</v>
      </c>
      <c r="W130" s="223"/>
      <c r="X130" s="273"/>
      <c r="Y130" s="433"/>
      <c r="Z130" s="223"/>
      <c r="AA130" s="223"/>
      <c r="AB130" s="223"/>
      <c r="AC130" s="223"/>
      <c r="AD130" s="273"/>
      <c r="AE130" s="273"/>
      <c r="AF130" s="273"/>
      <c r="AG130" s="273"/>
      <c r="AH130" s="273"/>
      <c r="AI130" s="273"/>
      <c r="AJ130" s="273"/>
      <c r="AK130" s="273"/>
      <c r="AL130" s="273"/>
      <c r="AM130" s="273"/>
      <c r="AN130" s="273"/>
      <c r="AO130" s="273"/>
      <c r="AP130" s="273"/>
      <c r="AQ130" s="273"/>
      <c r="AR130" s="273"/>
      <c r="AS130" s="273"/>
    </row>
    <row r="131" spans="1:45" ht="38.25" hidden="1" customHeight="1" x14ac:dyDescent="0.3">
      <c r="A131" s="388"/>
      <c r="B131" s="388"/>
      <c r="C131" s="388"/>
      <c r="D131" s="48" t="s">
        <v>19</v>
      </c>
      <c r="E131" s="388"/>
      <c r="F131" s="394"/>
      <c r="G131" s="394"/>
      <c r="H131" s="48"/>
      <c r="I131" s="394"/>
      <c r="J131" s="48"/>
      <c r="K131" s="48"/>
      <c r="L131" s="48"/>
      <c r="M131" s="48"/>
      <c r="N131" s="48"/>
      <c r="O131" s="273"/>
      <c r="P131" s="273"/>
      <c r="Q131" s="48"/>
      <c r="R131" s="448" t="s">
        <v>204</v>
      </c>
      <c r="S131" s="445">
        <f>COUNTIF(S7:S107,"Stage 3")</f>
        <v>0</v>
      </c>
      <c r="T131" s="445">
        <f>COUNTIF(T7:T107,"Stage 3")</f>
        <v>0</v>
      </c>
      <c r="U131" s="446">
        <f>COUNTIF(U7:U107,"Not Awarded - Major Non-compliance")</f>
        <v>0</v>
      </c>
      <c r="V131" s="447"/>
      <c r="W131" s="223"/>
      <c r="X131" s="273"/>
      <c r="Y131" s="433"/>
      <c r="Z131" s="223"/>
      <c r="AA131" s="223"/>
      <c r="AB131" s="223"/>
      <c r="AC131" s="223"/>
      <c r="AD131" s="273"/>
      <c r="AE131" s="273"/>
      <c r="AF131" s="273"/>
      <c r="AG131" s="273"/>
      <c r="AH131" s="273"/>
      <c r="AI131" s="273"/>
      <c r="AJ131" s="273"/>
      <c r="AK131" s="273"/>
      <c r="AL131" s="273"/>
      <c r="AM131" s="273"/>
      <c r="AN131" s="273"/>
      <c r="AO131" s="273"/>
      <c r="AP131" s="273"/>
      <c r="AQ131" s="273"/>
      <c r="AR131" s="273"/>
      <c r="AS131" s="273"/>
    </row>
    <row r="132" spans="1:45" ht="38.25" hidden="1" customHeight="1" x14ac:dyDescent="0.3">
      <c r="A132" s="388"/>
      <c r="B132" s="388"/>
      <c r="C132" s="388"/>
      <c r="D132" s="48" t="s">
        <v>19</v>
      </c>
      <c r="E132" s="388"/>
      <c r="F132" s="394"/>
      <c r="G132" s="394"/>
      <c r="H132" s="48"/>
      <c r="I132" s="394"/>
      <c r="J132" s="48"/>
      <c r="K132" s="48"/>
      <c r="L132" s="48"/>
      <c r="M132" s="48"/>
      <c r="N132" s="48"/>
      <c r="O132" s="273"/>
      <c r="P132" s="273"/>
      <c r="Q132" s="48"/>
      <c r="R132" s="48"/>
      <c r="S132" s="449"/>
      <c r="T132" s="450"/>
      <c r="U132" s="451">
        <f>COUNTIF(U7:U107,"Awarded - Compliant")+COUNTIF(U7:U107,"Awarded - Minor non-Compliance")+COUNTIF(U7:U107,"Not Awarded - Major non-compliance")</f>
        <v>0</v>
      </c>
      <c r="V132" s="447" t="str">
        <f>IF(V129="Assessment Complete",V129,IF(V130="Assessment Complete",V130,IF(T128&gt;=1,V130,"Assessment Complete")))</f>
        <v>Assessment Complete</v>
      </c>
      <c r="W132" s="223"/>
      <c r="X132" s="273"/>
      <c r="Y132" s="433"/>
      <c r="Z132" s="223"/>
      <c r="AA132" s="223"/>
      <c r="AB132" s="223"/>
      <c r="AC132" s="223"/>
      <c r="AD132" s="273"/>
      <c r="AE132" s="273"/>
      <c r="AF132" s="273"/>
      <c r="AG132" s="273"/>
      <c r="AH132" s="273"/>
      <c r="AI132" s="273"/>
      <c r="AJ132" s="273"/>
      <c r="AK132" s="273"/>
      <c r="AL132" s="273"/>
      <c r="AM132" s="273"/>
      <c r="AN132" s="273"/>
      <c r="AO132" s="273"/>
      <c r="AP132" s="273"/>
      <c r="AQ132" s="273"/>
      <c r="AR132" s="273"/>
      <c r="AS132" s="273"/>
    </row>
    <row r="133" spans="1:45" x14ac:dyDescent="0.3">
      <c r="A133" s="388"/>
      <c r="B133" s="388"/>
      <c r="C133" s="388"/>
      <c r="D133" s="388"/>
      <c r="E133" s="388"/>
      <c r="F133" s="394"/>
      <c r="G133" s="394"/>
      <c r="H133" s="48"/>
      <c r="I133" s="394"/>
      <c r="J133" s="48"/>
      <c r="K133" s="48"/>
      <c r="L133" s="48"/>
      <c r="M133" s="48"/>
      <c r="N133" s="48"/>
      <c r="O133" s="273"/>
      <c r="P133" s="273"/>
      <c r="Q133" s="48"/>
      <c r="R133" s="48"/>
      <c r="S133" s="452"/>
      <c r="T133" s="452"/>
      <c r="U133" s="453"/>
      <c r="V133" s="391"/>
      <c r="W133" s="223"/>
      <c r="X133" s="273"/>
      <c r="Y133" s="433"/>
      <c r="Z133" s="223"/>
      <c r="AA133" s="223"/>
      <c r="AB133" s="223"/>
      <c r="AC133" s="223"/>
      <c r="AD133" s="273"/>
      <c r="AE133" s="273"/>
      <c r="AF133" s="273"/>
      <c r="AG133" s="273"/>
      <c r="AH133" s="273"/>
      <c r="AI133" s="273"/>
      <c r="AJ133" s="273"/>
      <c r="AK133" s="273"/>
      <c r="AL133" s="273"/>
      <c r="AM133" s="273"/>
      <c r="AN133" s="273"/>
      <c r="AO133" s="273"/>
      <c r="AP133" s="273"/>
      <c r="AQ133" s="273"/>
      <c r="AR133" s="273"/>
      <c r="AS133" s="273"/>
    </row>
    <row r="134" spans="1:45" x14ac:dyDescent="0.3">
      <c r="A134" s="388"/>
      <c r="B134" s="388"/>
      <c r="C134" s="388"/>
      <c r="D134" s="388"/>
      <c r="E134" s="388"/>
      <c r="F134" s="394"/>
      <c r="G134" s="394"/>
      <c r="H134" s="48"/>
      <c r="I134" s="394"/>
      <c r="J134" s="48"/>
      <c r="K134" s="48"/>
      <c r="L134" s="48"/>
      <c r="M134" s="48"/>
      <c r="N134" s="48"/>
      <c r="O134" s="273"/>
      <c r="P134" s="273"/>
      <c r="Q134" s="48"/>
      <c r="R134" s="48"/>
      <c r="S134" s="48"/>
      <c r="T134" s="48"/>
      <c r="U134" s="432"/>
      <c r="V134" s="273"/>
      <c r="W134" s="223"/>
      <c r="X134" s="273"/>
      <c r="Y134" s="433"/>
      <c r="Z134" s="223"/>
      <c r="AA134" s="223"/>
      <c r="AB134" s="223"/>
      <c r="AC134" s="223"/>
      <c r="AD134" s="273"/>
      <c r="AE134" s="273"/>
      <c r="AF134" s="273"/>
      <c r="AG134" s="273"/>
      <c r="AH134" s="273"/>
      <c r="AI134" s="273"/>
      <c r="AJ134" s="273"/>
      <c r="AK134" s="273"/>
      <c r="AL134" s="273"/>
      <c r="AM134" s="273"/>
      <c r="AN134" s="273"/>
      <c r="AO134" s="273"/>
      <c r="AP134" s="273"/>
      <c r="AQ134" s="273"/>
      <c r="AR134" s="273"/>
      <c r="AS134" s="273"/>
    </row>
    <row r="135" spans="1:45" x14ac:dyDescent="0.3">
      <c r="A135" s="388"/>
      <c r="B135" s="388"/>
      <c r="C135" s="388"/>
      <c r="D135" s="388"/>
      <c r="E135" s="388"/>
      <c r="F135" s="394"/>
      <c r="G135" s="394"/>
      <c r="H135" s="48"/>
      <c r="I135" s="394"/>
      <c r="J135" s="48"/>
      <c r="K135" s="48"/>
      <c r="L135" s="48"/>
      <c r="M135" s="48"/>
      <c r="N135" s="48"/>
      <c r="O135" s="273"/>
      <c r="P135" s="273"/>
      <c r="Q135" s="48"/>
      <c r="R135" s="48"/>
      <c r="S135" s="48"/>
      <c r="T135" s="48"/>
      <c r="U135" s="432"/>
      <c r="V135" s="273"/>
      <c r="W135" s="223"/>
      <c r="X135" s="273"/>
      <c r="Y135" s="433"/>
      <c r="Z135" s="223"/>
      <c r="AA135" s="223"/>
      <c r="AB135" s="223"/>
      <c r="AC135" s="223"/>
      <c r="AD135" s="273"/>
      <c r="AE135" s="273"/>
      <c r="AF135" s="273"/>
      <c r="AG135" s="273"/>
      <c r="AH135" s="273"/>
      <c r="AI135" s="273"/>
      <c r="AJ135" s="273"/>
      <c r="AK135" s="273"/>
      <c r="AL135" s="273"/>
      <c r="AM135" s="273"/>
      <c r="AN135" s="273"/>
      <c r="AO135" s="273"/>
      <c r="AP135" s="273"/>
      <c r="AQ135" s="273"/>
      <c r="AR135" s="273"/>
      <c r="AS135" s="273"/>
    </row>
    <row r="136" spans="1:45" x14ac:dyDescent="0.3">
      <c r="A136" s="388"/>
      <c r="B136" s="388"/>
      <c r="C136" s="388"/>
      <c r="D136" s="388"/>
      <c r="E136" s="388"/>
      <c r="F136" s="394"/>
      <c r="G136" s="394"/>
      <c r="H136" s="48"/>
      <c r="I136" s="394"/>
      <c r="J136" s="48"/>
      <c r="K136" s="48"/>
      <c r="L136" s="48"/>
      <c r="M136" s="48"/>
      <c r="N136" s="48"/>
      <c r="O136" s="273"/>
      <c r="P136" s="273"/>
      <c r="Q136" s="48"/>
      <c r="R136" s="48"/>
      <c r="S136" s="48"/>
      <c r="T136" s="48"/>
      <c r="U136" s="432"/>
      <c r="V136" s="273"/>
      <c r="W136" s="223"/>
      <c r="X136" s="273"/>
      <c r="Y136" s="433"/>
      <c r="Z136" s="223"/>
      <c r="AA136" s="223"/>
      <c r="AB136" s="223"/>
      <c r="AC136" s="223"/>
      <c r="AD136" s="273"/>
      <c r="AE136" s="273"/>
      <c r="AF136" s="273"/>
      <c r="AG136" s="273"/>
      <c r="AH136" s="273"/>
      <c r="AI136" s="273"/>
      <c r="AJ136" s="273"/>
      <c r="AK136" s="273"/>
      <c r="AL136" s="273"/>
      <c r="AM136" s="273"/>
      <c r="AN136" s="273"/>
      <c r="AO136" s="273"/>
      <c r="AP136" s="273"/>
      <c r="AQ136" s="273"/>
      <c r="AR136" s="273"/>
      <c r="AS136" s="273"/>
    </row>
    <row r="137" spans="1:45" x14ac:dyDescent="0.3">
      <c r="A137" s="388"/>
      <c r="B137" s="388"/>
      <c r="C137" s="388"/>
      <c r="D137" s="388"/>
      <c r="E137" s="388"/>
      <c r="F137" s="394"/>
      <c r="G137" s="394"/>
      <c r="H137" s="48"/>
      <c r="I137" s="394"/>
      <c r="J137" s="48"/>
      <c r="K137" s="48"/>
      <c r="L137" s="48"/>
      <c r="M137" s="48"/>
      <c r="N137" s="48"/>
      <c r="O137" s="273"/>
      <c r="P137" s="273"/>
      <c r="Q137" s="48"/>
      <c r="R137" s="48"/>
      <c r="S137" s="48"/>
      <c r="T137" s="48"/>
      <c r="U137" s="432"/>
      <c r="V137" s="273"/>
      <c r="W137" s="223"/>
      <c r="X137" s="273"/>
      <c r="Y137" s="433"/>
      <c r="Z137" s="223"/>
      <c r="AA137" s="223"/>
      <c r="AB137" s="223"/>
      <c r="AC137" s="223"/>
      <c r="AD137" s="273"/>
      <c r="AE137" s="273"/>
      <c r="AF137" s="273"/>
      <c r="AG137" s="273"/>
      <c r="AH137" s="273"/>
      <c r="AI137" s="273"/>
      <c r="AJ137" s="273"/>
      <c r="AK137" s="273"/>
      <c r="AL137" s="273"/>
      <c r="AM137" s="273"/>
      <c r="AN137" s="273"/>
      <c r="AO137" s="273"/>
      <c r="AP137" s="273"/>
      <c r="AQ137" s="273"/>
      <c r="AR137" s="273"/>
      <c r="AS137" s="273"/>
    </row>
    <row r="138" spans="1:45" x14ac:dyDescent="0.3">
      <c r="A138" s="388"/>
      <c r="B138" s="388"/>
      <c r="C138" s="388"/>
      <c r="D138" s="388"/>
      <c r="E138" s="388"/>
      <c r="F138" s="394"/>
      <c r="G138" s="394"/>
      <c r="H138" s="48"/>
      <c r="I138" s="394"/>
      <c r="J138" s="48"/>
      <c r="K138" s="48"/>
      <c r="L138" s="48"/>
      <c r="M138" s="48"/>
      <c r="N138" s="48"/>
      <c r="O138" s="273"/>
      <c r="P138" s="273"/>
      <c r="Q138" s="48"/>
      <c r="R138" s="48"/>
      <c r="S138" s="48"/>
      <c r="T138" s="48"/>
      <c r="U138" s="432"/>
      <c r="V138" s="273"/>
      <c r="W138" s="223"/>
      <c r="X138" s="273"/>
      <c r="Y138" s="433"/>
      <c r="Z138" s="223"/>
      <c r="AA138" s="223"/>
      <c r="AB138" s="223"/>
      <c r="AC138" s="223"/>
      <c r="AD138" s="273"/>
      <c r="AE138" s="273"/>
      <c r="AF138" s="273"/>
      <c r="AG138" s="273"/>
      <c r="AH138" s="273"/>
      <c r="AI138" s="273"/>
      <c r="AJ138" s="273"/>
      <c r="AK138" s="273"/>
      <c r="AL138" s="273"/>
      <c r="AM138" s="273"/>
      <c r="AN138" s="273"/>
      <c r="AO138" s="273"/>
      <c r="AP138" s="273"/>
      <c r="AQ138" s="273"/>
      <c r="AR138" s="273"/>
      <c r="AS138" s="273"/>
    </row>
    <row r="139" spans="1:45" x14ac:dyDescent="0.3">
      <c r="A139" s="388"/>
      <c r="B139" s="388"/>
      <c r="C139" s="388"/>
      <c r="D139" s="388"/>
      <c r="E139" s="388"/>
      <c r="F139" s="394"/>
      <c r="G139" s="394"/>
      <c r="H139" s="48"/>
      <c r="I139" s="394"/>
      <c r="J139" s="48"/>
      <c r="K139" s="48"/>
      <c r="L139" s="48"/>
      <c r="M139" s="48"/>
      <c r="N139" s="48"/>
      <c r="O139" s="273"/>
      <c r="P139" s="273"/>
      <c r="Q139" s="48"/>
      <c r="R139" s="48"/>
      <c r="S139" s="48"/>
      <c r="T139" s="48"/>
      <c r="U139" s="432"/>
      <c r="V139" s="273"/>
      <c r="W139" s="223"/>
      <c r="X139" s="273"/>
      <c r="Y139" s="454"/>
      <c r="Z139" s="455"/>
      <c r="AA139" s="455"/>
      <c r="AB139" s="455"/>
      <c r="AC139" s="455"/>
      <c r="AD139" s="273"/>
      <c r="AE139" s="273"/>
      <c r="AF139" s="273"/>
      <c r="AG139" s="273"/>
      <c r="AH139" s="273"/>
      <c r="AI139" s="273"/>
      <c r="AJ139" s="273"/>
      <c r="AK139" s="273"/>
      <c r="AL139" s="273"/>
      <c r="AM139" s="273"/>
      <c r="AN139" s="273"/>
      <c r="AO139" s="273"/>
      <c r="AP139" s="273"/>
      <c r="AQ139" s="273"/>
      <c r="AR139" s="273"/>
      <c r="AS139" s="273"/>
    </row>
    <row r="140" spans="1:45" x14ac:dyDescent="0.3">
      <c r="A140" s="388"/>
      <c r="B140" s="388"/>
      <c r="C140" s="388"/>
      <c r="D140" s="388"/>
      <c r="E140" s="388"/>
      <c r="F140" s="394"/>
      <c r="G140" s="394"/>
      <c r="H140" s="48"/>
      <c r="I140" s="394"/>
      <c r="J140" s="48"/>
      <c r="K140" s="48"/>
      <c r="L140" s="48"/>
      <c r="M140" s="48"/>
      <c r="N140" s="48"/>
      <c r="O140" s="273"/>
      <c r="P140" s="273"/>
      <c r="Q140" s="48"/>
      <c r="R140" s="48"/>
      <c r="S140" s="48"/>
      <c r="T140" s="48"/>
      <c r="U140" s="432"/>
      <c r="V140" s="273"/>
      <c r="W140" s="223"/>
      <c r="X140" s="273"/>
      <c r="Y140" s="454"/>
      <c r="Z140" s="455"/>
      <c r="AA140" s="455"/>
      <c r="AB140" s="455"/>
      <c r="AC140" s="455"/>
      <c r="AD140" s="273"/>
      <c r="AE140" s="273"/>
      <c r="AF140" s="273"/>
      <c r="AG140" s="273"/>
      <c r="AH140" s="273"/>
      <c r="AI140" s="273"/>
      <c r="AJ140" s="273"/>
      <c r="AK140" s="273"/>
      <c r="AL140" s="273"/>
      <c r="AM140" s="273"/>
      <c r="AN140" s="273"/>
      <c r="AO140" s="273"/>
      <c r="AP140" s="273"/>
      <c r="AQ140" s="273"/>
      <c r="AR140" s="273"/>
      <c r="AS140" s="273"/>
    </row>
    <row r="141" spans="1:45" x14ac:dyDescent="0.3">
      <c r="A141" s="388"/>
      <c r="B141" s="388"/>
      <c r="C141" s="388"/>
      <c r="D141" s="388"/>
      <c r="E141" s="388"/>
      <c r="F141" s="394"/>
      <c r="G141" s="394"/>
      <c r="H141" s="48"/>
      <c r="I141" s="394"/>
      <c r="J141" s="48"/>
      <c r="K141" s="48"/>
      <c r="L141" s="48"/>
      <c r="M141" s="48"/>
      <c r="N141" s="48"/>
      <c r="O141" s="273"/>
      <c r="P141" s="273"/>
      <c r="Q141" s="48"/>
      <c r="R141" s="48"/>
      <c r="S141" s="48"/>
      <c r="T141" s="48"/>
      <c r="U141" s="432"/>
      <c r="V141" s="273"/>
      <c r="W141" s="223"/>
      <c r="X141" s="273"/>
      <c r="Y141" s="454"/>
      <c r="Z141" s="455"/>
      <c r="AA141" s="455"/>
      <c r="AB141" s="455"/>
      <c r="AC141" s="455"/>
      <c r="AD141" s="273"/>
      <c r="AE141" s="273"/>
      <c r="AF141" s="273"/>
      <c r="AG141" s="273"/>
      <c r="AH141" s="273"/>
      <c r="AI141" s="273"/>
      <c r="AJ141" s="273"/>
      <c r="AK141" s="273"/>
      <c r="AL141" s="273"/>
      <c r="AM141" s="273"/>
      <c r="AN141" s="273"/>
      <c r="AO141" s="273"/>
      <c r="AP141" s="273"/>
      <c r="AQ141" s="273"/>
      <c r="AR141" s="273"/>
      <c r="AS141" s="273"/>
    </row>
    <row r="142" spans="1:45" x14ac:dyDescent="0.3">
      <c r="A142" s="388"/>
      <c r="B142" s="388"/>
      <c r="C142" s="388"/>
      <c r="D142" s="388"/>
      <c r="E142" s="388"/>
      <c r="F142" s="394"/>
      <c r="G142" s="394"/>
      <c r="H142" s="48"/>
      <c r="I142" s="394"/>
      <c r="J142" s="48"/>
      <c r="K142" s="48"/>
      <c r="L142" s="48"/>
      <c r="M142" s="48"/>
      <c r="N142" s="48"/>
      <c r="O142" s="273"/>
      <c r="P142" s="273"/>
      <c r="Q142" s="48"/>
      <c r="R142" s="48"/>
      <c r="S142" s="48"/>
      <c r="T142" s="48"/>
      <c r="U142" s="432"/>
      <c r="V142" s="273"/>
      <c r="W142" s="223"/>
      <c r="X142" s="273"/>
      <c r="Y142" s="454"/>
      <c r="Z142" s="455"/>
      <c r="AA142" s="455"/>
      <c r="AB142" s="455"/>
      <c r="AC142" s="455"/>
      <c r="AD142" s="273"/>
      <c r="AE142" s="273"/>
      <c r="AF142" s="273"/>
      <c r="AG142" s="273"/>
      <c r="AH142" s="273"/>
      <c r="AI142" s="273"/>
      <c r="AJ142" s="273"/>
      <c r="AK142" s="273"/>
      <c r="AL142" s="273"/>
      <c r="AM142" s="273"/>
      <c r="AN142" s="273"/>
      <c r="AO142" s="273"/>
      <c r="AP142" s="273"/>
      <c r="AQ142" s="273"/>
      <c r="AR142" s="273"/>
      <c r="AS142" s="273"/>
    </row>
    <row r="143" spans="1:45" x14ac:dyDescent="0.3">
      <c r="A143" s="388"/>
      <c r="B143" s="388"/>
      <c r="C143" s="388"/>
      <c r="D143" s="388"/>
      <c r="E143" s="388"/>
      <c r="F143" s="394"/>
      <c r="G143" s="394"/>
      <c r="H143" s="48"/>
      <c r="I143" s="394"/>
      <c r="J143" s="48"/>
      <c r="K143" s="48"/>
      <c r="L143" s="48"/>
      <c r="M143" s="48"/>
      <c r="N143" s="48"/>
      <c r="O143" s="273"/>
      <c r="P143" s="273"/>
      <c r="Q143" s="48"/>
      <c r="R143" s="48"/>
      <c r="S143" s="48"/>
      <c r="T143" s="48"/>
      <c r="U143" s="432"/>
      <c r="V143" s="273"/>
      <c r="W143" s="223"/>
      <c r="X143" s="273"/>
      <c r="Y143" s="454"/>
      <c r="Z143" s="455"/>
      <c r="AA143" s="455"/>
      <c r="AB143" s="455"/>
      <c r="AC143" s="455"/>
      <c r="AD143" s="273"/>
      <c r="AE143" s="273"/>
      <c r="AF143" s="273"/>
      <c r="AG143" s="273"/>
      <c r="AH143" s="273"/>
      <c r="AI143" s="273"/>
      <c r="AJ143" s="273"/>
      <c r="AK143" s="273"/>
      <c r="AL143" s="273"/>
      <c r="AM143" s="273"/>
      <c r="AN143" s="273"/>
      <c r="AO143" s="273"/>
      <c r="AP143" s="273"/>
      <c r="AQ143" s="273"/>
      <c r="AR143" s="273"/>
      <c r="AS143" s="273"/>
    </row>
    <row r="144" spans="1:45" x14ac:dyDescent="0.3">
      <c r="A144" s="388"/>
      <c r="B144" s="388"/>
      <c r="C144" s="388"/>
      <c r="D144" s="388"/>
      <c r="E144" s="388"/>
      <c r="F144" s="394"/>
      <c r="G144" s="394"/>
      <c r="H144" s="48"/>
      <c r="I144" s="394"/>
      <c r="J144" s="48"/>
      <c r="K144" s="48"/>
      <c r="L144" s="48"/>
      <c r="M144" s="48"/>
      <c r="N144" s="48"/>
      <c r="O144" s="273"/>
      <c r="P144" s="273"/>
      <c r="Q144" s="48"/>
      <c r="R144" s="48"/>
      <c r="S144" s="48"/>
      <c r="T144" s="48"/>
      <c r="U144" s="432"/>
      <c r="V144" s="273"/>
      <c r="W144" s="223"/>
      <c r="X144" s="273"/>
      <c r="Y144" s="454"/>
      <c r="Z144" s="455"/>
      <c r="AA144" s="455"/>
      <c r="AB144" s="455"/>
      <c r="AC144" s="455"/>
      <c r="AD144" s="273"/>
      <c r="AE144" s="273"/>
      <c r="AF144" s="273"/>
      <c r="AG144" s="273"/>
      <c r="AH144" s="273"/>
      <c r="AI144" s="273"/>
      <c r="AJ144" s="273"/>
      <c r="AK144" s="273"/>
      <c r="AL144" s="273"/>
      <c r="AM144" s="273"/>
      <c r="AN144" s="273"/>
      <c r="AO144" s="273"/>
      <c r="AP144" s="273"/>
      <c r="AQ144" s="273"/>
      <c r="AR144" s="273"/>
      <c r="AS144" s="273"/>
    </row>
    <row r="145" spans="1:45" x14ac:dyDescent="0.3">
      <c r="A145" s="388"/>
      <c r="B145" s="388"/>
      <c r="C145" s="388"/>
      <c r="D145" s="388"/>
      <c r="E145" s="388"/>
      <c r="F145" s="394"/>
      <c r="G145" s="394"/>
      <c r="H145" s="48"/>
      <c r="I145" s="394"/>
      <c r="J145" s="48"/>
      <c r="K145" s="48"/>
      <c r="L145" s="48"/>
      <c r="M145" s="48"/>
      <c r="N145" s="48"/>
      <c r="O145" s="273"/>
      <c r="P145" s="273"/>
      <c r="Q145" s="48"/>
      <c r="R145" s="48"/>
      <c r="S145" s="48"/>
      <c r="T145" s="48"/>
      <c r="U145" s="432"/>
      <c r="V145" s="273"/>
      <c r="W145" s="223"/>
      <c r="X145" s="273"/>
      <c r="Y145" s="454"/>
      <c r="Z145" s="455"/>
      <c r="AA145" s="455"/>
      <c r="AB145" s="455"/>
      <c r="AC145" s="455"/>
      <c r="AD145" s="273"/>
      <c r="AE145" s="273"/>
      <c r="AF145" s="273"/>
      <c r="AG145" s="273"/>
      <c r="AH145" s="273"/>
      <c r="AI145" s="273"/>
      <c r="AJ145" s="273"/>
      <c r="AK145" s="273"/>
      <c r="AL145" s="273"/>
      <c r="AM145" s="273"/>
      <c r="AN145" s="273"/>
      <c r="AO145" s="273"/>
      <c r="AP145" s="273"/>
      <c r="AQ145" s="273"/>
      <c r="AR145" s="273"/>
      <c r="AS145" s="273"/>
    </row>
    <row r="146" spans="1:45" x14ac:dyDescent="0.3">
      <c r="A146" s="388"/>
      <c r="B146" s="388"/>
      <c r="C146" s="388"/>
      <c r="D146" s="388"/>
      <c r="E146" s="388"/>
      <c r="F146" s="394"/>
      <c r="G146" s="394"/>
      <c r="H146" s="48"/>
      <c r="I146" s="394"/>
      <c r="J146" s="48"/>
      <c r="K146" s="48"/>
      <c r="L146" s="48"/>
      <c r="M146" s="48"/>
      <c r="N146" s="48"/>
      <c r="O146" s="273"/>
      <c r="P146" s="273"/>
      <c r="Q146" s="48"/>
      <c r="R146" s="48"/>
      <c r="S146" s="48"/>
      <c r="T146" s="48"/>
      <c r="U146" s="432"/>
      <c r="V146" s="273"/>
      <c r="W146" s="223"/>
      <c r="X146" s="273"/>
      <c r="Y146" s="454"/>
      <c r="Z146" s="455"/>
      <c r="AA146" s="455"/>
      <c r="AB146" s="455"/>
      <c r="AC146" s="455"/>
      <c r="AD146" s="273"/>
      <c r="AE146" s="273"/>
      <c r="AF146" s="273"/>
      <c r="AG146" s="273"/>
      <c r="AH146" s="273"/>
      <c r="AI146" s="273"/>
      <c r="AJ146" s="273"/>
      <c r="AK146" s="273"/>
      <c r="AL146" s="273"/>
      <c r="AM146" s="273"/>
      <c r="AN146" s="273"/>
      <c r="AO146" s="273"/>
      <c r="AP146" s="273"/>
      <c r="AQ146" s="273"/>
      <c r="AR146" s="273"/>
      <c r="AS146" s="273"/>
    </row>
    <row r="147" spans="1:45" x14ac:dyDescent="0.3">
      <c r="A147" s="388"/>
      <c r="B147" s="388"/>
      <c r="C147" s="388"/>
      <c r="D147" s="388"/>
      <c r="E147" s="388"/>
      <c r="F147" s="394"/>
      <c r="G147" s="394"/>
      <c r="H147" s="48"/>
      <c r="I147" s="394"/>
      <c r="J147" s="48"/>
      <c r="K147" s="48"/>
      <c r="L147" s="48"/>
      <c r="M147" s="48"/>
      <c r="N147" s="48"/>
      <c r="O147" s="273"/>
      <c r="P147" s="273"/>
      <c r="Q147" s="48"/>
      <c r="R147" s="48"/>
      <c r="S147" s="48"/>
      <c r="T147" s="48"/>
      <c r="U147" s="432"/>
      <c r="V147" s="273"/>
      <c r="W147" s="223"/>
      <c r="X147" s="273"/>
      <c r="Y147" s="454"/>
      <c r="Z147" s="455"/>
      <c r="AA147" s="455"/>
      <c r="AB147" s="455"/>
      <c r="AC147" s="455"/>
      <c r="AD147" s="273"/>
      <c r="AE147" s="273"/>
      <c r="AF147" s="273"/>
      <c r="AG147" s="273"/>
      <c r="AH147" s="273"/>
      <c r="AI147" s="273"/>
      <c r="AJ147" s="273"/>
      <c r="AK147" s="273"/>
      <c r="AL147" s="273"/>
      <c r="AM147" s="273"/>
      <c r="AN147" s="273"/>
      <c r="AO147" s="273"/>
      <c r="AP147" s="273"/>
      <c r="AQ147" s="273"/>
      <c r="AR147" s="273"/>
      <c r="AS147" s="273"/>
    </row>
    <row r="148" spans="1:45" x14ac:dyDescent="0.3">
      <c r="A148" s="388"/>
      <c r="B148" s="388"/>
      <c r="C148" s="388"/>
      <c r="D148" s="388"/>
      <c r="E148" s="388"/>
      <c r="F148" s="394"/>
      <c r="G148" s="394"/>
      <c r="H148" s="48"/>
      <c r="I148" s="394"/>
      <c r="J148" s="48"/>
      <c r="K148" s="48"/>
      <c r="L148" s="48"/>
      <c r="M148" s="48"/>
      <c r="N148" s="48"/>
      <c r="O148" s="273"/>
      <c r="P148" s="273"/>
      <c r="Q148" s="48"/>
      <c r="R148" s="48"/>
      <c r="S148" s="48"/>
      <c r="T148" s="48"/>
      <c r="U148" s="432"/>
      <c r="V148" s="273"/>
      <c r="W148" s="223"/>
      <c r="X148" s="273"/>
      <c r="Y148" s="454"/>
      <c r="Z148" s="455"/>
      <c r="AA148" s="455"/>
      <c r="AB148" s="455"/>
      <c r="AC148" s="455"/>
      <c r="AD148" s="273"/>
      <c r="AE148" s="273"/>
      <c r="AF148" s="273"/>
      <c r="AG148" s="273"/>
      <c r="AH148" s="273"/>
      <c r="AI148" s="273"/>
      <c r="AJ148" s="273"/>
      <c r="AK148" s="273"/>
      <c r="AL148" s="273"/>
      <c r="AM148" s="273"/>
      <c r="AN148" s="273"/>
      <c r="AO148" s="273"/>
      <c r="AP148" s="273"/>
      <c r="AQ148" s="273"/>
      <c r="AR148" s="273"/>
      <c r="AS148" s="273"/>
    </row>
    <row r="149" spans="1:45" x14ac:dyDescent="0.3">
      <c r="A149" s="388"/>
      <c r="B149" s="388"/>
      <c r="C149" s="388"/>
      <c r="D149" s="388"/>
      <c r="E149" s="388"/>
      <c r="F149" s="394"/>
      <c r="G149" s="394"/>
      <c r="H149" s="48"/>
      <c r="I149" s="394"/>
      <c r="J149" s="48"/>
      <c r="K149" s="48"/>
      <c r="L149" s="48"/>
      <c r="M149" s="48"/>
      <c r="N149" s="48"/>
      <c r="O149" s="273"/>
      <c r="P149" s="273"/>
      <c r="Q149" s="48"/>
      <c r="R149" s="48"/>
      <c r="S149" s="48"/>
      <c r="T149" s="48"/>
      <c r="U149" s="432"/>
      <c r="V149" s="273"/>
      <c r="W149" s="223"/>
      <c r="X149" s="273"/>
      <c r="Y149" s="454"/>
      <c r="Z149" s="455"/>
      <c r="AA149" s="455"/>
      <c r="AB149" s="455"/>
      <c r="AC149" s="455"/>
      <c r="AD149" s="273"/>
      <c r="AE149" s="273"/>
      <c r="AF149" s="273"/>
      <c r="AG149" s="273"/>
      <c r="AH149" s="273"/>
      <c r="AI149" s="273"/>
      <c r="AJ149" s="273"/>
      <c r="AK149" s="273"/>
      <c r="AL149" s="273"/>
      <c r="AM149" s="273"/>
      <c r="AN149" s="273"/>
      <c r="AO149" s="273"/>
      <c r="AP149" s="273"/>
      <c r="AQ149" s="273"/>
      <c r="AR149" s="273"/>
      <c r="AS149" s="273"/>
    </row>
    <row r="150" spans="1:45" x14ac:dyDescent="0.3">
      <c r="A150" s="388"/>
      <c r="B150" s="388"/>
      <c r="C150" s="388"/>
      <c r="D150" s="388"/>
      <c r="E150" s="388"/>
      <c r="F150" s="394"/>
      <c r="G150" s="394"/>
      <c r="H150" s="48"/>
      <c r="I150" s="394"/>
      <c r="J150" s="48"/>
      <c r="K150" s="48"/>
      <c r="L150" s="48"/>
      <c r="M150" s="48"/>
      <c r="N150" s="48"/>
      <c r="O150" s="273"/>
      <c r="P150" s="273"/>
      <c r="Q150" s="48"/>
      <c r="R150" s="48"/>
      <c r="S150" s="48"/>
      <c r="T150" s="48"/>
      <c r="U150" s="432"/>
      <c r="V150" s="273"/>
      <c r="W150" s="223"/>
      <c r="X150" s="273"/>
      <c r="Y150" s="454"/>
      <c r="Z150" s="455"/>
      <c r="AA150" s="455"/>
      <c r="AB150" s="455"/>
      <c r="AC150" s="455"/>
      <c r="AD150" s="273"/>
      <c r="AE150" s="273"/>
      <c r="AF150" s="273"/>
      <c r="AG150" s="273"/>
      <c r="AH150" s="273"/>
      <c r="AI150" s="273"/>
      <c r="AJ150" s="273"/>
      <c r="AK150" s="273"/>
      <c r="AL150" s="273"/>
      <c r="AM150" s="273"/>
      <c r="AN150" s="273"/>
      <c r="AO150" s="273"/>
      <c r="AP150" s="273"/>
      <c r="AQ150" s="273"/>
      <c r="AR150" s="273"/>
      <c r="AS150" s="273"/>
    </row>
    <row r="151" spans="1:45" x14ac:dyDescent="0.3">
      <c r="A151" s="388"/>
      <c r="B151" s="388"/>
      <c r="C151" s="388"/>
      <c r="D151" s="388"/>
      <c r="E151" s="388"/>
      <c r="F151" s="394"/>
      <c r="G151" s="394"/>
      <c r="H151" s="48"/>
      <c r="I151" s="394"/>
      <c r="J151" s="48"/>
      <c r="K151" s="48"/>
      <c r="L151" s="48"/>
      <c r="M151" s="48"/>
      <c r="N151" s="48"/>
      <c r="O151" s="273"/>
      <c r="P151" s="273"/>
      <c r="Q151" s="48"/>
      <c r="R151" s="48"/>
      <c r="S151" s="48"/>
      <c r="T151" s="48"/>
      <c r="U151" s="432"/>
      <c r="V151" s="273"/>
      <c r="W151" s="223"/>
      <c r="X151" s="273"/>
      <c r="Y151" s="454"/>
      <c r="Z151" s="455"/>
      <c r="AA151" s="455"/>
      <c r="AB151" s="455"/>
      <c r="AC151" s="455"/>
      <c r="AD151" s="273"/>
      <c r="AE151" s="273"/>
      <c r="AF151" s="273"/>
      <c r="AG151" s="273"/>
      <c r="AH151" s="273"/>
      <c r="AI151" s="273"/>
      <c r="AJ151" s="273"/>
      <c r="AK151" s="273"/>
      <c r="AL151" s="273"/>
      <c r="AM151" s="273"/>
      <c r="AN151" s="273"/>
      <c r="AO151" s="273"/>
      <c r="AP151" s="273"/>
      <c r="AQ151" s="273"/>
      <c r="AR151" s="273"/>
      <c r="AS151" s="273"/>
    </row>
  </sheetData>
  <sheetProtection algorithmName="SHA-512" hashValue="yQeWJO2VorVA7PFlD02Y4TxZUgYht55fcSAJc9t2wksTxCqWFzb79itum+FjIJovcYYvfTQ9xsloa/lyz1tjDQ==" saltValue="cGmuWjvAm3T/0yY+8WkVBA==" spinCount="100000" sheet="1" objects="1" scenarios="1"/>
  <mergeCells count="56">
    <mergeCell ref="G13:G14"/>
    <mergeCell ref="F13:F14"/>
    <mergeCell ref="F96:F98"/>
    <mergeCell ref="G96:G98"/>
    <mergeCell ref="F51:F52"/>
    <mergeCell ref="G51:G52"/>
    <mergeCell ref="F70:F75"/>
    <mergeCell ref="G70:G75"/>
    <mergeCell ref="F34:F37"/>
    <mergeCell ref="G34:G37"/>
    <mergeCell ref="F38:F40"/>
    <mergeCell ref="G38:G40"/>
    <mergeCell ref="F85:F87"/>
    <mergeCell ref="G85:G87"/>
    <mergeCell ref="F94:I94"/>
    <mergeCell ref="F31:F33"/>
    <mergeCell ref="K111:K115"/>
    <mergeCell ref="F101:I101"/>
    <mergeCell ref="F102:F103"/>
    <mergeCell ref="G102:G103"/>
    <mergeCell ref="F104:F105"/>
    <mergeCell ref="G104:G105"/>
    <mergeCell ref="F110:I110"/>
    <mergeCell ref="Q94:R94"/>
    <mergeCell ref="G90:G91"/>
    <mergeCell ref="G41:G42"/>
    <mergeCell ref="F43:F44"/>
    <mergeCell ref="G43:G44"/>
    <mergeCell ref="F48:I48"/>
    <mergeCell ref="O81:O84"/>
    <mergeCell ref="F79:F84"/>
    <mergeCell ref="G79:G84"/>
    <mergeCell ref="F49:F50"/>
    <mergeCell ref="G49:G50"/>
    <mergeCell ref="F41:F42"/>
    <mergeCell ref="F89:F91"/>
    <mergeCell ref="F56:F66"/>
    <mergeCell ref="G56:G66"/>
    <mergeCell ref="G31:G33"/>
    <mergeCell ref="F16:F17"/>
    <mergeCell ref="G16:G17"/>
    <mergeCell ref="F18:F19"/>
    <mergeCell ref="G18:G19"/>
    <mergeCell ref="F20:F22"/>
    <mergeCell ref="G20:G22"/>
    <mergeCell ref="F23:F24"/>
    <mergeCell ref="G23:G24"/>
    <mergeCell ref="F27:I27"/>
    <mergeCell ref="F28:F30"/>
    <mergeCell ref="G28:G30"/>
    <mergeCell ref="F8:F12"/>
    <mergeCell ref="G8:G12"/>
    <mergeCell ref="F1:I1"/>
    <mergeCell ref="Y1:AA1"/>
    <mergeCell ref="G2:H2"/>
    <mergeCell ref="Y2:AA3"/>
  </mergeCells>
  <conditionalFormatting sqref="G53">
    <cfRule type="expression" dxfId="112" priority="216">
      <formula>$K$52=0</formula>
    </cfRule>
  </conditionalFormatting>
  <conditionalFormatting sqref="H26:I26 K26">
    <cfRule type="expression" dxfId="111" priority="135">
      <formula>#REF!=0</formula>
    </cfRule>
  </conditionalFormatting>
  <conditionalFormatting sqref="H23:L23 Q23:W23">
    <cfRule type="expression" dxfId="110" priority="33">
      <formula>$G$23&lt;&gt;$AE$8</formula>
    </cfRule>
  </conditionalFormatting>
  <conditionalFormatting sqref="H24:L24 Q24:W24">
    <cfRule type="expression" dxfId="109" priority="32">
      <formula>$G$23&lt;&gt;$AE$9</formula>
    </cfRule>
  </conditionalFormatting>
  <conditionalFormatting sqref="H51:L51 Q51:W51">
    <cfRule type="expression" dxfId="108" priority="31">
      <formula>$G$51&lt;&gt;$AE$51</formula>
    </cfRule>
  </conditionalFormatting>
  <conditionalFormatting sqref="H52:L52 Q52:W52">
    <cfRule type="expression" dxfId="107" priority="30">
      <formula>$G$51&lt;&gt;$AE$52</formula>
    </cfRule>
  </conditionalFormatting>
  <conditionalFormatting sqref="H56:L56 Q56:W56">
    <cfRule type="expression" dxfId="106" priority="29">
      <formula>$G$56&lt;&gt;$AE$57</formula>
    </cfRule>
  </conditionalFormatting>
  <conditionalFormatting sqref="H62:L66 Q62:W66">
    <cfRule type="expression" dxfId="105" priority="27">
      <formula>$G$56&lt;&gt;$AE$59</formula>
    </cfRule>
  </conditionalFormatting>
  <conditionalFormatting sqref="H79:L80 Q79:W80">
    <cfRule type="expression" dxfId="104" priority="26">
      <formula>$G$79&lt;&gt;$AE$79</formula>
    </cfRule>
  </conditionalFormatting>
  <conditionalFormatting sqref="H81:L84 Q81:W84">
    <cfRule type="expression" dxfId="103" priority="25">
      <formula>$G$79&lt;&gt;$AE$80</formula>
    </cfRule>
  </conditionalFormatting>
  <conditionalFormatting sqref="H90:L90 Q90:W90">
    <cfRule type="expression" dxfId="102" priority="24">
      <formula>$G$90&lt;&gt;$AE$90</formula>
    </cfRule>
  </conditionalFormatting>
  <conditionalFormatting sqref="H91:L91 Q91:W91">
    <cfRule type="expression" dxfId="101" priority="23">
      <formula>$G$90&lt;&gt;$AE$91</formula>
    </cfRule>
  </conditionalFormatting>
  <conditionalFormatting sqref="H57:M61 Q57:W61">
    <cfRule type="expression" dxfId="100" priority="3">
      <formula>$G$56&lt;&gt;$AE$58</formula>
    </cfRule>
    <cfRule type="expression" priority="4">
      <formula>$G$56&lt;&gt;$AE$58</formula>
    </cfRule>
  </conditionalFormatting>
  <conditionalFormatting sqref="M107">
    <cfRule type="expression" dxfId="99" priority="1">
      <formula>$G$56&lt;&gt;$AE$58</formula>
    </cfRule>
    <cfRule type="expression" priority="2">
      <formula>$G$56&lt;&gt;$AE$58</formula>
    </cfRule>
  </conditionalFormatting>
  <conditionalFormatting sqref="U2:V3">
    <cfRule type="expression" dxfId="98" priority="22">
      <formula>AND($AC$17="No",$AC$18="No")</formula>
    </cfRule>
  </conditionalFormatting>
  <conditionalFormatting sqref="V49:V52 M7:N24 V7:V24 M28:N44 V28:V44 M49:N52 M56:M66 V56:V66 M70:M75 V70:V75 M79:M91 V79:V91 M95:N98 V95:V98 M102:N107 V102:V107 M111:N115 V111:V115">
    <cfRule type="expression" dxfId="97" priority="34">
      <formula>OR($M7="-",AND(_xlfn.ISFORMULA($M7),$M7=0))</formula>
    </cfRule>
  </conditionalFormatting>
  <conditionalFormatting sqref="W7:W24">
    <cfRule type="expression" dxfId="96" priority="125">
      <formula>U7=$AG$11</formula>
    </cfRule>
  </conditionalFormatting>
  <conditionalFormatting sqref="W28:W44">
    <cfRule type="expression" dxfId="95" priority="124">
      <formula>U28=$AG$11</formula>
    </cfRule>
  </conditionalFormatting>
  <conditionalFormatting sqref="W49:W52 W79:W91 W95:W98">
    <cfRule type="expression" dxfId="94" priority="126">
      <formula>U49=$AG$11</formula>
    </cfRule>
  </conditionalFormatting>
  <conditionalFormatting sqref="W56:W66">
    <cfRule type="expression" dxfId="93" priority="54">
      <formula>U56=$AG$11</formula>
    </cfRule>
  </conditionalFormatting>
  <conditionalFormatting sqref="W70 H70:L70 Q70:U70">
    <cfRule type="expression" dxfId="92" priority="128">
      <formula>$G$70&lt;&gt;$AE$70</formula>
    </cfRule>
  </conditionalFormatting>
  <conditionalFormatting sqref="W70:W75">
    <cfRule type="expression" dxfId="91" priority="122">
      <formula>U70=$AG$11</formula>
    </cfRule>
  </conditionalFormatting>
  <conditionalFormatting sqref="W71:W75 H71:L75 Q71:U75">
    <cfRule type="expression" dxfId="90" priority="127">
      <formula>$G$70&lt;&gt;$AE$71</formula>
    </cfRule>
  </conditionalFormatting>
  <conditionalFormatting sqref="W102:W107">
    <cfRule type="expression" dxfId="89" priority="120">
      <formula>U102=$AG$11</formula>
    </cfRule>
  </conditionalFormatting>
  <conditionalFormatting sqref="W111:W115">
    <cfRule type="expression" dxfId="88" priority="119">
      <formula>U111=$AG$11</formula>
    </cfRule>
  </conditionalFormatting>
  <conditionalFormatting sqref="Y7:AC115">
    <cfRule type="expression" dxfId="87" priority="68">
      <formula>$U7=$AG$11</formula>
    </cfRule>
    <cfRule type="expression" dxfId="86" priority="69">
      <formula>$U7=$AG$11</formula>
    </cfRule>
  </conditionalFormatting>
  <dataValidations count="23">
    <dataValidation type="list" allowBlank="1" showInputMessage="1" showErrorMessage="1" promptTitle="Selection Required" prompt="Please indicate the project's desired pathway." sqref="G70:G75" xr:uid="{F86136FC-61D2-4F5F-97FB-47CC55553E6E}">
      <formula1>$AE$70:$AE$71</formula1>
    </dataValidation>
    <dataValidation type="list" allowBlank="1" showInputMessage="1" showErrorMessage="1" sqref="G68" xr:uid="{94DFD5CB-F72C-4B13-979C-DD64D357E12E}">
      <formula1>$AE$57:$AE$57</formula1>
    </dataValidation>
    <dataValidation type="list" allowBlank="1" showInputMessage="1" showErrorMessage="1" sqref="G26" xr:uid="{C2E9EA9F-5008-46D1-83F2-0A3C60C93A31}">
      <formula1>$X$24:$X$24</formula1>
    </dataValidation>
    <dataValidation type="list" allowBlank="1" showInputMessage="1" showErrorMessage="1" sqref="G77" xr:uid="{14BCED08-97D3-49F4-B8CA-D9E88C852C11}">
      <formula1>$X$70:$X$71</formula1>
    </dataValidation>
    <dataValidation type="list" allowBlank="1" showInputMessage="1" showErrorMessage="1" sqref="U111:U115 U102:U107 U79:U91 U70:U75 U28:U44 U7:U24 U49:U52 U95:U98 U56:U66 V28 V32:V33 V35:V37 V39:V44 V58:V59 V74:V75 V85:V87 V98" xr:uid="{54533D76-95DD-4E73-9953-E405367725E0}">
      <formula1>$AG$9:$AG$11</formula1>
    </dataValidation>
    <dataValidation type="list" allowBlank="1" showInputMessage="1" showErrorMessage="1" promptTitle="Selection Required" prompt="Please indicate the project's desired pathway." sqref="G79:G84" xr:uid="{4487F017-10E1-41FA-904E-7B9C1DB3400B}">
      <formula1>$AE$79:$AE$80</formula1>
    </dataValidation>
    <dataValidation type="list" allowBlank="1" showInputMessage="1" showErrorMessage="1" sqref="T79:T91 T70:T75 T28:T44 T102:T107 T7:T24 T49:T52 T95:T98 T56:T66" xr:uid="{34D3C13A-836B-4706-B829-7FA2BDA01C79}">
      <formula1>$AF$9:$AF$12</formula1>
    </dataValidation>
    <dataValidation type="list" allowBlank="1" showInputMessage="1" showErrorMessage="1" sqref="S111:T115" xr:uid="{2AD18DF5-7216-46D7-A600-B1F4C9F3AA76}">
      <formula1>$AF$10</formula1>
    </dataValidation>
    <dataValidation type="list" allowBlank="1" showInputMessage="1" showErrorMessage="1" sqref="S102:S107 S79:S91 S70:S75 S28:S44 S7:S24 S49:S52 S95:S98 S56:S66" xr:uid="{398902D7-2AF6-478B-A10D-09E31140F7AB}">
      <formula1>$AF$10:$AF$12</formula1>
    </dataValidation>
    <dataValidation type="list" allowBlank="1" showInputMessage="1" showErrorMessage="1" promptTitle="Selection Required" prompt="Please indicate the project's desired pathway." sqref="G23:G24" xr:uid="{3475AA9F-7071-4601-8507-95E74CB2D141}">
      <formula1>$AE$8:$AE$9</formula1>
    </dataValidation>
    <dataValidation type="list" allowBlank="1" showInputMessage="1" showErrorMessage="1" promptTitle="Selection Required" prompt="Please indicate the project's desired pathway." sqref="G51:G52" xr:uid="{ADFFD153-BD26-41B7-BD42-208126131905}">
      <formula1>$AE$51:$AE$52</formula1>
    </dataValidation>
    <dataValidation type="list" allowBlank="1" showInputMessage="1" showErrorMessage="1" sqref="G54" xr:uid="{526C1F87-3342-47E6-B9C9-E451C11DC463}">
      <formula1>$AE$51:$AE$51</formula1>
    </dataValidation>
    <dataValidation type="list" allowBlank="1" showInputMessage="1" showErrorMessage="1" promptTitle="Selection Required" prompt="Please indicate the project's desired pathway." sqref="G90:G91" xr:uid="{3F4105BF-97AB-413D-8A19-A1F6994DD66E}">
      <formula1>$AE$90:$AE$91</formula1>
    </dataValidation>
    <dataValidation type="list" allowBlank="1" showInputMessage="1" showErrorMessage="1" sqref="G56" xr:uid="{3B0F31ED-BD64-4E69-8D98-B21B2174DE94}">
      <formula1>$AE$57:$AE$59</formula1>
    </dataValidation>
    <dataValidation type="list" operator="lessThanOrEqual" allowBlank="1" showInputMessage="1" showErrorMessage="1" sqref="N38 L38 L34 N34" xr:uid="{75382E97-76B5-40E8-8A70-FD57A021B41D}">
      <formula1>$AH$7:$AH$9</formula1>
    </dataValidation>
    <dataValidation type="list" allowBlank="1" showInputMessage="1" showErrorMessage="1" sqref="N18 N96 N8 N20 N49 N104 L104 L96 L49 L20 L18 L8 L89 N89" xr:uid="{6A31F891-D9A9-4C5A-A6AA-133915F78853}">
      <formula1>$AH$7:$AH$9</formula1>
    </dataValidation>
    <dataValidation type="decimal" operator="lessThanOrEqual" allowBlank="1" showInputMessage="1" showErrorMessage="1" sqref="L111:L115 N111:N115" xr:uid="{F09D8EB6-CD4D-4C6C-8DDA-37943EDEEC89}">
      <formula1>10</formula1>
    </dataValidation>
    <dataValidation type="decimal" operator="lessThanOrEqual" allowBlank="1" showInputMessage="1" showErrorMessage="1" sqref="L23:L24 N23:N24" xr:uid="{57FC9114-AEE6-4A4C-AE50-330463B5A040}">
      <formula1>1</formula1>
    </dataValidation>
    <dataValidation type="decimal" operator="lessThanOrEqual" allowBlank="1" showInputMessage="1" showErrorMessage="1" sqref="N97:N98 L116:M116 N35:N37 N63:N66 N105:N107 L102:L103 J116 N28:N33 N90:N91 N95 L95 N39:N44 L105:L107 N102:N103 L28:L33 L35:L37 L39:L44 L57:L61 N57:N61 L63:L66 N70:N75 L79:L88 N79:N88 L90:L91 L97:L98 L50:L52 N50:N52 L70:L71 L74:L75" xr:uid="{AA3BDC53-F0CC-4304-B6A1-F006AB774C38}">
      <formula1>I28</formula1>
    </dataValidation>
    <dataValidation type="decimal" operator="lessThanOrEqual" allowBlank="1" showInputMessage="1" showErrorMessage="1" sqref="N116" xr:uid="{D02718D0-C8F0-474C-8926-1C5D6D5B9B71}">
      <formula1>L116</formula1>
    </dataValidation>
    <dataValidation type="decimal" allowBlank="1" showInputMessage="1" showErrorMessage="1" sqref="N21:N22 N9:N17 N19 L19 L9:L17 L21:L22 L7 N7" xr:uid="{A304F21F-B3A1-4DE2-860D-35695C48442B}">
      <formula1>0</formula1>
      <formula2>K7</formula2>
    </dataValidation>
    <dataValidation type="decimal" operator="greaterThanOrEqual" allowBlank="1" showInputMessage="1" showErrorMessage="1" sqref="N62 L62 L56 N56" xr:uid="{F83518F2-05A9-4546-897E-A489ACCE6B7E}">
      <formula1>K56</formula1>
    </dataValidation>
    <dataValidation type="decimal" operator="lessThanOrEqual" allowBlank="1" showInputMessage="1" showErrorMessage="1" sqref="L72" xr:uid="{E5514B06-0DA3-41FC-8305-D3F3DADDA998}">
      <formula1>K73</formula1>
    </dataValidation>
  </dataValidations>
  <pageMargins left="0.70866141732283472" right="0.70866141732283472" top="0.74803149606299213" bottom="0.74803149606299213" header="0.31496062992125984" footer="0.31496062992125984"/>
  <pageSetup paperSize="9" scale="51" fitToHeight="0" orientation="portrait" horizontalDpi="1200" verticalDpi="1200" r:id="rId1"/>
  <headerFooter>
    <oddHeader>&amp;L&amp;"Calibri"&amp;8&amp;K000000 Sensitivity: General&amp;1#_x000D_</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AD125"/>
  <sheetViews>
    <sheetView topLeftCell="D1" zoomScale="70" zoomScaleNormal="70" workbookViewId="0">
      <pane ySplit="5" topLeftCell="A6" activePane="bottomLeft" state="frozen"/>
      <selection activeCell="G47" sqref="G47:G61"/>
      <selection pane="bottomLeft" activeCell="K12" sqref="K12"/>
    </sheetView>
  </sheetViews>
  <sheetFormatPr defaultColWidth="9" defaultRowHeight="14" x14ac:dyDescent="0.3"/>
  <cols>
    <col min="1" max="3" width="9" style="141" hidden="1" customWidth="1"/>
    <col min="4" max="4" width="2.75" style="141" customWidth="1"/>
    <col min="5" max="5" width="4" style="141" customWidth="1"/>
    <col min="6" max="6" width="24" style="5" customWidth="1"/>
    <col min="7" max="7" width="47.83203125" style="5" customWidth="1"/>
    <col min="8" max="8" width="9.58203125" style="3" customWidth="1"/>
    <col min="9" max="9" width="42.83203125" style="5" customWidth="1"/>
    <col min="10" max="11" width="14" style="3" customWidth="1"/>
    <col min="12" max="12" width="14" style="6" customWidth="1"/>
    <col min="13" max="15" width="47.83203125" style="201" customWidth="1"/>
    <col min="16" max="16" width="14" style="201" customWidth="1"/>
    <col min="17" max="17" width="13.83203125" style="6" hidden="1" customWidth="1"/>
    <col min="18" max="18" width="31.25" style="6" hidden="1" customWidth="1"/>
    <col min="19" max="19" width="9" style="6" hidden="1" customWidth="1"/>
    <col min="20" max="21" width="15.75" style="6" hidden="1" customWidth="1"/>
    <col min="22" max="22" width="9" style="6" hidden="1" customWidth="1"/>
    <col min="23" max="23" width="24.08203125" style="6" hidden="1" customWidth="1"/>
    <col min="24" max="26" width="14.08203125" style="6" hidden="1" customWidth="1"/>
    <col min="27" max="27" width="11.58203125" style="6" hidden="1" customWidth="1"/>
    <col min="28" max="29" width="14.08203125" style="6" hidden="1" customWidth="1"/>
    <col min="30" max="30" width="9" style="6" hidden="1" customWidth="1"/>
    <col min="31" max="31" width="0" style="6" hidden="1" customWidth="1"/>
    <col min="32" max="16384" width="9" style="6"/>
  </cols>
  <sheetData>
    <row r="1" spans="1:30" ht="43.5" customHeight="1" x14ac:dyDescent="1.05">
      <c r="A1" s="141" t="s">
        <v>19</v>
      </c>
      <c r="B1" s="141" t="s">
        <v>19</v>
      </c>
      <c r="C1" s="141" t="s">
        <v>19</v>
      </c>
      <c r="F1" s="581" t="s">
        <v>134</v>
      </c>
      <c r="G1" s="582"/>
      <c r="H1" s="582"/>
      <c r="I1" s="582"/>
      <c r="J1" s="1"/>
      <c r="K1" s="1"/>
      <c r="L1" s="2"/>
      <c r="M1" s="188"/>
      <c r="N1" s="189"/>
      <c r="O1" s="189"/>
      <c r="P1" s="189"/>
      <c r="R1" s="6" t="s">
        <v>19</v>
      </c>
      <c r="S1" s="6" t="s">
        <v>19</v>
      </c>
      <c r="T1" s="6" t="s">
        <v>19</v>
      </c>
      <c r="U1" s="6" t="s">
        <v>19</v>
      </c>
      <c r="V1" s="6" t="s">
        <v>19</v>
      </c>
      <c r="W1" s="6" t="s">
        <v>19</v>
      </c>
      <c r="X1" s="6" t="s">
        <v>19</v>
      </c>
      <c r="Y1" s="6" t="s">
        <v>19</v>
      </c>
      <c r="Z1" s="6" t="s">
        <v>19</v>
      </c>
      <c r="AA1" s="6" t="s">
        <v>19</v>
      </c>
      <c r="AB1" s="6" t="s">
        <v>19</v>
      </c>
      <c r="AC1" s="6" t="s">
        <v>19</v>
      </c>
      <c r="AD1" s="6" t="s">
        <v>19</v>
      </c>
    </row>
    <row r="2" spans="1:30" ht="37.5" customHeight="1" x14ac:dyDescent="0.3">
      <c r="A2" s="155" t="s">
        <v>137</v>
      </c>
      <c r="B2" s="155" t="s">
        <v>138</v>
      </c>
      <c r="C2" s="156" t="s">
        <v>139</v>
      </c>
      <c r="F2" s="7" t="s">
        <v>140</v>
      </c>
      <c r="G2" s="583" t="e">
        <f>#REF!</f>
        <v>#REF!</v>
      </c>
      <c r="H2" s="584"/>
      <c r="I2" s="8"/>
      <c r="J2" s="9" t="s">
        <v>366</v>
      </c>
      <c r="K2" s="9" t="s">
        <v>367</v>
      </c>
      <c r="L2" s="10"/>
      <c r="M2" s="190"/>
      <c r="N2" s="191"/>
      <c r="O2" s="191"/>
      <c r="P2" s="191"/>
      <c r="Q2" s="229"/>
    </row>
    <row r="3" spans="1:30" ht="37.5" customHeight="1" x14ac:dyDescent="0.3">
      <c r="F3" s="14" t="s">
        <v>149</v>
      </c>
      <c r="G3" s="585" t="str">
        <f>IF(K3&gt;=75,"6 Stars - World Leadership",IF(K3&gt;=60,"5 Stars - New Zealand Excellence",IF(K3&gt;=45,"4 Stars - New Zealand Best Practice","")))</f>
        <v/>
      </c>
      <c r="H3" s="586"/>
      <c r="I3" s="15"/>
      <c r="J3" s="114">
        <f>J112</f>
        <v>100</v>
      </c>
      <c r="K3" s="115">
        <f>K115</f>
        <v>0</v>
      </c>
      <c r="L3" s="10"/>
      <c r="M3" s="190"/>
      <c r="N3" s="191"/>
      <c r="O3" s="191"/>
      <c r="P3" s="191"/>
      <c r="Q3" s="229"/>
    </row>
    <row r="4" spans="1:30" ht="37.5" customHeight="1" x14ac:dyDescent="0.3">
      <c r="G4" s="17"/>
      <c r="H4" s="1"/>
      <c r="I4" s="17"/>
      <c r="J4" s="1"/>
      <c r="K4" s="1"/>
      <c r="L4" s="10"/>
      <c r="M4" s="190"/>
      <c r="N4" s="189"/>
      <c r="O4" s="189"/>
      <c r="P4" s="189"/>
      <c r="Q4" s="230"/>
    </row>
    <row r="5" spans="1:30" ht="45" customHeight="1" x14ac:dyDescent="0.3">
      <c r="E5" s="142" t="s">
        <v>150</v>
      </c>
      <c r="F5" s="18" t="s">
        <v>151</v>
      </c>
      <c r="G5" s="18" t="s">
        <v>152</v>
      </c>
      <c r="H5" s="9" t="s">
        <v>153</v>
      </c>
      <c r="I5" s="18" t="s">
        <v>154</v>
      </c>
      <c r="J5" s="9" t="s">
        <v>156</v>
      </c>
      <c r="K5" s="9" t="s">
        <v>157</v>
      </c>
      <c r="L5" s="19"/>
      <c r="M5" s="192" t="s">
        <v>368</v>
      </c>
      <c r="N5" s="193"/>
      <c r="O5" s="193"/>
      <c r="P5" s="141"/>
      <c r="Q5" s="230"/>
    </row>
    <row r="6" spans="1:30" ht="45" customHeight="1" x14ac:dyDescent="0.3">
      <c r="E6" s="21"/>
      <c r="F6" s="20" t="s">
        <v>172</v>
      </c>
      <c r="G6" s="21"/>
      <c r="H6" s="22"/>
      <c r="I6" s="21"/>
      <c r="J6" s="22">
        <f>15-SUM(B7:B24)</f>
        <v>15</v>
      </c>
      <c r="K6" s="22"/>
      <c r="L6" s="19"/>
      <c r="M6" s="194"/>
      <c r="N6" s="194"/>
      <c r="O6" s="194"/>
      <c r="P6" s="141"/>
      <c r="Q6" s="230"/>
      <c r="T6" s="97"/>
      <c r="U6" s="97"/>
      <c r="V6" s="95"/>
      <c r="W6" s="96" t="s">
        <v>369</v>
      </c>
      <c r="X6" s="96" t="s">
        <v>370</v>
      </c>
      <c r="Y6" s="96" t="s">
        <v>371</v>
      </c>
      <c r="Z6" s="96" t="s">
        <v>372</v>
      </c>
      <c r="AA6" s="95"/>
      <c r="AB6" s="96" t="s">
        <v>373</v>
      </c>
      <c r="AC6" s="96" t="s">
        <v>374</v>
      </c>
    </row>
    <row r="7" spans="1:30" ht="45" customHeight="1" x14ac:dyDescent="0.3">
      <c r="E7" s="23"/>
      <c r="F7" s="173" t="s">
        <v>177</v>
      </c>
      <c r="G7" s="256" t="s">
        <v>178</v>
      </c>
      <c r="H7" s="23">
        <v>1</v>
      </c>
      <c r="I7" s="256" t="s">
        <v>375</v>
      </c>
      <c r="J7" s="24">
        <v>1</v>
      </c>
      <c r="K7" s="25"/>
      <c r="L7" s="26"/>
      <c r="M7" s="195"/>
      <c r="N7" s="196"/>
      <c r="O7" s="196"/>
      <c r="P7" s="189"/>
      <c r="Q7" s="189"/>
      <c r="T7" s="97"/>
      <c r="U7" s="97"/>
      <c r="V7" s="95"/>
      <c r="W7" s="96" t="s">
        <v>172</v>
      </c>
      <c r="X7" s="97">
        <v>15</v>
      </c>
      <c r="Y7" s="161"/>
      <c r="Z7" s="97">
        <f>K25</f>
        <v>0</v>
      </c>
      <c r="AA7" s="95"/>
      <c r="AB7" s="105" t="e">
        <f>#REF!</f>
        <v>#REF!</v>
      </c>
      <c r="AC7" s="105" t="e">
        <f>#REF!</f>
        <v>#REF!</v>
      </c>
    </row>
    <row r="8" spans="1:30" ht="45" customHeight="1" x14ac:dyDescent="0.3">
      <c r="E8" s="23"/>
      <c r="F8" s="527" t="s">
        <v>182</v>
      </c>
      <c r="G8" s="578" t="s">
        <v>183</v>
      </c>
      <c r="H8" s="29">
        <v>2</v>
      </c>
      <c r="I8" s="33" t="s">
        <v>184</v>
      </c>
      <c r="J8" s="259" t="s">
        <v>185</v>
      </c>
      <c r="K8" s="31"/>
      <c r="L8" s="26"/>
      <c r="M8" s="195"/>
      <c r="N8" s="196"/>
      <c r="O8" s="196"/>
      <c r="P8" s="189"/>
      <c r="R8" s="186" t="s">
        <v>186</v>
      </c>
      <c r="S8" s="105"/>
      <c r="T8" s="97"/>
      <c r="U8" s="97" t="s">
        <v>187</v>
      </c>
      <c r="V8" s="95"/>
      <c r="W8" s="96" t="s">
        <v>244</v>
      </c>
      <c r="X8" s="97">
        <v>17</v>
      </c>
      <c r="Y8" s="97">
        <f>J45</f>
        <v>17</v>
      </c>
      <c r="Z8" s="97">
        <f>K45</f>
        <v>0</v>
      </c>
      <c r="AA8" s="95"/>
      <c r="AB8" s="105" t="e">
        <f>#REF!</f>
        <v>#REF!</v>
      </c>
      <c r="AC8" s="105" t="e">
        <f>#REF!</f>
        <v>#REF!</v>
      </c>
    </row>
    <row r="9" spans="1:30" ht="45" customHeight="1" x14ac:dyDescent="0.3">
      <c r="E9" s="23"/>
      <c r="F9" s="528"/>
      <c r="G9" s="579"/>
      <c r="H9" s="32">
        <v>2.1</v>
      </c>
      <c r="I9" s="33" t="s">
        <v>189</v>
      </c>
      <c r="J9" s="34">
        <v>1</v>
      </c>
      <c r="K9" s="25"/>
      <c r="L9" s="26" t="str">
        <f>IF(AND(K9&gt;0,$K$8&lt;&gt;$AD$8),"!","")</f>
        <v/>
      </c>
      <c r="M9" s="195"/>
      <c r="N9" s="196"/>
      <c r="O9" s="196"/>
      <c r="P9" s="189"/>
      <c r="R9" s="186" t="s">
        <v>190</v>
      </c>
      <c r="S9" s="105" t="s">
        <v>191</v>
      </c>
      <c r="T9" s="97" t="s">
        <v>192</v>
      </c>
      <c r="U9" s="97" t="s">
        <v>193</v>
      </c>
      <c r="V9" s="95"/>
      <c r="W9" s="96" t="s">
        <v>254</v>
      </c>
      <c r="X9" s="97">
        <v>22</v>
      </c>
      <c r="Y9" s="97">
        <f>J52</f>
        <v>21</v>
      </c>
      <c r="Z9" s="97">
        <f>K52</f>
        <v>0</v>
      </c>
      <c r="AA9" s="95"/>
      <c r="AB9" s="105" t="e">
        <f>#REF!</f>
        <v>#REF!</v>
      </c>
      <c r="AC9" s="105" t="e">
        <f>#REF!</f>
        <v>#REF!</v>
      </c>
    </row>
    <row r="10" spans="1:30" ht="45" customHeight="1" x14ac:dyDescent="0.3">
      <c r="E10" s="23"/>
      <c r="F10" s="528"/>
      <c r="G10" s="579"/>
      <c r="H10" s="32">
        <v>2.2000000000000002</v>
      </c>
      <c r="I10" s="33" t="s">
        <v>195</v>
      </c>
      <c r="J10" s="34">
        <v>1</v>
      </c>
      <c r="K10" s="25"/>
      <c r="L10" s="26" t="str">
        <f t="shared" ref="L10:L17" si="0">IF(AND(K10&gt;0,$K$8&lt;&gt;$AD$8),"!","")</f>
        <v/>
      </c>
      <c r="M10" s="195"/>
      <c r="N10" s="196"/>
      <c r="O10" s="196"/>
      <c r="P10" s="189"/>
      <c r="S10" s="105" t="s">
        <v>196</v>
      </c>
      <c r="T10" s="97" t="s">
        <v>197</v>
      </c>
      <c r="U10" s="95"/>
      <c r="V10" s="95"/>
      <c r="W10" s="96" t="s">
        <v>266</v>
      </c>
      <c r="X10" s="97">
        <v>10</v>
      </c>
      <c r="Y10" s="97">
        <f>J60</f>
        <v>10</v>
      </c>
      <c r="Z10" s="97">
        <f>K60</f>
        <v>0</v>
      </c>
      <c r="AA10" s="95"/>
      <c r="AB10" s="105" t="e">
        <f>#REF!</f>
        <v>#REF!</v>
      </c>
      <c r="AC10" s="105" t="e">
        <f>#REF!</f>
        <v>#REF!</v>
      </c>
    </row>
    <row r="11" spans="1:30" ht="45" customHeight="1" x14ac:dyDescent="0.3">
      <c r="E11" s="23"/>
      <c r="F11" s="528"/>
      <c r="G11" s="579"/>
      <c r="H11" s="32">
        <v>2.2999999999999998</v>
      </c>
      <c r="I11" s="33" t="s">
        <v>199</v>
      </c>
      <c r="J11" s="34">
        <v>1</v>
      </c>
      <c r="K11" s="25"/>
      <c r="L11" s="26" t="str">
        <f t="shared" si="0"/>
        <v/>
      </c>
      <c r="M11" s="195"/>
      <c r="N11" s="196"/>
      <c r="O11" s="196"/>
      <c r="P11" s="189"/>
      <c r="S11" s="105" t="s">
        <v>200</v>
      </c>
      <c r="T11" s="97" t="s">
        <v>201</v>
      </c>
      <c r="U11" s="95"/>
      <c r="V11" s="95"/>
      <c r="W11" s="96" t="s">
        <v>284</v>
      </c>
      <c r="X11" s="97">
        <v>12</v>
      </c>
      <c r="Y11" s="97">
        <f>J69</f>
        <v>6</v>
      </c>
      <c r="Z11" s="97">
        <f>K69</f>
        <v>0</v>
      </c>
      <c r="AA11" s="95"/>
      <c r="AB11" s="105" t="e">
        <f>#REF!</f>
        <v>#REF!</v>
      </c>
      <c r="AC11" s="105" t="e">
        <f>#REF!</f>
        <v>#REF!</v>
      </c>
    </row>
    <row r="12" spans="1:30" ht="45" customHeight="1" x14ac:dyDescent="0.3">
      <c r="E12" s="23"/>
      <c r="F12" s="528"/>
      <c r="G12" s="579"/>
      <c r="H12" s="32">
        <v>2.4</v>
      </c>
      <c r="I12" s="33" t="s">
        <v>203</v>
      </c>
      <c r="J12" s="34">
        <v>1</v>
      </c>
      <c r="K12" s="25"/>
      <c r="L12" s="26" t="str">
        <f t="shared" si="0"/>
        <v/>
      </c>
      <c r="M12" s="195"/>
      <c r="N12" s="196"/>
      <c r="O12" s="196"/>
      <c r="P12" s="189"/>
      <c r="S12" s="105" t="s">
        <v>204</v>
      </c>
      <c r="T12" s="97"/>
      <c r="U12" s="95"/>
      <c r="V12" s="95"/>
      <c r="W12" s="96" t="s">
        <v>293</v>
      </c>
      <c r="X12" s="97">
        <v>14</v>
      </c>
      <c r="Y12" s="97">
        <f>J84</f>
        <v>12</v>
      </c>
      <c r="Z12" s="97">
        <f>K84</f>
        <v>0</v>
      </c>
      <c r="AA12" s="95"/>
      <c r="AB12" s="105" t="e">
        <f>#REF!</f>
        <v>#REF!</v>
      </c>
      <c r="AC12" s="105" t="e">
        <f>#REF!</f>
        <v>#REF!</v>
      </c>
    </row>
    <row r="13" spans="1:30" ht="45" customHeight="1" x14ac:dyDescent="0.3">
      <c r="E13" s="23"/>
      <c r="F13" s="533" t="s">
        <v>206</v>
      </c>
      <c r="G13" s="563" t="s">
        <v>207</v>
      </c>
      <c r="H13" s="23">
        <v>3</v>
      </c>
      <c r="I13" s="256" t="s">
        <v>208</v>
      </c>
      <c r="J13" s="24">
        <v>2</v>
      </c>
      <c r="K13" s="25"/>
      <c r="L13" s="26" t="str">
        <f t="shared" si="0"/>
        <v/>
      </c>
      <c r="M13" s="195"/>
      <c r="N13" s="196"/>
      <c r="O13" s="196"/>
      <c r="P13" s="189"/>
      <c r="T13" s="95"/>
      <c r="U13" s="95"/>
      <c r="V13" s="95"/>
      <c r="W13" s="96" t="s">
        <v>376</v>
      </c>
      <c r="X13" s="97">
        <v>5</v>
      </c>
      <c r="Y13" s="97">
        <f>J92</f>
        <v>5</v>
      </c>
      <c r="Z13" s="97">
        <f>K92</f>
        <v>0</v>
      </c>
      <c r="AA13" s="95"/>
      <c r="AB13" s="105" t="e">
        <f>#REF!</f>
        <v>#REF!</v>
      </c>
      <c r="AC13" s="105" t="e">
        <f>#REF!</f>
        <v>#REF!</v>
      </c>
    </row>
    <row r="14" spans="1:30" ht="76.5" customHeight="1" x14ac:dyDescent="0.3">
      <c r="E14" s="23"/>
      <c r="F14" s="527"/>
      <c r="G14" s="564"/>
      <c r="H14" s="23">
        <v>3.1</v>
      </c>
      <c r="I14" s="256" t="s">
        <v>210</v>
      </c>
      <c r="J14" s="24">
        <v>1</v>
      </c>
      <c r="K14" s="25"/>
      <c r="L14" s="26"/>
      <c r="M14" s="195"/>
      <c r="N14" s="196"/>
      <c r="O14" s="196"/>
      <c r="P14" s="189"/>
      <c r="T14" s="95"/>
      <c r="U14" s="95"/>
      <c r="V14" s="95"/>
      <c r="W14" s="96" t="s">
        <v>326</v>
      </c>
      <c r="X14" s="97">
        <v>5</v>
      </c>
      <c r="Y14" s="97">
        <f>J101</f>
        <v>5</v>
      </c>
      <c r="Z14" s="97">
        <f>K101</f>
        <v>0</v>
      </c>
      <c r="AA14" s="95"/>
      <c r="AB14" s="105" t="e">
        <f>#REF!</f>
        <v>#REF!</v>
      </c>
      <c r="AC14" s="105" t="e">
        <f>#REF!</f>
        <v>#REF!</v>
      </c>
    </row>
    <row r="15" spans="1:30" ht="45" customHeight="1" x14ac:dyDescent="0.3">
      <c r="E15" s="23"/>
      <c r="F15" s="173" t="s">
        <v>212</v>
      </c>
      <c r="G15" s="253" t="s">
        <v>213</v>
      </c>
      <c r="H15" s="23">
        <v>4.0999999999999996</v>
      </c>
      <c r="I15" s="256" t="s">
        <v>212</v>
      </c>
      <c r="J15" s="24">
        <v>1</v>
      </c>
      <c r="K15" s="25"/>
      <c r="L15" s="26" t="str">
        <f t="shared" si="0"/>
        <v/>
      </c>
      <c r="M15" s="195"/>
      <c r="N15" s="196"/>
      <c r="O15" s="196"/>
      <c r="P15" s="189"/>
      <c r="T15" s="95"/>
      <c r="U15" s="95"/>
      <c r="V15" s="95"/>
      <c r="W15" s="96" t="s">
        <v>377</v>
      </c>
      <c r="X15" s="105">
        <f>J112</f>
        <v>100</v>
      </c>
      <c r="Y15" s="160"/>
      <c r="Z15" s="97"/>
      <c r="AA15" s="95"/>
    </row>
    <row r="16" spans="1:30" ht="45" customHeight="1" x14ac:dyDescent="0.3">
      <c r="E16" s="23"/>
      <c r="F16" s="528" t="s">
        <v>215</v>
      </c>
      <c r="G16" s="562" t="s">
        <v>216</v>
      </c>
      <c r="H16" s="23">
        <v>5.0999999999999996</v>
      </c>
      <c r="I16" s="256" t="s">
        <v>217</v>
      </c>
      <c r="J16" s="24">
        <v>1</v>
      </c>
      <c r="K16" s="25"/>
      <c r="L16" s="26" t="str">
        <f t="shared" si="0"/>
        <v/>
      </c>
      <c r="M16" s="195"/>
      <c r="N16" s="196"/>
      <c r="O16" s="196"/>
      <c r="P16" s="189"/>
      <c r="T16" s="95"/>
      <c r="U16" s="95"/>
      <c r="V16" s="95"/>
      <c r="W16" s="96" t="s">
        <v>378</v>
      </c>
      <c r="AB16" s="180" t="e">
        <f>(#REF!/X15)*100</f>
        <v>#REF!</v>
      </c>
      <c r="AC16" s="180" t="e">
        <f>(#REF!/X15)*100</f>
        <v>#REF!</v>
      </c>
      <c r="AD16" s="6" t="s">
        <v>379</v>
      </c>
    </row>
    <row r="17" spans="1:30" ht="45" customHeight="1" x14ac:dyDescent="0.3">
      <c r="E17" s="23"/>
      <c r="F17" s="528"/>
      <c r="G17" s="562"/>
      <c r="H17" s="23">
        <v>5.2</v>
      </c>
      <c r="I17" s="256" t="s">
        <v>219</v>
      </c>
      <c r="J17" s="24">
        <v>1</v>
      </c>
      <c r="K17" s="25"/>
      <c r="L17" s="26" t="str">
        <f t="shared" si="0"/>
        <v/>
      </c>
      <c r="M17" s="195"/>
      <c r="N17" s="196"/>
      <c r="O17" s="196"/>
      <c r="P17" s="189"/>
      <c r="T17" s="95"/>
      <c r="U17" s="95"/>
      <c r="V17" s="95"/>
      <c r="W17" s="96" t="s">
        <v>341</v>
      </c>
      <c r="AB17" s="105" t="e">
        <f>#REF!</f>
        <v>#REF!</v>
      </c>
      <c r="AC17" s="105" t="e">
        <f>#REF!</f>
        <v>#REF!</v>
      </c>
    </row>
    <row r="18" spans="1:30" ht="45" customHeight="1" x14ac:dyDescent="0.3">
      <c r="E18" s="23"/>
      <c r="F18" s="528" t="s">
        <v>221</v>
      </c>
      <c r="G18" s="562" t="s">
        <v>222</v>
      </c>
      <c r="H18" s="23">
        <v>6</v>
      </c>
      <c r="I18" s="256" t="s">
        <v>223</v>
      </c>
      <c r="J18" s="185" t="s">
        <v>185</v>
      </c>
      <c r="K18" s="31"/>
      <c r="L18" s="26"/>
      <c r="M18" s="195"/>
      <c r="N18" s="196"/>
      <c r="O18" s="196"/>
      <c r="P18" s="189"/>
      <c r="T18" s="95"/>
      <c r="U18" s="95"/>
      <c r="V18" s="95"/>
      <c r="W18" s="96" t="s">
        <v>380</v>
      </c>
      <c r="AB18" s="180" t="e">
        <f>AB16+AB17</f>
        <v>#REF!</v>
      </c>
      <c r="AC18" s="180" t="e">
        <f>AC16+AC17</f>
        <v>#REF!</v>
      </c>
      <c r="AD18" s="6" t="s">
        <v>381</v>
      </c>
    </row>
    <row r="19" spans="1:30" ht="45" customHeight="1" x14ac:dyDescent="0.3">
      <c r="E19" s="23"/>
      <c r="F19" s="528"/>
      <c r="G19" s="562"/>
      <c r="H19" s="23">
        <v>6.1</v>
      </c>
      <c r="I19" s="256" t="s">
        <v>225</v>
      </c>
      <c r="J19" s="24">
        <v>1</v>
      </c>
      <c r="K19" s="25"/>
      <c r="L19" s="26" t="str">
        <f>IF(AND(K19&gt;0,$K$18&lt;&gt;$AD$8),"!","")</f>
        <v/>
      </c>
      <c r="M19" s="195"/>
      <c r="N19" s="196"/>
      <c r="O19" s="196"/>
      <c r="P19" s="189"/>
      <c r="T19" s="95"/>
      <c r="U19" s="95"/>
      <c r="V19" s="95"/>
    </row>
    <row r="20" spans="1:30" ht="45" customHeight="1" x14ac:dyDescent="0.3">
      <c r="E20" s="23"/>
      <c r="F20" s="533" t="s">
        <v>382</v>
      </c>
      <c r="G20" s="531" t="s">
        <v>228</v>
      </c>
      <c r="H20" s="23">
        <v>7</v>
      </c>
      <c r="I20" s="256" t="s">
        <v>229</v>
      </c>
      <c r="J20" s="260" t="s">
        <v>185</v>
      </c>
      <c r="K20" s="36"/>
      <c r="L20" s="26"/>
      <c r="M20" s="195"/>
      <c r="N20" s="196"/>
      <c r="O20" s="196"/>
      <c r="P20" s="189"/>
      <c r="T20" s="95"/>
      <c r="U20" s="95"/>
      <c r="V20" s="95"/>
    </row>
    <row r="21" spans="1:30" ht="45" customHeight="1" x14ac:dyDescent="0.3">
      <c r="E21" s="23"/>
      <c r="F21" s="534"/>
      <c r="G21" s="529"/>
      <c r="H21" s="23">
        <v>7.1</v>
      </c>
      <c r="I21" s="256" t="s">
        <v>231</v>
      </c>
      <c r="J21" s="35">
        <v>1</v>
      </c>
      <c r="K21" s="37"/>
      <c r="L21" s="26" t="str">
        <f>IF(AND(K21&gt;0,$K$20&lt;&gt;$AD$8),"!","")</f>
        <v/>
      </c>
      <c r="M21" s="195"/>
      <c r="N21" s="196"/>
      <c r="O21" s="196"/>
      <c r="P21" s="189"/>
      <c r="T21" s="95"/>
      <c r="U21" s="95"/>
      <c r="V21" s="95"/>
    </row>
    <row r="22" spans="1:30" ht="45" customHeight="1" x14ac:dyDescent="0.3">
      <c r="E22" s="23"/>
      <c r="F22" s="527"/>
      <c r="G22" s="530"/>
      <c r="H22" s="23">
        <v>7.2</v>
      </c>
      <c r="I22" s="256" t="s">
        <v>238</v>
      </c>
      <c r="J22" s="35">
        <v>1</v>
      </c>
      <c r="K22" s="37"/>
      <c r="L22" s="26" t="str">
        <f>IF(AND(K22&gt;0,$K$20&lt;&gt;$AD$8),"!","")</f>
        <v/>
      </c>
      <c r="M22" s="195"/>
      <c r="N22" s="196"/>
      <c r="O22" s="196"/>
      <c r="P22" s="189"/>
      <c r="T22" s="95"/>
      <c r="U22" s="95"/>
      <c r="V22" s="95"/>
    </row>
    <row r="23" spans="1:30" ht="45" customHeight="1" x14ac:dyDescent="0.3">
      <c r="E23" s="23"/>
      <c r="F23" s="533" t="s">
        <v>239</v>
      </c>
      <c r="G23" s="580" t="s">
        <v>186</v>
      </c>
      <c r="H23" s="23" t="s">
        <v>240</v>
      </c>
      <c r="I23" s="256" t="s">
        <v>241</v>
      </c>
      <c r="J23" s="35">
        <f>IF(G23=R8,1,"0")</f>
        <v>1</v>
      </c>
      <c r="K23" s="37"/>
      <c r="L23" s="26" t="str">
        <f>IF(AND(K23&gt;0,G23="Prescriptive Pathway"),"!","")</f>
        <v/>
      </c>
      <c r="M23" s="195"/>
      <c r="N23" s="196"/>
      <c r="O23" s="196"/>
      <c r="P23" s="189"/>
    </row>
    <row r="24" spans="1:30" ht="37.5" customHeight="1" x14ac:dyDescent="0.3">
      <c r="E24" s="23"/>
      <c r="F24" s="527"/>
      <c r="G24" s="542"/>
      <c r="H24" s="23" t="s">
        <v>242</v>
      </c>
      <c r="I24" s="256" t="s">
        <v>243</v>
      </c>
      <c r="J24" s="35" t="str">
        <f>IF(G23=R9,1,"0")</f>
        <v>0</v>
      </c>
      <c r="K24" s="37"/>
      <c r="L24" s="26" t="str">
        <f>IF(AND(K24&gt;0,G23="Performance Pathway"),"!","")</f>
        <v/>
      </c>
      <c r="M24" s="195"/>
      <c r="N24" s="196"/>
      <c r="O24" s="196"/>
      <c r="P24" s="189"/>
    </row>
    <row r="25" spans="1:30" ht="45" customHeight="1" x14ac:dyDescent="0.3">
      <c r="E25" s="39"/>
      <c r="F25" s="39" t="s">
        <v>54</v>
      </c>
      <c r="G25" s="39"/>
      <c r="H25" s="40"/>
      <c r="I25" s="39"/>
      <c r="J25" s="40">
        <f>SUM(J7:J24)</f>
        <v>15</v>
      </c>
      <c r="K25" s="40">
        <f>SUM(K7:K24)</f>
        <v>0</v>
      </c>
      <c r="L25" s="26" t="str">
        <f>IF(K25&gt;J25,"!","")</f>
        <v/>
      </c>
      <c r="M25" s="197"/>
      <c r="N25" s="189"/>
      <c r="O25" s="189"/>
      <c r="P25" s="189"/>
    </row>
    <row r="26" spans="1:30" ht="45" customHeight="1" x14ac:dyDescent="0.3">
      <c r="F26" s="43"/>
      <c r="G26" s="44"/>
      <c r="H26" s="45"/>
      <c r="I26" s="46"/>
      <c r="J26" s="47"/>
      <c r="K26" s="48"/>
      <c r="L26" s="19"/>
      <c r="M26" s="198"/>
      <c r="N26" s="189"/>
      <c r="O26" s="189"/>
      <c r="P26" s="189"/>
    </row>
    <row r="27" spans="1:30" ht="45" customHeight="1" x14ac:dyDescent="0.3">
      <c r="E27" s="21"/>
      <c r="F27" s="565" t="s">
        <v>244</v>
      </c>
      <c r="G27" s="565"/>
      <c r="H27" s="565"/>
      <c r="I27" s="565"/>
      <c r="J27" s="154">
        <f>17-SUM(B28:B44)</f>
        <v>17</v>
      </c>
      <c r="K27" s="49"/>
      <c r="L27" s="26"/>
      <c r="M27" s="194"/>
      <c r="N27" s="194"/>
      <c r="O27" s="194"/>
      <c r="P27" s="198"/>
      <c r="Q27" s="197"/>
    </row>
    <row r="28" spans="1:30" ht="45" customHeight="1" x14ac:dyDescent="0.3">
      <c r="A28" s="141">
        <v>1</v>
      </c>
      <c r="B28" s="141">
        <f>IF(C28=TRUE,A28,0)</f>
        <v>0</v>
      </c>
      <c r="C28" s="141" t="b">
        <v>0</v>
      </c>
      <c r="E28" s="23"/>
      <c r="F28" s="547" t="s">
        <v>81</v>
      </c>
      <c r="G28" s="562" t="s">
        <v>245</v>
      </c>
      <c r="H28" s="23">
        <v>9.1</v>
      </c>
      <c r="I28" s="52" t="s">
        <v>82</v>
      </c>
      <c r="J28" s="53">
        <f>IF(C28=FALSE,A28,0)</f>
        <v>1</v>
      </c>
      <c r="K28" s="54"/>
      <c r="L28" s="26"/>
      <c r="M28" s="195"/>
      <c r="N28" s="195"/>
      <c r="O28" s="195"/>
      <c r="P28" s="198"/>
      <c r="Q28" s="197"/>
    </row>
    <row r="29" spans="1:30" ht="45" customHeight="1" x14ac:dyDescent="0.3">
      <c r="A29" s="141">
        <v>2</v>
      </c>
      <c r="B29" s="141">
        <f t="shared" ref="B29:B44" si="1">IF(C29=TRUE,A29,0)</f>
        <v>0</v>
      </c>
      <c r="C29" s="141" t="b">
        <v>0</v>
      </c>
      <c r="E29" s="23"/>
      <c r="F29" s="547"/>
      <c r="G29" s="562"/>
      <c r="H29" s="23">
        <v>9.1999999999999993</v>
      </c>
      <c r="I29" s="52" t="s">
        <v>83</v>
      </c>
      <c r="J29" s="53">
        <f t="shared" ref="J29:J44" si="2">IF(C29=FALSE,A29,0)</f>
        <v>2</v>
      </c>
      <c r="K29" s="54"/>
      <c r="L29" s="26"/>
      <c r="M29" s="195"/>
      <c r="N29" s="195"/>
      <c r="O29" s="195"/>
      <c r="P29" s="198"/>
      <c r="Q29" s="197"/>
    </row>
    <row r="30" spans="1:30" ht="45" customHeight="1" x14ac:dyDescent="0.3">
      <c r="A30" s="141">
        <v>1</v>
      </c>
      <c r="B30" s="141">
        <f t="shared" si="1"/>
        <v>0</v>
      </c>
      <c r="C30" s="141" t="b">
        <v>0</v>
      </c>
      <c r="E30" s="23"/>
      <c r="F30" s="547"/>
      <c r="G30" s="562"/>
      <c r="H30" s="23">
        <v>9.3000000000000007</v>
      </c>
      <c r="I30" s="52" t="s">
        <v>84</v>
      </c>
      <c r="J30" s="53">
        <f t="shared" si="2"/>
        <v>1</v>
      </c>
      <c r="K30" s="54"/>
      <c r="L30" s="26"/>
      <c r="M30" s="195"/>
      <c r="N30" s="195"/>
      <c r="O30" s="195"/>
      <c r="P30" s="198"/>
      <c r="Q30" s="197"/>
    </row>
    <row r="31" spans="1:30" ht="45" customHeight="1" x14ac:dyDescent="0.3">
      <c r="A31" s="141">
        <v>1</v>
      </c>
      <c r="B31" s="141">
        <f t="shared" si="1"/>
        <v>0</v>
      </c>
      <c r="C31" s="141" t="b">
        <v>0</v>
      </c>
      <c r="E31" s="23"/>
      <c r="F31" s="547" t="s">
        <v>85</v>
      </c>
      <c r="G31" s="562" t="s">
        <v>246</v>
      </c>
      <c r="H31" s="23">
        <v>10.1</v>
      </c>
      <c r="I31" s="52" t="s">
        <v>86</v>
      </c>
      <c r="J31" s="53">
        <f t="shared" si="2"/>
        <v>1</v>
      </c>
      <c r="K31" s="54"/>
      <c r="L31" s="26"/>
      <c r="M31" s="195"/>
      <c r="N31" s="195"/>
      <c r="O31" s="195"/>
      <c r="P31" s="198"/>
      <c r="Q31" s="197"/>
    </row>
    <row r="32" spans="1:30" ht="45" customHeight="1" x14ac:dyDescent="0.3">
      <c r="A32" s="141">
        <v>1</v>
      </c>
      <c r="B32" s="141">
        <f t="shared" si="1"/>
        <v>0</v>
      </c>
      <c r="C32" s="141" t="b">
        <v>0</v>
      </c>
      <c r="E32" s="23"/>
      <c r="F32" s="547"/>
      <c r="G32" s="562"/>
      <c r="H32" s="23">
        <v>10.199999999999999</v>
      </c>
      <c r="I32" s="52" t="s">
        <v>87</v>
      </c>
      <c r="J32" s="53">
        <f t="shared" si="2"/>
        <v>1</v>
      </c>
      <c r="K32" s="54"/>
      <c r="L32" s="26"/>
      <c r="M32" s="195"/>
      <c r="N32" s="195"/>
      <c r="O32" s="195"/>
      <c r="P32" s="198"/>
      <c r="Q32" s="197"/>
    </row>
    <row r="33" spans="1:17" ht="45" customHeight="1" x14ac:dyDescent="0.3">
      <c r="A33" s="141">
        <v>1</v>
      </c>
      <c r="B33" s="141">
        <f t="shared" si="1"/>
        <v>0</v>
      </c>
      <c r="C33" s="141" t="b">
        <v>0</v>
      </c>
      <c r="E33" s="23"/>
      <c r="F33" s="547"/>
      <c r="G33" s="562"/>
      <c r="H33" s="23">
        <v>10.3</v>
      </c>
      <c r="I33" s="52" t="s">
        <v>88</v>
      </c>
      <c r="J33" s="53">
        <f t="shared" si="2"/>
        <v>1</v>
      </c>
      <c r="K33" s="54"/>
      <c r="L33" s="26"/>
      <c r="M33" s="195"/>
      <c r="N33" s="195"/>
      <c r="O33" s="195"/>
      <c r="P33" s="198"/>
      <c r="Q33" s="197"/>
    </row>
    <row r="34" spans="1:17" ht="45" customHeight="1" x14ac:dyDescent="0.3">
      <c r="E34" s="23"/>
      <c r="F34" s="547" t="s">
        <v>89</v>
      </c>
      <c r="G34" s="562" t="s">
        <v>248</v>
      </c>
      <c r="H34" s="23">
        <v>11</v>
      </c>
      <c r="I34" s="52" t="s">
        <v>249</v>
      </c>
      <c r="J34" s="261" t="s">
        <v>185</v>
      </c>
      <c r="K34" s="54"/>
      <c r="L34" s="26"/>
      <c r="M34" s="195"/>
      <c r="N34" s="195"/>
      <c r="O34" s="195"/>
      <c r="P34" s="198"/>
      <c r="Q34" s="197"/>
    </row>
    <row r="35" spans="1:17" ht="45" customHeight="1" x14ac:dyDescent="0.3">
      <c r="A35" s="141">
        <v>1</v>
      </c>
      <c r="B35" s="141">
        <f t="shared" si="1"/>
        <v>0</v>
      </c>
      <c r="C35" s="141" t="b">
        <v>0</v>
      </c>
      <c r="E35" s="23"/>
      <c r="F35" s="547"/>
      <c r="G35" s="562"/>
      <c r="H35" s="23">
        <v>11.1</v>
      </c>
      <c r="I35" s="52" t="s">
        <v>90</v>
      </c>
      <c r="J35" s="53">
        <f t="shared" si="2"/>
        <v>1</v>
      </c>
      <c r="K35" s="54"/>
      <c r="L35" s="26" t="str">
        <f>IF(AND(K35&gt;0,$K$34&lt;&gt;$AD$8),"!","")</f>
        <v/>
      </c>
      <c r="M35" s="195"/>
      <c r="N35" s="195"/>
      <c r="O35" s="195"/>
      <c r="P35" s="198"/>
      <c r="Q35" s="197"/>
    </row>
    <row r="36" spans="1:17" ht="45" customHeight="1" x14ac:dyDescent="0.3">
      <c r="A36" s="141">
        <v>1</v>
      </c>
      <c r="B36" s="141">
        <f t="shared" si="1"/>
        <v>0</v>
      </c>
      <c r="C36" s="141" t="b">
        <v>0</v>
      </c>
      <c r="E36" s="23"/>
      <c r="F36" s="547"/>
      <c r="G36" s="562"/>
      <c r="H36" s="23">
        <v>11.2</v>
      </c>
      <c r="I36" s="52" t="s">
        <v>91</v>
      </c>
      <c r="J36" s="53">
        <f t="shared" si="2"/>
        <v>1</v>
      </c>
      <c r="K36" s="54"/>
      <c r="L36" s="26" t="str">
        <f>IF(AND(K36&gt;0,$K$34&lt;&gt;$AD$8),"!","")</f>
        <v/>
      </c>
      <c r="M36" s="195"/>
      <c r="N36" s="195"/>
      <c r="O36" s="195"/>
      <c r="P36" s="198"/>
      <c r="Q36" s="197"/>
    </row>
    <row r="37" spans="1:17" ht="45" customHeight="1" x14ac:dyDescent="0.3">
      <c r="A37" s="141">
        <v>1</v>
      </c>
      <c r="B37" s="141">
        <f t="shared" si="1"/>
        <v>0</v>
      </c>
      <c r="C37" s="141" t="b">
        <v>0</v>
      </c>
      <c r="E37" s="23"/>
      <c r="F37" s="547"/>
      <c r="G37" s="562"/>
      <c r="H37" s="23">
        <v>11.3</v>
      </c>
      <c r="I37" s="52" t="s">
        <v>92</v>
      </c>
      <c r="J37" s="53">
        <f t="shared" si="2"/>
        <v>1</v>
      </c>
      <c r="K37" s="54"/>
      <c r="L37" s="26" t="str">
        <f>IF(AND(K37&gt;0,$K$34&lt;&gt;$AD$8),"!","")</f>
        <v/>
      </c>
      <c r="M37" s="195"/>
      <c r="N37" s="195"/>
      <c r="O37" s="195"/>
      <c r="P37" s="198"/>
      <c r="Q37" s="197"/>
    </row>
    <row r="38" spans="1:17" ht="45" customHeight="1" x14ac:dyDescent="0.3">
      <c r="E38" s="23"/>
      <c r="F38" s="547" t="s">
        <v>93</v>
      </c>
      <c r="G38" s="562" t="s">
        <v>250</v>
      </c>
      <c r="H38" s="23">
        <v>12</v>
      </c>
      <c r="I38" s="52" t="s">
        <v>251</v>
      </c>
      <c r="J38" s="261" t="s">
        <v>185</v>
      </c>
      <c r="K38" s="54"/>
      <c r="L38" s="26"/>
      <c r="M38" s="195"/>
      <c r="N38" s="195"/>
      <c r="O38" s="195"/>
      <c r="P38" s="198"/>
      <c r="Q38" s="197"/>
    </row>
    <row r="39" spans="1:17" ht="45" customHeight="1" x14ac:dyDescent="0.3">
      <c r="A39" s="141">
        <v>2</v>
      </c>
      <c r="B39" s="141">
        <f t="shared" si="1"/>
        <v>0</v>
      </c>
      <c r="C39" s="141" t="b">
        <v>0</v>
      </c>
      <c r="E39" s="23"/>
      <c r="F39" s="547"/>
      <c r="G39" s="562"/>
      <c r="H39" s="23">
        <v>12.1</v>
      </c>
      <c r="I39" s="52" t="s">
        <v>94</v>
      </c>
      <c r="J39" s="53">
        <f t="shared" si="2"/>
        <v>2</v>
      </c>
      <c r="K39" s="54"/>
      <c r="L39" s="26" t="str">
        <f>IF(AND(K39&gt;0,$K$38&lt;&gt;$AD$8),"!","")</f>
        <v/>
      </c>
      <c r="M39" s="195"/>
      <c r="N39" s="195"/>
      <c r="O39" s="195"/>
      <c r="P39" s="198"/>
      <c r="Q39" s="197"/>
    </row>
    <row r="40" spans="1:17" ht="45" customHeight="1" x14ac:dyDescent="0.3">
      <c r="A40" s="141">
        <v>1</v>
      </c>
      <c r="B40" s="141">
        <f t="shared" si="1"/>
        <v>0</v>
      </c>
      <c r="C40" s="141" t="b">
        <v>0</v>
      </c>
      <c r="E40" s="23"/>
      <c r="F40" s="547"/>
      <c r="G40" s="562"/>
      <c r="H40" s="23">
        <v>12.2</v>
      </c>
      <c r="I40" s="52" t="s">
        <v>95</v>
      </c>
      <c r="J40" s="53">
        <f t="shared" si="2"/>
        <v>1</v>
      </c>
      <c r="K40" s="54"/>
      <c r="L40" s="26" t="str">
        <f>IF(AND(K40&gt;0,$K$38&lt;&gt;$AD$8),"!","")</f>
        <v/>
      </c>
      <c r="M40" s="195"/>
      <c r="N40" s="195"/>
      <c r="O40" s="195"/>
      <c r="P40" s="198"/>
      <c r="Q40" s="197"/>
    </row>
    <row r="41" spans="1:17" ht="45" customHeight="1" x14ac:dyDescent="0.3">
      <c r="A41" s="141">
        <v>1</v>
      </c>
      <c r="B41" s="141">
        <f t="shared" si="1"/>
        <v>0</v>
      </c>
      <c r="C41" s="141" t="b">
        <v>0</v>
      </c>
      <c r="E41" s="23"/>
      <c r="F41" s="547" t="s">
        <v>96</v>
      </c>
      <c r="G41" s="562" t="s">
        <v>252</v>
      </c>
      <c r="H41" s="23">
        <v>13.1</v>
      </c>
      <c r="I41" s="52" t="s">
        <v>97</v>
      </c>
      <c r="J41" s="53">
        <f t="shared" si="2"/>
        <v>1</v>
      </c>
      <c r="K41" s="54"/>
      <c r="L41" s="26"/>
      <c r="M41" s="195"/>
      <c r="N41" s="195"/>
      <c r="O41" s="195"/>
      <c r="P41" s="198"/>
      <c r="Q41" s="197"/>
    </row>
    <row r="42" spans="1:17" ht="45" customHeight="1" x14ac:dyDescent="0.3">
      <c r="A42" s="141">
        <v>1</v>
      </c>
      <c r="B42" s="141">
        <f t="shared" si="1"/>
        <v>0</v>
      </c>
      <c r="C42" s="141" t="b">
        <v>0</v>
      </c>
      <c r="E42" s="23"/>
      <c r="F42" s="547"/>
      <c r="G42" s="562"/>
      <c r="H42" s="23">
        <v>13.2</v>
      </c>
      <c r="I42" s="52" t="s">
        <v>98</v>
      </c>
      <c r="J42" s="53">
        <f t="shared" si="2"/>
        <v>1</v>
      </c>
      <c r="K42" s="54"/>
      <c r="L42" s="26"/>
      <c r="M42" s="195"/>
      <c r="N42" s="195"/>
      <c r="O42" s="195"/>
      <c r="P42" s="198"/>
      <c r="Q42" s="197"/>
    </row>
    <row r="43" spans="1:17" ht="45" customHeight="1" x14ac:dyDescent="0.3">
      <c r="A43" s="141">
        <v>1</v>
      </c>
      <c r="B43" s="141">
        <f t="shared" si="1"/>
        <v>0</v>
      </c>
      <c r="C43" s="141" t="b">
        <v>0</v>
      </c>
      <c r="E43" s="23"/>
      <c r="F43" s="547" t="s">
        <v>99</v>
      </c>
      <c r="G43" s="562" t="s">
        <v>253</v>
      </c>
      <c r="H43" s="23">
        <v>14.1</v>
      </c>
      <c r="I43" s="52" t="s">
        <v>99</v>
      </c>
      <c r="J43" s="53">
        <f t="shared" si="2"/>
        <v>1</v>
      </c>
      <c r="K43" s="54"/>
      <c r="L43" s="26"/>
      <c r="M43" s="195"/>
      <c r="N43" s="195"/>
      <c r="O43" s="195"/>
      <c r="P43" s="198"/>
      <c r="Q43" s="197"/>
    </row>
    <row r="44" spans="1:17" ht="45" customHeight="1" x14ac:dyDescent="0.3">
      <c r="A44" s="141">
        <v>1</v>
      </c>
      <c r="B44" s="141">
        <f t="shared" si="1"/>
        <v>0</v>
      </c>
      <c r="C44" s="141" t="b">
        <v>0</v>
      </c>
      <c r="E44" s="23"/>
      <c r="F44" s="548"/>
      <c r="G44" s="531"/>
      <c r="H44" s="23">
        <v>14.2</v>
      </c>
      <c r="I44" s="52" t="s">
        <v>100</v>
      </c>
      <c r="J44" s="53">
        <f t="shared" si="2"/>
        <v>1</v>
      </c>
      <c r="K44" s="54"/>
      <c r="L44" s="26"/>
      <c r="M44" s="195"/>
      <c r="N44" s="195"/>
      <c r="O44" s="195"/>
      <c r="P44" s="189"/>
    </row>
    <row r="45" spans="1:17" ht="45" customHeight="1" x14ac:dyDescent="0.3">
      <c r="E45" s="39"/>
      <c r="F45" s="39" t="s">
        <v>54</v>
      </c>
      <c r="G45" s="39"/>
      <c r="H45" s="40"/>
      <c r="I45" s="39"/>
      <c r="J45" s="40">
        <f>SUM(J28:J44)</f>
        <v>17</v>
      </c>
      <c r="K45" s="40">
        <f>SUM(K28:K44)</f>
        <v>0</v>
      </c>
      <c r="L45" s="26" t="str">
        <f>IF(K45&gt;J45,"!","")</f>
        <v/>
      </c>
      <c r="M45" s="197"/>
      <c r="N45" s="189"/>
      <c r="O45" s="189"/>
      <c r="P45" s="189"/>
    </row>
    <row r="46" spans="1:17" ht="45" customHeight="1" x14ac:dyDescent="0.3">
      <c r="F46" s="57"/>
      <c r="G46" s="57"/>
      <c r="H46" s="1"/>
      <c r="I46" s="57"/>
      <c r="J46" s="1"/>
      <c r="K46" s="1"/>
      <c r="L46" s="58"/>
      <c r="M46" s="199"/>
      <c r="N46" s="189"/>
      <c r="O46" s="189"/>
      <c r="P46" s="189"/>
    </row>
    <row r="47" spans="1:17" ht="45" customHeight="1" x14ac:dyDescent="0.3">
      <c r="E47" s="21"/>
      <c r="F47" s="525" t="s">
        <v>254</v>
      </c>
      <c r="G47" s="525"/>
      <c r="H47" s="525"/>
      <c r="I47" s="525"/>
      <c r="J47" s="49">
        <f>22-SUM(B48:B51)</f>
        <v>22</v>
      </c>
      <c r="K47" s="49"/>
      <c r="L47" s="59"/>
      <c r="M47" s="194"/>
      <c r="N47" s="194"/>
      <c r="O47" s="194"/>
      <c r="P47" s="198"/>
      <c r="Q47" s="197"/>
    </row>
    <row r="48" spans="1:17" ht="45" customHeight="1" x14ac:dyDescent="0.3">
      <c r="E48" s="23"/>
      <c r="F48" s="560" t="s">
        <v>257</v>
      </c>
      <c r="G48" s="562" t="s">
        <v>258</v>
      </c>
      <c r="H48" s="148" t="s">
        <v>383</v>
      </c>
      <c r="I48" s="178" t="s">
        <v>384</v>
      </c>
      <c r="J48" s="262" t="s">
        <v>259</v>
      </c>
      <c r="K48" s="82"/>
      <c r="L48" s="26"/>
      <c r="M48" s="195"/>
      <c r="N48" s="195"/>
      <c r="O48" s="195"/>
      <c r="P48" s="198"/>
      <c r="Q48" s="197"/>
    </row>
    <row r="49" spans="1:18" ht="45" customHeight="1" x14ac:dyDescent="0.3">
      <c r="E49" s="23"/>
      <c r="F49" s="561"/>
      <c r="G49" s="531"/>
      <c r="H49" s="148" t="s">
        <v>385</v>
      </c>
      <c r="I49" s="157" t="s">
        <v>386</v>
      </c>
      <c r="J49" s="102">
        <v>20</v>
      </c>
      <c r="K49" s="82"/>
      <c r="L49" s="26" t="str">
        <f>IF(AND(K49&gt;0,K48&lt;&gt;$AD$8),"!","")</f>
        <v/>
      </c>
      <c r="M49" s="195"/>
      <c r="N49" s="195"/>
      <c r="O49" s="195"/>
      <c r="P49" s="198"/>
      <c r="Q49" s="197"/>
    </row>
    <row r="50" spans="1:18" ht="45" customHeight="1" x14ac:dyDescent="0.3">
      <c r="E50" s="23"/>
      <c r="F50" s="547" t="s">
        <v>261</v>
      </c>
      <c r="G50" s="549" t="s">
        <v>190</v>
      </c>
      <c r="H50" s="149" t="s">
        <v>262</v>
      </c>
      <c r="I50" s="158" t="s">
        <v>263</v>
      </c>
      <c r="J50" s="98">
        <f>IF(G50=R62,1,"0")</f>
        <v>1</v>
      </c>
      <c r="K50" s="82"/>
      <c r="L50" s="19"/>
      <c r="M50" s="195"/>
      <c r="N50" s="195"/>
      <c r="O50" s="195"/>
      <c r="P50" s="198"/>
      <c r="Q50" s="197"/>
    </row>
    <row r="51" spans="1:18" ht="45" customHeight="1" x14ac:dyDescent="0.3">
      <c r="E51" s="23"/>
      <c r="F51" s="548"/>
      <c r="G51" s="550"/>
      <c r="H51" s="150" t="s">
        <v>264</v>
      </c>
      <c r="I51" s="159" t="s">
        <v>265</v>
      </c>
      <c r="J51" s="99" t="str">
        <f>IF(G50=R63,2,"0")</f>
        <v>0</v>
      </c>
      <c r="K51" s="89"/>
      <c r="L51" s="62"/>
      <c r="M51" s="195"/>
      <c r="N51" s="195"/>
      <c r="O51" s="195"/>
      <c r="P51" s="198"/>
      <c r="Q51" s="197"/>
    </row>
    <row r="52" spans="1:18" ht="45" customHeight="1" x14ac:dyDescent="0.3">
      <c r="E52" s="39"/>
      <c r="F52" s="39" t="s">
        <v>54</v>
      </c>
      <c r="G52" s="39"/>
      <c r="H52" s="40"/>
      <c r="I52" s="39"/>
      <c r="J52" s="40">
        <f>SUM(J48:J51)</f>
        <v>21</v>
      </c>
      <c r="K52" s="40">
        <f>SUM(K48:K51)</f>
        <v>0</v>
      </c>
      <c r="L52" s="26" t="str">
        <f>IF(K52&gt;J52,"!","")</f>
        <v/>
      </c>
      <c r="M52" s="197"/>
      <c r="N52" s="189"/>
      <c r="O52" s="189"/>
      <c r="P52" s="198"/>
      <c r="Q52" s="197"/>
    </row>
    <row r="53" spans="1:18" ht="45" customHeight="1" x14ac:dyDescent="0.3">
      <c r="L53" s="66"/>
      <c r="M53" s="200"/>
      <c r="N53" s="189"/>
      <c r="O53" s="189"/>
      <c r="P53" s="198"/>
      <c r="Q53" s="197"/>
    </row>
    <row r="54" spans="1:18" ht="45" customHeight="1" x14ac:dyDescent="0.3">
      <c r="E54" s="21"/>
      <c r="F54" s="254" t="s">
        <v>266</v>
      </c>
      <c r="G54" s="67"/>
      <c r="H54" s="68"/>
      <c r="I54" s="67"/>
      <c r="J54" s="49">
        <f>10-SUM(B55:B59)</f>
        <v>10</v>
      </c>
      <c r="K54" s="49"/>
      <c r="L54" s="19"/>
      <c r="M54" s="194"/>
      <c r="N54" s="194"/>
      <c r="O54" s="194"/>
      <c r="P54" s="198"/>
      <c r="Q54" s="197"/>
    </row>
    <row r="55" spans="1:18" ht="45" customHeight="1" x14ac:dyDescent="0.3">
      <c r="E55" s="23"/>
      <c r="F55" s="560" t="s">
        <v>101</v>
      </c>
      <c r="G55" s="588" t="s">
        <v>387</v>
      </c>
      <c r="H55" s="148" t="s">
        <v>270</v>
      </c>
      <c r="I55" s="157" t="s">
        <v>271</v>
      </c>
      <c r="J55" s="102">
        <v>4</v>
      </c>
      <c r="K55" s="82"/>
      <c r="L55" s="62"/>
      <c r="M55" s="195"/>
      <c r="N55" s="195"/>
      <c r="O55" s="195"/>
      <c r="P55" s="198"/>
      <c r="Q55" s="197"/>
    </row>
    <row r="56" spans="1:18" ht="45" customHeight="1" x14ac:dyDescent="0.3">
      <c r="A56" s="141">
        <v>1</v>
      </c>
      <c r="B56" s="141">
        <f>IF((C56=TRUE),1,0)</f>
        <v>0</v>
      </c>
      <c r="C56" s="141" t="b">
        <v>0</v>
      </c>
      <c r="E56" s="23"/>
      <c r="F56" s="560"/>
      <c r="G56" s="560"/>
      <c r="H56" s="148" t="s">
        <v>102</v>
      </c>
      <c r="I56" s="157" t="s">
        <v>103</v>
      </c>
      <c r="J56" s="102">
        <f>IF(C56=TRUE,0,1)</f>
        <v>1</v>
      </c>
      <c r="K56" s="82"/>
      <c r="L56" s="62"/>
      <c r="M56" s="195"/>
      <c r="N56" s="195"/>
      <c r="O56" s="195"/>
      <c r="P56" s="198"/>
      <c r="Q56" s="197"/>
    </row>
    <row r="57" spans="1:18" ht="45" customHeight="1" x14ac:dyDescent="0.3">
      <c r="A57" s="141">
        <v>2</v>
      </c>
      <c r="B57" s="141">
        <f>IF((C57=TRUE),2,0)</f>
        <v>0</v>
      </c>
      <c r="C57" s="141" t="b">
        <v>0</v>
      </c>
      <c r="E57" s="23"/>
      <c r="F57" s="560"/>
      <c r="G57" s="560"/>
      <c r="H57" s="148" t="s">
        <v>104</v>
      </c>
      <c r="I57" s="157" t="s">
        <v>105</v>
      </c>
      <c r="J57" s="102">
        <f>IF(C57=TRUE,0,2)</f>
        <v>2</v>
      </c>
      <c r="K57" s="82"/>
      <c r="L57" s="62"/>
      <c r="M57" s="195"/>
      <c r="N57" s="195"/>
      <c r="O57" s="195"/>
      <c r="P57" s="198"/>
      <c r="Q57" s="197"/>
    </row>
    <row r="58" spans="1:18" ht="45" customHeight="1" x14ac:dyDescent="0.3">
      <c r="E58" s="23"/>
      <c r="F58" s="560"/>
      <c r="G58" s="560"/>
      <c r="H58" s="148" t="s">
        <v>274</v>
      </c>
      <c r="I58" s="157" t="s">
        <v>275</v>
      </c>
      <c r="J58" s="102">
        <v>2</v>
      </c>
      <c r="K58" s="82"/>
      <c r="L58" s="62"/>
      <c r="M58" s="195"/>
      <c r="N58" s="195"/>
      <c r="O58" s="195"/>
      <c r="P58" s="198"/>
      <c r="Q58" s="197"/>
    </row>
    <row r="59" spans="1:18" ht="45" customHeight="1" x14ac:dyDescent="0.3">
      <c r="E59" s="23"/>
      <c r="F59" s="561"/>
      <c r="G59" s="561"/>
      <c r="H59" s="148" t="s">
        <v>276</v>
      </c>
      <c r="I59" s="157" t="s">
        <v>277</v>
      </c>
      <c r="J59" s="102">
        <v>1</v>
      </c>
      <c r="K59" s="82"/>
      <c r="L59" s="62"/>
      <c r="M59" s="195"/>
      <c r="N59" s="195"/>
      <c r="O59" s="195"/>
      <c r="P59" s="198"/>
      <c r="Q59" s="197"/>
    </row>
    <row r="60" spans="1:18" ht="45" customHeight="1" x14ac:dyDescent="0.3">
      <c r="E60" s="39"/>
      <c r="F60" s="39" t="s">
        <v>54</v>
      </c>
      <c r="G60" s="39"/>
      <c r="H60" s="40"/>
      <c r="I60" s="39"/>
      <c r="J60" s="40">
        <f>SUM(J55:J59)</f>
        <v>10</v>
      </c>
      <c r="K60" s="40">
        <f>SUM(K55:K59)</f>
        <v>0</v>
      </c>
      <c r="L60" s="26" t="str">
        <f>IF(K60&gt;J60,"!","")</f>
        <v/>
      </c>
      <c r="M60" s="197"/>
      <c r="N60" s="189"/>
      <c r="O60" s="189"/>
      <c r="P60" s="198"/>
      <c r="Q60" s="197"/>
    </row>
    <row r="61" spans="1:18" ht="45" customHeight="1" x14ac:dyDescent="0.3">
      <c r="L61" s="66"/>
      <c r="M61" s="200"/>
      <c r="P61" s="198"/>
      <c r="Q61" s="197"/>
    </row>
    <row r="62" spans="1:18" ht="45" customHeight="1" x14ac:dyDescent="0.3">
      <c r="E62" s="21"/>
      <c r="F62" s="254" t="s">
        <v>284</v>
      </c>
      <c r="G62" s="67"/>
      <c r="H62" s="68"/>
      <c r="I62" s="67"/>
      <c r="J62" s="49">
        <f>12-SUM(B63:B68)</f>
        <v>12</v>
      </c>
      <c r="K62" s="49"/>
      <c r="L62" s="19"/>
      <c r="M62" s="194"/>
      <c r="N62" s="194"/>
      <c r="O62" s="194"/>
      <c r="P62" s="198"/>
      <c r="Q62" s="197"/>
      <c r="R62" s="28" t="s">
        <v>190</v>
      </c>
    </row>
    <row r="63" spans="1:18" ht="45" customHeight="1" x14ac:dyDescent="0.3">
      <c r="E63" s="23"/>
      <c r="F63" s="557" t="s">
        <v>106</v>
      </c>
      <c r="G63" s="558" t="s">
        <v>190</v>
      </c>
      <c r="H63" s="148" t="s">
        <v>388</v>
      </c>
      <c r="I63" s="157" t="s">
        <v>286</v>
      </c>
      <c r="J63" s="102">
        <f>IF(G63=R67,12,0)</f>
        <v>0</v>
      </c>
      <c r="K63" s="82"/>
      <c r="L63" s="62"/>
      <c r="M63" s="195"/>
      <c r="N63" s="195"/>
      <c r="O63" s="195"/>
      <c r="P63" s="198"/>
      <c r="Q63" s="197"/>
      <c r="R63" s="6" t="s">
        <v>186</v>
      </c>
    </row>
    <row r="64" spans="1:18" ht="45" customHeight="1" x14ac:dyDescent="0.3">
      <c r="E64" s="23"/>
      <c r="F64" s="547"/>
      <c r="G64" s="546"/>
      <c r="H64" s="148" t="s">
        <v>287</v>
      </c>
      <c r="I64" s="157" t="s">
        <v>288</v>
      </c>
      <c r="J64" s="102">
        <f>IF($G$63=$R$68,1,0)</f>
        <v>1</v>
      </c>
      <c r="K64" s="82"/>
      <c r="L64" s="62"/>
      <c r="M64" s="195"/>
      <c r="N64" s="195"/>
      <c r="O64" s="195"/>
      <c r="P64" s="189"/>
      <c r="Q64" s="189"/>
    </row>
    <row r="65" spans="1:18" ht="45" customHeight="1" x14ac:dyDescent="0.3">
      <c r="E65" s="23"/>
      <c r="F65" s="547"/>
      <c r="G65" s="546"/>
      <c r="H65" s="148" t="s">
        <v>289</v>
      </c>
      <c r="I65" s="157" t="s">
        <v>290</v>
      </c>
      <c r="J65" s="102">
        <f>IF($G$63=$R$68,1,0)</f>
        <v>1</v>
      </c>
      <c r="K65" s="82"/>
      <c r="L65" s="62"/>
      <c r="M65" s="195"/>
      <c r="N65" s="195"/>
      <c r="O65" s="195"/>
      <c r="P65" s="189"/>
      <c r="Q65" s="189"/>
    </row>
    <row r="66" spans="1:18" ht="45" customHeight="1" x14ac:dyDescent="0.3">
      <c r="E66" s="23"/>
      <c r="F66" s="547"/>
      <c r="G66" s="546"/>
      <c r="H66" s="148" t="s">
        <v>291</v>
      </c>
      <c r="I66" s="157" t="s">
        <v>292</v>
      </c>
      <c r="J66" s="102">
        <f>IF($G$63=$R$68,2,0)</f>
        <v>2</v>
      </c>
      <c r="K66" s="82"/>
      <c r="L66" s="62"/>
      <c r="M66" s="195"/>
      <c r="N66" s="195"/>
      <c r="O66" s="195"/>
      <c r="P66" s="258"/>
    </row>
    <row r="67" spans="1:18" ht="45" customHeight="1" x14ac:dyDescent="0.3">
      <c r="A67" s="141">
        <v>1</v>
      </c>
      <c r="B67" s="141">
        <f>IF(AND($G$63=$R$68,C67=TRUE),1,0)</f>
        <v>0</v>
      </c>
      <c r="C67" s="141" t="b">
        <v>0</v>
      </c>
      <c r="E67" s="23"/>
      <c r="F67" s="547"/>
      <c r="G67" s="546"/>
      <c r="H67" s="148" t="s">
        <v>107</v>
      </c>
      <c r="I67" s="157" t="s">
        <v>108</v>
      </c>
      <c r="J67" s="102">
        <f>IF(OR($G$63=$R$67,C67=TRUE),0,1)</f>
        <v>1</v>
      </c>
      <c r="K67" s="82"/>
      <c r="L67" s="62"/>
      <c r="M67" s="195"/>
      <c r="N67" s="195"/>
      <c r="O67" s="195"/>
      <c r="P67" s="198"/>
      <c r="Q67" s="197"/>
      <c r="R67" s="28" t="s">
        <v>186</v>
      </c>
    </row>
    <row r="68" spans="1:18" ht="45" customHeight="1" x14ac:dyDescent="0.3">
      <c r="A68" s="141">
        <v>1</v>
      </c>
      <c r="B68" s="141">
        <f>IF(AND($G$63=$R$68,C68=TRUE),1,0)</f>
        <v>0</v>
      </c>
      <c r="C68" s="141" t="b">
        <v>0</v>
      </c>
      <c r="E68" s="23"/>
      <c r="F68" s="548"/>
      <c r="G68" s="559"/>
      <c r="H68" s="148" t="s">
        <v>109</v>
      </c>
      <c r="I68" s="157" t="s">
        <v>110</v>
      </c>
      <c r="J68" s="102">
        <f>IF(OR($G$63=$R$67,C68=TRUE),0,1)</f>
        <v>1</v>
      </c>
      <c r="K68" s="82"/>
      <c r="L68" s="62"/>
      <c r="M68" s="195"/>
      <c r="N68" s="195"/>
      <c r="O68" s="195"/>
      <c r="P68" s="198"/>
      <c r="Q68" s="197"/>
      <c r="R68" s="28" t="s">
        <v>190</v>
      </c>
    </row>
    <row r="69" spans="1:18" ht="45" customHeight="1" x14ac:dyDescent="0.3">
      <c r="E69" s="39"/>
      <c r="F69" s="39" t="s">
        <v>54</v>
      </c>
      <c r="G69" s="39"/>
      <c r="H69" s="40"/>
      <c r="I69" s="39"/>
      <c r="J69" s="40">
        <f>SUM(J63:J68)</f>
        <v>6</v>
      </c>
      <c r="K69" s="40">
        <f>SUM(K63:K68)</f>
        <v>0</v>
      </c>
      <c r="L69" s="26" t="str">
        <f>IF(K69&gt;J69,"!","")</f>
        <v/>
      </c>
      <c r="M69" s="197"/>
      <c r="N69" s="189"/>
      <c r="O69" s="189"/>
      <c r="P69" s="198"/>
      <c r="Q69" s="197"/>
    </row>
    <row r="70" spans="1:18" ht="45" customHeight="1" x14ac:dyDescent="0.3">
      <c r="L70" s="66"/>
      <c r="M70" s="200"/>
      <c r="P70" s="198"/>
      <c r="Q70" s="197"/>
    </row>
    <row r="71" spans="1:18" ht="45" customHeight="1" x14ac:dyDescent="0.3">
      <c r="E71" s="21"/>
      <c r="F71" s="254" t="s">
        <v>293</v>
      </c>
      <c r="G71" s="67"/>
      <c r="H71" s="49"/>
      <c r="I71" s="67"/>
      <c r="J71" s="49">
        <f>14-SUM(B72:B83)</f>
        <v>14</v>
      </c>
      <c r="K71" s="49"/>
      <c r="L71" s="19"/>
      <c r="M71" s="194"/>
      <c r="N71" s="194"/>
      <c r="O71" s="194"/>
      <c r="P71" s="198"/>
      <c r="Q71" s="197"/>
    </row>
    <row r="72" spans="1:18" ht="45" customHeight="1" x14ac:dyDescent="0.3">
      <c r="E72" s="23"/>
      <c r="F72" s="543" t="s">
        <v>294</v>
      </c>
      <c r="G72" s="546" t="s">
        <v>300</v>
      </c>
      <c r="H72" s="104" t="s">
        <v>296</v>
      </c>
      <c r="I72" s="179" t="s">
        <v>297</v>
      </c>
      <c r="J72" s="81">
        <f>IF($G$72=$R$85,6,0)</f>
        <v>0</v>
      </c>
      <c r="K72" s="64"/>
      <c r="L72" s="62" t="str">
        <f>IF(SUM(K72:K73)&gt;7,"!", "")</f>
        <v/>
      </c>
      <c r="M72" s="195"/>
      <c r="N72" s="195"/>
      <c r="O72" s="195"/>
      <c r="P72" s="198"/>
      <c r="Q72" s="197"/>
    </row>
    <row r="73" spans="1:18" ht="45" customHeight="1" x14ac:dyDescent="0.3">
      <c r="E73" s="23"/>
      <c r="F73" s="544"/>
      <c r="G73" s="546"/>
      <c r="H73" s="104" t="s">
        <v>298</v>
      </c>
      <c r="I73" s="179" t="s">
        <v>299</v>
      </c>
      <c r="J73" s="81">
        <f>IF($G$72=$R$85,4,0)</f>
        <v>0</v>
      </c>
      <c r="K73" s="64"/>
      <c r="L73" s="62" t="str">
        <f>IF(SUM(K72:K73)&gt;7,"!", "")</f>
        <v/>
      </c>
      <c r="M73" s="195"/>
      <c r="N73" s="195"/>
      <c r="O73" s="195"/>
      <c r="P73" s="189"/>
      <c r="Q73" s="189"/>
    </row>
    <row r="74" spans="1:18" ht="45" customHeight="1" x14ac:dyDescent="0.3">
      <c r="E74" s="23"/>
      <c r="F74" s="544"/>
      <c r="G74" s="546"/>
      <c r="H74" s="104" t="s">
        <v>301</v>
      </c>
      <c r="I74" s="119" t="s">
        <v>302</v>
      </c>
      <c r="J74" s="81">
        <f>IF($G$72=$R$86,3,0)</f>
        <v>3</v>
      </c>
      <c r="K74" s="64"/>
      <c r="L74" s="587" t="str">
        <f>IF(SUM(K74:K77)&gt;5,"Error: the total number of points available for the 'Material Use' Pathway is 5. Please enter a points score less than or equal to 5.","")</f>
        <v/>
      </c>
      <c r="M74" s="195"/>
      <c r="N74" s="195"/>
      <c r="O74" s="195"/>
      <c r="Q74" s="201"/>
    </row>
    <row r="75" spans="1:18" ht="45" customHeight="1" x14ac:dyDescent="0.3">
      <c r="E75" s="23"/>
      <c r="F75" s="544"/>
      <c r="G75" s="546"/>
      <c r="H75" s="104" t="s">
        <v>303</v>
      </c>
      <c r="I75" s="119" t="s">
        <v>304</v>
      </c>
      <c r="J75" s="81">
        <f>IF($G$72=$R$86,1,0)</f>
        <v>1</v>
      </c>
      <c r="K75" s="64"/>
      <c r="L75" s="587"/>
      <c r="M75" s="195"/>
      <c r="N75" s="195"/>
      <c r="O75" s="195"/>
      <c r="P75" s="258"/>
    </row>
    <row r="76" spans="1:18" ht="45" customHeight="1" x14ac:dyDescent="0.3">
      <c r="E76" s="23"/>
      <c r="F76" s="544"/>
      <c r="G76" s="546"/>
      <c r="H76" s="104" t="s">
        <v>305</v>
      </c>
      <c r="I76" s="120" t="s">
        <v>306</v>
      </c>
      <c r="J76" s="81">
        <f>IF($G$72=$R$86,4,0)</f>
        <v>4</v>
      </c>
      <c r="K76" s="64"/>
      <c r="L76" s="587"/>
      <c r="M76" s="195"/>
      <c r="N76" s="195"/>
      <c r="O76" s="195"/>
      <c r="P76" s="198"/>
      <c r="Q76" s="197"/>
      <c r="R76" s="28" t="s">
        <v>186</v>
      </c>
    </row>
    <row r="77" spans="1:18" ht="45" customHeight="1" x14ac:dyDescent="0.3">
      <c r="A77" s="141">
        <v>4</v>
      </c>
      <c r="B77" s="141">
        <f t="shared" ref="B77:B80" si="3">IF(C77=TRUE,A77,0)</f>
        <v>0</v>
      </c>
      <c r="E77" s="23"/>
      <c r="F77" s="545"/>
      <c r="G77" s="546"/>
      <c r="H77" s="104" t="s">
        <v>305</v>
      </c>
      <c r="I77" s="179" t="s">
        <v>308</v>
      </c>
      <c r="J77" s="81">
        <f>IF($G$72=$R$86,3,0)</f>
        <v>3</v>
      </c>
      <c r="K77" s="64"/>
      <c r="L77" s="587"/>
      <c r="M77" s="195"/>
      <c r="N77" s="195"/>
      <c r="O77" s="195"/>
      <c r="P77" s="198"/>
      <c r="Q77" s="197"/>
      <c r="R77" s="28" t="s">
        <v>190</v>
      </c>
    </row>
    <row r="78" spans="1:18" ht="45" customHeight="1" x14ac:dyDescent="0.3">
      <c r="A78" s="141">
        <v>1</v>
      </c>
      <c r="B78" s="141">
        <f t="shared" si="3"/>
        <v>0</v>
      </c>
      <c r="C78" s="141" t="b">
        <v>0</v>
      </c>
      <c r="E78" s="23"/>
      <c r="F78" s="533" t="s">
        <v>111</v>
      </c>
      <c r="G78" s="531" t="s">
        <v>309</v>
      </c>
      <c r="H78" s="118">
        <v>20.100000000000001</v>
      </c>
      <c r="I78" s="117" t="s">
        <v>112</v>
      </c>
      <c r="J78" s="81">
        <f>IF(C78=TRUE,0,1)</f>
        <v>1</v>
      </c>
      <c r="K78" s="54"/>
      <c r="L78" s="62"/>
      <c r="M78" s="195"/>
      <c r="N78" s="195"/>
      <c r="O78" s="195"/>
      <c r="P78" s="198"/>
      <c r="Q78" s="197"/>
    </row>
    <row r="79" spans="1:18" ht="45" customHeight="1" x14ac:dyDescent="0.3">
      <c r="A79" s="141">
        <v>1</v>
      </c>
      <c r="B79" s="141">
        <f t="shared" si="3"/>
        <v>0</v>
      </c>
      <c r="C79" s="141" t="b">
        <v>0</v>
      </c>
      <c r="E79" s="23"/>
      <c r="F79" s="534"/>
      <c r="G79" s="535"/>
      <c r="H79" s="118">
        <v>20.2</v>
      </c>
      <c r="I79" s="117" t="s">
        <v>310</v>
      </c>
      <c r="J79" s="81">
        <f t="shared" ref="J79:J80" si="4">IF(C79=TRUE,0,1)</f>
        <v>1</v>
      </c>
      <c r="K79" s="54"/>
      <c r="L79" s="26"/>
      <c r="M79" s="195"/>
      <c r="N79" s="195"/>
      <c r="O79" s="195"/>
      <c r="P79" s="198"/>
      <c r="Q79" s="197"/>
    </row>
    <row r="80" spans="1:18" ht="45" customHeight="1" x14ac:dyDescent="0.3">
      <c r="A80" s="141">
        <v>1</v>
      </c>
      <c r="B80" s="141">
        <f t="shared" si="3"/>
        <v>0</v>
      </c>
      <c r="C80" s="141" t="b">
        <v>0</v>
      </c>
      <c r="E80" s="23"/>
      <c r="F80" s="527"/>
      <c r="G80" s="536"/>
      <c r="H80" s="118">
        <v>20.3</v>
      </c>
      <c r="I80" s="117" t="s">
        <v>114</v>
      </c>
      <c r="J80" s="81">
        <f t="shared" si="4"/>
        <v>1</v>
      </c>
      <c r="K80" s="54"/>
      <c r="L80" s="26"/>
      <c r="M80" s="195"/>
      <c r="N80" s="195"/>
      <c r="O80" s="195"/>
      <c r="P80" s="198"/>
      <c r="Q80" s="197"/>
    </row>
    <row r="81" spans="1:18" ht="45" customHeight="1" x14ac:dyDescent="0.3">
      <c r="E81" s="23"/>
      <c r="F81" s="173" t="s">
        <v>311</v>
      </c>
      <c r="G81" s="256" t="s">
        <v>312</v>
      </c>
      <c r="H81" s="263">
        <v>21</v>
      </c>
      <c r="I81" s="117" t="s">
        <v>313</v>
      </c>
      <c r="J81" s="81">
        <v>3</v>
      </c>
      <c r="K81" s="54"/>
      <c r="L81" s="19"/>
      <c r="M81" s="195"/>
      <c r="N81" s="195"/>
      <c r="O81" s="195"/>
      <c r="P81" s="198"/>
      <c r="Q81" s="197"/>
    </row>
    <row r="82" spans="1:18" ht="45" customHeight="1" x14ac:dyDescent="0.3">
      <c r="E82" s="23"/>
      <c r="F82" s="533" t="s">
        <v>314</v>
      </c>
      <c r="G82" s="541" t="s">
        <v>316</v>
      </c>
      <c r="H82" s="185" t="s">
        <v>389</v>
      </c>
      <c r="I82" s="117" t="s">
        <v>316</v>
      </c>
      <c r="J82" s="81">
        <f>IF(G82=R94,1,"0")</f>
        <v>1</v>
      </c>
      <c r="K82" s="54"/>
      <c r="L82" s="19"/>
      <c r="M82" s="195"/>
      <c r="N82" s="195"/>
      <c r="O82" s="195"/>
      <c r="P82" s="189"/>
      <c r="Q82" s="189"/>
    </row>
    <row r="83" spans="1:18" ht="45" customHeight="1" x14ac:dyDescent="0.3">
      <c r="E83" s="23"/>
      <c r="F83" s="527"/>
      <c r="G83" s="542"/>
      <c r="H83" s="185" t="s">
        <v>390</v>
      </c>
      <c r="I83" s="256" t="s">
        <v>319</v>
      </c>
      <c r="J83" s="81" t="str">
        <f>IF(G82=R95,1,"0")</f>
        <v>0</v>
      </c>
      <c r="K83" s="54"/>
      <c r="L83" s="26"/>
      <c r="M83" s="195"/>
      <c r="N83" s="195"/>
      <c r="O83" s="195"/>
      <c r="Q83" s="201"/>
    </row>
    <row r="84" spans="1:18" ht="45" customHeight="1" x14ac:dyDescent="0.3">
      <c r="E84" s="39"/>
      <c r="F84" s="39" t="s">
        <v>54</v>
      </c>
      <c r="G84" s="39"/>
      <c r="H84" s="40"/>
      <c r="I84" s="39"/>
      <c r="J84" s="40">
        <f>IF(G72=R86,12,14)</f>
        <v>12</v>
      </c>
      <c r="K84" s="40">
        <f>SUM(K72:K83)</f>
        <v>0</v>
      </c>
      <c r="L84" s="26" t="str">
        <f>IF(K84&gt;J84,"!","")</f>
        <v/>
      </c>
      <c r="M84" s="197"/>
      <c r="N84" s="189"/>
      <c r="O84" s="189"/>
      <c r="P84" s="258"/>
      <c r="R84" s="4"/>
    </row>
    <row r="85" spans="1:18" ht="45" customHeight="1" x14ac:dyDescent="0.3">
      <c r="L85" s="66"/>
      <c r="M85" s="200"/>
      <c r="P85" s="198"/>
      <c r="Q85" s="197"/>
      <c r="R85" s="28" t="s">
        <v>295</v>
      </c>
    </row>
    <row r="86" spans="1:18" ht="45" customHeight="1" x14ac:dyDescent="0.3">
      <c r="E86" s="21"/>
      <c r="F86" s="525" t="s">
        <v>320</v>
      </c>
      <c r="G86" s="525"/>
      <c r="H86" s="525"/>
      <c r="I86" s="525"/>
      <c r="J86" s="49">
        <f>5-SUM(B87:B91)</f>
        <v>5</v>
      </c>
      <c r="K86" s="49"/>
      <c r="L86" s="19"/>
      <c r="M86" s="194"/>
      <c r="N86" s="194"/>
      <c r="O86" s="194"/>
      <c r="P86" s="198"/>
      <c r="Q86" s="197"/>
      <c r="R86" s="6" t="s">
        <v>300</v>
      </c>
    </row>
    <row r="87" spans="1:18" ht="45" customHeight="1" x14ac:dyDescent="0.3">
      <c r="E87" s="23"/>
      <c r="F87" s="527" t="s">
        <v>321</v>
      </c>
      <c r="G87" s="529" t="s">
        <v>322</v>
      </c>
      <c r="H87" s="83">
        <v>23</v>
      </c>
      <c r="I87" s="84" t="s">
        <v>391</v>
      </c>
      <c r="J87" s="259" t="s">
        <v>185</v>
      </c>
      <c r="K87" s="85"/>
      <c r="L87" s="62"/>
      <c r="M87" s="195"/>
      <c r="N87" s="195"/>
      <c r="O87" s="195"/>
      <c r="P87" s="198"/>
      <c r="Q87" s="197"/>
    </row>
    <row r="88" spans="1:18" ht="45" customHeight="1" x14ac:dyDescent="0.3">
      <c r="E88" s="23"/>
      <c r="F88" s="528"/>
      <c r="G88" s="530"/>
      <c r="H88" s="32">
        <v>23.1</v>
      </c>
      <c r="I88" s="52" t="s">
        <v>321</v>
      </c>
      <c r="J88" s="24">
        <v>3</v>
      </c>
      <c r="K88" s="64"/>
      <c r="L88" s="26" t="str">
        <f>IF(AND(K88&gt;0,$K87&lt;&gt;$AD$8),"!","")</f>
        <v/>
      </c>
      <c r="M88" s="195"/>
      <c r="N88" s="195"/>
      <c r="O88" s="195"/>
      <c r="P88" s="198"/>
      <c r="Q88" s="197"/>
    </row>
    <row r="89" spans="1:18" ht="45" customHeight="1" x14ac:dyDescent="0.3">
      <c r="E89" s="23"/>
      <c r="F89" s="528" t="s">
        <v>115</v>
      </c>
      <c r="G89" s="531" t="s">
        <v>323</v>
      </c>
      <c r="H89" s="32">
        <v>24</v>
      </c>
      <c r="I89" s="86" t="s">
        <v>259</v>
      </c>
      <c r="J89" s="185" t="s">
        <v>259</v>
      </c>
      <c r="K89" s="64"/>
      <c r="L89" s="62"/>
      <c r="M89" s="195"/>
      <c r="N89" s="195"/>
      <c r="O89" s="195"/>
      <c r="P89" s="198"/>
      <c r="Q89" s="197"/>
    </row>
    <row r="90" spans="1:18" ht="45" customHeight="1" x14ac:dyDescent="0.3">
      <c r="E90" s="23"/>
      <c r="F90" s="528"/>
      <c r="G90" s="529"/>
      <c r="H90" s="32">
        <v>24.1</v>
      </c>
      <c r="I90" s="86" t="s">
        <v>325</v>
      </c>
      <c r="J90" s="24">
        <v>1</v>
      </c>
      <c r="K90" s="64"/>
      <c r="L90" s="26" t="str">
        <f>IF(AND(K90&gt;0,$K$89&lt;&gt;$AD$8),"!","")</f>
        <v/>
      </c>
      <c r="M90" s="195"/>
      <c r="N90" s="195"/>
      <c r="O90" s="195"/>
      <c r="P90" s="198"/>
      <c r="Q90" s="197"/>
    </row>
    <row r="91" spans="1:18" ht="45" customHeight="1" x14ac:dyDescent="0.3">
      <c r="A91" s="141">
        <v>1</v>
      </c>
      <c r="B91" s="141">
        <f t="shared" ref="B91" si="5">IF(C91=TRUE,A91,0)</f>
        <v>0</v>
      </c>
      <c r="C91" s="141" t="b">
        <v>0</v>
      </c>
      <c r="E91" s="23"/>
      <c r="F91" s="528"/>
      <c r="G91" s="530"/>
      <c r="H91" s="32">
        <v>24.2</v>
      </c>
      <c r="I91" s="86" t="s">
        <v>116</v>
      </c>
      <c r="J91" s="24">
        <f>IF(C91=FALSE,1,0)</f>
        <v>1</v>
      </c>
      <c r="K91" s="64"/>
      <c r="L91" s="26" t="str">
        <f>IF(AND(K91&gt;0,$K$89&lt;&gt;$AD$8),"!","")</f>
        <v/>
      </c>
      <c r="M91" s="195"/>
      <c r="N91" s="195"/>
      <c r="O91" s="195"/>
      <c r="P91" s="198"/>
      <c r="Q91" s="197"/>
    </row>
    <row r="92" spans="1:18" ht="45" customHeight="1" x14ac:dyDescent="0.3">
      <c r="E92" s="39"/>
      <c r="F92" s="39" t="s">
        <v>54</v>
      </c>
      <c r="G92" s="39"/>
      <c r="H92" s="40"/>
      <c r="I92" s="39"/>
      <c r="J92" s="40">
        <f>SUM(J87:J91)</f>
        <v>5</v>
      </c>
      <c r="K92" s="40">
        <f>SUM(K87:K91)</f>
        <v>0</v>
      </c>
      <c r="L92" s="26" t="str">
        <f>IF(K92&gt;J92,"!","")</f>
        <v/>
      </c>
      <c r="P92" s="198"/>
      <c r="Q92" s="197"/>
    </row>
    <row r="93" spans="1:18" ht="45" customHeight="1" x14ac:dyDescent="0.3">
      <c r="L93" s="66"/>
      <c r="P93" s="198"/>
      <c r="Q93" s="197"/>
    </row>
    <row r="94" spans="1:18" ht="45" customHeight="1" x14ac:dyDescent="0.3">
      <c r="E94" s="21"/>
      <c r="F94" s="525" t="s">
        <v>326</v>
      </c>
      <c r="G94" s="525"/>
      <c r="H94" s="525"/>
      <c r="I94" s="525"/>
      <c r="J94" s="49">
        <f>5-SUM(B95:B100)</f>
        <v>5</v>
      </c>
      <c r="K94" s="49"/>
      <c r="L94" s="19"/>
      <c r="M94" s="194"/>
      <c r="N94" s="194"/>
      <c r="O94" s="194"/>
      <c r="P94" s="198"/>
      <c r="Q94" s="197"/>
      <c r="R94" s="6" t="s">
        <v>316</v>
      </c>
    </row>
    <row r="95" spans="1:18" ht="45" customHeight="1" x14ac:dyDescent="0.3">
      <c r="E95" s="23"/>
      <c r="F95" s="527" t="s">
        <v>327</v>
      </c>
      <c r="G95" s="529" t="s">
        <v>328</v>
      </c>
      <c r="H95" s="83">
        <v>26.1</v>
      </c>
      <c r="I95" s="52" t="s">
        <v>329</v>
      </c>
      <c r="J95" s="30">
        <v>1</v>
      </c>
      <c r="K95" s="85"/>
      <c r="L95" s="62"/>
      <c r="M95" s="195"/>
      <c r="N95" s="195"/>
      <c r="O95" s="195"/>
      <c r="P95" s="198"/>
      <c r="Q95" s="197"/>
      <c r="R95" s="6" t="s">
        <v>319</v>
      </c>
    </row>
    <row r="96" spans="1:18" ht="45" customHeight="1" x14ac:dyDescent="0.3">
      <c r="E96" s="23"/>
      <c r="F96" s="528"/>
      <c r="G96" s="530"/>
      <c r="H96" s="32">
        <v>26.2</v>
      </c>
      <c r="I96" s="52" t="s">
        <v>330</v>
      </c>
      <c r="J96" s="24">
        <v>1</v>
      </c>
      <c r="K96" s="64"/>
      <c r="L96" s="62"/>
      <c r="M96" s="195"/>
      <c r="N96" s="195"/>
      <c r="O96" s="195"/>
      <c r="P96" s="189"/>
      <c r="Q96" s="189"/>
    </row>
    <row r="97" spans="2:17" ht="45" customHeight="1" x14ac:dyDescent="0.3">
      <c r="E97" s="23"/>
      <c r="F97" s="528" t="s">
        <v>331</v>
      </c>
      <c r="G97" s="531" t="s">
        <v>332</v>
      </c>
      <c r="H97" s="32">
        <v>27</v>
      </c>
      <c r="I97" s="86" t="s">
        <v>333</v>
      </c>
      <c r="J97" s="185" t="s">
        <v>185</v>
      </c>
      <c r="K97" s="64"/>
      <c r="L97" s="62"/>
      <c r="M97" s="195"/>
      <c r="N97" s="195"/>
      <c r="O97" s="195"/>
      <c r="Q97" s="201"/>
    </row>
    <row r="98" spans="2:17" ht="45" customHeight="1" x14ac:dyDescent="0.3">
      <c r="E98" s="23"/>
      <c r="F98" s="528"/>
      <c r="G98" s="530"/>
      <c r="H98" s="34">
        <v>27.1</v>
      </c>
      <c r="I98" s="86" t="s">
        <v>334</v>
      </c>
      <c r="J98" s="24">
        <v>1</v>
      </c>
      <c r="K98" s="64"/>
      <c r="L98" s="26" t="str">
        <f>IF(AND(K98&gt;0,$K97&lt;&gt;$AD$8),"!","")</f>
        <v/>
      </c>
      <c r="M98" s="195"/>
      <c r="N98" s="195"/>
      <c r="O98" s="195"/>
      <c r="P98" s="258"/>
    </row>
    <row r="99" spans="2:17" ht="45" customHeight="1" x14ac:dyDescent="0.3">
      <c r="E99" s="23"/>
      <c r="F99" s="173" t="s">
        <v>335</v>
      </c>
      <c r="G99" s="256" t="s">
        <v>336</v>
      </c>
      <c r="H99" s="32">
        <v>28</v>
      </c>
      <c r="I99" s="55" t="s">
        <v>337</v>
      </c>
      <c r="J99" s="24">
        <v>1</v>
      </c>
      <c r="K99" s="64"/>
      <c r="L99" s="62"/>
      <c r="M99" s="195"/>
      <c r="N99" s="195"/>
      <c r="O99" s="195"/>
      <c r="P99" s="198"/>
      <c r="Q99" s="197"/>
    </row>
    <row r="100" spans="2:17" ht="45" customHeight="1" x14ac:dyDescent="0.3">
      <c r="E100" s="23"/>
      <c r="F100" s="90" t="s">
        <v>338</v>
      </c>
      <c r="G100" s="257" t="s">
        <v>339</v>
      </c>
      <c r="H100" s="87">
        <v>29</v>
      </c>
      <c r="I100" s="55" t="s">
        <v>340</v>
      </c>
      <c r="J100" s="56">
        <v>1</v>
      </c>
      <c r="K100" s="89"/>
      <c r="L100" s="62"/>
      <c r="M100" s="195"/>
      <c r="N100" s="195"/>
      <c r="O100" s="195"/>
      <c r="P100" s="198"/>
      <c r="Q100" s="197"/>
    </row>
    <row r="101" spans="2:17" ht="45" customHeight="1" x14ac:dyDescent="0.3">
      <c r="E101" s="39"/>
      <c r="F101" s="39" t="s">
        <v>54</v>
      </c>
      <c r="G101" s="39"/>
      <c r="H101" s="40"/>
      <c r="I101" s="39"/>
      <c r="J101" s="40">
        <f>SUM(J95:J100)</f>
        <v>5</v>
      </c>
      <c r="K101" s="40">
        <f>SUM(K95:K100)</f>
        <v>0</v>
      </c>
      <c r="L101" s="26" t="str">
        <f>IF(K101&gt;J101,"!","")</f>
        <v/>
      </c>
      <c r="M101" s="203"/>
      <c r="N101" s="189"/>
      <c r="O101" s="189"/>
      <c r="P101" s="198"/>
      <c r="Q101" s="197"/>
    </row>
    <row r="102" spans="2:17" ht="45" customHeight="1" x14ac:dyDescent="0.3">
      <c r="F102" s="57"/>
      <c r="G102" s="57"/>
      <c r="H102" s="1"/>
      <c r="I102" s="57"/>
      <c r="J102" s="1"/>
      <c r="K102" s="1"/>
      <c r="L102" s="19"/>
      <c r="M102" s="204"/>
      <c r="N102" s="189"/>
      <c r="O102" s="189"/>
      <c r="P102" s="198"/>
      <c r="Q102" s="197"/>
    </row>
    <row r="103" spans="2:17" ht="45" customHeight="1" x14ac:dyDescent="0.3">
      <c r="E103" s="21"/>
      <c r="F103" s="525" t="s">
        <v>341</v>
      </c>
      <c r="G103" s="525"/>
      <c r="H103" s="525"/>
      <c r="I103" s="525"/>
      <c r="J103" s="49">
        <v>10</v>
      </c>
      <c r="K103" s="91"/>
      <c r="L103" s="19"/>
      <c r="M103" s="194"/>
      <c r="N103" s="194"/>
      <c r="O103" s="194"/>
      <c r="P103" s="258"/>
    </row>
    <row r="104" spans="2:17" ht="45" customHeight="1" x14ac:dyDescent="0.3">
      <c r="E104" s="23"/>
      <c r="F104" s="174" t="s">
        <v>342</v>
      </c>
      <c r="G104" s="93" t="s">
        <v>392</v>
      </c>
      <c r="H104" s="30" t="s">
        <v>393</v>
      </c>
      <c r="I104" s="177" t="s">
        <v>342</v>
      </c>
      <c r="J104" s="526">
        <v>10</v>
      </c>
      <c r="K104" s="85"/>
      <c r="L104" s="62"/>
      <c r="M104" s="195"/>
      <c r="N104" s="195"/>
      <c r="O104" s="195"/>
      <c r="P104" s="198"/>
      <c r="Q104" s="197"/>
    </row>
    <row r="105" spans="2:17" ht="45" customHeight="1" x14ac:dyDescent="0.3">
      <c r="E105" s="23"/>
      <c r="F105" s="173" t="s">
        <v>344</v>
      </c>
      <c r="G105" s="38" t="s">
        <v>394</v>
      </c>
      <c r="H105" s="24" t="s">
        <v>395</v>
      </c>
      <c r="I105" s="33" t="s">
        <v>344</v>
      </c>
      <c r="J105" s="526"/>
      <c r="K105" s="85"/>
      <c r="L105" s="62"/>
      <c r="M105" s="195"/>
      <c r="N105" s="195"/>
      <c r="O105" s="195"/>
      <c r="P105" s="198"/>
      <c r="Q105" s="197"/>
    </row>
    <row r="106" spans="2:17" ht="45" customHeight="1" x14ac:dyDescent="0.3">
      <c r="E106" s="23"/>
      <c r="F106" s="173" t="s">
        <v>346</v>
      </c>
      <c r="G106" s="38" t="s">
        <v>396</v>
      </c>
      <c r="H106" s="24" t="s">
        <v>397</v>
      </c>
      <c r="I106" s="33" t="s">
        <v>346</v>
      </c>
      <c r="J106" s="526"/>
      <c r="K106" s="85"/>
      <c r="L106" s="62"/>
      <c r="M106" s="195"/>
      <c r="N106" s="195"/>
      <c r="O106" s="195"/>
      <c r="P106" s="198"/>
      <c r="Q106" s="197"/>
    </row>
    <row r="107" spans="2:17" ht="45" customHeight="1" x14ac:dyDescent="0.3">
      <c r="E107" s="23"/>
      <c r="F107" s="173" t="s">
        <v>348</v>
      </c>
      <c r="G107" s="38" t="s">
        <v>398</v>
      </c>
      <c r="H107" s="24" t="s">
        <v>399</v>
      </c>
      <c r="I107" s="33" t="s">
        <v>348</v>
      </c>
      <c r="J107" s="526"/>
      <c r="K107" s="85"/>
      <c r="L107" s="62"/>
      <c r="M107" s="195"/>
      <c r="N107" s="195"/>
      <c r="O107" s="195"/>
      <c r="P107" s="198"/>
      <c r="Q107" s="197"/>
    </row>
    <row r="108" spans="2:17" ht="45" customHeight="1" x14ac:dyDescent="0.3">
      <c r="E108" s="23"/>
      <c r="F108" s="175" t="s">
        <v>350</v>
      </c>
      <c r="G108" s="94" t="s">
        <v>400</v>
      </c>
      <c r="H108" s="56" t="s">
        <v>401</v>
      </c>
      <c r="I108" s="176" t="s">
        <v>350</v>
      </c>
      <c r="J108" s="526"/>
      <c r="K108" s="85"/>
      <c r="L108" s="62"/>
      <c r="M108" s="195"/>
      <c r="N108" s="195"/>
      <c r="O108" s="195"/>
      <c r="P108" s="198"/>
      <c r="Q108" s="197"/>
    </row>
    <row r="109" spans="2:17" ht="45" customHeight="1" x14ac:dyDescent="0.3">
      <c r="E109" s="39"/>
      <c r="F109" s="39" t="s">
        <v>54</v>
      </c>
      <c r="G109" s="39"/>
      <c r="H109" s="40"/>
      <c r="I109" s="39"/>
      <c r="J109" s="40">
        <f>SUM(J104)</f>
        <v>10</v>
      </c>
      <c r="K109" s="40">
        <f>IF(SUM(K104:K108)&gt;10,10,SUM(K104:K108))</f>
        <v>0</v>
      </c>
      <c r="L109" s="26" t="str">
        <f>IF(K109&gt;J109,"!","")</f>
        <v/>
      </c>
    </row>
    <row r="110" spans="2:17" ht="45" customHeight="1" x14ac:dyDescent="0.3">
      <c r="F110" s="57"/>
      <c r="G110" s="57"/>
      <c r="H110" s="1"/>
      <c r="I110" s="57"/>
      <c r="J110" s="1"/>
      <c r="K110" s="1"/>
      <c r="L110" s="4"/>
    </row>
    <row r="111" spans="2:17" ht="45" customHeight="1" x14ac:dyDescent="0.3">
      <c r="B111" s="144" t="s">
        <v>352</v>
      </c>
      <c r="F111" s="109"/>
      <c r="G111" s="109"/>
      <c r="H111" s="42"/>
      <c r="I111" s="106" t="s">
        <v>353</v>
      </c>
      <c r="J111" s="9" t="s">
        <v>354</v>
      </c>
      <c r="K111" s="9" t="s">
        <v>355</v>
      </c>
      <c r="L111" s="121"/>
      <c r="M111" s="194"/>
      <c r="N111" s="194"/>
      <c r="O111" s="194"/>
      <c r="P111" s="202"/>
    </row>
    <row r="112" spans="2:17" ht="45" customHeight="1" x14ac:dyDescent="0.3">
      <c r="B112" s="141">
        <f>SUM(B7:B102)</f>
        <v>0</v>
      </c>
      <c r="F112" s="17"/>
      <c r="G112" s="17"/>
      <c r="H112" s="1"/>
      <c r="I112" s="18" t="s">
        <v>358</v>
      </c>
      <c r="J112" s="112">
        <f>100-B112</f>
        <v>100</v>
      </c>
      <c r="K112" s="113">
        <f>K25+K45+K52+K60+K69+K84+K92+K101</f>
        <v>0</v>
      </c>
      <c r="M112" s="195"/>
      <c r="N112" s="195"/>
      <c r="O112" s="195"/>
      <c r="P112" s="189"/>
    </row>
    <row r="113" spans="6:16" ht="45" customHeight="1" x14ac:dyDescent="0.3">
      <c r="F113" s="17"/>
      <c r="G113" s="17"/>
      <c r="H113" s="122"/>
      <c r="I113" s="18" t="s">
        <v>359</v>
      </c>
      <c r="J113" s="110"/>
      <c r="K113" s="125">
        <f>K112/J112*100</f>
        <v>0</v>
      </c>
      <c r="L113" s="107"/>
      <c r="M113" s="195"/>
      <c r="N113" s="195"/>
      <c r="O113" s="195"/>
      <c r="P113" s="189"/>
    </row>
    <row r="114" spans="6:16" ht="45" customHeight="1" x14ac:dyDescent="0.3">
      <c r="F114" s="17"/>
      <c r="G114" s="17"/>
      <c r="H114" s="1"/>
      <c r="I114" s="18" t="s">
        <v>360</v>
      </c>
      <c r="J114" s="112">
        <v>10</v>
      </c>
      <c r="K114" s="113">
        <f>K109</f>
        <v>0</v>
      </c>
      <c r="L114" s="108"/>
      <c r="M114" s="195"/>
      <c r="N114" s="195"/>
      <c r="O114" s="195"/>
      <c r="P114" s="189"/>
    </row>
    <row r="115" spans="6:16" ht="45" customHeight="1" x14ac:dyDescent="0.3">
      <c r="I115" s="18" t="s">
        <v>361</v>
      </c>
      <c r="J115" s="111"/>
      <c r="K115" s="125">
        <f>K113+K114</f>
        <v>0</v>
      </c>
      <c r="M115" s="195"/>
      <c r="N115" s="195"/>
      <c r="O115" s="195"/>
    </row>
    <row r="120" spans="6:16" hidden="1" x14ac:dyDescent="0.3"/>
    <row r="121" spans="6:16" hidden="1" x14ac:dyDescent="0.3"/>
    <row r="122" spans="6:16" hidden="1" x14ac:dyDescent="0.3"/>
    <row r="123" spans="6:16" hidden="1" x14ac:dyDescent="0.3"/>
    <row r="124" spans="6:16" hidden="1" x14ac:dyDescent="0.3"/>
    <row r="125" spans="6:16" hidden="1" x14ac:dyDescent="0.3"/>
  </sheetData>
  <sheetProtection algorithmName="SHA-512" hashValue="XTiDBQ8+2+wVgwXZ7QS5zph2GEujf6VRcQtlVB3zVDwC9MPIkUcYO0mN9uGLv6g76WwW00yMIDXof1wR0BSmUA==" saltValue="ILIgPiCTfNtXtI24bKPITQ==" spinCount="100000" sheet="1" objects="1" scenarios="1"/>
  <mergeCells count="56">
    <mergeCell ref="L74:L77"/>
    <mergeCell ref="F50:F51"/>
    <mergeCell ref="G50:G51"/>
    <mergeCell ref="F55:F59"/>
    <mergeCell ref="G55:G59"/>
    <mergeCell ref="F13:F14"/>
    <mergeCell ref="G13:G14"/>
    <mergeCell ref="F16:F17"/>
    <mergeCell ref="G16:G17"/>
    <mergeCell ref="F18:F19"/>
    <mergeCell ref="G18:G19"/>
    <mergeCell ref="F1:I1"/>
    <mergeCell ref="G2:H2"/>
    <mergeCell ref="G3:H3"/>
    <mergeCell ref="F8:F12"/>
    <mergeCell ref="G8:G12"/>
    <mergeCell ref="F20:F22"/>
    <mergeCell ref="G20:G22"/>
    <mergeCell ref="F23:F24"/>
    <mergeCell ref="F34:F37"/>
    <mergeCell ref="G34:G37"/>
    <mergeCell ref="F38:F40"/>
    <mergeCell ref="G38:G40"/>
    <mergeCell ref="G23:G24"/>
    <mergeCell ref="F27:I27"/>
    <mergeCell ref="F28:F30"/>
    <mergeCell ref="G28:G30"/>
    <mergeCell ref="F31:F33"/>
    <mergeCell ref="G31:G33"/>
    <mergeCell ref="F41:F42"/>
    <mergeCell ref="G41:G42"/>
    <mergeCell ref="F63:F68"/>
    <mergeCell ref="G63:G68"/>
    <mergeCell ref="F72:F77"/>
    <mergeCell ref="G72:G77"/>
    <mergeCell ref="F43:F44"/>
    <mergeCell ref="G43:G44"/>
    <mergeCell ref="F47:I47"/>
    <mergeCell ref="F48:F49"/>
    <mergeCell ref="G48:G49"/>
    <mergeCell ref="F78:F80"/>
    <mergeCell ref="G78:G80"/>
    <mergeCell ref="J104:J108"/>
    <mergeCell ref="F103:I103"/>
    <mergeCell ref="F89:F91"/>
    <mergeCell ref="G89:G91"/>
    <mergeCell ref="F94:I94"/>
    <mergeCell ref="F95:F96"/>
    <mergeCell ref="G95:G96"/>
    <mergeCell ref="G97:G98"/>
    <mergeCell ref="F82:F83"/>
    <mergeCell ref="G82:G83"/>
    <mergeCell ref="F86:I86"/>
    <mergeCell ref="F87:F88"/>
    <mergeCell ref="G87:G88"/>
    <mergeCell ref="F97:F98"/>
  </mergeCells>
  <conditionalFormatting sqref="E28:E44">
    <cfRule type="expression" dxfId="85" priority="13">
      <formula>$C28=TRUE</formula>
    </cfRule>
  </conditionalFormatting>
  <conditionalFormatting sqref="E63:E68">
    <cfRule type="expression" dxfId="84" priority="11">
      <formula>$C63=TRUE</formula>
    </cfRule>
  </conditionalFormatting>
  <conditionalFormatting sqref="E72:E83">
    <cfRule type="expression" dxfId="83" priority="10">
      <formula>$C72=TRUE</formula>
    </cfRule>
  </conditionalFormatting>
  <conditionalFormatting sqref="E95:E100">
    <cfRule type="expression" dxfId="82" priority="9">
      <formula>$C95=TRUE</formula>
    </cfRule>
  </conditionalFormatting>
  <conditionalFormatting sqref="E104:E108">
    <cfRule type="expression" dxfId="81" priority="5">
      <formula>$C104=TRUE</formula>
    </cfRule>
  </conditionalFormatting>
  <conditionalFormatting sqref="G52">
    <cfRule type="expression" dxfId="80" priority="44">
      <formula>$J$51=0</formula>
    </cfRule>
  </conditionalFormatting>
  <conditionalFormatting sqref="H26:J26">
    <cfRule type="expression" dxfId="79" priority="45">
      <formula>#REF!=0</formula>
    </cfRule>
  </conditionalFormatting>
  <conditionalFormatting sqref="H29:J33">
    <cfRule type="expression" dxfId="78" priority="30">
      <formula>$C29=TRUE</formula>
    </cfRule>
  </conditionalFormatting>
  <conditionalFormatting sqref="H35:J37">
    <cfRule type="expression" dxfId="77" priority="29">
      <formula>$C35=TRUE</formula>
    </cfRule>
  </conditionalFormatting>
  <conditionalFormatting sqref="H39:J44">
    <cfRule type="expression" dxfId="76" priority="28">
      <formula>$C39=TRUE</formula>
    </cfRule>
  </conditionalFormatting>
  <conditionalFormatting sqref="H55:J59">
    <cfRule type="expression" dxfId="75" priority="2">
      <formula>#REF!&lt;&gt;#REF!</formula>
    </cfRule>
  </conditionalFormatting>
  <conditionalFormatting sqref="H76:J76">
    <cfRule type="expression" dxfId="74" priority="6">
      <formula>$C$77=TRUE</formula>
    </cfRule>
  </conditionalFormatting>
  <conditionalFormatting sqref="H23:K23">
    <cfRule type="expression" dxfId="73" priority="20">
      <formula>$G$23=$R$9</formula>
    </cfRule>
  </conditionalFormatting>
  <conditionalFormatting sqref="H24:K24">
    <cfRule type="expression" dxfId="72" priority="19">
      <formula>$G$23=$R$8</formula>
    </cfRule>
  </conditionalFormatting>
  <conditionalFormatting sqref="H28:K28 K29:K44 E48:E51 E87:E91">
    <cfRule type="expression" dxfId="71" priority="32">
      <formula>$C28=TRUE</formula>
    </cfRule>
  </conditionalFormatting>
  <conditionalFormatting sqref="H48:K49">
    <cfRule type="expression" dxfId="70" priority="18">
      <formula>#REF!&lt;&gt;#REF!</formula>
    </cfRule>
  </conditionalFormatting>
  <conditionalFormatting sqref="H51:K51">
    <cfRule type="expression" dxfId="69" priority="16">
      <formula>$G$50=$R$62</formula>
    </cfRule>
  </conditionalFormatting>
  <conditionalFormatting sqref="H63:K63">
    <cfRule type="expression" dxfId="68" priority="3">
      <formula>$G$63=$R$68</formula>
    </cfRule>
  </conditionalFormatting>
  <conditionalFormatting sqref="H64:K68">
    <cfRule type="expression" dxfId="67" priority="1">
      <formula>$G$63=$R$67</formula>
    </cfRule>
  </conditionalFormatting>
  <conditionalFormatting sqref="H72:K73">
    <cfRule type="expression" dxfId="66" priority="34">
      <formula>$G$72=$R$86</formula>
    </cfRule>
  </conditionalFormatting>
  <conditionalFormatting sqref="H74:K77">
    <cfRule type="expression" dxfId="65" priority="33">
      <formula>$G$72=$R$85</formula>
    </cfRule>
  </conditionalFormatting>
  <conditionalFormatting sqref="H77:K77">
    <cfRule type="expression" dxfId="64" priority="24">
      <formula>$C$77=TRUE</formula>
    </cfRule>
  </conditionalFormatting>
  <conditionalFormatting sqref="H78:K78">
    <cfRule type="expression" dxfId="63" priority="23">
      <formula>$C$78=TRUE</formula>
    </cfRule>
  </conditionalFormatting>
  <conditionalFormatting sqref="H79:K79">
    <cfRule type="expression" dxfId="62" priority="22">
      <formula>$C$79=TRUE</formula>
    </cfRule>
  </conditionalFormatting>
  <conditionalFormatting sqref="H80:K80">
    <cfRule type="expression" dxfId="61" priority="21">
      <formula>$C$80=TRUE</formula>
    </cfRule>
  </conditionalFormatting>
  <conditionalFormatting sqref="H82:K82">
    <cfRule type="expression" dxfId="60" priority="15">
      <formula>$G$82=$R$95</formula>
    </cfRule>
  </conditionalFormatting>
  <conditionalFormatting sqref="H83:K83">
    <cfRule type="expression" dxfId="59" priority="14">
      <formula>$G$82=$R$94</formula>
    </cfRule>
  </conditionalFormatting>
  <conditionalFormatting sqref="H91:K91">
    <cfRule type="expression" dxfId="58" priority="25">
      <formula>$C$91=TRUE</formula>
    </cfRule>
  </conditionalFormatting>
  <conditionalFormatting sqref="K21:K22">
    <cfRule type="expression" dxfId="57" priority="43">
      <formula>$G$20=$I$21</formula>
    </cfRule>
  </conditionalFormatting>
  <conditionalFormatting sqref="K55:K59 H50:K50">
    <cfRule type="expression" dxfId="56" priority="17">
      <formula>$G$50=$R$63</formula>
    </cfRule>
  </conditionalFormatting>
  <conditionalFormatting sqref="K56">
    <cfRule type="expression" dxfId="55" priority="12">
      <formula>$C56=TRUE</formula>
    </cfRule>
  </conditionalFormatting>
  <conditionalFormatting sqref="K57">
    <cfRule type="expression" dxfId="54" priority="7">
      <formula>$C$57=TRUE</formula>
    </cfRule>
  </conditionalFormatting>
  <conditionalFormatting sqref="K95:K96 K98:K100">
    <cfRule type="expression" dxfId="53" priority="37">
      <formula>$G$71=$AA$72</formula>
    </cfRule>
  </conditionalFormatting>
  <conditionalFormatting sqref="K97">
    <cfRule type="expression" dxfId="52" priority="40">
      <formula>#REF!=#REF!</formula>
    </cfRule>
  </conditionalFormatting>
  <conditionalFormatting sqref="K104:K108">
    <cfRule type="expression" dxfId="51" priority="160">
      <formula>$G$84=$R$85</formula>
    </cfRule>
  </conditionalFormatting>
  <dataValidations count="15">
    <dataValidation type="decimal" operator="lessThanOrEqual" allowBlank="1" showInputMessage="1" showErrorMessage="1" sqref="K23:K24" xr:uid="{EE1ED690-E2EB-4F95-B58E-F65DF1F23CE0}">
      <formula1>1</formula1>
    </dataValidation>
    <dataValidation type="decimal" operator="lessThanOrEqual" allowBlank="1" showInputMessage="1" showErrorMessage="1" sqref="K104:K108" xr:uid="{00000000-0002-0000-0600-000005000000}">
      <formula1>10</formula1>
    </dataValidation>
    <dataValidation type="decimal" allowBlank="1" showInputMessage="1" showErrorMessage="1" sqref="K19 K7 K21:K22 K9:K17" xr:uid="{65F3DD4A-870D-463C-8E4C-72230667F145}">
      <formula1>0</formula1>
      <formula2>J7</formula2>
    </dataValidation>
    <dataValidation type="decimal" operator="lessThanOrEqual" allowBlank="1" showInputMessage="1" showErrorMessage="1" sqref="K109 K98:K100 K49:K51 K39:K44 K63:K68 K95:K96 K88 K28:K33 K35:K37 K72:K83 K55:K59 K90:K91" xr:uid="{00000000-0002-0000-0600-00000E000000}">
      <formula1>J28</formula1>
    </dataValidation>
    <dataValidation type="list" allowBlank="1" showInputMessage="1" showErrorMessage="1" promptTitle="Selection Required" prompt="Please indicate the project's desired pathway." sqref="G82:G83" xr:uid="{AFAEAA00-7D47-471C-A34C-E39736944D98}">
      <formula1>$R$94:$R$95</formula1>
    </dataValidation>
    <dataValidation type="list" allowBlank="1" showInputMessage="1" showErrorMessage="1" sqref="G53" xr:uid="{8933977B-C5AB-4810-9EB3-9742C9D6FD91}">
      <formula1>$AA$50:$AA$50</formula1>
    </dataValidation>
    <dataValidation type="list" allowBlank="1" showInputMessage="1" showErrorMessage="1" promptTitle="Selection Required" prompt="Please indicate the project's desired pathway." sqref="G50:G51" xr:uid="{2D458129-1057-4290-91B7-4051CB1F6B84}">
      <formula1>$R$62:$R$63</formula1>
    </dataValidation>
    <dataValidation type="list" allowBlank="1" showInputMessage="1" showErrorMessage="1" promptTitle="Selection Required" prompt="Please indicate the project's desired pathway." sqref="G23:G24" xr:uid="{FA613D4F-DAC8-4442-9F69-23A55623F69E}">
      <formula1>$R$8:$R$9</formula1>
    </dataValidation>
    <dataValidation type="list" allowBlank="1" showInputMessage="1" showErrorMessage="1" promptTitle="Selection Required" prompt="Please indicate the project's desired pathway." sqref="G72:G77" xr:uid="{BC5F75F9-10D7-463F-AF9F-4CED6F2488EE}">
      <formula1>$R$85:$R$86</formula1>
    </dataValidation>
    <dataValidation type="list" allowBlank="1" showInputMessage="1" showErrorMessage="1" sqref="K48 K87 K97 K8 K89 K20 K18" xr:uid="{2E32F46D-DF42-43F7-BC93-42B8FDB4F93F}">
      <formula1>$AD$7:$AD$9</formula1>
    </dataValidation>
    <dataValidation type="list" allowBlank="1" showInputMessage="1" showErrorMessage="1" sqref="G70" xr:uid="{D898A975-E444-4E5D-A67E-514951B91EDA}">
      <formula1>$T$63:$T$64</formula1>
    </dataValidation>
    <dataValidation type="list" allowBlank="1" showInputMessage="1" showErrorMessage="1" sqref="G26" xr:uid="{2A682C9D-008E-4FA1-B2CB-3050B8EAF9D9}">
      <formula1>$T$24:$T$24</formula1>
    </dataValidation>
    <dataValidation type="list" allowBlank="1" showInputMessage="1" showErrorMessage="1" sqref="G61" xr:uid="{C8592EBC-2B48-407B-956D-339EFBF89850}">
      <formula1>$AA$55:$AA$55</formula1>
    </dataValidation>
    <dataValidation type="list" allowBlank="1" showInputMessage="1" showErrorMessage="1" promptTitle="Selection Required" prompt="Please indicate the project's desired pathway." sqref="G63:G68" xr:uid="{D0688541-2C8F-451F-9A25-405D948D95DB}">
      <formula1>$R$67:$R$68</formula1>
    </dataValidation>
    <dataValidation type="list" operator="lessThanOrEqual" allowBlank="1" showInputMessage="1" showErrorMessage="1" sqref="K34 K38" xr:uid="{ED872DEB-A4DA-40FE-86B4-0DE9BF8809FD}">
      <formula1>$AD$7:$AD$9</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headerFooter>
    <oddHeader>&amp;L&amp;"Calibri"&amp;8&amp;K000000 Sensitivity: General&amp;1#_x000D_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38100</xdr:colOff>
                    <xdr:row>27</xdr:row>
                    <xdr:rowOff>171450</xdr:rowOff>
                  </from>
                  <to>
                    <xdr:col>5</xdr:col>
                    <xdr:colOff>552450</xdr:colOff>
                    <xdr:row>27</xdr:row>
                    <xdr:rowOff>381000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4</xdr:col>
                    <xdr:colOff>38100</xdr:colOff>
                    <xdr:row>28</xdr:row>
                    <xdr:rowOff>171450</xdr:rowOff>
                  </from>
                  <to>
                    <xdr:col>5</xdr:col>
                    <xdr:colOff>552450</xdr:colOff>
                    <xdr:row>28</xdr:row>
                    <xdr:rowOff>381000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4</xdr:col>
                    <xdr:colOff>38100</xdr:colOff>
                    <xdr:row>29</xdr:row>
                    <xdr:rowOff>171450</xdr:rowOff>
                  </from>
                  <to>
                    <xdr:col>5</xdr:col>
                    <xdr:colOff>552450</xdr:colOff>
                    <xdr:row>29</xdr:row>
                    <xdr:rowOff>381000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4</xdr:col>
                    <xdr:colOff>38100</xdr:colOff>
                    <xdr:row>30</xdr:row>
                    <xdr:rowOff>171450</xdr:rowOff>
                  </from>
                  <to>
                    <xdr:col>5</xdr:col>
                    <xdr:colOff>552450</xdr:colOff>
                    <xdr:row>30</xdr:row>
                    <xdr:rowOff>381000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4</xdr:col>
                    <xdr:colOff>38100</xdr:colOff>
                    <xdr:row>31</xdr:row>
                    <xdr:rowOff>171450</xdr:rowOff>
                  </from>
                  <to>
                    <xdr:col>5</xdr:col>
                    <xdr:colOff>552450</xdr:colOff>
                    <xdr:row>31</xdr:row>
                    <xdr:rowOff>381000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4</xdr:col>
                    <xdr:colOff>38100</xdr:colOff>
                    <xdr:row>34</xdr:row>
                    <xdr:rowOff>171450</xdr:rowOff>
                  </from>
                  <to>
                    <xdr:col>5</xdr:col>
                    <xdr:colOff>552450</xdr:colOff>
                    <xdr:row>34</xdr:row>
                    <xdr:rowOff>381000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4</xdr:col>
                    <xdr:colOff>38100</xdr:colOff>
                    <xdr:row>35</xdr:row>
                    <xdr:rowOff>171450</xdr:rowOff>
                  </from>
                  <to>
                    <xdr:col>5</xdr:col>
                    <xdr:colOff>552450</xdr:colOff>
                    <xdr:row>35</xdr:row>
                    <xdr:rowOff>381000</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4</xdr:col>
                    <xdr:colOff>38100</xdr:colOff>
                    <xdr:row>38</xdr:row>
                    <xdr:rowOff>171450</xdr:rowOff>
                  </from>
                  <to>
                    <xdr:col>5</xdr:col>
                    <xdr:colOff>552450</xdr:colOff>
                    <xdr:row>38</xdr:row>
                    <xdr:rowOff>381000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4</xdr:col>
                    <xdr:colOff>38100</xdr:colOff>
                    <xdr:row>39</xdr:row>
                    <xdr:rowOff>171450</xdr:rowOff>
                  </from>
                  <to>
                    <xdr:col>5</xdr:col>
                    <xdr:colOff>552450</xdr:colOff>
                    <xdr:row>39</xdr:row>
                    <xdr:rowOff>381000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4</xdr:col>
                    <xdr:colOff>38100</xdr:colOff>
                    <xdr:row>40</xdr:row>
                    <xdr:rowOff>171450</xdr:rowOff>
                  </from>
                  <to>
                    <xdr:col>5</xdr:col>
                    <xdr:colOff>552450</xdr:colOff>
                    <xdr:row>40</xdr:row>
                    <xdr:rowOff>381000</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4</xdr:col>
                    <xdr:colOff>38100</xdr:colOff>
                    <xdr:row>41</xdr:row>
                    <xdr:rowOff>171450</xdr:rowOff>
                  </from>
                  <to>
                    <xdr:col>5</xdr:col>
                    <xdr:colOff>552450</xdr:colOff>
                    <xdr:row>41</xdr:row>
                    <xdr:rowOff>381000</xdr:rowOff>
                  </to>
                </anchor>
              </controlPr>
            </control>
          </mc:Choice>
        </mc:AlternateContent>
        <mc:AlternateContent xmlns:mc="http://schemas.openxmlformats.org/markup-compatibility/2006">
          <mc:Choice Requires="x14">
            <control shapeId="10255" r:id="rId15" name="Check Box 15">
              <controlPr defaultSize="0" autoFill="0" autoLine="0" autoPict="0">
                <anchor moveWithCells="1">
                  <from>
                    <xdr:col>4</xdr:col>
                    <xdr:colOff>38100</xdr:colOff>
                    <xdr:row>42</xdr:row>
                    <xdr:rowOff>171450</xdr:rowOff>
                  </from>
                  <to>
                    <xdr:col>5</xdr:col>
                    <xdr:colOff>552450</xdr:colOff>
                    <xdr:row>42</xdr:row>
                    <xdr:rowOff>381000</xdr:rowOff>
                  </to>
                </anchor>
              </controlPr>
            </control>
          </mc:Choice>
        </mc:AlternateContent>
        <mc:AlternateContent xmlns:mc="http://schemas.openxmlformats.org/markup-compatibility/2006">
          <mc:Choice Requires="x14">
            <control shapeId="10258" r:id="rId16" name="Check Box 18">
              <controlPr defaultSize="0" autoFill="0" autoLine="0" autoPict="0">
                <anchor moveWithCells="1">
                  <from>
                    <xdr:col>4</xdr:col>
                    <xdr:colOff>38100</xdr:colOff>
                    <xdr:row>79</xdr:row>
                    <xdr:rowOff>171450</xdr:rowOff>
                  </from>
                  <to>
                    <xdr:col>5</xdr:col>
                    <xdr:colOff>552450</xdr:colOff>
                    <xdr:row>79</xdr:row>
                    <xdr:rowOff>381000</xdr:rowOff>
                  </to>
                </anchor>
              </controlPr>
            </control>
          </mc:Choice>
        </mc:AlternateContent>
        <mc:AlternateContent xmlns:mc="http://schemas.openxmlformats.org/markup-compatibility/2006">
          <mc:Choice Requires="x14">
            <control shapeId="10262" r:id="rId17" name="Check Box 22">
              <controlPr defaultSize="0" autoFill="0" autoLine="0" autoPict="0">
                <anchor moveWithCells="1">
                  <from>
                    <xdr:col>4</xdr:col>
                    <xdr:colOff>38100</xdr:colOff>
                    <xdr:row>90</xdr:row>
                    <xdr:rowOff>171450</xdr:rowOff>
                  </from>
                  <to>
                    <xdr:col>5</xdr:col>
                    <xdr:colOff>552450</xdr:colOff>
                    <xdr:row>90</xdr:row>
                    <xdr:rowOff>381000</xdr:rowOff>
                  </to>
                </anchor>
              </controlPr>
            </control>
          </mc:Choice>
        </mc:AlternateContent>
        <mc:AlternateContent xmlns:mc="http://schemas.openxmlformats.org/markup-compatibility/2006">
          <mc:Choice Requires="x14">
            <control shapeId="10291" r:id="rId18" name="Check Box 51">
              <controlPr defaultSize="0" autoFill="0" autoLine="0" autoPict="0">
                <anchor moveWithCells="1">
                  <from>
                    <xdr:col>4</xdr:col>
                    <xdr:colOff>38100</xdr:colOff>
                    <xdr:row>28</xdr:row>
                    <xdr:rowOff>171450</xdr:rowOff>
                  </from>
                  <to>
                    <xdr:col>5</xdr:col>
                    <xdr:colOff>565150</xdr:colOff>
                    <xdr:row>28</xdr:row>
                    <xdr:rowOff>381000</xdr:rowOff>
                  </to>
                </anchor>
              </controlPr>
            </control>
          </mc:Choice>
        </mc:AlternateContent>
        <mc:AlternateContent xmlns:mc="http://schemas.openxmlformats.org/markup-compatibility/2006">
          <mc:Choice Requires="x14">
            <control shapeId="10292" r:id="rId19" name="Check Box 52">
              <controlPr defaultSize="0" autoFill="0" autoLine="0" autoPict="0">
                <anchor moveWithCells="1">
                  <from>
                    <xdr:col>4</xdr:col>
                    <xdr:colOff>38100</xdr:colOff>
                    <xdr:row>27</xdr:row>
                    <xdr:rowOff>184150</xdr:rowOff>
                  </from>
                  <to>
                    <xdr:col>5</xdr:col>
                    <xdr:colOff>565150</xdr:colOff>
                    <xdr:row>27</xdr:row>
                    <xdr:rowOff>393700</xdr:rowOff>
                  </to>
                </anchor>
              </controlPr>
            </control>
          </mc:Choice>
        </mc:AlternateContent>
        <mc:AlternateContent xmlns:mc="http://schemas.openxmlformats.org/markup-compatibility/2006">
          <mc:Choice Requires="x14">
            <control shapeId="10293" r:id="rId20" name="Check Box 53">
              <controlPr defaultSize="0" autoFill="0" autoLine="0" autoPict="0">
                <anchor moveWithCells="1">
                  <from>
                    <xdr:col>4</xdr:col>
                    <xdr:colOff>38100</xdr:colOff>
                    <xdr:row>29</xdr:row>
                    <xdr:rowOff>171450</xdr:rowOff>
                  </from>
                  <to>
                    <xdr:col>5</xdr:col>
                    <xdr:colOff>565150</xdr:colOff>
                    <xdr:row>29</xdr:row>
                    <xdr:rowOff>381000</xdr:rowOff>
                  </to>
                </anchor>
              </controlPr>
            </control>
          </mc:Choice>
        </mc:AlternateContent>
        <mc:AlternateContent xmlns:mc="http://schemas.openxmlformats.org/markup-compatibility/2006">
          <mc:Choice Requires="x14">
            <control shapeId="10294" r:id="rId21" name="Check Box 54">
              <controlPr defaultSize="0" autoFill="0" autoLine="0" autoPict="0">
                <anchor moveWithCells="1">
                  <from>
                    <xdr:col>4</xdr:col>
                    <xdr:colOff>38100</xdr:colOff>
                    <xdr:row>30</xdr:row>
                    <xdr:rowOff>171450</xdr:rowOff>
                  </from>
                  <to>
                    <xdr:col>5</xdr:col>
                    <xdr:colOff>565150</xdr:colOff>
                    <xdr:row>30</xdr:row>
                    <xdr:rowOff>381000</xdr:rowOff>
                  </to>
                </anchor>
              </controlPr>
            </control>
          </mc:Choice>
        </mc:AlternateContent>
        <mc:AlternateContent xmlns:mc="http://schemas.openxmlformats.org/markup-compatibility/2006">
          <mc:Choice Requires="x14">
            <control shapeId="10295" r:id="rId22" name="Check Box 55">
              <controlPr defaultSize="0" autoFill="0" autoLine="0" autoPict="0">
                <anchor moveWithCells="1">
                  <from>
                    <xdr:col>4</xdr:col>
                    <xdr:colOff>38100</xdr:colOff>
                    <xdr:row>31</xdr:row>
                    <xdr:rowOff>171450</xdr:rowOff>
                  </from>
                  <to>
                    <xdr:col>5</xdr:col>
                    <xdr:colOff>565150</xdr:colOff>
                    <xdr:row>31</xdr:row>
                    <xdr:rowOff>381000</xdr:rowOff>
                  </to>
                </anchor>
              </controlPr>
            </control>
          </mc:Choice>
        </mc:AlternateContent>
        <mc:AlternateContent xmlns:mc="http://schemas.openxmlformats.org/markup-compatibility/2006">
          <mc:Choice Requires="x14">
            <control shapeId="10296" r:id="rId23" name="Check Box 56">
              <controlPr defaultSize="0" autoFill="0" autoLine="0" autoPict="0">
                <anchor moveWithCells="1">
                  <from>
                    <xdr:col>4</xdr:col>
                    <xdr:colOff>38100</xdr:colOff>
                    <xdr:row>32</xdr:row>
                    <xdr:rowOff>171450</xdr:rowOff>
                  </from>
                  <to>
                    <xdr:col>5</xdr:col>
                    <xdr:colOff>565150</xdr:colOff>
                    <xdr:row>32</xdr:row>
                    <xdr:rowOff>381000</xdr:rowOff>
                  </to>
                </anchor>
              </controlPr>
            </control>
          </mc:Choice>
        </mc:AlternateContent>
        <mc:AlternateContent xmlns:mc="http://schemas.openxmlformats.org/markup-compatibility/2006">
          <mc:Choice Requires="x14">
            <control shapeId="10297" r:id="rId24" name="Check Box 57">
              <controlPr defaultSize="0" autoFill="0" autoLine="0" autoPict="0">
                <anchor moveWithCells="1">
                  <from>
                    <xdr:col>4</xdr:col>
                    <xdr:colOff>38100</xdr:colOff>
                    <xdr:row>34</xdr:row>
                    <xdr:rowOff>171450</xdr:rowOff>
                  </from>
                  <to>
                    <xdr:col>5</xdr:col>
                    <xdr:colOff>565150</xdr:colOff>
                    <xdr:row>34</xdr:row>
                    <xdr:rowOff>381000</xdr:rowOff>
                  </to>
                </anchor>
              </controlPr>
            </control>
          </mc:Choice>
        </mc:AlternateContent>
        <mc:AlternateContent xmlns:mc="http://schemas.openxmlformats.org/markup-compatibility/2006">
          <mc:Choice Requires="x14">
            <control shapeId="10298" r:id="rId25" name="Check Box 58">
              <controlPr defaultSize="0" autoFill="0" autoLine="0" autoPict="0">
                <anchor moveWithCells="1">
                  <from>
                    <xdr:col>4</xdr:col>
                    <xdr:colOff>38100</xdr:colOff>
                    <xdr:row>35</xdr:row>
                    <xdr:rowOff>171450</xdr:rowOff>
                  </from>
                  <to>
                    <xdr:col>5</xdr:col>
                    <xdr:colOff>565150</xdr:colOff>
                    <xdr:row>35</xdr:row>
                    <xdr:rowOff>381000</xdr:rowOff>
                  </to>
                </anchor>
              </controlPr>
            </control>
          </mc:Choice>
        </mc:AlternateContent>
        <mc:AlternateContent xmlns:mc="http://schemas.openxmlformats.org/markup-compatibility/2006">
          <mc:Choice Requires="x14">
            <control shapeId="10299" r:id="rId26" name="Check Box 59">
              <controlPr defaultSize="0" autoFill="0" autoLine="0" autoPict="0">
                <anchor moveWithCells="1">
                  <from>
                    <xdr:col>4</xdr:col>
                    <xdr:colOff>38100</xdr:colOff>
                    <xdr:row>36</xdr:row>
                    <xdr:rowOff>171450</xdr:rowOff>
                  </from>
                  <to>
                    <xdr:col>5</xdr:col>
                    <xdr:colOff>565150</xdr:colOff>
                    <xdr:row>36</xdr:row>
                    <xdr:rowOff>381000</xdr:rowOff>
                  </to>
                </anchor>
              </controlPr>
            </control>
          </mc:Choice>
        </mc:AlternateContent>
        <mc:AlternateContent xmlns:mc="http://schemas.openxmlformats.org/markup-compatibility/2006">
          <mc:Choice Requires="x14">
            <control shapeId="10300" r:id="rId27" name="Check Box 60">
              <controlPr defaultSize="0" autoFill="0" autoLine="0" autoPict="0">
                <anchor moveWithCells="1">
                  <from>
                    <xdr:col>4</xdr:col>
                    <xdr:colOff>38100</xdr:colOff>
                    <xdr:row>38</xdr:row>
                    <xdr:rowOff>171450</xdr:rowOff>
                  </from>
                  <to>
                    <xdr:col>5</xdr:col>
                    <xdr:colOff>565150</xdr:colOff>
                    <xdr:row>38</xdr:row>
                    <xdr:rowOff>381000</xdr:rowOff>
                  </to>
                </anchor>
              </controlPr>
            </control>
          </mc:Choice>
        </mc:AlternateContent>
        <mc:AlternateContent xmlns:mc="http://schemas.openxmlformats.org/markup-compatibility/2006">
          <mc:Choice Requires="x14">
            <control shapeId="10301" r:id="rId28" name="Check Box 61">
              <controlPr defaultSize="0" autoFill="0" autoLine="0" autoPict="0">
                <anchor moveWithCells="1">
                  <from>
                    <xdr:col>4</xdr:col>
                    <xdr:colOff>38100</xdr:colOff>
                    <xdr:row>39</xdr:row>
                    <xdr:rowOff>171450</xdr:rowOff>
                  </from>
                  <to>
                    <xdr:col>5</xdr:col>
                    <xdr:colOff>565150</xdr:colOff>
                    <xdr:row>39</xdr:row>
                    <xdr:rowOff>381000</xdr:rowOff>
                  </to>
                </anchor>
              </controlPr>
            </control>
          </mc:Choice>
        </mc:AlternateContent>
        <mc:AlternateContent xmlns:mc="http://schemas.openxmlformats.org/markup-compatibility/2006">
          <mc:Choice Requires="x14">
            <control shapeId="10302" r:id="rId29" name="Check Box 62">
              <controlPr defaultSize="0" autoFill="0" autoLine="0" autoPict="0">
                <anchor moveWithCells="1">
                  <from>
                    <xdr:col>4</xdr:col>
                    <xdr:colOff>38100</xdr:colOff>
                    <xdr:row>40</xdr:row>
                    <xdr:rowOff>171450</xdr:rowOff>
                  </from>
                  <to>
                    <xdr:col>5</xdr:col>
                    <xdr:colOff>565150</xdr:colOff>
                    <xdr:row>40</xdr:row>
                    <xdr:rowOff>381000</xdr:rowOff>
                  </to>
                </anchor>
              </controlPr>
            </control>
          </mc:Choice>
        </mc:AlternateContent>
        <mc:AlternateContent xmlns:mc="http://schemas.openxmlformats.org/markup-compatibility/2006">
          <mc:Choice Requires="x14">
            <control shapeId="10303" r:id="rId30" name="Check Box 63">
              <controlPr defaultSize="0" autoFill="0" autoLine="0" autoPict="0">
                <anchor moveWithCells="1">
                  <from>
                    <xdr:col>4</xdr:col>
                    <xdr:colOff>38100</xdr:colOff>
                    <xdr:row>41</xdr:row>
                    <xdr:rowOff>171450</xdr:rowOff>
                  </from>
                  <to>
                    <xdr:col>5</xdr:col>
                    <xdr:colOff>565150</xdr:colOff>
                    <xdr:row>41</xdr:row>
                    <xdr:rowOff>381000</xdr:rowOff>
                  </to>
                </anchor>
              </controlPr>
            </control>
          </mc:Choice>
        </mc:AlternateContent>
        <mc:AlternateContent xmlns:mc="http://schemas.openxmlformats.org/markup-compatibility/2006">
          <mc:Choice Requires="x14">
            <control shapeId="10304" r:id="rId31" name="Check Box 64">
              <controlPr defaultSize="0" autoFill="0" autoLine="0" autoPict="0">
                <anchor moveWithCells="1">
                  <from>
                    <xdr:col>4</xdr:col>
                    <xdr:colOff>38100</xdr:colOff>
                    <xdr:row>42</xdr:row>
                    <xdr:rowOff>171450</xdr:rowOff>
                  </from>
                  <to>
                    <xdr:col>5</xdr:col>
                    <xdr:colOff>565150</xdr:colOff>
                    <xdr:row>42</xdr:row>
                    <xdr:rowOff>381000</xdr:rowOff>
                  </to>
                </anchor>
              </controlPr>
            </control>
          </mc:Choice>
        </mc:AlternateContent>
        <mc:AlternateContent xmlns:mc="http://schemas.openxmlformats.org/markup-compatibility/2006">
          <mc:Choice Requires="x14">
            <control shapeId="10305" r:id="rId32" name="Check Box 65">
              <controlPr defaultSize="0" autoFill="0" autoLine="0" autoPict="0">
                <anchor moveWithCells="1">
                  <from>
                    <xdr:col>4</xdr:col>
                    <xdr:colOff>38100</xdr:colOff>
                    <xdr:row>43</xdr:row>
                    <xdr:rowOff>171450</xdr:rowOff>
                  </from>
                  <to>
                    <xdr:col>5</xdr:col>
                    <xdr:colOff>565150</xdr:colOff>
                    <xdr:row>43</xdr:row>
                    <xdr:rowOff>381000</xdr:rowOff>
                  </to>
                </anchor>
              </controlPr>
            </control>
          </mc:Choice>
        </mc:AlternateContent>
        <mc:AlternateContent xmlns:mc="http://schemas.openxmlformats.org/markup-compatibility/2006">
          <mc:Choice Requires="x14">
            <control shapeId="10306" r:id="rId33" name="Check Box 66">
              <controlPr defaultSize="0" autoFill="0" autoLine="0" autoPict="0">
                <anchor moveWithCells="1">
                  <from>
                    <xdr:col>4</xdr:col>
                    <xdr:colOff>38100</xdr:colOff>
                    <xdr:row>55</xdr:row>
                    <xdr:rowOff>171450</xdr:rowOff>
                  </from>
                  <to>
                    <xdr:col>5</xdr:col>
                    <xdr:colOff>565150</xdr:colOff>
                    <xdr:row>55</xdr:row>
                    <xdr:rowOff>381000</xdr:rowOff>
                  </to>
                </anchor>
              </controlPr>
            </control>
          </mc:Choice>
        </mc:AlternateContent>
        <mc:AlternateContent xmlns:mc="http://schemas.openxmlformats.org/markup-compatibility/2006">
          <mc:Choice Requires="x14">
            <control shapeId="10307" r:id="rId34" name="Check Box 67">
              <controlPr defaultSize="0" autoFill="0" autoLine="0" autoPict="0">
                <anchor moveWithCells="1">
                  <from>
                    <xdr:col>4</xdr:col>
                    <xdr:colOff>38100</xdr:colOff>
                    <xdr:row>56</xdr:row>
                    <xdr:rowOff>171450</xdr:rowOff>
                  </from>
                  <to>
                    <xdr:col>5</xdr:col>
                    <xdr:colOff>565150</xdr:colOff>
                    <xdr:row>56</xdr:row>
                    <xdr:rowOff>381000</xdr:rowOff>
                  </to>
                </anchor>
              </controlPr>
            </control>
          </mc:Choice>
        </mc:AlternateContent>
        <mc:AlternateContent xmlns:mc="http://schemas.openxmlformats.org/markup-compatibility/2006">
          <mc:Choice Requires="x14">
            <control shapeId="10308" r:id="rId35" name="Check Box 68">
              <controlPr defaultSize="0" autoFill="0" autoLine="0" autoPict="0">
                <anchor moveWithCells="1">
                  <from>
                    <xdr:col>4</xdr:col>
                    <xdr:colOff>38100</xdr:colOff>
                    <xdr:row>66</xdr:row>
                    <xdr:rowOff>171450</xdr:rowOff>
                  </from>
                  <to>
                    <xdr:col>5</xdr:col>
                    <xdr:colOff>565150</xdr:colOff>
                    <xdr:row>66</xdr:row>
                    <xdr:rowOff>381000</xdr:rowOff>
                  </to>
                </anchor>
              </controlPr>
            </control>
          </mc:Choice>
        </mc:AlternateContent>
        <mc:AlternateContent xmlns:mc="http://schemas.openxmlformats.org/markup-compatibility/2006">
          <mc:Choice Requires="x14">
            <control shapeId="10309" r:id="rId36" name="Check Box 69">
              <controlPr defaultSize="0" autoFill="0" autoLine="0" autoPict="0">
                <anchor moveWithCells="1">
                  <from>
                    <xdr:col>4</xdr:col>
                    <xdr:colOff>38100</xdr:colOff>
                    <xdr:row>67</xdr:row>
                    <xdr:rowOff>171450</xdr:rowOff>
                  </from>
                  <to>
                    <xdr:col>5</xdr:col>
                    <xdr:colOff>565150</xdr:colOff>
                    <xdr:row>67</xdr:row>
                    <xdr:rowOff>381000</xdr:rowOff>
                  </to>
                </anchor>
              </controlPr>
            </control>
          </mc:Choice>
        </mc:AlternateContent>
        <mc:AlternateContent xmlns:mc="http://schemas.openxmlformats.org/markup-compatibility/2006">
          <mc:Choice Requires="x14">
            <control shapeId="10310" r:id="rId37" name="Check Box 70">
              <controlPr defaultSize="0" autoFill="0" autoLine="0" autoPict="0">
                <anchor moveWithCells="1">
                  <from>
                    <xdr:col>4</xdr:col>
                    <xdr:colOff>38100</xdr:colOff>
                    <xdr:row>90</xdr:row>
                    <xdr:rowOff>171450</xdr:rowOff>
                  </from>
                  <to>
                    <xdr:col>5</xdr:col>
                    <xdr:colOff>565150</xdr:colOff>
                    <xdr:row>90</xdr:row>
                    <xdr:rowOff>381000</xdr:rowOff>
                  </to>
                </anchor>
              </controlPr>
            </control>
          </mc:Choice>
        </mc:AlternateContent>
        <mc:AlternateContent xmlns:mc="http://schemas.openxmlformats.org/markup-compatibility/2006">
          <mc:Choice Requires="x14">
            <control shapeId="10311" r:id="rId38" name="Check Box 71">
              <controlPr defaultSize="0" autoFill="0" autoLine="0" autoPict="0">
                <anchor moveWithCells="1">
                  <from>
                    <xdr:col>4</xdr:col>
                    <xdr:colOff>38100</xdr:colOff>
                    <xdr:row>77</xdr:row>
                    <xdr:rowOff>171450</xdr:rowOff>
                  </from>
                  <to>
                    <xdr:col>5</xdr:col>
                    <xdr:colOff>565150</xdr:colOff>
                    <xdr:row>77</xdr:row>
                    <xdr:rowOff>381000</xdr:rowOff>
                  </to>
                </anchor>
              </controlPr>
            </control>
          </mc:Choice>
        </mc:AlternateContent>
        <mc:AlternateContent xmlns:mc="http://schemas.openxmlformats.org/markup-compatibility/2006">
          <mc:Choice Requires="x14">
            <control shapeId="10312" r:id="rId39" name="Check Box 72">
              <controlPr defaultSize="0" autoFill="0" autoLine="0" autoPict="0">
                <anchor moveWithCells="1">
                  <from>
                    <xdr:col>4</xdr:col>
                    <xdr:colOff>38100</xdr:colOff>
                    <xdr:row>78</xdr:row>
                    <xdr:rowOff>171450</xdr:rowOff>
                  </from>
                  <to>
                    <xdr:col>5</xdr:col>
                    <xdr:colOff>565150</xdr:colOff>
                    <xdr:row>78</xdr:row>
                    <xdr:rowOff>381000</xdr:rowOff>
                  </to>
                </anchor>
              </controlPr>
            </control>
          </mc:Choice>
        </mc:AlternateContent>
        <mc:AlternateContent xmlns:mc="http://schemas.openxmlformats.org/markup-compatibility/2006">
          <mc:Choice Requires="x14">
            <control shapeId="10313" r:id="rId40" name="Check Box 73">
              <controlPr defaultSize="0" autoFill="0" autoLine="0" autoPict="0">
                <anchor moveWithCells="1">
                  <from>
                    <xdr:col>4</xdr:col>
                    <xdr:colOff>38100</xdr:colOff>
                    <xdr:row>79</xdr:row>
                    <xdr:rowOff>171450</xdr:rowOff>
                  </from>
                  <to>
                    <xdr:col>5</xdr:col>
                    <xdr:colOff>565150</xdr:colOff>
                    <xdr:row>79</xdr:row>
                    <xdr:rowOff>381000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E144"/>
  <sheetViews>
    <sheetView topLeftCell="T1" zoomScale="70" zoomScaleNormal="70" workbookViewId="0">
      <pane ySplit="5" topLeftCell="A6" activePane="bottomLeft" state="frozen"/>
      <selection pane="bottomLeft" activeCell="X64" sqref="X64"/>
    </sheetView>
  </sheetViews>
  <sheetFormatPr defaultColWidth="9" defaultRowHeight="14" x14ac:dyDescent="0.3"/>
  <cols>
    <col min="1" max="3" width="9" style="141" customWidth="1"/>
    <col min="4" max="4" width="2.75" style="141" customWidth="1"/>
    <col min="5" max="5" width="4" style="141" customWidth="1"/>
    <col min="6" max="6" width="24" style="5" customWidth="1"/>
    <col min="7" max="7" width="47.83203125" style="5" customWidth="1"/>
    <col min="8" max="8" width="9.58203125" style="3" customWidth="1"/>
    <col min="9" max="9" width="42.83203125" style="5" customWidth="1"/>
    <col min="10" max="11" width="14" style="3" customWidth="1"/>
    <col min="12" max="12" width="14" style="6" customWidth="1"/>
    <col min="13" max="16" width="14" style="3" customWidth="1"/>
    <col min="17" max="17" width="24" style="168" customWidth="1"/>
    <col min="18" max="18" width="9.25" style="6" customWidth="1"/>
    <col min="19" max="19" width="57.25" style="217" customWidth="1"/>
    <col min="20" max="20" width="9" style="6"/>
    <col min="21" max="21" width="8.58203125" style="237" customWidth="1"/>
    <col min="22" max="25" width="54.58203125" style="201" customWidth="1"/>
    <col min="26" max="26" width="9" style="6" customWidth="1"/>
    <col min="27" max="27" width="31.25" style="6" customWidth="1"/>
    <col min="28" max="28" width="9" style="6" customWidth="1"/>
    <col min="29" max="30" width="15.75" style="6" customWidth="1"/>
    <col min="31" max="34" width="9" style="6" customWidth="1"/>
    <col min="35" max="16384" width="9" style="6"/>
  </cols>
  <sheetData>
    <row r="1" spans="1:31" ht="43.5" customHeight="1" x14ac:dyDescent="1.05">
      <c r="A1" s="141" t="s">
        <v>19</v>
      </c>
      <c r="B1" s="141" t="s">
        <v>19</v>
      </c>
      <c r="C1" s="141" t="s">
        <v>19</v>
      </c>
      <c r="F1" s="581" t="s">
        <v>402</v>
      </c>
      <c r="G1" s="582"/>
      <c r="H1" s="582"/>
      <c r="I1" s="582"/>
      <c r="J1" s="1"/>
      <c r="K1" s="1"/>
      <c r="L1" s="2"/>
      <c r="O1" s="3" t="s">
        <v>19</v>
      </c>
      <c r="P1" s="3" t="s">
        <v>19</v>
      </c>
      <c r="Q1" s="164"/>
      <c r="R1" s="4"/>
      <c r="T1" s="4"/>
      <c r="U1" s="568" t="s">
        <v>15</v>
      </c>
      <c r="V1" s="569"/>
      <c r="W1" s="569"/>
      <c r="X1" s="239" t="s">
        <v>135</v>
      </c>
      <c r="Y1" s="238" t="s">
        <v>136</v>
      </c>
      <c r="AA1" s="6" t="s">
        <v>19</v>
      </c>
      <c r="AB1" s="6" t="s">
        <v>19</v>
      </c>
      <c r="AC1" s="6" t="s">
        <v>19</v>
      </c>
      <c r="AD1" s="6" t="s">
        <v>19</v>
      </c>
    </row>
    <row r="2" spans="1:31" ht="37.5" customHeight="1" thickBot="1" x14ac:dyDescent="0.35">
      <c r="A2" s="155" t="s">
        <v>137</v>
      </c>
      <c r="B2" s="155" t="s">
        <v>138</v>
      </c>
      <c r="C2" s="156" t="s">
        <v>139</v>
      </c>
      <c r="F2" s="7" t="s">
        <v>140</v>
      </c>
      <c r="G2" s="583" t="e">
        <f>#REF!</f>
        <v>#REF!</v>
      </c>
      <c r="H2" s="584"/>
      <c r="I2" s="8"/>
      <c r="J2" s="9" t="s">
        <v>366</v>
      </c>
      <c r="K2" s="9" t="s">
        <v>367</v>
      </c>
      <c r="L2" s="10"/>
      <c r="M2" s="9" t="s">
        <v>144</v>
      </c>
      <c r="N2" s="9" t="s">
        <v>145</v>
      </c>
      <c r="O2" s="11"/>
      <c r="P2" s="11"/>
      <c r="Q2" s="165"/>
      <c r="R2" s="12"/>
      <c r="T2" s="13"/>
      <c r="U2" s="572" t="s">
        <v>148</v>
      </c>
      <c r="V2" s="573"/>
      <c r="W2" s="574"/>
      <c r="X2" s="242"/>
      <c r="Y2" s="13"/>
    </row>
    <row r="3" spans="1:31" ht="45" customHeight="1" thickBot="1" x14ac:dyDescent="0.35">
      <c r="F3" s="14" t="s">
        <v>149</v>
      </c>
      <c r="G3" s="585" t="str">
        <f>IF(K3&gt;=75,"6 Stars - World Excellence",IF(K3&gt;=60,"5 Star - Australian Excellence",IF(K3&gt;=45,"4 Star - Best Practice","")))</f>
        <v/>
      </c>
      <c r="H3" s="586"/>
      <c r="I3" s="15"/>
      <c r="J3" s="114">
        <f>J125</f>
        <v>100</v>
      </c>
      <c r="K3" s="115">
        <f>K128</f>
        <v>0</v>
      </c>
      <c r="L3" s="10"/>
      <c r="M3" s="162">
        <f>M125</f>
        <v>0</v>
      </c>
      <c r="N3" s="162">
        <f>N125</f>
        <v>0</v>
      </c>
      <c r="O3" s="16"/>
      <c r="P3" s="153" t="str">
        <f>IF(Q138&lt;=SUM(P134:P135),"",R138)</f>
        <v/>
      </c>
      <c r="Q3" s="166"/>
      <c r="R3" s="12"/>
      <c r="S3" s="218"/>
      <c r="T3" s="13"/>
      <c r="U3" s="575"/>
      <c r="V3" s="576"/>
      <c r="W3" s="577"/>
      <c r="X3" s="242"/>
      <c r="Y3" s="13"/>
    </row>
    <row r="4" spans="1:31" ht="37.5" customHeight="1" x14ac:dyDescent="0.3">
      <c r="G4" s="17"/>
      <c r="H4" s="1"/>
      <c r="I4" s="17"/>
      <c r="J4" s="1"/>
      <c r="K4" s="1"/>
      <c r="L4" s="10"/>
      <c r="M4" s="1"/>
      <c r="N4" s="1"/>
      <c r="O4" s="1"/>
      <c r="P4" s="1"/>
      <c r="Q4" s="164"/>
      <c r="R4" s="4"/>
      <c r="S4" s="219"/>
      <c r="T4" s="4"/>
      <c r="U4" s="1"/>
      <c r="V4" s="4"/>
      <c r="W4" s="4"/>
      <c r="X4" s="4"/>
      <c r="Y4" s="4"/>
    </row>
    <row r="5" spans="1:31" ht="45" customHeight="1" x14ac:dyDescent="0.3">
      <c r="E5" s="142" t="s">
        <v>150</v>
      </c>
      <c r="F5" s="18" t="s">
        <v>151</v>
      </c>
      <c r="G5" s="18" t="s">
        <v>152</v>
      </c>
      <c r="H5" s="9" t="s">
        <v>153</v>
      </c>
      <c r="I5" s="18" t="s">
        <v>154</v>
      </c>
      <c r="J5" s="9" t="s">
        <v>156</v>
      </c>
      <c r="K5" s="9" t="s">
        <v>157</v>
      </c>
      <c r="L5" s="19"/>
      <c r="M5" s="9" t="s">
        <v>160</v>
      </c>
      <c r="N5" s="9" t="s">
        <v>161</v>
      </c>
      <c r="O5" s="9" t="s">
        <v>162</v>
      </c>
      <c r="P5" s="9" t="s">
        <v>163</v>
      </c>
      <c r="Q5" s="167" t="s">
        <v>403</v>
      </c>
      <c r="R5" s="5"/>
      <c r="S5" s="193" t="s">
        <v>166</v>
      </c>
      <c r="T5" s="4"/>
      <c r="U5" s="240" t="s">
        <v>167</v>
      </c>
      <c r="V5" s="240" t="s">
        <v>168</v>
      </c>
      <c r="W5" s="240" t="s">
        <v>169</v>
      </c>
      <c r="X5" s="240" t="s">
        <v>170</v>
      </c>
      <c r="Y5" s="240" t="s">
        <v>171</v>
      </c>
    </row>
    <row r="6" spans="1:31" ht="45" customHeight="1" x14ac:dyDescent="0.3">
      <c r="F6" s="20" t="s">
        <v>172</v>
      </c>
      <c r="G6" s="21"/>
      <c r="H6" s="22"/>
      <c r="I6" s="21"/>
      <c r="J6" s="22">
        <f>14-SUM(B7:B23)</f>
        <v>14</v>
      </c>
      <c r="K6" s="22"/>
      <c r="L6" s="19"/>
      <c r="M6" s="9"/>
      <c r="N6" s="9"/>
      <c r="O6" s="9"/>
      <c r="P6" s="9"/>
      <c r="Q6" s="167"/>
      <c r="R6" s="5"/>
      <c r="S6" s="193"/>
      <c r="T6" s="4"/>
      <c r="U6" s="241" t="s">
        <v>173</v>
      </c>
      <c r="V6" s="243" t="s">
        <v>174</v>
      </c>
      <c r="W6" s="243" t="s">
        <v>175</v>
      </c>
      <c r="X6" s="240"/>
      <c r="Y6" s="240"/>
      <c r="AC6" s="97"/>
      <c r="AD6" s="97"/>
      <c r="AE6" s="95"/>
    </row>
    <row r="7" spans="1:31" ht="45" customHeight="1" x14ac:dyDescent="0.3">
      <c r="F7" s="173" t="s">
        <v>177</v>
      </c>
      <c r="G7" s="256" t="s">
        <v>404</v>
      </c>
      <c r="H7" s="23">
        <v>1</v>
      </c>
      <c r="I7" s="256" t="s">
        <v>375</v>
      </c>
      <c r="J7" s="24">
        <v>1</v>
      </c>
      <c r="K7" s="25"/>
      <c r="L7" s="26"/>
      <c r="M7" s="27" t="str">
        <f>IF(OR(Q7=$AC$9,Q7=$AC$10),K7,"")</f>
        <v/>
      </c>
      <c r="N7" s="27" t="str">
        <f t="shared" ref="N7:N23" si="0">IF(Q7=$AC$11,K7,"")</f>
        <v/>
      </c>
      <c r="O7" s="27"/>
      <c r="P7" s="27"/>
      <c r="Q7" s="182"/>
      <c r="R7" s="124"/>
      <c r="S7" s="220"/>
      <c r="T7" s="4"/>
      <c r="U7" s="244"/>
      <c r="V7" s="245"/>
      <c r="W7" s="245"/>
      <c r="X7" s="245"/>
      <c r="Y7" s="245"/>
      <c r="AC7" s="97"/>
      <c r="AD7" s="97"/>
      <c r="AE7" s="95"/>
    </row>
    <row r="8" spans="1:31" ht="45" customHeight="1" x14ac:dyDescent="0.3">
      <c r="F8" s="527" t="s">
        <v>182</v>
      </c>
      <c r="G8" s="578" t="s">
        <v>405</v>
      </c>
      <c r="H8" s="29">
        <v>2</v>
      </c>
      <c r="I8" s="33" t="s">
        <v>184</v>
      </c>
      <c r="J8" s="30" t="s">
        <v>180</v>
      </c>
      <c r="K8" s="31"/>
      <c r="L8" s="26"/>
      <c r="M8" s="27" t="str">
        <f t="shared" ref="M8:M23" si="1">IF(OR(Q8=$AC$9,Q8=$AC$10),K8,"")</f>
        <v/>
      </c>
      <c r="N8" s="27" t="str">
        <f t="shared" si="0"/>
        <v/>
      </c>
      <c r="O8" s="27"/>
      <c r="P8" s="27"/>
      <c r="Q8" s="182"/>
      <c r="R8" s="124"/>
      <c r="S8" s="220"/>
      <c r="T8" s="4"/>
      <c r="U8" s="244"/>
      <c r="V8" s="245"/>
      <c r="W8" s="245"/>
      <c r="X8" s="245"/>
      <c r="Y8" s="245"/>
      <c r="AA8" s="105" t="s">
        <v>186</v>
      </c>
      <c r="AB8" s="105"/>
      <c r="AC8" s="97"/>
      <c r="AD8" s="97" t="s">
        <v>187</v>
      </c>
      <c r="AE8" s="95"/>
    </row>
    <row r="9" spans="1:31" ht="45" customHeight="1" x14ac:dyDescent="0.3">
      <c r="F9" s="528"/>
      <c r="G9" s="579"/>
      <c r="H9" s="32">
        <v>2.1</v>
      </c>
      <c r="I9" s="33" t="s">
        <v>189</v>
      </c>
      <c r="J9" s="34">
        <v>1</v>
      </c>
      <c r="K9" s="25"/>
      <c r="L9" s="26" t="str">
        <f>IF(AND(K9&gt;0,$K$8&lt;&gt;$AD$8),"!","")</f>
        <v/>
      </c>
      <c r="M9" s="27" t="str">
        <f t="shared" si="1"/>
        <v/>
      </c>
      <c r="N9" s="27" t="str">
        <f t="shared" si="0"/>
        <v/>
      </c>
      <c r="O9" s="27"/>
      <c r="P9" s="27"/>
      <c r="Q9" s="182"/>
      <c r="R9" s="124"/>
      <c r="S9" s="220"/>
      <c r="T9" s="4"/>
      <c r="U9" s="244"/>
      <c r="V9" s="245"/>
      <c r="W9" s="245"/>
      <c r="X9" s="245"/>
      <c r="Y9" s="245"/>
      <c r="AA9" s="105" t="s">
        <v>190</v>
      </c>
      <c r="AB9" s="105" t="s">
        <v>191</v>
      </c>
      <c r="AC9" s="97" t="s">
        <v>192</v>
      </c>
      <c r="AD9" s="97" t="s">
        <v>193</v>
      </c>
      <c r="AE9" s="95"/>
    </row>
    <row r="10" spans="1:31" ht="45" customHeight="1" x14ac:dyDescent="0.3">
      <c r="F10" s="528"/>
      <c r="G10" s="579"/>
      <c r="H10" s="32">
        <v>2.2000000000000002</v>
      </c>
      <c r="I10" s="33" t="s">
        <v>195</v>
      </c>
      <c r="J10" s="34">
        <v>1</v>
      </c>
      <c r="K10" s="25"/>
      <c r="L10" s="26" t="str">
        <f t="shared" ref="L10:L16" si="2">IF(AND(K10&gt;0,$K$8&lt;&gt;$AD$8),"!","")</f>
        <v/>
      </c>
      <c r="M10" s="27" t="str">
        <f t="shared" si="1"/>
        <v/>
      </c>
      <c r="N10" s="27" t="str">
        <f t="shared" si="0"/>
        <v/>
      </c>
      <c r="O10" s="27"/>
      <c r="P10" s="27"/>
      <c r="Q10" s="182"/>
      <c r="R10" s="124"/>
      <c r="S10" s="220"/>
      <c r="T10" s="4"/>
      <c r="U10" s="244"/>
      <c r="V10" s="245"/>
      <c r="W10" s="245"/>
      <c r="X10" s="245"/>
      <c r="Y10" s="245"/>
      <c r="AB10" s="105" t="s">
        <v>196</v>
      </c>
      <c r="AC10" s="97" t="s">
        <v>197</v>
      </c>
      <c r="AD10" s="95"/>
      <c r="AE10" s="95"/>
    </row>
    <row r="11" spans="1:31" ht="45" customHeight="1" x14ac:dyDescent="0.3">
      <c r="F11" s="528"/>
      <c r="G11" s="579"/>
      <c r="H11" s="32">
        <v>2.2999999999999998</v>
      </c>
      <c r="I11" s="33" t="s">
        <v>199</v>
      </c>
      <c r="J11" s="34">
        <v>1</v>
      </c>
      <c r="K11" s="25"/>
      <c r="L11" s="26" t="str">
        <f t="shared" si="2"/>
        <v/>
      </c>
      <c r="M11" s="27" t="str">
        <f t="shared" si="1"/>
        <v/>
      </c>
      <c r="N11" s="27" t="str">
        <f t="shared" si="0"/>
        <v/>
      </c>
      <c r="O11" s="27"/>
      <c r="P11" s="27"/>
      <c r="Q11" s="182"/>
      <c r="R11" s="124"/>
      <c r="S11" s="220"/>
      <c r="T11" s="4"/>
      <c r="U11" s="244"/>
      <c r="V11" s="245"/>
      <c r="W11" s="245"/>
      <c r="X11" s="245"/>
      <c r="Y11" s="245"/>
      <c r="AB11" s="105" t="s">
        <v>200</v>
      </c>
      <c r="AC11" s="97" t="s">
        <v>201</v>
      </c>
      <c r="AD11" s="95"/>
      <c r="AE11" s="95"/>
    </row>
    <row r="12" spans="1:31" ht="45" customHeight="1" x14ac:dyDescent="0.3">
      <c r="F12" s="528"/>
      <c r="G12" s="579"/>
      <c r="H12" s="32">
        <v>2.4</v>
      </c>
      <c r="I12" s="33" t="s">
        <v>203</v>
      </c>
      <c r="J12" s="34">
        <v>1</v>
      </c>
      <c r="K12" s="25"/>
      <c r="L12" s="26" t="str">
        <f t="shared" si="2"/>
        <v/>
      </c>
      <c r="M12" s="27" t="str">
        <f t="shared" si="1"/>
        <v/>
      </c>
      <c r="N12" s="27" t="str">
        <f t="shared" si="0"/>
        <v/>
      </c>
      <c r="O12" s="27"/>
      <c r="P12" s="27"/>
      <c r="Q12" s="182"/>
      <c r="R12" s="124"/>
      <c r="S12" s="220"/>
      <c r="T12" s="4"/>
      <c r="U12" s="244"/>
      <c r="V12" s="245"/>
      <c r="W12" s="245"/>
      <c r="X12" s="245"/>
      <c r="Y12" s="245"/>
      <c r="AB12" s="105" t="s">
        <v>204</v>
      </c>
      <c r="AC12" s="97"/>
      <c r="AD12" s="95"/>
      <c r="AE12" s="95"/>
    </row>
    <row r="13" spans="1:31" ht="45" customHeight="1" x14ac:dyDescent="0.3">
      <c r="F13" s="173" t="s">
        <v>206</v>
      </c>
      <c r="G13" s="256" t="s">
        <v>207</v>
      </c>
      <c r="H13" s="23">
        <v>3.1</v>
      </c>
      <c r="I13" s="256" t="s">
        <v>208</v>
      </c>
      <c r="J13" s="24">
        <v>2</v>
      </c>
      <c r="K13" s="25"/>
      <c r="L13" s="26" t="str">
        <f t="shared" si="2"/>
        <v/>
      </c>
      <c r="M13" s="27" t="str">
        <f t="shared" si="1"/>
        <v/>
      </c>
      <c r="N13" s="27" t="str">
        <f t="shared" si="0"/>
        <v/>
      </c>
      <c r="O13" s="27"/>
      <c r="P13" s="27"/>
      <c r="Q13" s="182"/>
      <c r="R13" s="124"/>
      <c r="S13" s="220"/>
      <c r="T13" s="4"/>
      <c r="U13" s="244"/>
      <c r="V13" s="245"/>
      <c r="W13" s="245"/>
      <c r="X13" s="245"/>
      <c r="Y13" s="245"/>
      <c r="AC13" s="95"/>
      <c r="AD13" s="95"/>
      <c r="AE13" s="95"/>
    </row>
    <row r="14" spans="1:31" ht="87" customHeight="1" x14ac:dyDescent="0.3">
      <c r="F14" s="173" t="s">
        <v>212</v>
      </c>
      <c r="G14" s="253" t="s">
        <v>406</v>
      </c>
      <c r="H14" s="23">
        <v>4.0999999999999996</v>
      </c>
      <c r="I14" s="256" t="s">
        <v>212</v>
      </c>
      <c r="J14" s="24">
        <v>1</v>
      </c>
      <c r="K14" s="25"/>
      <c r="L14" s="26" t="str">
        <f t="shared" si="2"/>
        <v/>
      </c>
      <c r="M14" s="27" t="str">
        <f t="shared" si="1"/>
        <v/>
      </c>
      <c r="N14" s="27" t="str">
        <f t="shared" si="0"/>
        <v/>
      </c>
      <c r="O14" s="27"/>
      <c r="P14" s="27"/>
      <c r="Q14" s="182"/>
      <c r="R14" s="124"/>
      <c r="S14" s="220"/>
      <c r="T14" s="4"/>
      <c r="U14" s="244"/>
      <c r="V14" s="245"/>
      <c r="W14" s="245"/>
      <c r="X14" s="245"/>
      <c r="Y14" s="245"/>
      <c r="AC14" s="95"/>
      <c r="AD14" s="95"/>
      <c r="AE14" s="95"/>
    </row>
    <row r="15" spans="1:31" ht="45" customHeight="1" x14ac:dyDescent="0.3">
      <c r="F15" s="528" t="s">
        <v>215</v>
      </c>
      <c r="G15" s="562" t="s">
        <v>216</v>
      </c>
      <c r="H15" s="23">
        <v>5.0999999999999996</v>
      </c>
      <c r="I15" s="256" t="s">
        <v>217</v>
      </c>
      <c r="J15" s="24">
        <v>1</v>
      </c>
      <c r="K15" s="25"/>
      <c r="L15" s="26" t="str">
        <f t="shared" si="2"/>
        <v/>
      </c>
      <c r="M15" s="27" t="str">
        <f t="shared" si="1"/>
        <v/>
      </c>
      <c r="N15" s="27" t="str">
        <f t="shared" si="0"/>
        <v/>
      </c>
      <c r="O15" s="27"/>
      <c r="P15" s="27"/>
      <c r="Q15" s="182"/>
      <c r="R15" s="124"/>
      <c r="S15" s="220"/>
      <c r="T15" s="4"/>
      <c r="U15" s="244"/>
      <c r="V15" s="245"/>
      <c r="W15" s="245"/>
      <c r="X15" s="245"/>
      <c r="Y15" s="245"/>
      <c r="AC15" s="95"/>
      <c r="AD15" s="95"/>
      <c r="AE15" s="95"/>
    </row>
    <row r="16" spans="1:31" ht="45" customHeight="1" x14ac:dyDescent="0.3">
      <c r="F16" s="528"/>
      <c r="G16" s="562"/>
      <c r="H16" s="23">
        <v>5.2</v>
      </c>
      <c r="I16" s="256" t="s">
        <v>219</v>
      </c>
      <c r="J16" s="24">
        <v>1</v>
      </c>
      <c r="K16" s="25"/>
      <c r="L16" s="26" t="str">
        <f t="shared" si="2"/>
        <v/>
      </c>
      <c r="M16" s="27" t="str">
        <f t="shared" si="1"/>
        <v/>
      </c>
      <c r="N16" s="27" t="str">
        <f t="shared" si="0"/>
        <v/>
      </c>
      <c r="O16" s="27"/>
      <c r="P16" s="27"/>
      <c r="Q16" s="182"/>
      <c r="R16" s="124"/>
      <c r="S16" s="220"/>
      <c r="T16" s="4"/>
      <c r="U16" s="244"/>
      <c r="V16" s="245"/>
      <c r="W16" s="245"/>
      <c r="X16" s="245"/>
      <c r="Y16" s="245"/>
      <c r="AC16" s="95"/>
      <c r="AD16" s="95"/>
      <c r="AE16" s="95"/>
    </row>
    <row r="17" spans="1:31" ht="45" customHeight="1" x14ac:dyDescent="0.3">
      <c r="F17" s="528" t="s">
        <v>221</v>
      </c>
      <c r="G17" s="562" t="s">
        <v>222</v>
      </c>
      <c r="H17" s="23">
        <v>6</v>
      </c>
      <c r="I17" s="256" t="s">
        <v>223</v>
      </c>
      <c r="J17" s="24" t="s">
        <v>180</v>
      </c>
      <c r="K17" s="31"/>
      <c r="L17" s="26"/>
      <c r="M17" s="27" t="str">
        <f t="shared" si="1"/>
        <v/>
      </c>
      <c r="N17" s="27" t="str">
        <f t="shared" si="0"/>
        <v/>
      </c>
      <c r="O17" s="27"/>
      <c r="P17" s="27"/>
      <c r="Q17" s="182"/>
      <c r="R17" s="124"/>
      <c r="S17" s="220"/>
      <c r="T17" s="4"/>
      <c r="U17" s="244"/>
      <c r="V17" s="245"/>
      <c r="W17" s="245"/>
      <c r="X17" s="245"/>
      <c r="Y17" s="245"/>
      <c r="AC17" s="95"/>
      <c r="AD17" s="95"/>
      <c r="AE17" s="95"/>
    </row>
    <row r="18" spans="1:31" ht="45" customHeight="1" x14ac:dyDescent="0.3">
      <c r="F18" s="528"/>
      <c r="G18" s="562"/>
      <c r="H18" s="23">
        <v>6.1</v>
      </c>
      <c r="I18" s="256" t="s">
        <v>225</v>
      </c>
      <c r="J18" s="24">
        <v>1</v>
      </c>
      <c r="K18" s="25"/>
      <c r="L18" s="26" t="str">
        <f>IF(AND(K18&gt;0,$K$17&lt;&gt;$AD$8),"!","")</f>
        <v/>
      </c>
      <c r="M18" s="27" t="str">
        <f t="shared" si="1"/>
        <v/>
      </c>
      <c r="N18" s="27" t="str">
        <f t="shared" si="0"/>
        <v/>
      </c>
      <c r="O18" s="27"/>
      <c r="P18" s="27"/>
      <c r="Q18" s="182"/>
      <c r="R18" s="124"/>
      <c r="S18" s="220"/>
      <c r="T18" s="4"/>
      <c r="U18" s="244"/>
      <c r="V18" s="245"/>
      <c r="W18" s="245"/>
      <c r="X18" s="245"/>
      <c r="Y18" s="245"/>
      <c r="AC18" s="95"/>
      <c r="AD18" s="95"/>
      <c r="AE18" s="95"/>
    </row>
    <row r="19" spans="1:31" ht="45" customHeight="1" x14ac:dyDescent="0.3">
      <c r="F19" s="533" t="s">
        <v>382</v>
      </c>
      <c r="G19" s="531" t="s">
        <v>407</v>
      </c>
      <c r="H19" s="23">
        <v>7</v>
      </c>
      <c r="I19" s="256" t="s">
        <v>229</v>
      </c>
      <c r="J19" s="35" t="s">
        <v>180</v>
      </c>
      <c r="K19" s="36"/>
      <c r="L19" s="26"/>
      <c r="M19" s="27" t="str">
        <f t="shared" si="1"/>
        <v/>
      </c>
      <c r="N19" s="27" t="str">
        <f t="shared" si="0"/>
        <v/>
      </c>
      <c r="O19" s="27"/>
      <c r="P19" s="27"/>
      <c r="Q19" s="182"/>
      <c r="R19" s="124"/>
      <c r="S19" s="220"/>
      <c r="T19" s="4"/>
      <c r="U19" s="244"/>
      <c r="V19" s="245"/>
      <c r="W19" s="245"/>
      <c r="X19" s="245"/>
      <c r="Y19" s="245"/>
      <c r="AC19" s="95"/>
      <c r="AD19" s="95"/>
      <c r="AE19" s="95"/>
    </row>
    <row r="20" spans="1:31" ht="45" customHeight="1" x14ac:dyDescent="0.3">
      <c r="F20" s="534"/>
      <c r="G20" s="529"/>
      <c r="H20" s="23">
        <v>7.1</v>
      </c>
      <c r="I20" s="256" t="s">
        <v>231</v>
      </c>
      <c r="J20" s="35">
        <v>1</v>
      </c>
      <c r="K20" s="37"/>
      <c r="L20" s="26" t="str">
        <f>IF(AND(K20&gt;0,$K$19&lt;&gt;$AD$8),"!","")</f>
        <v/>
      </c>
      <c r="M20" s="27" t="str">
        <f t="shared" si="1"/>
        <v/>
      </c>
      <c r="N20" s="27" t="str">
        <f t="shared" si="0"/>
        <v/>
      </c>
      <c r="O20" s="27"/>
      <c r="P20" s="27"/>
      <c r="Q20" s="182"/>
      <c r="R20" s="124"/>
      <c r="S20" s="220"/>
      <c r="T20" s="4"/>
      <c r="U20" s="244"/>
      <c r="V20" s="245"/>
      <c r="W20" s="245"/>
      <c r="X20" s="245"/>
      <c r="Y20" s="245"/>
      <c r="AC20" s="95"/>
      <c r="AD20" s="95"/>
      <c r="AE20" s="95"/>
    </row>
    <row r="21" spans="1:31" ht="45" customHeight="1" x14ac:dyDescent="0.3">
      <c r="F21" s="527"/>
      <c r="G21" s="530"/>
      <c r="H21" s="23">
        <v>7.2</v>
      </c>
      <c r="I21" s="256" t="s">
        <v>238</v>
      </c>
      <c r="J21" s="35">
        <v>1</v>
      </c>
      <c r="K21" s="37"/>
      <c r="L21" s="26"/>
      <c r="M21" s="27"/>
      <c r="N21" s="27"/>
      <c r="O21" s="27"/>
      <c r="P21" s="27"/>
      <c r="Q21" s="182"/>
      <c r="R21" s="124"/>
      <c r="S21" s="220"/>
      <c r="T21" s="4"/>
      <c r="U21" s="244"/>
      <c r="V21" s="245"/>
      <c r="W21" s="245"/>
      <c r="X21" s="245"/>
      <c r="Y21" s="245"/>
      <c r="AC21" s="95"/>
      <c r="AD21" s="95"/>
      <c r="AE21" s="95"/>
    </row>
    <row r="22" spans="1:31" ht="45" customHeight="1" x14ac:dyDescent="0.3">
      <c r="F22" s="533" t="s">
        <v>239</v>
      </c>
      <c r="G22" s="541" t="s">
        <v>186</v>
      </c>
      <c r="H22" s="23" t="s">
        <v>240</v>
      </c>
      <c r="I22" s="256" t="s">
        <v>241</v>
      </c>
      <c r="J22" s="35">
        <f>IF(G22=AA8,1,"-")</f>
        <v>1</v>
      </c>
      <c r="K22" s="37"/>
      <c r="L22" s="26" t="str">
        <f>IF(AND(K22&gt;0,G22="Prescriptive Pathway"),"!","")</f>
        <v/>
      </c>
      <c r="M22" s="27" t="str">
        <f t="shared" si="1"/>
        <v/>
      </c>
      <c r="N22" s="27" t="str">
        <f t="shared" si="0"/>
        <v/>
      </c>
      <c r="O22" s="27"/>
      <c r="P22" s="27"/>
      <c r="Q22" s="182"/>
      <c r="R22" s="124"/>
      <c r="S22" s="220"/>
      <c r="T22" s="4"/>
      <c r="U22" s="244"/>
      <c r="V22" s="245"/>
      <c r="W22" s="245"/>
      <c r="X22" s="245"/>
      <c r="Y22" s="245"/>
      <c r="AC22" s="95"/>
      <c r="AD22" s="95"/>
      <c r="AE22" s="95"/>
    </row>
    <row r="23" spans="1:31" ht="45" customHeight="1" x14ac:dyDescent="0.3">
      <c r="F23" s="527"/>
      <c r="G23" s="542"/>
      <c r="H23" s="23" t="s">
        <v>242</v>
      </c>
      <c r="I23" s="256" t="s">
        <v>243</v>
      </c>
      <c r="J23" s="35" t="str">
        <f>IF(G22=AA9,1,"-")</f>
        <v>-</v>
      </c>
      <c r="K23" s="37"/>
      <c r="L23" s="26" t="str">
        <f>IF(AND(K23&gt;0,G22="Performance Pathway"),"!","")</f>
        <v/>
      </c>
      <c r="M23" s="27" t="str">
        <f t="shared" si="1"/>
        <v/>
      </c>
      <c r="N23" s="27" t="str">
        <f t="shared" si="0"/>
        <v/>
      </c>
      <c r="O23" s="27"/>
      <c r="P23" s="27"/>
      <c r="Q23" s="182"/>
      <c r="R23" s="124"/>
      <c r="S23" s="220"/>
      <c r="T23" s="4"/>
      <c r="U23" s="244"/>
      <c r="V23" s="245"/>
      <c r="W23" s="245"/>
      <c r="X23" s="245"/>
      <c r="Y23" s="245"/>
    </row>
    <row r="24" spans="1:31" ht="37.5" customHeight="1" x14ac:dyDescent="0.3">
      <c r="F24" s="39" t="s">
        <v>54</v>
      </c>
      <c r="G24" s="39"/>
      <c r="H24" s="40"/>
      <c r="I24" s="39"/>
      <c r="J24" s="40">
        <f>SUM(J7:J23)</f>
        <v>14</v>
      </c>
      <c r="K24" s="40">
        <f>SUM(K7:K23)</f>
        <v>0</v>
      </c>
      <c r="L24" s="26" t="str">
        <f>IF(K24&gt;J24,"!","")</f>
        <v/>
      </c>
      <c r="M24" s="41">
        <f>SUM(M7:M23)</f>
        <v>0</v>
      </c>
      <c r="N24" s="41">
        <f>SUM(N7:N23)</f>
        <v>0</v>
      </c>
      <c r="O24" s="42"/>
      <c r="P24" s="42"/>
      <c r="Q24" s="170"/>
      <c r="R24" s="3"/>
      <c r="S24" s="221"/>
      <c r="T24" s="4"/>
      <c r="U24" s="231"/>
      <c r="V24" s="221"/>
      <c r="W24" s="221"/>
      <c r="X24" s="221"/>
      <c r="Y24" s="221"/>
    </row>
    <row r="25" spans="1:31" ht="45" customHeight="1" x14ac:dyDescent="0.3">
      <c r="F25" s="43"/>
      <c r="G25" s="44"/>
      <c r="H25" s="45"/>
      <c r="I25" s="46"/>
      <c r="J25" s="47"/>
      <c r="K25" s="48"/>
      <c r="L25" s="19"/>
      <c r="M25" s="48"/>
      <c r="Q25" s="183"/>
      <c r="R25" s="28"/>
      <c r="T25" s="4"/>
      <c r="U25" s="246"/>
      <c r="V25" s="247"/>
      <c r="W25" s="247"/>
      <c r="X25" s="247"/>
      <c r="Y25" s="247"/>
    </row>
    <row r="26" spans="1:31" ht="45" customHeight="1" x14ac:dyDescent="0.3">
      <c r="F26" s="565" t="s">
        <v>244</v>
      </c>
      <c r="G26" s="565"/>
      <c r="H26" s="565"/>
      <c r="I26" s="565"/>
      <c r="J26" s="154">
        <f>17-SUM(B27:B43)</f>
        <v>17</v>
      </c>
      <c r="K26" s="49"/>
      <c r="L26" s="26"/>
      <c r="M26" s="154"/>
      <c r="N26" s="154"/>
      <c r="O26" s="154"/>
      <c r="P26" s="154"/>
      <c r="Q26" s="171"/>
      <c r="R26" s="50"/>
      <c r="S26" s="222"/>
      <c r="T26" s="51"/>
      <c r="U26" s="232"/>
      <c r="V26" s="222"/>
      <c r="W26" s="222"/>
      <c r="X26" s="222"/>
      <c r="Y26" s="222"/>
    </row>
    <row r="27" spans="1:31" ht="45" customHeight="1" x14ac:dyDescent="0.3">
      <c r="A27" s="141">
        <v>1</v>
      </c>
      <c r="B27" s="141">
        <f>IF(C27=TRUE,A27,0)</f>
        <v>0</v>
      </c>
      <c r="C27" s="141" t="b">
        <v>0</v>
      </c>
      <c r="E27" s="143"/>
      <c r="F27" s="547" t="s">
        <v>81</v>
      </c>
      <c r="G27" s="562" t="s">
        <v>408</v>
      </c>
      <c r="H27" s="23">
        <v>9.1</v>
      </c>
      <c r="I27" s="52" t="s">
        <v>82</v>
      </c>
      <c r="J27" s="53">
        <f>IF(C27=FALSE,A27,0)</f>
        <v>1</v>
      </c>
      <c r="K27" s="54"/>
      <c r="L27" s="26"/>
      <c r="M27" s="27" t="str">
        <f>IF(OR(Q27=$AC$9,Q27=$AC$10),K27,"")</f>
        <v/>
      </c>
      <c r="N27" s="27" t="str">
        <f t="shared" ref="N27:N43" si="3">IF(Q27=$AC$11,K27,"")</f>
        <v/>
      </c>
      <c r="O27" s="27"/>
      <c r="P27" s="27"/>
      <c r="Q27" s="182"/>
      <c r="R27" s="124"/>
      <c r="S27" s="220"/>
      <c r="T27" s="4"/>
      <c r="U27" s="244"/>
      <c r="V27" s="245"/>
      <c r="W27" s="245"/>
      <c r="X27" s="245"/>
      <c r="Y27" s="245"/>
    </row>
    <row r="28" spans="1:31" ht="45" customHeight="1" x14ac:dyDescent="0.3">
      <c r="A28" s="141">
        <v>2</v>
      </c>
      <c r="B28" s="141">
        <f t="shared" ref="B28:B43" si="4">IF(C28=TRUE,A28,0)</f>
        <v>0</v>
      </c>
      <c r="C28" s="141" t="b">
        <v>0</v>
      </c>
      <c r="F28" s="547"/>
      <c r="G28" s="562"/>
      <c r="H28" s="23">
        <v>9.1999999999999993</v>
      </c>
      <c r="I28" s="52" t="s">
        <v>83</v>
      </c>
      <c r="J28" s="53">
        <f t="shared" ref="J28:J43" si="5">IF(C28=FALSE,A28,0)</f>
        <v>2</v>
      </c>
      <c r="K28" s="54"/>
      <c r="L28" s="26"/>
      <c r="M28" s="27" t="str">
        <f t="shared" ref="M28:M43" si="6">IF(OR(Q28=$AC$9,Q28=$AC$10),K28,"")</f>
        <v/>
      </c>
      <c r="N28" s="27" t="str">
        <f t="shared" si="3"/>
        <v/>
      </c>
      <c r="O28" s="27"/>
      <c r="P28" s="27"/>
      <c r="Q28" s="181"/>
      <c r="R28" s="124"/>
      <c r="S28" s="220"/>
      <c r="T28" s="4"/>
      <c r="U28" s="244"/>
      <c r="V28" s="245"/>
      <c r="W28" s="245"/>
      <c r="X28" s="245"/>
      <c r="Y28" s="245"/>
    </row>
    <row r="29" spans="1:31" ht="45" customHeight="1" x14ac:dyDescent="0.3">
      <c r="A29" s="141">
        <v>1</v>
      </c>
      <c r="B29" s="141">
        <f t="shared" si="4"/>
        <v>0</v>
      </c>
      <c r="C29" s="141" t="b">
        <v>0</v>
      </c>
      <c r="F29" s="547"/>
      <c r="G29" s="562"/>
      <c r="H29" s="23">
        <v>9.3000000000000007</v>
      </c>
      <c r="I29" s="52" t="s">
        <v>84</v>
      </c>
      <c r="J29" s="53">
        <f t="shared" si="5"/>
        <v>1</v>
      </c>
      <c r="K29" s="54"/>
      <c r="L29" s="26"/>
      <c r="M29" s="27" t="str">
        <f t="shared" si="6"/>
        <v/>
      </c>
      <c r="N29" s="27" t="str">
        <f t="shared" si="3"/>
        <v/>
      </c>
      <c r="O29" s="27"/>
      <c r="P29" s="27"/>
      <c r="Q29" s="181"/>
      <c r="R29" s="124"/>
      <c r="S29" s="220"/>
      <c r="T29" s="4"/>
      <c r="U29" s="244"/>
      <c r="V29" s="245"/>
      <c r="W29" s="245"/>
      <c r="X29" s="245"/>
      <c r="Y29" s="245"/>
    </row>
    <row r="30" spans="1:31" ht="45" customHeight="1" x14ac:dyDescent="0.3">
      <c r="A30" s="141">
        <v>1</v>
      </c>
      <c r="B30" s="141">
        <f t="shared" si="4"/>
        <v>0</v>
      </c>
      <c r="C30" s="141" t="b">
        <v>0</v>
      </c>
      <c r="F30" s="547" t="s">
        <v>85</v>
      </c>
      <c r="G30" s="562" t="s">
        <v>246</v>
      </c>
      <c r="H30" s="23">
        <v>10.1</v>
      </c>
      <c r="I30" s="52" t="s">
        <v>86</v>
      </c>
      <c r="J30" s="53">
        <f t="shared" si="5"/>
        <v>1</v>
      </c>
      <c r="K30" s="54"/>
      <c r="L30" s="26"/>
      <c r="M30" s="27" t="str">
        <f t="shared" si="6"/>
        <v/>
      </c>
      <c r="N30" s="27" t="str">
        <f t="shared" si="3"/>
        <v/>
      </c>
      <c r="O30" s="27"/>
      <c r="P30" s="27"/>
      <c r="Q30" s="181"/>
      <c r="R30" s="124"/>
      <c r="S30" s="220"/>
      <c r="T30" s="4"/>
      <c r="U30" s="244"/>
      <c r="V30" s="245"/>
      <c r="W30" s="245"/>
      <c r="X30" s="245"/>
      <c r="Y30" s="245"/>
    </row>
    <row r="31" spans="1:31" ht="45" customHeight="1" x14ac:dyDescent="0.3">
      <c r="A31" s="141">
        <v>1</v>
      </c>
      <c r="B31" s="141">
        <f t="shared" si="4"/>
        <v>0</v>
      </c>
      <c r="C31" s="141" t="b">
        <v>0</v>
      </c>
      <c r="F31" s="547"/>
      <c r="G31" s="562"/>
      <c r="H31" s="23">
        <v>10.199999999999999</v>
      </c>
      <c r="I31" s="52" t="s">
        <v>87</v>
      </c>
      <c r="J31" s="53">
        <f t="shared" si="5"/>
        <v>1</v>
      </c>
      <c r="K31" s="54"/>
      <c r="L31" s="26"/>
      <c r="M31" s="27" t="str">
        <f t="shared" si="6"/>
        <v/>
      </c>
      <c r="N31" s="27" t="str">
        <f t="shared" si="3"/>
        <v/>
      </c>
      <c r="O31" s="27"/>
      <c r="P31" s="27"/>
      <c r="Q31" s="181"/>
      <c r="R31" s="124"/>
      <c r="S31" s="220"/>
      <c r="T31" s="4"/>
      <c r="U31" s="244"/>
      <c r="V31" s="245"/>
      <c r="W31" s="245"/>
      <c r="X31" s="245"/>
      <c r="Y31" s="245"/>
    </row>
    <row r="32" spans="1:31" ht="45" customHeight="1" x14ac:dyDescent="0.3">
      <c r="A32" s="141">
        <v>1</v>
      </c>
      <c r="B32" s="141">
        <f t="shared" si="4"/>
        <v>0</v>
      </c>
      <c r="C32" s="141" t="b">
        <v>0</v>
      </c>
      <c r="F32" s="547"/>
      <c r="G32" s="562"/>
      <c r="H32" s="23">
        <v>10.3</v>
      </c>
      <c r="I32" s="52" t="s">
        <v>88</v>
      </c>
      <c r="J32" s="53">
        <f t="shared" si="5"/>
        <v>1</v>
      </c>
      <c r="K32" s="54"/>
      <c r="L32" s="26"/>
      <c r="M32" s="27" t="str">
        <f t="shared" si="6"/>
        <v/>
      </c>
      <c r="N32" s="27" t="str">
        <f t="shared" si="3"/>
        <v/>
      </c>
      <c r="O32" s="27"/>
      <c r="P32" s="27"/>
      <c r="Q32" s="181"/>
      <c r="R32" s="124"/>
      <c r="S32" s="220"/>
      <c r="T32" s="4"/>
      <c r="U32" s="244"/>
      <c r="V32" s="245"/>
      <c r="W32" s="245"/>
      <c r="X32" s="245"/>
      <c r="Y32" s="245"/>
    </row>
    <row r="33" spans="1:27" ht="45" customHeight="1" x14ac:dyDescent="0.3">
      <c r="F33" s="547" t="s">
        <v>89</v>
      </c>
      <c r="G33" s="562" t="s">
        <v>248</v>
      </c>
      <c r="H33" s="23">
        <v>11</v>
      </c>
      <c r="I33" s="52" t="s">
        <v>249</v>
      </c>
      <c r="J33" s="53" t="s">
        <v>180</v>
      </c>
      <c r="K33" s="54"/>
      <c r="L33" s="26"/>
      <c r="M33" s="27" t="str">
        <f t="shared" si="6"/>
        <v/>
      </c>
      <c r="N33" s="27" t="str">
        <f t="shared" si="3"/>
        <v/>
      </c>
      <c r="O33" s="27"/>
      <c r="P33" s="27"/>
      <c r="Q33" s="181"/>
      <c r="R33" s="124"/>
      <c r="S33" s="220"/>
      <c r="T33" s="4"/>
      <c r="U33" s="244"/>
      <c r="V33" s="245"/>
      <c r="W33" s="245"/>
      <c r="X33" s="245"/>
      <c r="Y33" s="245"/>
    </row>
    <row r="34" spans="1:27" ht="45" customHeight="1" x14ac:dyDescent="0.3">
      <c r="A34" s="141">
        <v>1</v>
      </c>
      <c r="B34" s="141">
        <f t="shared" si="4"/>
        <v>0</v>
      </c>
      <c r="C34" s="141" t="b">
        <v>0</v>
      </c>
      <c r="F34" s="547"/>
      <c r="G34" s="562"/>
      <c r="H34" s="23">
        <v>11.1</v>
      </c>
      <c r="I34" s="52" t="s">
        <v>90</v>
      </c>
      <c r="J34" s="53">
        <f t="shared" si="5"/>
        <v>1</v>
      </c>
      <c r="K34" s="54"/>
      <c r="L34" s="26" t="str">
        <f>IF(AND(K34&gt;0,$K$33&lt;&gt;$AD$8),"!","")</f>
        <v/>
      </c>
      <c r="M34" s="27" t="str">
        <f t="shared" si="6"/>
        <v/>
      </c>
      <c r="N34" s="27" t="str">
        <f t="shared" si="3"/>
        <v/>
      </c>
      <c r="O34" s="27"/>
      <c r="P34" s="27"/>
      <c r="Q34" s="181"/>
      <c r="R34" s="124"/>
      <c r="S34" s="220"/>
      <c r="T34" s="4"/>
      <c r="U34" s="244"/>
      <c r="V34" s="245"/>
      <c r="W34" s="245"/>
      <c r="X34" s="245"/>
      <c r="Y34" s="245"/>
    </row>
    <row r="35" spans="1:27" ht="45" customHeight="1" x14ac:dyDescent="0.3">
      <c r="A35" s="141">
        <v>1</v>
      </c>
      <c r="B35" s="141">
        <f t="shared" si="4"/>
        <v>0</v>
      </c>
      <c r="C35" s="141" t="b">
        <v>0</v>
      </c>
      <c r="F35" s="547"/>
      <c r="G35" s="562"/>
      <c r="H35" s="23">
        <v>11.2</v>
      </c>
      <c r="I35" s="52" t="s">
        <v>91</v>
      </c>
      <c r="J35" s="53">
        <f t="shared" si="5"/>
        <v>1</v>
      </c>
      <c r="K35" s="54"/>
      <c r="L35" s="26" t="str">
        <f>IF(AND(K35&gt;0,$K$33&lt;&gt;$AD$8),"!","")</f>
        <v/>
      </c>
      <c r="M35" s="27" t="str">
        <f t="shared" si="6"/>
        <v/>
      </c>
      <c r="N35" s="27" t="str">
        <f t="shared" si="3"/>
        <v/>
      </c>
      <c r="O35" s="27"/>
      <c r="P35" s="27"/>
      <c r="Q35" s="181"/>
      <c r="R35" s="124"/>
      <c r="S35" s="220"/>
      <c r="T35" s="4"/>
      <c r="U35" s="244"/>
      <c r="V35" s="245"/>
      <c r="W35" s="245"/>
      <c r="X35" s="245"/>
      <c r="Y35" s="245"/>
    </row>
    <row r="36" spans="1:27" ht="45" customHeight="1" x14ac:dyDescent="0.3">
      <c r="A36" s="141">
        <v>1</v>
      </c>
      <c r="B36" s="141">
        <f t="shared" si="4"/>
        <v>0</v>
      </c>
      <c r="C36" s="141" t="b">
        <v>0</v>
      </c>
      <c r="F36" s="547"/>
      <c r="G36" s="562"/>
      <c r="H36" s="23">
        <v>11.3</v>
      </c>
      <c r="I36" s="52" t="s">
        <v>92</v>
      </c>
      <c r="J36" s="53">
        <f t="shared" si="5"/>
        <v>1</v>
      </c>
      <c r="K36" s="54"/>
      <c r="L36" s="26" t="str">
        <f>IF(AND(K36&gt;0,$K$33&lt;&gt;$AD$8),"!","")</f>
        <v/>
      </c>
      <c r="M36" s="27" t="str">
        <f t="shared" si="6"/>
        <v/>
      </c>
      <c r="N36" s="27" t="str">
        <f t="shared" si="3"/>
        <v/>
      </c>
      <c r="O36" s="27"/>
      <c r="P36" s="27"/>
      <c r="Q36" s="181"/>
      <c r="R36" s="124"/>
      <c r="S36" s="220"/>
      <c r="T36" s="4"/>
      <c r="U36" s="244"/>
      <c r="V36" s="245"/>
      <c r="W36" s="245"/>
      <c r="X36" s="245"/>
      <c r="Y36" s="245"/>
    </row>
    <row r="37" spans="1:27" ht="45" customHeight="1" x14ac:dyDescent="0.3">
      <c r="F37" s="547" t="s">
        <v>93</v>
      </c>
      <c r="G37" s="562" t="s">
        <v>250</v>
      </c>
      <c r="H37" s="23">
        <v>12</v>
      </c>
      <c r="I37" s="52" t="s">
        <v>251</v>
      </c>
      <c r="J37" s="53" t="s">
        <v>180</v>
      </c>
      <c r="K37" s="54"/>
      <c r="L37" s="26"/>
      <c r="M37" s="27" t="str">
        <f t="shared" si="6"/>
        <v/>
      </c>
      <c r="N37" s="27" t="str">
        <f t="shared" si="3"/>
        <v/>
      </c>
      <c r="O37" s="27"/>
      <c r="P37" s="27"/>
      <c r="Q37" s="181"/>
      <c r="R37" s="124"/>
      <c r="S37" s="220"/>
      <c r="T37" s="4"/>
      <c r="U37" s="244"/>
      <c r="V37" s="245"/>
      <c r="W37" s="245"/>
      <c r="X37" s="245"/>
      <c r="Y37" s="245"/>
    </row>
    <row r="38" spans="1:27" ht="45" customHeight="1" x14ac:dyDescent="0.3">
      <c r="A38" s="141">
        <v>2</v>
      </c>
      <c r="B38" s="141">
        <f t="shared" si="4"/>
        <v>0</v>
      </c>
      <c r="C38" s="141" t="b">
        <v>0</v>
      </c>
      <c r="F38" s="547"/>
      <c r="G38" s="562"/>
      <c r="H38" s="23">
        <v>12.1</v>
      </c>
      <c r="I38" s="52" t="s">
        <v>94</v>
      </c>
      <c r="J38" s="53">
        <f t="shared" si="5"/>
        <v>2</v>
      </c>
      <c r="K38" s="54"/>
      <c r="L38" s="26" t="str">
        <f>IF(AND(K38&gt;0,$K$37&lt;&gt;$AD$8),"!","")</f>
        <v/>
      </c>
      <c r="M38" s="27" t="str">
        <f t="shared" si="6"/>
        <v/>
      </c>
      <c r="N38" s="27" t="str">
        <f t="shared" si="3"/>
        <v/>
      </c>
      <c r="O38" s="27"/>
      <c r="P38" s="27"/>
      <c r="Q38" s="181"/>
      <c r="R38" s="124"/>
      <c r="S38" s="220"/>
      <c r="T38" s="4"/>
      <c r="U38" s="244"/>
      <c r="V38" s="245"/>
      <c r="W38" s="245"/>
      <c r="X38" s="245"/>
      <c r="Y38" s="245"/>
    </row>
    <row r="39" spans="1:27" ht="45" customHeight="1" x14ac:dyDescent="0.3">
      <c r="A39" s="141">
        <v>1</v>
      </c>
      <c r="B39" s="141">
        <f t="shared" si="4"/>
        <v>0</v>
      </c>
      <c r="C39" s="141" t="b">
        <v>0</v>
      </c>
      <c r="F39" s="547"/>
      <c r="G39" s="562"/>
      <c r="H39" s="23">
        <v>12.2</v>
      </c>
      <c r="I39" s="52" t="s">
        <v>95</v>
      </c>
      <c r="J39" s="53">
        <f t="shared" si="5"/>
        <v>1</v>
      </c>
      <c r="K39" s="54"/>
      <c r="L39" s="26" t="str">
        <f>IF(AND(K39&gt;0,$K$37&lt;&gt;$AD$8),"!","")</f>
        <v/>
      </c>
      <c r="M39" s="27" t="str">
        <f t="shared" si="6"/>
        <v/>
      </c>
      <c r="N39" s="27" t="str">
        <f t="shared" si="3"/>
        <v/>
      </c>
      <c r="O39" s="27"/>
      <c r="P39" s="27"/>
      <c r="Q39" s="181"/>
      <c r="R39" s="124"/>
      <c r="S39" s="220"/>
      <c r="T39" s="4"/>
      <c r="U39" s="244"/>
      <c r="V39" s="245"/>
      <c r="W39" s="245"/>
      <c r="X39" s="245"/>
      <c r="Y39" s="245"/>
    </row>
    <row r="40" spans="1:27" ht="45" customHeight="1" x14ac:dyDescent="0.3">
      <c r="A40" s="141">
        <v>1</v>
      </c>
      <c r="B40" s="141">
        <f t="shared" si="4"/>
        <v>0</v>
      </c>
      <c r="C40" s="141" t="b">
        <v>0</v>
      </c>
      <c r="F40" s="547" t="s">
        <v>96</v>
      </c>
      <c r="G40" s="562" t="s">
        <v>252</v>
      </c>
      <c r="H40" s="23">
        <v>13.1</v>
      </c>
      <c r="I40" s="52" t="s">
        <v>97</v>
      </c>
      <c r="J40" s="53">
        <f t="shared" si="5"/>
        <v>1</v>
      </c>
      <c r="K40" s="54"/>
      <c r="L40" s="26"/>
      <c r="M40" s="27" t="str">
        <f t="shared" si="6"/>
        <v/>
      </c>
      <c r="N40" s="27" t="str">
        <f t="shared" si="3"/>
        <v/>
      </c>
      <c r="O40" s="27"/>
      <c r="P40" s="27"/>
      <c r="Q40" s="181"/>
      <c r="R40" s="124"/>
      <c r="S40" s="220"/>
      <c r="T40" s="4"/>
      <c r="U40" s="244"/>
      <c r="V40" s="245"/>
      <c r="W40" s="245"/>
      <c r="X40" s="245"/>
      <c r="Y40" s="245"/>
    </row>
    <row r="41" spans="1:27" ht="45" customHeight="1" x14ac:dyDescent="0.3">
      <c r="A41" s="141">
        <v>1</v>
      </c>
      <c r="B41" s="141">
        <f t="shared" si="4"/>
        <v>0</v>
      </c>
      <c r="C41" s="141" t="b">
        <v>0</v>
      </c>
      <c r="F41" s="547"/>
      <c r="G41" s="562"/>
      <c r="H41" s="23">
        <v>13.2</v>
      </c>
      <c r="I41" s="52" t="s">
        <v>98</v>
      </c>
      <c r="J41" s="53">
        <f t="shared" si="5"/>
        <v>1</v>
      </c>
      <c r="K41" s="54"/>
      <c r="L41" s="26"/>
      <c r="M41" s="27" t="str">
        <f t="shared" si="6"/>
        <v/>
      </c>
      <c r="N41" s="27" t="str">
        <f t="shared" si="3"/>
        <v/>
      </c>
      <c r="O41" s="27"/>
      <c r="P41" s="27"/>
      <c r="Q41" s="181"/>
      <c r="R41" s="124"/>
      <c r="S41" s="220"/>
      <c r="T41" s="4"/>
      <c r="U41" s="244"/>
      <c r="V41" s="245"/>
      <c r="W41" s="245"/>
      <c r="X41" s="245"/>
      <c r="Y41" s="245"/>
    </row>
    <row r="42" spans="1:27" ht="45" customHeight="1" x14ac:dyDescent="0.3">
      <c r="A42" s="141">
        <v>1</v>
      </c>
      <c r="B42" s="141">
        <f t="shared" si="4"/>
        <v>0</v>
      </c>
      <c r="C42" s="141" t="b">
        <v>0</v>
      </c>
      <c r="F42" s="547" t="s">
        <v>99</v>
      </c>
      <c r="G42" s="562" t="s">
        <v>409</v>
      </c>
      <c r="H42" s="23">
        <v>14.1</v>
      </c>
      <c r="I42" s="52" t="s">
        <v>99</v>
      </c>
      <c r="J42" s="53">
        <f t="shared" si="5"/>
        <v>1</v>
      </c>
      <c r="K42" s="54"/>
      <c r="L42" s="26"/>
      <c r="M42" s="27" t="str">
        <f t="shared" si="6"/>
        <v/>
      </c>
      <c r="N42" s="27" t="str">
        <f t="shared" si="3"/>
        <v/>
      </c>
      <c r="O42" s="27"/>
      <c r="P42" s="27"/>
      <c r="Q42" s="181"/>
      <c r="R42" s="124"/>
      <c r="S42" s="220"/>
      <c r="T42" s="4"/>
      <c r="U42" s="244"/>
      <c r="V42" s="245"/>
      <c r="W42" s="245"/>
      <c r="X42" s="245"/>
      <c r="Y42" s="245"/>
    </row>
    <row r="43" spans="1:27" ht="45" customHeight="1" x14ac:dyDescent="0.3">
      <c r="A43" s="141">
        <v>1</v>
      </c>
      <c r="B43" s="141">
        <f t="shared" si="4"/>
        <v>0</v>
      </c>
      <c r="C43" s="141" t="b">
        <v>0</v>
      </c>
      <c r="F43" s="548"/>
      <c r="G43" s="531"/>
      <c r="H43" s="23">
        <v>14.2</v>
      </c>
      <c r="I43" s="52" t="s">
        <v>100</v>
      </c>
      <c r="J43" s="53">
        <f t="shared" si="5"/>
        <v>1</v>
      </c>
      <c r="K43" s="54"/>
      <c r="L43" s="26"/>
      <c r="M43" s="27" t="str">
        <f t="shared" si="6"/>
        <v/>
      </c>
      <c r="N43" s="27" t="str">
        <f t="shared" si="3"/>
        <v/>
      </c>
      <c r="O43" s="27"/>
      <c r="P43" s="27"/>
      <c r="Q43" s="181"/>
      <c r="R43" s="124"/>
      <c r="S43" s="220"/>
      <c r="T43" s="4"/>
      <c r="U43" s="244"/>
      <c r="V43" s="245"/>
      <c r="W43" s="245"/>
      <c r="X43" s="245"/>
      <c r="Y43" s="245"/>
    </row>
    <row r="44" spans="1:27" ht="45" customHeight="1" x14ac:dyDescent="0.3">
      <c r="F44" s="39" t="s">
        <v>54</v>
      </c>
      <c r="G44" s="39"/>
      <c r="H44" s="40"/>
      <c r="I44" s="39"/>
      <c r="J44" s="40">
        <f>SUM(J27:J43)</f>
        <v>17</v>
      </c>
      <c r="K44" s="40">
        <f>SUM(K27:K43)</f>
        <v>0</v>
      </c>
      <c r="L44" s="26" t="str">
        <f>IF(K44&gt;J44,"!","")</f>
        <v/>
      </c>
      <c r="M44" s="41">
        <f t="shared" ref="M44:N44" si="7">SUM(M27:M43)</f>
        <v>0</v>
      </c>
      <c r="N44" s="41">
        <f t="shared" si="7"/>
        <v>0</v>
      </c>
      <c r="Q44" s="183"/>
      <c r="R44" s="28"/>
      <c r="S44" s="223"/>
      <c r="T44" s="4"/>
      <c r="U44" s="248"/>
      <c r="V44" s="249"/>
      <c r="W44" s="249"/>
      <c r="X44" s="249"/>
      <c r="Y44" s="249"/>
    </row>
    <row r="45" spans="1:27" ht="45" customHeight="1" x14ac:dyDescent="0.3">
      <c r="F45" s="57"/>
      <c r="G45" s="57"/>
      <c r="H45" s="1"/>
      <c r="I45" s="57"/>
      <c r="J45" s="1"/>
      <c r="K45" s="1"/>
      <c r="L45" s="58"/>
      <c r="M45" s="1"/>
      <c r="N45" s="1"/>
      <c r="O45" s="1"/>
      <c r="P45" s="1"/>
      <c r="Q45" s="184"/>
      <c r="R45" s="28"/>
      <c r="S45" s="223"/>
      <c r="T45" s="4"/>
      <c r="U45" s="248"/>
      <c r="V45" s="249"/>
      <c r="W45" s="249"/>
      <c r="X45" s="249"/>
      <c r="Y45" s="249"/>
    </row>
    <row r="46" spans="1:27" ht="45" customHeight="1" x14ac:dyDescent="0.3">
      <c r="F46" s="525" t="s">
        <v>254</v>
      </c>
      <c r="G46" s="525"/>
      <c r="H46" s="525"/>
      <c r="I46" s="525"/>
      <c r="J46" s="49">
        <f>22-SUM(B47:B63)</f>
        <v>22</v>
      </c>
      <c r="K46" s="49"/>
      <c r="L46" s="59"/>
      <c r="M46" s="145"/>
      <c r="N46" s="145"/>
      <c r="O46" s="145"/>
      <c r="P46" s="145"/>
      <c r="Q46" s="171"/>
      <c r="R46" s="163"/>
      <c r="S46" s="224"/>
      <c r="T46" s="60"/>
      <c r="U46" s="232"/>
      <c r="V46" s="224"/>
      <c r="W46" s="224"/>
      <c r="X46" s="224"/>
      <c r="Y46" s="224"/>
    </row>
    <row r="47" spans="1:27" ht="45" customHeight="1" x14ac:dyDescent="0.3">
      <c r="F47" s="590" t="s">
        <v>257</v>
      </c>
      <c r="G47" s="558" t="s">
        <v>410</v>
      </c>
      <c r="H47" s="147" t="s">
        <v>411</v>
      </c>
      <c r="I47" s="101" t="s">
        <v>412</v>
      </c>
      <c r="J47" s="100" t="s">
        <v>180</v>
      </c>
      <c r="K47" s="85"/>
      <c r="L47" s="589"/>
      <c r="M47" s="27" t="str">
        <f>IF(OR(Q47=$AC$9,Q47=$AC$10),K47,"")</f>
        <v/>
      </c>
      <c r="N47" s="27" t="str">
        <f t="shared" ref="N47:N63" si="8">IF(Q47=$AC$11,K47,"")</f>
        <v/>
      </c>
      <c r="O47" s="27"/>
      <c r="P47" s="27"/>
      <c r="Q47" s="182"/>
      <c r="R47" s="124"/>
      <c r="S47" s="220"/>
      <c r="T47" s="4"/>
      <c r="U47" s="244"/>
      <c r="V47" s="245"/>
      <c r="W47" s="245"/>
      <c r="X47" s="245"/>
      <c r="Y47" s="245"/>
      <c r="AA47" s="6" t="s">
        <v>410</v>
      </c>
    </row>
    <row r="48" spans="1:27" ht="45" customHeight="1" x14ac:dyDescent="0.3">
      <c r="F48" s="560"/>
      <c r="G48" s="546"/>
      <c r="H48" s="148" t="s">
        <v>413</v>
      </c>
      <c r="I48" s="103" t="s">
        <v>414</v>
      </c>
      <c r="J48" s="102">
        <f>IF($G$47=$AA$47,1,"-")</f>
        <v>1</v>
      </c>
      <c r="K48" s="64"/>
      <c r="L48" s="589"/>
      <c r="M48" s="27" t="str">
        <f t="shared" ref="M48:M63" si="9">IF(OR(Q48=$AC$9,Q48=$AC$10),K48,"")</f>
        <v/>
      </c>
      <c r="N48" s="27" t="str">
        <f t="shared" si="8"/>
        <v/>
      </c>
      <c r="O48" s="27"/>
      <c r="P48" s="27"/>
      <c r="Q48" s="181"/>
      <c r="R48" s="124"/>
      <c r="S48" s="220"/>
      <c r="T48" s="4"/>
      <c r="U48" s="244"/>
      <c r="V48" s="245"/>
      <c r="W48" s="245"/>
      <c r="X48" s="245"/>
      <c r="Y48" s="245"/>
      <c r="AA48" s="6" t="s">
        <v>415</v>
      </c>
    </row>
    <row r="49" spans="6:27" ht="45" customHeight="1" x14ac:dyDescent="0.3">
      <c r="F49" s="560"/>
      <c r="G49" s="546"/>
      <c r="H49" s="148" t="s">
        <v>416</v>
      </c>
      <c r="I49" s="103" t="s">
        <v>417</v>
      </c>
      <c r="J49" s="102">
        <f t="shared" ref="J49:J52" si="10">IF($G$47=$AA$47,1,"-")</f>
        <v>1</v>
      </c>
      <c r="K49" s="64"/>
      <c r="L49" s="589"/>
      <c r="M49" s="27" t="str">
        <f t="shared" si="9"/>
        <v/>
      </c>
      <c r="N49" s="27" t="str">
        <f t="shared" si="8"/>
        <v/>
      </c>
      <c r="O49" s="27"/>
      <c r="P49" s="27"/>
      <c r="Q49" s="181"/>
      <c r="R49" s="124"/>
      <c r="S49" s="220"/>
      <c r="T49" s="4"/>
      <c r="U49" s="244"/>
      <c r="V49" s="245"/>
      <c r="W49" s="245"/>
      <c r="X49" s="245"/>
      <c r="Y49" s="245"/>
      <c r="AA49" s="6" t="s">
        <v>418</v>
      </c>
    </row>
    <row r="50" spans="6:27" ht="45" customHeight="1" x14ac:dyDescent="0.3">
      <c r="F50" s="560"/>
      <c r="G50" s="546"/>
      <c r="H50" s="148" t="s">
        <v>419</v>
      </c>
      <c r="I50" s="103" t="s">
        <v>420</v>
      </c>
      <c r="J50" s="102">
        <f t="shared" si="10"/>
        <v>1</v>
      </c>
      <c r="K50" s="64"/>
      <c r="L50" s="589"/>
      <c r="M50" s="27" t="str">
        <f t="shared" si="9"/>
        <v/>
      </c>
      <c r="N50" s="27" t="str">
        <f t="shared" si="8"/>
        <v/>
      </c>
      <c r="O50" s="27"/>
      <c r="P50" s="27"/>
      <c r="Q50" s="181"/>
      <c r="R50" s="124"/>
      <c r="S50" s="220"/>
      <c r="T50" s="4"/>
      <c r="U50" s="244"/>
      <c r="V50" s="245"/>
      <c r="W50" s="245"/>
      <c r="X50" s="245"/>
      <c r="Y50" s="245"/>
      <c r="AA50" s="6" t="s">
        <v>421</v>
      </c>
    </row>
    <row r="51" spans="6:27" ht="45" customHeight="1" x14ac:dyDescent="0.3">
      <c r="F51" s="560"/>
      <c r="G51" s="546"/>
      <c r="H51" s="148" t="s">
        <v>422</v>
      </c>
      <c r="I51" s="157" t="s">
        <v>423</v>
      </c>
      <c r="J51" s="102">
        <f t="shared" si="10"/>
        <v>1</v>
      </c>
      <c r="K51" s="64"/>
      <c r="L51" s="589"/>
      <c r="M51" s="27" t="str">
        <f t="shared" si="9"/>
        <v/>
      </c>
      <c r="N51" s="27" t="str">
        <f t="shared" si="8"/>
        <v/>
      </c>
      <c r="O51" s="27"/>
      <c r="P51" s="27"/>
      <c r="Q51" s="181"/>
      <c r="R51" s="124"/>
      <c r="S51" s="220"/>
      <c r="T51" s="4"/>
      <c r="U51" s="244"/>
      <c r="V51" s="245"/>
      <c r="W51" s="245"/>
      <c r="X51" s="245"/>
      <c r="Y51" s="245"/>
      <c r="AA51" s="6" t="s">
        <v>424</v>
      </c>
    </row>
    <row r="52" spans="6:27" ht="45" customHeight="1" x14ac:dyDescent="0.3">
      <c r="F52" s="560"/>
      <c r="G52" s="546"/>
      <c r="H52" s="148" t="s">
        <v>425</v>
      </c>
      <c r="I52" s="103" t="s">
        <v>426</v>
      </c>
      <c r="J52" s="102">
        <f t="shared" si="10"/>
        <v>1</v>
      </c>
      <c r="K52" s="64"/>
      <c r="L52" s="589"/>
      <c r="M52" s="27" t="str">
        <f t="shared" si="9"/>
        <v/>
      </c>
      <c r="N52" s="27" t="str">
        <f t="shared" si="8"/>
        <v/>
      </c>
      <c r="O52" s="27"/>
      <c r="P52" s="27"/>
      <c r="Q52" s="181"/>
      <c r="R52" s="124"/>
      <c r="S52" s="220"/>
      <c r="T52" s="4"/>
      <c r="U52" s="244"/>
      <c r="V52" s="245"/>
      <c r="W52" s="245"/>
      <c r="X52" s="245"/>
      <c r="Y52" s="245"/>
    </row>
    <row r="53" spans="6:27" ht="45" customHeight="1" x14ac:dyDescent="0.3">
      <c r="F53" s="560"/>
      <c r="G53" s="546"/>
      <c r="H53" s="148" t="s">
        <v>427</v>
      </c>
      <c r="I53" s="157" t="s">
        <v>428</v>
      </c>
      <c r="J53" s="102">
        <f>IF($G$47=$AA$47,5,"-")</f>
        <v>5</v>
      </c>
      <c r="K53" s="64"/>
      <c r="L53" s="589"/>
      <c r="M53" s="27" t="str">
        <f t="shared" si="9"/>
        <v/>
      </c>
      <c r="N53" s="27" t="str">
        <f t="shared" si="8"/>
        <v/>
      </c>
      <c r="O53" s="27"/>
      <c r="P53" s="27"/>
      <c r="Q53" s="181"/>
      <c r="R53" s="124"/>
      <c r="S53" s="220"/>
      <c r="T53" s="4"/>
      <c r="U53" s="244"/>
      <c r="V53" s="245"/>
      <c r="W53" s="245"/>
      <c r="X53" s="245"/>
      <c r="Y53" s="245"/>
    </row>
    <row r="54" spans="6:27" ht="45" customHeight="1" x14ac:dyDescent="0.3">
      <c r="F54" s="560"/>
      <c r="G54" s="546"/>
      <c r="H54" s="148" t="s">
        <v>429</v>
      </c>
      <c r="I54" s="103" t="s">
        <v>430</v>
      </c>
      <c r="J54" s="102" t="s">
        <v>180</v>
      </c>
      <c r="K54" s="82"/>
      <c r="L54" s="26"/>
      <c r="M54" s="27" t="str">
        <f t="shared" si="9"/>
        <v/>
      </c>
      <c r="N54" s="27" t="str">
        <f t="shared" si="8"/>
        <v/>
      </c>
      <c r="O54" s="27"/>
      <c r="P54" s="27"/>
      <c r="Q54" s="181"/>
      <c r="R54" s="124"/>
      <c r="S54" s="220"/>
      <c r="T54" s="4"/>
      <c r="U54" s="244"/>
      <c r="V54" s="245"/>
      <c r="W54" s="245"/>
      <c r="X54" s="245"/>
      <c r="Y54" s="245"/>
    </row>
    <row r="55" spans="6:27" ht="45" customHeight="1" x14ac:dyDescent="0.3">
      <c r="F55" s="560"/>
      <c r="G55" s="546"/>
      <c r="H55" s="148" t="s">
        <v>431</v>
      </c>
      <c r="I55" s="103" t="s">
        <v>432</v>
      </c>
      <c r="J55" s="102" t="str">
        <f>IF(G47=AA48,16,"-")</f>
        <v>-</v>
      </c>
      <c r="K55" s="82"/>
      <c r="L55" s="26" t="str">
        <f>IF(AND(K55&gt;0,$K$54&lt;&gt;$AD$8),"!","")</f>
        <v/>
      </c>
      <c r="M55" s="27" t="str">
        <f t="shared" si="9"/>
        <v/>
      </c>
      <c r="N55" s="27" t="str">
        <f t="shared" si="8"/>
        <v/>
      </c>
      <c r="O55" s="27"/>
      <c r="P55" s="27"/>
      <c r="Q55" s="181"/>
      <c r="R55" s="124"/>
      <c r="S55" s="220"/>
      <c r="T55" s="4"/>
      <c r="U55" s="244"/>
      <c r="V55" s="245"/>
      <c r="W55" s="245"/>
      <c r="X55" s="245"/>
      <c r="Y55" s="245"/>
    </row>
    <row r="56" spans="6:27" ht="45" customHeight="1" x14ac:dyDescent="0.3">
      <c r="F56" s="560"/>
      <c r="G56" s="546"/>
      <c r="H56" s="148" t="s">
        <v>433</v>
      </c>
      <c r="I56" s="157" t="s">
        <v>434</v>
      </c>
      <c r="J56" s="102" t="s">
        <v>180</v>
      </c>
      <c r="K56" s="82"/>
      <c r="L56" s="26"/>
      <c r="M56" s="27" t="str">
        <f t="shared" si="9"/>
        <v/>
      </c>
      <c r="N56" s="27" t="str">
        <f t="shared" si="8"/>
        <v/>
      </c>
      <c r="O56" s="27"/>
      <c r="P56" s="27"/>
      <c r="Q56" s="181"/>
      <c r="R56" s="124"/>
      <c r="S56" s="220"/>
      <c r="T56" s="4"/>
      <c r="U56" s="244"/>
      <c r="V56" s="245"/>
      <c r="W56" s="245"/>
      <c r="X56" s="245"/>
      <c r="Y56" s="245"/>
    </row>
    <row r="57" spans="6:27" ht="45" customHeight="1" x14ac:dyDescent="0.3">
      <c r="F57" s="560"/>
      <c r="G57" s="546"/>
      <c r="H57" s="148" t="s">
        <v>435</v>
      </c>
      <c r="I57" s="157" t="s">
        <v>436</v>
      </c>
      <c r="J57" s="102" t="str">
        <f>IF(G47=AA49,16,"-")</f>
        <v>-</v>
      </c>
      <c r="K57" s="82"/>
      <c r="L57" s="26" t="str">
        <f>IF(AND(K57&gt;0,$K$56&lt;&gt;$AD$8),"!","")</f>
        <v/>
      </c>
      <c r="M57" s="27" t="str">
        <f t="shared" si="9"/>
        <v/>
      </c>
      <c r="N57" s="27" t="str">
        <f t="shared" si="8"/>
        <v/>
      </c>
      <c r="O57" s="27"/>
      <c r="P57" s="27"/>
      <c r="Q57" s="181"/>
      <c r="R57" s="124"/>
      <c r="S57" s="220"/>
      <c r="T57" s="4"/>
      <c r="U57" s="244"/>
      <c r="V57" s="245"/>
      <c r="W57" s="245"/>
      <c r="X57" s="245"/>
      <c r="Y57" s="245"/>
    </row>
    <row r="58" spans="6:27" ht="45" customHeight="1" x14ac:dyDescent="0.3">
      <c r="F58" s="560"/>
      <c r="G58" s="546"/>
      <c r="H58" s="148" t="s">
        <v>437</v>
      </c>
      <c r="I58" s="157" t="s">
        <v>438</v>
      </c>
      <c r="J58" s="102" t="s">
        <v>180</v>
      </c>
      <c r="K58" s="82"/>
      <c r="L58" s="26"/>
      <c r="M58" s="27" t="str">
        <f t="shared" si="9"/>
        <v/>
      </c>
      <c r="N58" s="27" t="str">
        <f t="shared" si="8"/>
        <v/>
      </c>
      <c r="O58" s="27"/>
      <c r="P58" s="27"/>
      <c r="Q58" s="181"/>
      <c r="R58" s="124"/>
      <c r="S58" s="220"/>
      <c r="T58" s="4"/>
      <c r="U58" s="244"/>
      <c r="V58" s="245"/>
      <c r="W58" s="245"/>
      <c r="X58" s="245"/>
      <c r="Y58" s="245"/>
    </row>
    <row r="59" spans="6:27" ht="45" customHeight="1" x14ac:dyDescent="0.3">
      <c r="F59" s="560"/>
      <c r="G59" s="546"/>
      <c r="H59" s="148" t="s">
        <v>439</v>
      </c>
      <c r="I59" s="157" t="s">
        <v>440</v>
      </c>
      <c r="J59" s="102" t="str">
        <f>IF(G47=AA50,20,"-")</f>
        <v>-</v>
      </c>
      <c r="K59" s="82"/>
      <c r="L59" s="26" t="str">
        <f>IF(AND(K59&gt;0,$K$58&lt;&gt;$AD$8),"!","")</f>
        <v/>
      </c>
      <c r="M59" s="27" t="str">
        <f t="shared" si="9"/>
        <v/>
      </c>
      <c r="N59" s="27" t="str">
        <f t="shared" si="8"/>
        <v/>
      </c>
      <c r="O59" s="27"/>
      <c r="P59" s="27"/>
      <c r="Q59" s="181"/>
      <c r="R59" s="124"/>
      <c r="S59" s="220"/>
      <c r="T59" s="4"/>
      <c r="U59" s="244"/>
      <c r="V59" s="245"/>
      <c r="W59" s="245"/>
      <c r="X59" s="245"/>
      <c r="Y59" s="245"/>
    </row>
    <row r="60" spans="6:27" ht="45" customHeight="1" x14ac:dyDescent="0.3">
      <c r="F60" s="560"/>
      <c r="G60" s="546"/>
      <c r="H60" s="148" t="s">
        <v>383</v>
      </c>
      <c r="I60" s="178" t="s">
        <v>384</v>
      </c>
      <c r="J60" s="148" t="s">
        <v>180</v>
      </c>
      <c r="K60" s="82"/>
      <c r="L60" s="26"/>
      <c r="M60" s="27" t="str">
        <f t="shared" si="9"/>
        <v/>
      </c>
      <c r="N60" s="27" t="str">
        <f t="shared" si="8"/>
        <v/>
      </c>
      <c r="O60" s="27"/>
      <c r="P60" s="27"/>
      <c r="Q60" s="181"/>
      <c r="R60" s="124"/>
      <c r="S60" s="220"/>
      <c r="T60" s="4"/>
      <c r="U60" s="244"/>
      <c r="V60" s="245"/>
      <c r="W60" s="245"/>
      <c r="X60" s="245"/>
      <c r="Y60" s="245"/>
    </row>
    <row r="61" spans="6:27" ht="45" customHeight="1" x14ac:dyDescent="0.3">
      <c r="F61" s="561"/>
      <c r="G61" s="559"/>
      <c r="H61" s="148" t="s">
        <v>385</v>
      </c>
      <c r="I61" s="157" t="s">
        <v>441</v>
      </c>
      <c r="J61" s="102" t="str">
        <f>IF(G47=AA51,20,"-")</f>
        <v>-</v>
      </c>
      <c r="K61" s="82"/>
      <c r="L61" s="26" t="str">
        <f>IF(AND(K61&gt;0,K60&lt;&gt;$AD$8),"!","")</f>
        <v/>
      </c>
      <c r="M61" s="27" t="str">
        <f t="shared" si="9"/>
        <v/>
      </c>
      <c r="N61" s="27" t="str">
        <f t="shared" si="8"/>
        <v/>
      </c>
      <c r="O61" s="27"/>
      <c r="P61" s="27"/>
      <c r="Q61" s="181"/>
      <c r="R61" s="124"/>
      <c r="S61" s="220"/>
      <c r="T61" s="4"/>
      <c r="U61" s="244"/>
      <c r="V61" s="245"/>
      <c r="W61" s="245"/>
      <c r="X61" s="245"/>
      <c r="Y61" s="245"/>
    </row>
    <row r="62" spans="6:27" ht="45" customHeight="1" x14ac:dyDescent="0.3">
      <c r="F62" s="547" t="s">
        <v>261</v>
      </c>
      <c r="G62" s="549" t="s">
        <v>190</v>
      </c>
      <c r="H62" s="149" t="s">
        <v>262</v>
      </c>
      <c r="I62" s="158" t="s">
        <v>442</v>
      </c>
      <c r="J62" s="98">
        <f>IF(G62=AA62,1,"-")</f>
        <v>1</v>
      </c>
      <c r="K62" s="82"/>
      <c r="L62" s="19"/>
      <c r="M62" s="27" t="str">
        <f t="shared" si="9"/>
        <v/>
      </c>
      <c r="N62" s="27" t="str">
        <f t="shared" si="8"/>
        <v/>
      </c>
      <c r="O62" s="27"/>
      <c r="P62" s="27"/>
      <c r="Q62" s="181"/>
      <c r="R62" s="124"/>
      <c r="S62" s="220"/>
      <c r="U62" s="244"/>
      <c r="V62" s="245"/>
      <c r="W62" s="245"/>
      <c r="X62" s="245"/>
      <c r="Y62" s="245"/>
      <c r="AA62" s="4" t="s">
        <v>190</v>
      </c>
    </row>
    <row r="63" spans="6:27" ht="45" customHeight="1" x14ac:dyDescent="0.3">
      <c r="F63" s="548"/>
      <c r="G63" s="550"/>
      <c r="H63" s="150" t="s">
        <v>264</v>
      </c>
      <c r="I63" s="159" t="s">
        <v>443</v>
      </c>
      <c r="J63" s="99" t="str">
        <f>IF(G62=AA63,2,"-")</f>
        <v>-</v>
      </c>
      <c r="K63" s="89"/>
      <c r="L63" s="62"/>
      <c r="M63" s="27" t="str">
        <f t="shared" si="9"/>
        <v/>
      </c>
      <c r="N63" s="27" t="str">
        <f t="shared" si="8"/>
        <v/>
      </c>
      <c r="O63" s="27"/>
      <c r="P63" s="27"/>
      <c r="Q63" s="181"/>
      <c r="R63" s="124"/>
      <c r="S63" s="220"/>
      <c r="U63" s="244"/>
      <c r="V63" s="245"/>
      <c r="W63" s="245"/>
      <c r="X63" s="245"/>
      <c r="Y63" s="245"/>
      <c r="AA63" s="6" t="s">
        <v>186</v>
      </c>
    </row>
    <row r="64" spans="6:27" ht="45" customHeight="1" x14ac:dyDescent="0.3">
      <c r="F64" s="39" t="s">
        <v>54</v>
      </c>
      <c r="G64" s="39"/>
      <c r="H64" s="40"/>
      <c r="I64" s="39"/>
      <c r="J64" s="40">
        <f>IF(G47=AA47,10+SUM(J62:J63),SUM(J47:J63))</f>
        <v>11</v>
      </c>
      <c r="K64" s="40">
        <f>SUM(K47:K63)</f>
        <v>0</v>
      </c>
      <c r="L64" s="26" t="str">
        <f>IF(K64&gt;J64,"!","")</f>
        <v/>
      </c>
      <c r="M64" s="41">
        <f>SUM(M47:M63)</f>
        <v>0</v>
      </c>
      <c r="N64" s="41">
        <f>SUM(N47:N63)</f>
        <v>0</v>
      </c>
      <c r="Q64" s="183"/>
      <c r="R64" s="28"/>
      <c r="S64" s="223"/>
      <c r="T64" s="4"/>
      <c r="U64" s="248"/>
      <c r="V64" s="249"/>
      <c r="W64" s="249"/>
      <c r="X64" s="249"/>
      <c r="Y64" s="249"/>
    </row>
    <row r="65" spans="2:27" ht="45" customHeight="1" x14ac:dyDescent="0.3">
      <c r="L65" s="66"/>
      <c r="Q65" s="183"/>
      <c r="T65" s="4"/>
      <c r="U65" s="246"/>
      <c r="V65" s="247"/>
      <c r="W65" s="247"/>
      <c r="X65" s="247"/>
      <c r="Y65" s="247"/>
    </row>
    <row r="66" spans="2:27" ht="45" customHeight="1" x14ac:dyDescent="0.3">
      <c r="F66" s="254" t="s">
        <v>266</v>
      </c>
      <c r="G66" s="67"/>
      <c r="H66" s="68"/>
      <c r="I66" s="67"/>
      <c r="J66" s="49">
        <f>10-SUM(B67:B72)</f>
        <v>10</v>
      </c>
      <c r="K66" s="49"/>
      <c r="L66" s="19"/>
      <c r="M66" s="154"/>
      <c r="N66" s="154"/>
      <c r="O66" s="154"/>
      <c r="P66" s="154"/>
      <c r="Q66" s="171"/>
      <c r="R66" s="28"/>
      <c r="S66" s="222"/>
      <c r="T66" s="60"/>
      <c r="U66" s="232"/>
      <c r="V66" s="222"/>
      <c r="W66" s="222"/>
      <c r="X66" s="222"/>
      <c r="Y66" s="222"/>
    </row>
    <row r="67" spans="2:27" ht="45" customHeight="1" x14ac:dyDescent="0.3">
      <c r="F67" s="590" t="s">
        <v>101</v>
      </c>
      <c r="G67" s="546" t="s">
        <v>186</v>
      </c>
      <c r="H67" s="69" t="s">
        <v>444</v>
      </c>
      <c r="I67" s="70" t="s">
        <v>186</v>
      </c>
      <c r="J67" s="71">
        <f>IF(G67=AA67,10,0)</f>
        <v>10</v>
      </c>
      <c r="K67" s="61"/>
      <c r="L67" s="62"/>
      <c r="M67" s="27" t="str">
        <f>IF(OR(Q67=$AC$9,Q67=$AC$10),K67,"")</f>
        <v/>
      </c>
      <c r="N67" s="27" t="str">
        <f t="shared" ref="N67:N72" si="11">IF(Q67=$AC$11,K67,"")</f>
        <v/>
      </c>
      <c r="O67" s="27"/>
      <c r="P67" s="27"/>
      <c r="Q67" s="182"/>
      <c r="R67" s="124"/>
      <c r="S67" s="220"/>
      <c r="U67" s="244"/>
      <c r="V67" s="245"/>
      <c r="W67" s="245"/>
      <c r="X67" s="245"/>
      <c r="Y67" s="245"/>
      <c r="AA67" s="4" t="s">
        <v>186</v>
      </c>
    </row>
    <row r="68" spans="2:27" ht="45" customHeight="1" x14ac:dyDescent="0.3">
      <c r="F68" s="560"/>
      <c r="G68" s="546"/>
      <c r="H68" s="72" t="s">
        <v>270</v>
      </c>
      <c r="I68" s="73" t="s">
        <v>271</v>
      </c>
      <c r="J68" s="74">
        <f>IF($G$67=$AA$68,3,0)</f>
        <v>0</v>
      </c>
      <c r="K68" s="63"/>
      <c r="L68" s="62"/>
      <c r="M68" s="27" t="str">
        <f t="shared" ref="M68:M72" si="12">IF(OR(Q68=$AC$9,Q68=$AC$10),K68,"")</f>
        <v/>
      </c>
      <c r="N68" s="27" t="str">
        <f t="shared" si="11"/>
        <v/>
      </c>
      <c r="O68" s="27"/>
      <c r="P68" s="27"/>
      <c r="Q68" s="181"/>
      <c r="R68" s="124"/>
      <c r="S68" s="220"/>
      <c r="U68" s="244"/>
      <c r="V68" s="245"/>
      <c r="W68" s="245"/>
      <c r="X68" s="245"/>
      <c r="Y68" s="245"/>
      <c r="AA68" s="4" t="s">
        <v>190</v>
      </c>
    </row>
    <row r="69" spans="2:27" ht="45" customHeight="1" x14ac:dyDescent="0.3">
      <c r="B69" s="141">
        <f>IF(AND($G$67=$AA$68,C69=TRUE),1,0)</f>
        <v>0</v>
      </c>
      <c r="C69" s="141" t="b">
        <v>0</v>
      </c>
      <c r="F69" s="560"/>
      <c r="G69" s="546"/>
      <c r="H69" s="72" t="s">
        <v>102</v>
      </c>
      <c r="I69" s="123" t="s">
        <v>103</v>
      </c>
      <c r="J69" s="74">
        <f>IF(OR($G$67=$AA$67,C69=TRUE),0,1)</f>
        <v>0</v>
      </c>
      <c r="K69" s="63"/>
      <c r="L69" s="62"/>
      <c r="M69" s="27" t="str">
        <f t="shared" si="12"/>
        <v/>
      </c>
      <c r="N69" s="27" t="str">
        <f t="shared" si="11"/>
        <v/>
      </c>
      <c r="O69" s="27"/>
      <c r="P69" s="27"/>
      <c r="Q69" s="181"/>
      <c r="R69" s="124"/>
      <c r="S69" s="220"/>
      <c r="T69" s="4"/>
      <c r="U69" s="244"/>
      <c r="V69" s="245"/>
      <c r="W69" s="245"/>
      <c r="X69" s="245"/>
      <c r="Y69" s="245"/>
    </row>
    <row r="70" spans="2:27" ht="45" customHeight="1" x14ac:dyDescent="0.3">
      <c r="B70" s="141">
        <f>IF(AND($G$67=$AA$68,C70=TRUE),1,0)</f>
        <v>0</v>
      </c>
      <c r="C70" s="141" t="b">
        <v>0</v>
      </c>
      <c r="F70" s="560"/>
      <c r="G70" s="546"/>
      <c r="H70" s="72" t="s">
        <v>104</v>
      </c>
      <c r="I70" s="123" t="s">
        <v>105</v>
      </c>
      <c r="J70" s="74">
        <f>IF(OR($G$67=$AA$67,C70=TRUE),0,1)</f>
        <v>0</v>
      </c>
      <c r="K70" s="63"/>
      <c r="L70" s="62"/>
      <c r="M70" s="27" t="str">
        <f t="shared" si="12"/>
        <v/>
      </c>
      <c r="N70" s="27" t="str">
        <f t="shared" si="11"/>
        <v/>
      </c>
      <c r="O70" s="27"/>
      <c r="P70" s="27"/>
      <c r="Q70" s="181"/>
      <c r="R70" s="124"/>
      <c r="S70" s="220"/>
      <c r="T70" s="4"/>
      <c r="U70" s="244"/>
      <c r="V70" s="245"/>
      <c r="W70" s="245"/>
      <c r="X70" s="245"/>
      <c r="Y70" s="245"/>
    </row>
    <row r="71" spans="2:27" ht="45" customHeight="1" x14ac:dyDescent="0.3">
      <c r="F71" s="560"/>
      <c r="G71" s="546"/>
      <c r="H71" s="72" t="s">
        <v>274</v>
      </c>
      <c r="I71" s="73" t="s">
        <v>275</v>
      </c>
      <c r="J71" s="74">
        <f>IF($G$67=$AA$68,1,0)</f>
        <v>0</v>
      </c>
      <c r="K71" s="63"/>
      <c r="L71" s="62"/>
      <c r="M71" s="27" t="str">
        <f t="shared" si="12"/>
        <v/>
      </c>
      <c r="N71" s="27" t="str">
        <f t="shared" si="11"/>
        <v/>
      </c>
      <c r="O71" s="27"/>
      <c r="P71" s="27"/>
      <c r="Q71" s="181"/>
      <c r="R71" s="124"/>
      <c r="S71" s="220"/>
      <c r="T71" s="4"/>
      <c r="U71" s="244"/>
      <c r="V71" s="245"/>
      <c r="W71" s="245"/>
      <c r="X71" s="245"/>
      <c r="Y71" s="245"/>
    </row>
    <row r="72" spans="2:27" ht="45" customHeight="1" x14ac:dyDescent="0.3">
      <c r="F72" s="561"/>
      <c r="G72" s="546"/>
      <c r="H72" s="75" t="s">
        <v>276</v>
      </c>
      <c r="I72" s="76" t="s">
        <v>277</v>
      </c>
      <c r="J72" s="77">
        <f>IF($G$67=$AA$68,1,0)</f>
        <v>0</v>
      </c>
      <c r="K72" s="65"/>
      <c r="L72" s="62"/>
      <c r="M72" s="27" t="str">
        <f t="shared" si="12"/>
        <v/>
      </c>
      <c r="N72" s="27" t="str">
        <f t="shared" si="11"/>
        <v/>
      </c>
      <c r="O72" s="27"/>
      <c r="P72" s="27"/>
      <c r="Q72" s="181"/>
      <c r="R72" s="124"/>
      <c r="S72" s="220"/>
      <c r="T72" s="4"/>
      <c r="U72" s="244"/>
      <c r="V72" s="245"/>
      <c r="W72" s="245"/>
      <c r="X72" s="245"/>
      <c r="Y72" s="245"/>
    </row>
    <row r="73" spans="2:27" ht="45" customHeight="1" x14ac:dyDescent="0.3">
      <c r="F73" s="39" t="s">
        <v>54</v>
      </c>
      <c r="G73" s="39"/>
      <c r="H73" s="40"/>
      <c r="I73" s="39"/>
      <c r="J73" s="40">
        <f>SUM(J67:J72)</f>
        <v>10</v>
      </c>
      <c r="K73" s="40">
        <f>SUM(K67:K72)</f>
        <v>0</v>
      </c>
      <c r="L73" s="26" t="str">
        <f>IF(K73&gt;J73,"!","")</f>
        <v/>
      </c>
      <c r="M73" s="41">
        <f t="shared" ref="M73:N73" si="13">SUM(M67:M72)</f>
        <v>0</v>
      </c>
      <c r="N73" s="41">
        <f t="shared" si="13"/>
        <v>0</v>
      </c>
      <c r="Q73" s="183"/>
      <c r="R73" s="28"/>
      <c r="S73" s="223"/>
      <c r="T73" s="4"/>
      <c r="U73" s="248"/>
      <c r="V73" s="249"/>
      <c r="W73" s="249"/>
      <c r="X73" s="249"/>
      <c r="Y73" s="249"/>
    </row>
    <row r="74" spans="2:27" ht="45" customHeight="1" x14ac:dyDescent="0.3">
      <c r="L74" s="66"/>
      <c r="Q74" s="183"/>
      <c r="U74" s="246"/>
      <c r="V74" s="247"/>
      <c r="W74" s="247"/>
      <c r="X74" s="247"/>
      <c r="Y74" s="247"/>
    </row>
    <row r="75" spans="2:27" ht="45" customHeight="1" x14ac:dyDescent="0.3">
      <c r="F75" s="254" t="s">
        <v>284</v>
      </c>
      <c r="G75" s="67"/>
      <c r="H75" s="68"/>
      <c r="I75" s="67"/>
      <c r="J75" s="49">
        <f>12-SUM(B76:B81)</f>
        <v>12</v>
      </c>
      <c r="K75" s="49"/>
      <c r="L75" s="19"/>
      <c r="M75" s="154"/>
      <c r="N75" s="154"/>
      <c r="O75" s="154"/>
      <c r="P75" s="154"/>
      <c r="Q75" s="171"/>
      <c r="R75" s="28"/>
      <c r="S75" s="222"/>
      <c r="T75" s="60"/>
      <c r="U75" s="232"/>
      <c r="V75" s="222"/>
      <c r="W75" s="222"/>
      <c r="X75" s="222"/>
      <c r="Y75" s="222"/>
    </row>
    <row r="76" spans="2:27" ht="45" customHeight="1" x14ac:dyDescent="0.3">
      <c r="F76" s="557" t="s">
        <v>106</v>
      </c>
      <c r="G76" s="546" t="s">
        <v>186</v>
      </c>
      <c r="H76" s="69" t="s">
        <v>388</v>
      </c>
      <c r="I76" s="70" t="s">
        <v>286</v>
      </c>
      <c r="J76" s="71">
        <f>IF(G76=AA76,12,0)</f>
        <v>12</v>
      </c>
      <c r="K76" s="78"/>
      <c r="L76" s="62"/>
      <c r="M76" s="27" t="str">
        <f>IF(OR(Q76=$AC$9,Q76=$AC$10),K76,"")</f>
        <v/>
      </c>
      <c r="N76" s="27" t="str">
        <f t="shared" ref="N76:N81" si="14">IF(Q76=$AC$11,K76,"")</f>
        <v/>
      </c>
      <c r="O76" s="27"/>
      <c r="P76" s="27"/>
      <c r="Q76" s="182"/>
      <c r="R76" s="28"/>
      <c r="S76" s="220"/>
      <c r="T76" s="4"/>
      <c r="U76" s="244"/>
      <c r="V76" s="245"/>
      <c r="W76" s="245"/>
      <c r="X76" s="245"/>
      <c r="Y76" s="245"/>
      <c r="AA76" s="4" t="s">
        <v>186</v>
      </c>
    </row>
    <row r="77" spans="2:27" ht="45" customHeight="1" x14ac:dyDescent="0.3">
      <c r="F77" s="547"/>
      <c r="G77" s="546"/>
      <c r="H77" s="72" t="s">
        <v>287</v>
      </c>
      <c r="I77" s="73" t="s">
        <v>288</v>
      </c>
      <c r="J77" s="74">
        <f>IF($G$76=$AA$77,1,0)</f>
        <v>0</v>
      </c>
      <c r="K77" s="79"/>
      <c r="L77" s="62"/>
      <c r="M77" s="27" t="str">
        <f t="shared" ref="M77:M81" si="15">IF(OR(Q77=$AC$9,Q77=$AC$10),K77,"")</f>
        <v/>
      </c>
      <c r="N77" s="27" t="str">
        <f t="shared" si="14"/>
        <v/>
      </c>
      <c r="O77" s="27"/>
      <c r="P77" s="27"/>
      <c r="Q77" s="181"/>
      <c r="R77" s="28"/>
      <c r="S77" s="220"/>
      <c r="T77" s="4"/>
      <c r="U77" s="244"/>
      <c r="V77" s="245"/>
      <c r="W77" s="245"/>
      <c r="X77" s="245"/>
      <c r="Y77" s="245"/>
      <c r="AA77" s="4" t="s">
        <v>190</v>
      </c>
    </row>
    <row r="78" spans="2:27" ht="45" customHeight="1" x14ac:dyDescent="0.3">
      <c r="F78" s="547"/>
      <c r="G78" s="546"/>
      <c r="H78" s="72" t="s">
        <v>289</v>
      </c>
      <c r="I78" s="73" t="s">
        <v>290</v>
      </c>
      <c r="J78" s="74">
        <f t="shared" ref="J78" si="16">IF($G$76=$AA$77,1,0)</f>
        <v>0</v>
      </c>
      <c r="K78" s="79"/>
      <c r="L78" s="62"/>
      <c r="M78" s="27" t="str">
        <f t="shared" si="15"/>
        <v/>
      </c>
      <c r="N78" s="27" t="str">
        <f t="shared" si="14"/>
        <v/>
      </c>
      <c r="O78" s="27"/>
      <c r="P78" s="27"/>
      <c r="Q78" s="181"/>
      <c r="R78" s="28"/>
      <c r="S78" s="220"/>
      <c r="T78" s="4"/>
      <c r="U78" s="244"/>
      <c r="V78" s="245"/>
      <c r="W78" s="245"/>
      <c r="X78" s="245"/>
      <c r="Y78" s="245"/>
    </row>
    <row r="79" spans="2:27" ht="45" customHeight="1" x14ac:dyDescent="0.3">
      <c r="F79" s="547"/>
      <c r="G79" s="546"/>
      <c r="H79" s="72" t="s">
        <v>291</v>
      </c>
      <c r="I79" s="73" t="s">
        <v>292</v>
      </c>
      <c r="J79" s="74">
        <f>IF($G$76=$AA$77,2,0)</f>
        <v>0</v>
      </c>
      <c r="K79" s="79"/>
      <c r="L79" s="62"/>
      <c r="M79" s="27" t="str">
        <f t="shared" si="15"/>
        <v/>
      </c>
      <c r="N79" s="27" t="str">
        <f t="shared" si="14"/>
        <v/>
      </c>
      <c r="O79" s="27"/>
      <c r="P79" s="27"/>
      <c r="Q79" s="181"/>
      <c r="R79" s="28"/>
      <c r="S79" s="220"/>
      <c r="T79" s="4"/>
      <c r="U79" s="244"/>
      <c r="V79" s="245"/>
      <c r="W79" s="245"/>
      <c r="X79" s="245"/>
      <c r="Y79" s="245"/>
    </row>
    <row r="80" spans="2:27" ht="45" customHeight="1" x14ac:dyDescent="0.3">
      <c r="B80" s="141">
        <f>IF(AND($G$76=$AA$77,C80=TRUE),1,0)</f>
        <v>0</v>
      </c>
      <c r="C80" s="141" t="b">
        <v>0</v>
      </c>
      <c r="F80" s="547"/>
      <c r="G80" s="546"/>
      <c r="H80" s="72" t="s">
        <v>107</v>
      </c>
      <c r="I80" s="123" t="s">
        <v>108</v>
      </c>
      <c r="J80" s="74">
        <f>IF(OR($G$76=$AA$76,C80=TRUE),0,1)</f>
        <v>0</v>
      </c>
      <c r="K80" s="79"/>
      <c r="L80" s="62"/>
      <c r="M80" s="27" t="str">
        <f t="shared" si="15"/>
        <v/>
      </c>
      <c r="N80" s="27" t="str">
        <f t="shared" si="14"/>
        <v/>
      </c>
      <c r="O80" s="27"/>
      <c r="P80" s="27"/>
      <c r="Q80" s="181"/>
      <c r="R80" s="28"/>
      <c r="S80" s="220"/>
      <c r="T80" s="4"/>
      <c r="U80" s="244"/>
      <c r="V80" s="245"/>
      <c r="W80" s="245"/>
      <c r="X80" s="245"/>
      <c r="Y80" s="245"/>
    </row>
    <row r="81" spans="1:27" ht="45" customHeight="1" x14ac:dyDescent="0.3">
      <c r="B81" s="141">
        <f>IF(AND($G$76=$AA$77,C81=TRUE),1,0)</f>
        <v>0</v>
      </c>
      <c r="C81" s="141" t="b">
        <v>0</v>
      </c>
      <c r="F81" s="548"/>
      <c r="G81" s="546"/>
      <c r="H81" s="75" t="s">
        <v>109</v>
      </c>
      <c r="I81" s="123" t="s">
        <v>110</v>
      </c>
      <c r="J81" s="77">
        <f>IF(OR($G$76=$AA$76,C81=TRUE),0,1)</f>
        <v>0</v>
      </c>
      <c r="K81" s="80"/>
      <c r="L81" s="62"/>
      <c r="M81" s="27" t="str">
        <f t="shared" si="15"/>
        <v/>
      </c>
      <c r="N81" s="27" t="str">
        <f t="shared" si="14"/>
        <v/>
      </c>
      <c r="O81" s="27"/>
      <c r="P81" s="27"/>
      <c r="Q81" s="181"/>
      <c r="R81" s="28"/>
      <c r="S81" s="220"/>
      <c r="T81" s="4"/>
      <c r="U81" s="244"/>
      <c r="V81" s="245"/>
      <c r="W81" s="245"/>
      <c r="X81" s="245"/>
      <c r="Y81" s="245"/>
    </row>
    <row r="82" spans="1:27" ht="45" customHeight="1" x14ac:dyDescent="0.3">
      <c r="F82" s="39" t="s">
        <v>54</v>
      </c>
      <c r="G82" s="39"/>
      <c r="H82" s="40"/>
      <c r="I82" s="39"/>
      <c r="J82" s="40">
        <f>SUM(J76:J81)</f>
        <v>12</v>
      </c>
      <c r="K82" s="40">
        <f>SUM(K76:K81)</f>
        <v>0</v>
      </c>
      <c r="L82" s="26" t="str">
        <f>IF(K82&gt;J82,"!","")</f>
        <v/>
      </c>
      <c r="M82" s="41">
        <f t="shared" ref="M82:N82" si="17">SUM(M76:M81)</f>
        <v>0</v>
      </c>
      <c r="N82" s="41">
        <f t="shared" si="17"/>
        <v>0</v>
      </c>
      <c r="Q82" s="183"/>
      <c r="R82" s="28"/>
      <c r="S82" s="223"/>
      <c r="T82" s="4"/>
      <c r="U82" s="248"/>
      <c r="V82" s="249"/>
      <c r="W82" s="249"/>
      <c r="X82" s="249"/>
      <c r="Y82" s="249"/>
    </row>
    <row r="83" spans="1:27" ht="45" customHeight="1" x14ac:dyDescent="0.3">
      <c r="L83" s="66"/>
      <c r="Q83" s="183"/>
      <c r="U83" s="246"/>
      <c r="V83" s="247"/>
      <c r="W83" s="247"/>
      <c r="X83" s="247"/>
      <c r="Y83" s="247"/>
    </row>
    <row r="84" spans="1:27" ht="45" customHeight="1" x14ac:dyDescent="0.3">
      <c r="F84" s="254" t="s">
        <v>293</v>
      </c>
      <c r="G84" s="67"/>
      <c r="H84" s="49"/>
      <c r="I84" s="67"/>
      <c r="J84" s="49">
        <f>14-SUM(B85:B95)</f>
        <v>14</v>
      </c>
      <c r="K84" s="49"/>
      <c r="L84" s="19"/>
      <c r="M84" s="154"/>
      <c r="N84" s="154"/>
      <c r="O84" s="154"/>
      <c r="P84" s="154"/>
      <c r="Q84" s="171"/>
      <c r="R84" s="28"/>
      <c r="S84" s="222"/>
      <c r="T84" s="60"/>
      <c r="U84" s="232"/>
      <c r="V84" s="222"/>
      <c r="W84" s="222"/>
      <c r="X84" s="222"/>
      <c r="Y84" s="222"/>
      <c r="AA84" s="4"/>
    </row>
    <row r="85" spans="1:27" ht="45" customHeight="1" x14ac:dyDescent="0.3">
      <c r="F85" s="543" t="s">
        <v>445</v>
      </c>
      <c r="G85" s="546" t="s">
        <v>295</v>
      </c>
      <c r="H85" s="104" t="s">
        <v>296</v>
      </c>
      <c r="I85" s="179" t="s">
        <v>297</v>
      </c>
      <c r="J85" s="81">
        <f>IF($G$85=$AA$85,6,0)</f>
        <v>6</v>
      </c>
      <c r="K85" s="64"/>
      <c r="L85" s="62" t="str">
        <f>IF(SUM(K85:K86)&gt;7,"!", "")</f>
        <v/>
      </c>
      <c r="M85" s="27" t="str">
        <f>IF(OR(Q85=$AC$9,Q85=$AC$10),K85,"")</f>
        <v/>
      </c>
      <c r="N85" s="27" t="str">
        <f t="shared" ref="N85:N95" si="18">IF(Q85=$AC$11,K85,"")</f>
        <v/>
      </c>
      <c r="O85" s="27"/>
      <c r="P85" s="27"/>
      <c r="Q85" s="182"/>
      <c r="R85" s="28"/>
      <c r="S85" s="220"/>
      <c r="T85" s="4"/>
      <c r="U85" s="244"/>
      <c r="V85" s="245"/>
      <c r="W85" s="245"/>
      <c r="X85" s="245"/>
      <c r="Y85" s="245"/>
      <c r="AA85" s="28" t="s">
        <v>295</v>
      </c>
    </row>
    <row r="86" spans="1:27" ht="45" customHeight="1" x14ac:dyDescent="0.3">
      <c r="F86" s="544"/>
      <c r="G86" s="546"/>
      <c r="H86" s="104" t="s">
        <v>298</v>
      </c>
      <c r="I86" s="179" t="s">
        <v>446</v>
      </c>
      <c r="J86" s="81">
        <v>4</v>
      </c>
      <c r="K86" s="64"/>
      <c r="L86" s="62" t="str">
        <f>IF(SUM(K85:K86)&gt;7,"!", "")</f>
        <v/>
      </c>
      <c r="M86" s="27" t="str">
        <f t="shared" ref="M86:M95" si="19">IF(OR(Q86=$AC$9,Q86=$AC$10),K86,"")</f>
        <v/>
      </c>
      <c r="N86" s="27" t="str">
        <f t="shared" si="18"/>
        <v/>
      </c>
      <c r="O86" s="27"/>
      <c r="P86" s="27"/>
      <c r="Q86" s="181"/>
      <c r="R86" s="28"/>
      <c r="S86" s="220"/>
      <c r="T86" s="4"/>
      <c r="U86" s="244"/>
      <c r="V86" s="245"/>
      <c r="W86" s="245"/>
      <c r="X86" s="245"/>
      <c r="Y86" s="245"/>
      <c r="AA86" s="6" t="s">
        <v>300</v>
      </c>
    </row>
    <row r="87" spans="1:27" ht="45" customHeight="1" x14ac:dyDescent="0.3">
      <c r="F87" s="544"/>
      <c r="G87" s="546"/>
      <c r="H87" s="104" t="s">
        <v>301</v>
      </c>
      <c r="I87" s="119" t="s">
        <v>302</v>
      </c>
      <c r="J87" s="81">
        <f>IF($G$85=$AA$86,3,0)</f>
        <v>0</v>
      </c>
      <c r="K87" s="64"/>
      <c r="L87" s="587" t="str">
        <f>IF(SUM(K87:K89)&gt;5,"Error: the total number of points available for the 'Material Use' Pathway is 5. Please enter a points score less than or equal to 5.","")</f>
        <v/>
      </c>
      <c r="M87" s="27" t="str">
        <f t="shared" si="19"/>
        <v/>
      </c>
      <c r="N87" s="27" t="str">
        <f t="shared" si="18"/>
        <v/>
      </c>
      <c r="O87" s="27"/>
      <c r="P87" s="27"/>
      <c r="Q87" s="181"/>
      <c r="R87" s="28"/>
      <c r="S87" s="220"/>
      <c r="T87" s="4"/>
      <c r="U87" s="244"/>
      <c r="V87" s="245"/>
      <c r="W87" s="245"/>
      <c r="X87" s="245"/>
      <c r="Y87" s="245"/>
    </row>
    <row r="88" spans="1:27" ht="45" customHeight="1" x14ac:dyDescent="0.3">
      <c r="F88" s="544"/>
      <c r="G88" s="546"/>
      <c r="H88" s="104" t="s">
        <v>303</v>
      </c>
      <c r="I88" s="119" t="s">
        <v>304</v>
      </c>
      <c r="J88" s="81">
        <f>IF($G$85=$AA$86,1,0)</f>
        <v>0</v>
      </c>
      <c r="K88" s="64"/>
      <c r="L88" s="587"/>
      <c r="M88" s="27" t="str">
        <f t="shared" si="19"/>
        <v/>
      </c>
      <c r="N88" s="27" t="str">
        <f t="shared" si="18"/>
        <v/>
      </c>
      <c r="O88" s="27"/>
      <c r="P88" s="27"/>
      <c r="Q88" s="181"/>
      <c r="R88" s="28"/>
      <c r="S88" s="220"/>
      <c r="T88" s="4"/>
      <c r="U88" s="244"/>
      <c r="V88" s="245"/>
      <c r="W88" s="245"/>
      <c r="X88" s="245"/>
      <c r="Y88" s="245"/>
    </row>
    <row r="89" spans="1:27" ht="45" customHeight="1" x14ac:dyDescent="0.3">
      <c r="A89" s="141">
        <v>4</v>
      </c>
      <c r="B89" s="141">
        <f t="shared" ref="B89:B92" si="20">IF(C89=TRUE,A89,0)</f>
        <v>0</v>
      </c>
      <c r="F89" s="545"/>
      <c r="G89" s="546"/>
      <c r="H89" s="104" t="s">
        <v>305</v>
      </c>
      <c r="I89" s="120" t="s">
        <v>306</v>
      </c>
      <c r="J89" s="81">
        <f>IF($G$85=$AA$86,4,0)</f>
        <v>0</v>
      </c>
      <c r="K89" s="64"/>
      <c r="L89" s="587"/>
      <c r="M89" s="27" t="str">
        <f t="shared" si="19"/>
        <v/>
      </c>
      <c r="N89" s="27" t="str">
        <f t="shared" si="18"/>
        <v/>
      </c>
      <c r="O89" s="27"/>
      <c r="P89" s="27"/>
      <c r="Q89" s="181"/>
      <c r="R89" s="28"/>
      <c r="S89" s="220"/>
      <c r="T89" s="4"/>
      <c r="U89" s="244"/>
      <c r="V89" s="245"/>
      <c r="W89" s="245"/>
      <c r="X89" s="245"/>
      <c r="Y89" s="245"/>
    </row>
    <row r="90" spans="1:27" ht="45" customHeight="1" x14ac:dyDescent="0.3">
      <c r="A90" s="141">
        <v>1</v>
      </c>
      <c r="B90" s="141">
        <f t="shared" si="20"/>
        <v>0</v>
      </c>
      <c r="C90" s="141" t="b">
        <v>0</v>
      </c>
      <c r="F90" s="533" t="s">
        <v>111</v>
      </c>
      <c r="G90" s="591" t="s">
        <v>447</v>
      </c>
      <c r="H90" s="118">
        <v>20.100000000000001</v>
      </c>
      <c r="I90" s="117" t="s">
        <v>112</v>
      </c>
      <c r="J90" s="81">
        <f>IF(C90=TRUE,0,1)</f>
        <v>1</v>
      </c>
      <c r="K90" s="54"/>
      <c r="L90" s="62"/>
      <c r="M90" s="27" t="str">
        <f t="shared" si="19"/>
        <v/>
      </c>
      <c r="N90" s="27" t="str">
        <f t="shared" si="18"/>
        <v/>
      </c>
      <c r="O90" s="27"/>
      <c r="P90" s="27"/>
      <c r="Q90" s="181"/>
      <c r="R90" s="28"/>
      <c r="S90" s="220"/>
      <c r="T90" s="4"/>
      <c r="U90" s="244"/>
      <c r="V90" s="245"/>
      <c r="W90" s="245"/>
      <c r="X90" s="245"/>
      <c r="Y90" s="245"/>
    </row>
    <row r="91" spans="1:27" ht="45" customHeight="1" x14ac:dyDescent="0.3">
      <c r="A91" s="141">
        <v>1</v>
      </c>
      <c r="B91" s="141">
        <f t="shared" si="20"/>
        <v>0</v>
      </c>
      <c r="C91" s="141" t="b">
        <v>0</v>
      </c>
      <c r="F91" s="534"/>
      <c r="G91" s="535"/>
      <c r="H91" s="118">
        <v>20.2</v>
      </c>
      <c r="I91" s="117" t="s">
        <v>113</v>
      </c>
      <c r="J91" s="81">
        <f t="shared" ref="J91:J92" si="21">IF(C91=TRUE,0,1)</f>
        <v>1</v>
      </c>
      <c r="K91" s="54"/>
      <c r="L91" s="26"/>
      <c r="M91" s="27" t="str">
        <f t="shared" si="19"/>
        <v/>
      </c>
      <c r="N91" s="27" t="str">
        <f t="shared" si="18"/>
        <v/>
      </c>
      <c r="O91" s="27"/>
      <c r="P91" s="27"/>
      <c r="Q91" s="181"/>
      <c r="R91" s="28"/>
      <c r="S91" s="220"/>
      <c r="T91" s="4"/>
      <c r="U91" s="244"/>
      <c r="V91" s="245"/>
      <c r="W91" s="245"/>
      <c r="X91" s="245"/>
      <c r="Y91" s="245"/>
    </row>
    <row r="92" spans="1:27" ht="45" customHeight="1" x14ac:dyDescent="0.3">
      <c r="A92" s="141">
        <v>1</v>
      </c>
      <c r="B92" s="141">
        <f t="shared" si="20"/>
        <v>0</v>
      </c>
      <c r="C92" s="141" t="b">
        <v>0</v>
      </c>
      <c r="F92" s="527"/>
      <c r="G92" s="536"/>
      <c r="H92" s="118">
        <v>20.3</v>
      </c>
      <c r="I92" s="117" t="s">
        <v>114</v>
      </c>
      <c r="J92" s="81">
        <f t="shared" si="21"/>
        <v>1</v>
      </c>
      <c r="K92" s="54"/>
      <c r="L92" s="26"/>
      <c r="M92" s="27" t="str">
        <f t="shared" si="19"/>
        <v/>
      </c>
      <c r="N92" s="27" t="str">
        <f t="shared" si="18"/>
        <v/>
      </c>
      <c r="O92" s="27"/>
      <c r="P92" s="27"/>
      <c r="Q92" s="181"/>
      <c r="R92" s="28"/>
      <c r="S92" s="220"/>
      <c r="T92" s="4"/>
      <c r="U92" s="244"/>
      <c r="V92" s="245"/>
      <c r="W92" s="245"/>
      <c r="X92" s="245"/>
      <c r="Y92" s="245"/>
    </row>
    <row r="93" spans="1:27" ht="45" customHeight="1" x14ac:dyDescent="0.3">
      <c r="F93" s="173" t="s">
        <v>311</v>
      </c>
      <c r="G93" s="33" t="s">
        <v>448</v>
      </c>
      <c r="H93" s="116">
        <v>21.1</v>
      </c>
      <c r="I93" s="117" t="s">
        <v>313</v>
      </c>
      <c r="J93" s="81">
        <v>3</v>
      </c>
      <c r="K93" s="54"/>
      <c r="L93" s="19"/>
      <c r="M93" s="27" t="str">
        <f t="shared" si="19"/>
        <v/>
      </c>
      <c r="N93" s="27" t="str">
        <f>IF(Q93=$AC$11,K93,"")</f>
        <v/>
      </c>
      <c r="O93" s="27"/>
      <c r="P93" s="27"/>
      <c r="Q93" s="181"/>
      <c r="R93" s="28"/>
      <c r="S93" s="220"/>
      <c r="T93" s="4"/>
      <c r="U93" s="244"/>
      <c r="V93" s="245"/>
      <c r="W93" s="245"/>
      <c r="X93" s="245"/>
      <c r="Y93" s="245"/>
    </row>
    <row r="94" spans="1:27" ht="45" customHeight="1" x14ac:dyDescent="0.3">
      <c r="F94" s="533" t="s">
        <v>314</v>
      </c>
      <c r="G94" s="541" t="s">
        <v>316</v>
      </c>
      <c r="H94" s="185" t="s">
        <v>389</v>
      </c>
      <c r="I94" s="117" t="s">
        <v>316</v>
      </c>
      <c r="J94" s="81">
        <f>IF(G94=AA94,1,"-")</f>
        <v>1</v>
      </c>
      <c r="K94" s="54"/>
      <c r="L94" s="19"/>
      <c r="M94" s="27"/>
      <c r="N94" s="27"/>
      <c r="O94" s="27"/>
      <c r="P94" s="27"/>
      <c r="Q94" s="181"/>
      <c r="R94" s="28"/>
      <c r="S94" s="220"/>
      <c r="T94" s="4"/>
      <c r="U94" s="244"/>
      <c r="V94" s="245"/>
      <c r="W94" s="245"/>
      <c r="X94" s="245"/>
      <c r="Y94" s="245"/>
      <c r="AA94" s="6" t="s">
        <v>316</v>
      </c>
    </row>
    <row r="95" spans="1:27" ht="45" customHeight="1" x14ac:dyDescent="0.3">
      <c r="F95" s="527"/>
      <c r="G95" s="542"/>
      <c r="H95" s="185" t="s">
        <v>390</v>
      </c>
      <c r="I95" s="256" t="s">
        <v>319</v>
      </c>
      <c r="J95" s="81" t="str">
        <f>IF(G94=AA95,1,"-")</f>
        <v>-</v>
      </c>
      <c r="K95" s="54"/>
      <c r="L95" s="26"/>
      <c r="M95" s="27" t="str">
        <f t="shared" si="19"/>
        <v/>
      </c>
      <c r="N95" s="27" t="str">
        <f t="shared" si="18"/>
        <v/>
      </c>
      <c r="O95" s="27"/>
      <c r="P95" s="27"/>
      <c r="Q95" s="181"/>
      <c r="R95" s="28"/>
      <c r="S95" s="220"/>
      <c r="T95" s="4"/>
      <c r="U95" s="244"/>
      <c r="V95" s="245"/>
      <c r="W95" s="245"/>
      <c r="X95" s="245"/>
      <c r="Y95" s="245"/>
      <c r="AA95" s="6" t="s">
        <v>319</v>
      </c>
    </row>
    <row r="96" spans="1:27" ht="45" customHeight="1" x14ac:dyDescent="0.3">
      <c r="F96" s="39" t="s">
        <v>54</v>
      </c>
      <c r="G96" s="39"/>
      <c r="H96" s="40"/>
      <c r="I96" s="39"/>
      <c r="J96" s="40">
        <f>IF(G85=AA86,12,14)</f>
        <v>14</v>
      </c>
      <c r="K96" s="40">
        <f>SUM(K85:K95)</f>
        <v>0</v>
      </c>
      <c r="L96" s="26" t="str">
        <f>IF(K96&gt;J96,"!","")</f>
        <v/>
      </c>
      <c r="M96" s="41">
        <f>SUM(M85:M95)</f>
        <v>0</v>
      </c>
      <c r="N96" s="41">
        <f>SUM(N85:N95)</f>
        <v>0</v>
      </c>
      <c r="Q96" s="183"/>
      <c r="R96" s="28"/>
      <c r="S96" s="223"/>
      <c r="T96" s="4"/>
      <c r="U96" s="248"/>
      <c r="V96" s="249"/>
      <c r="W96" s="249"/>
      <c r="X96" s="249"/>
      <c r="Y96" s="249"/>
    </row>
    <row r="97" spans="1:25" ht="45" customHeight="1" x14ac:dyDescent="0.3">
      <c r="L97" s="66"/>
      <c r="Q97" s="183"/>
      <c r="R97" s="146"/>
      <c r="U97" s="246"/>
      <c r="V97" s="247"/>
      <c r="W97" s="247"/>
      <c r="X97" s="247"/>
      <c r="Y97" s="247"/>
    </row>
    <row r="98" spans="1:25" ht="45" customHeight="1" x14ac:dyDescent="0.3">
      <c r="F98" s="525" t="s">
        <v>320</v>
      </c>
      <c r="G98" s="525"/>
      <c r="H98" s="525"/>
      <c r="I98" s="525"/>
      <c r="J98" s="49">
        <f>6-SUM(B99:B104)</f>
        <v>6</v>
      </c>
      <c r="K98" s="49"/>
      <c r="L98" s="19"/>
      <c r="M98" s="537"/>
      <c r="N98" s="537"/>
      <c r="O98" s="255"/>
      <c r="P98" s="255"/>
      <c r="Q98" s="171"/>
      <c r="R98" s="146"/>
      <c r="S98" s="222"/>
      <c r="T98" s="60"/>
      <c r="U98" s="232"/>
      <c r="V98" s="222"/>
      <c r="W98" s="222"/>
      <c r="X98" s="222"/>
      <c r="Y98" s="222"/>
    </row>
    <row r="99" spans="1:25" ht="45" customHeight="1" x14ac:dyDescent="0.3">
      <c r="F99" s="527" t="s">
        <v>321</v>
      </c>
      <c r="G99" s="529" t="s">
        <v>322</v>
      </c>
      <c r="H99" s="83">
        <v>23</v>
      </c>
      <c r="I99" s="84" t="s">
        <v>391</v>
      </c>
      <c r="J99" s="30" t="s">
        <v>180</v>
      </c>
      <c r="K99" s="85"/>
      <c r="L99" s="62"/>
      <c r="M99" s="27" t="str">
        <f>IF(OR(Q99=$AC$9,Q99=$AC$10),K99,"")</f>
        <v/>
      </c>
      <c r="N99" s="27" t="str">
        <f t="shared" ref="N99:N104" si="22">IF(Q99=$AC$11,K99,"")</f>
        <v/>
      </c>
      <c r="O99" s="27"/>
      <c r="P99" s="27"/>
      <c r="Q99" s="182"/>
      <c r="S99" s="220"/>
      <c r="T99" s="4"/>
      <c r="U99" s="244"/>
      <c r="V99" s="245"/>
      <c r="W99" s="245"/>
      <c r="X99" s="245"/>
      <c r="Y99" s="245"/>
    </row>
    <row r="100" spans="1:25" ht="45" customHeight="1" x14ac:dyDescent="0.3">
      <c r="F100" s="528"/>
      <c r="G100" s="530"/>
      <c r="H100" s="32">
        <v>23.1</v>
      </c>
      <c r="I100" s="52" t="s">
        <v>321</v>
      </c>
      <c r="J100" s="24">
        <v>3</v>
      </c>
      <c r="K100" s="64"/>
      <c r="L100" s="26" t="str">
        <f>IF(AND(K100&gt;0,$K99&lt;&gt;$AD$8),"!","")</f>
        <v/>
      </c>
      <c r="M100" s="27" t="str">
        <f t="shared" ref="M100:M104" si="23">IF(OR(Q100=$AC$9,Q100=$AC$10),K100,"")</f>
        <v/>
      </c>
      <c r="N100" s="27" t="str">
        <f t="shared" si="22"/>
        <v/>
      </c>
      <c r="O100" s="27"/>
      <c r="P100" s="27"/>
      <c r="Q100" s="181"/>
      <c r="S100" s="220"/>
      <c r="T100" s="4"/>
      <c r="U100" s="244"/>
      <c r="V100" s="245"/>
      <c r="W100" s="245"/>
      <c r="X100" s="245"/>
      <c r="Y100" s="245"/>
    </row>
    <row r="101" spans="1:25" ht="45" customHeight="1" x14ac:dyDescent="0.3">
      <c r="F101" s="528" t="s">
        <v>115</v>
      </c>
      <c r="G101" s="531" t="s">
        <v>449</v>
      </c>
      <c r="H101" s="32">
        <v>24</v>
      </c>
      <c r="I101" s="86" t="s">
        <v>259</v>
      </c>
      <c r="J101" s="24" t="s">
        <v>180</v>
      </c>
      <c r="K101" s="64"/>
      <c r="L101" s="62"/>
      <c r="M101" s="27" t="str">
        <f t="shared" si="23"/>
        <v/>
      </c>
      <c r="N101" s="27" t="str">
        <f t="shared" si="22"/>
        <v/>
      </c>
      <c r="O101" s="27"/>
      <c r="P101" s="27"/>
      <c r="Q101" s="181"/>
      <c r="S101" s="220"/>
      <c r="T101" s="4"/>
      <c r="U101" s="244"/>
      <c r="V101" s="245"/>
      <c r="W101" s="245"/>
      <c r="X101" s="245"/>
      <c r="Y101" s="245"/>
    </row>
    <row r="102" spans="1:25" ht="45" customHeight="1" x14ac:dyDescent="0.3">
      <c r="F102" s="528"/>
      <c r="G102" s="529"/>
      <c r="H102" s="32">
        <v>24.1</v>
      </c>
      <c r="I102" s="86" t="s">
        <v>325</v>
      </c>
      <c r="J102" s="24">
        <v>1</v>
      </c>
      <c r="K102" s="64"/>
      <c r="L102" s="26" t="str">
        <f>IF(AND(K102&gt;0,$K$101&lt;&gt;$AD$8),"!","")</f>
        <v/>
      </c>
      <c r="M102" s="27" t="str">
        <f t="shared" si="23"/>
        <v/>
      </c>
      <c r="N102" s="27" t="str">
        <f t="shared" si="22"/>
        <v/>
      </c>
      <c r="O102" s="27"/>
      <c r="P102" s="27"/>
      <c r="Q102" s="181"/>
      <c r="S102" s="220"/>
      <c r="T102" s="4"/>
      <c r="U102" s="244"/>
      <c r="V102" s="245"/>
      <c r="W102" s="245"/>
      <c r="X102" s="245"/>
      <c r="Y102" s="245"/>
    </row>
    <row r="103" spans="1:25" ht="45" customHeight="1" x14ac:dyDescent="0.3">
      <c r="A103" s="141">
        <v>1</v>
      </c>
      <c r="B103" s="141">
        <f t="shared" ref="B103" si="24">IF(C103=TRUE,A103,0)</f>
        <v>0</v>
      </c>
      <c r="C103" s="141" t="b">
        <v>0</v>
      </c>
      <c r="F103" s="528"/>
      <c r="G103" s="530"/>
      <c r="H103" s="32">
        <v>24.2</v>
      </c>
      <c r="I103" s="86" t="s">
        <v>116</v>
      </c>
      <c r="J103" s="24">
        <f>IF(C103=FALSE,1,0)</f>
        <v>1</v>
      </c>
      <c r="K103" s="64"/>
      <c r="L103" s="26" t="str">
        <f>IF(AND(K103&gt;0,$K$101&lt;&gt;$AD$8),"!","")</f>
        <v/>
      </c>
      <c r="M103" s="27" t="str">
        <f t="shared" si="23"/>
        <v/>
      </c>
      <c r="N103" s="27" t="str">
        <f t="shared" si="22"/>
        <v/>
      </c>
      <c r="O103" s="27"/>
      <c r="P103" s="27"/>
      <c r="Q103" s="181"/>
      <c r="S103" s="220"/>
      <c r="T103" s="4"/>
      <c r="U103" s="244"/>
      <c r="V103" s="245"/>
      <c r="W103" s="245"/>
      <c r="X103" s="245"/>
      <c r="Y103" s="245"/>
    </row>
    <row r="104" spans="1:25" ht="45" customHeight="1" x14ac:dyDescent="0.3">
      <c r="F104" s="175" t="s">
        <v>450</v>
      </c>
      <c r="G104" s="257" t="s">
        <v>451</v>
      </c>
      <c r="H104" s="87">
        <v>25</v>
      </c>
      <c r="I104" s="88" t="s">
        <v>452</v>
      </c>
      <c r="J104" s="56">
        <v>1</v>
      </c>
      <c r="K104" s="89"/>
      <c r="L104" s="26"/>
      <c r="M104" s="27" t="str">
        <f t="shared" si="23"/>
        <v/>
      </c>
      <c r="N104" s="27" t="str">
        <f t="shared" si="22"/>
        <v/>
      </c>
      <c r="O104" s="27"/>
      <c r="P104" s="27"/>
      <c r="Q104" s="181"/>
      <c r="S104" s="220"/>
      <c r="T104" s="4"/>
      <c r="U104" s="244"/>
      <c r="V104" s="245"/>
      <c r="W104" s="245"/>
      <c r="X104" s="245"/>
      <c r="Y104" s="245"/>
    </row>
    <row r="105" spans="1:25" ht="45" customHeight="1" x14ac:dyDescent="0.3">
      <c r="F105" s="39" t="s">
        <v>54</v>
      </c>
      <c r="G105" s="39"/>
      <c r="H105" s="40"/>
      <c r="I105" s="39"/>
      <c r="J105" s="40">
        <f>SUM(J99:J104)</f>
        <v>6</v>
      </c>
      <c r="K105" s="40">
        <f>SUM(K99:K104)</f>
        <v>0</v>
      </c>
      <c r="L105" s="26" t="str">
        <f>IF(K105&gt;J105,"!","")</f>
        <v/>
      </c>
      <c r="M105" s="41">
        <f t="shared" ref="M105:N105" si="25">SUM(M99:M104)</f>
        <v>0</v>
      </c>
      <c r="N105" s="41">
        <f t="shared" si="25"/>
        <v>0</v>
      </c>
      <c r="Q105" s="183"/>
      <c r="R105" s="28"/>
      <c r="S105" s="223"/>
      <c r="T105" s="4"/>
      <c r="U105" s="248"/>
      <c r="V105" s="249"/>
      <c r="W105" s="249"/>
      <c r="X105" s="249"/>
      <c r="Y105" s="249"/>
    </row>
    <row r="106" spans="1:25" ht="45" customHeight="1" x14ac:dyDescent="0.3">
      <c r="L106" s="66"/>
      <c r="Q106" s="183"/>
      <c r="U106" s="246"/>
      <c r="V106" s="247"/>
      <c r="W106" s="247"/>
      <c r="X106" s="247"/>
      <c r="Y106" s="247"/>
    </row>
    <row r="107" spans="1:25" ht="45" customHeight="1" x14ac:dyDescent="0.3">
      <c r="F107" s="525" t="s">
        <v>326</v>
      </c>
      <c r="G107" s="525"/>
      <c r="H107" s="525"/>
      <c r="I107" s="525"/>
      <c r="J107" s="49">
        <f>5-SUM(B108:B113)</f>
        <v>5</v>
      </c>
      <c r="K107" s="49"/>
      <c r="L107" s="19"/>
      <c r="M107" s="154"/>
      <c r="N107" s="154"/>
      <c r="O107" s="154"/>
      <c r="P107" s="154"/>
      <c r="Q107" s="171"/>
      <c r="R107" s="28"/>
      <c r="S107" s="222"/>
      <c r="T107" s="60"/>
      <c r="U107" s="232"/>
      <c r="V107" s="222"/>
      <c r="W107" s="222"/>
      <c r="X107" s="222"/>
      <c r="Y107" s="222"/>
    </row>
    <row r="108" spans="1:25" ht="45" customHeight="1" x14ac:dyDescent="0.3">
      <c r="F108" s="527" t="s">
        <v>327</v>
      </c>
      <c r="G108" s="529" t="s">
        <v>453</v>
      </c>
      <c r="H108" s="83">
        <v>26.1</v>
      </c>
      <c r="I108" s="52" t="s">
        <v>329</v>
      </c>
      <c r="J108" s="30">
        <v>1</v>
      </c>
      <c r="K108" s="85"/>
      <c r="L108" s="62"/>
      <c r="M108" s="27" t="str">
        <f>IF(OR(Q108=$AC$9,Q108=$AC$10),K108,"")</f>
        <v/>
      </c>
      <c r="N108" s="27" t="str">
        <f t="shared" ref="N108:N113" si="26">IF(Q108=$AC$11,K108,"")</f>
        <v/>
      </c>
      <c r="O108" s="27"/>
      <c r="P108" s="27"/>
      <c r="Q108" s="182"/>
      <c r="R108" s="4"/>
      <c r="S108" s="220"/>
      <c r="T108" s="4"/>
      <c r="U108" s="244"/>
      <c r="V108" s="245"/>
      <c r="W108" s="245"/>
      <c r="X108" s="245"/>
      <c r="Y108" s="245"/>
    </row>
    <row r="109" spans="1:25" ht="45" customHeight="1" x14ac:dyDescent="0.3">
      <c r="F109" s="528"/>
      <c r="G109" s="530"/>
      <c r="H109" s="32">
        <v>26.2</v>
      </c>
      <c r="I109" s="52" t="s">
        <v>330</v>
      </c>
      <c r="J109" s="24">
        <v>1</v>
      </c>
      <c r="K109" s="64"/>
      <c r="L109" s="62"/>
      <c r="M109" s="27" t="str">
        <f t="shared" ref="M109:M113" si="27">IF(OR(Q109=$AC$9,Q109=$AC$10),K109,"")</f>
        <v/>
      </c>
      <c r="N109" s="27" t="str">
        <f t="shared" si="26"/>
        <v/>
      </c>
      <c r="O109" s="27"/>
      <c r="P109" s="27"/>
      <c r="Q109" s="181"/>
      <c r="R109" s="4"/>
      <c r="S109" s="220"/>
      <c r="T109" s="4"/>
      <c r="U109" s="244"/>
      <c r="V109" s="245"/>
      <c r="W109" s="245"/>
      <c r="X109" s="245"/>
      <c r="Y109" s="245"/>
    </row>
    <row r="110" spans="1:25" ht="45" customHeight="1" x14ac:dyDescent="0.3">
      <c r="F110" s="528" t="s">
        <v>331</v>
      </c>
      <c r="G110" s="531" t="s">
        <v>332</v>
      </c>
      <c r="H110" s="32">
        <v>27</v>
      </c>
      <c r="I110" s="86" t="s">
        <v>333</v>
      </c>
      <c r="J110" s="24" t="s">
        <v>180</v>
      </c>
      <c r="K110" s="64"/>
      <c r="L110" s="62"/>
      <c r="M110" s="27" t="str">
        <f t="shared" si="27"/>
        <v/>
      </c>
      <c r="N110" s="27" t="str">
        <f t="shared" si="26"/>
        <v/>
      </c>
      <c r="O110" s="27"/>
      <c r="P110" s="27"/>
      <c r="Q110" s="181"/>
      <c r="R110" s="4"/>
      <c r="S110" s="220"/>
      <c r="T110" s="4"/>
      <c r="U110" s="244"/>
      <c r="V110" s="245"/>
      <c r="W110" s="245"/>
      <c r="X110" s="245"/>
      <c r="Y110" s="245"/>
    </row>
    <row r="111" spans="1:25" ht="45" customHeight="1" x14ac:dyDescent="0.3">
      <c r="F111" s="528"/>
      <c r="G111" s="530"/>
      <c r="H111" s="34">
        <v>27.1</v>
      </c>
      <c r="I111" s="86" t="s">
        <v>334</v>
      </c>
      <c r="J111" s="24">
        <v>1</v>
      </c>
      <c r="K111" s="64"/>
      <c r="L111" s="26" t="str">
        <f>IF(AND(K111&gt;0,$K110&lt;&gt;$AD$8),"!","")</f>
        <v/>
      </c>
      <c r="M111" s="27" t="str">
        <f t="shared" si="27"/>
        <v/>
      </c>
      <c r="N111" s="27" t="str">
        <f t="shared" si="26"/>
        <v/>
      </c>
      <c r="O111" s="27"/>
      <c r="P111" s="27"/>
      <c r="Q111" s="181"/>
      <c r="R111" s="4"/>
      <c r="S111" s="220"/>
      <c r="T111" s="4"/>
      <c r="U111" s="244"/>
      <c r="V111" s="245"/>
      <c r="W111" s="245"/>
      <c r="X111" s="245"/>
      <c r="Y111" s="245"/>
    </row>
    <row r="112" spans="1:25" ht="45" customHeight="1" x14ac:dyDescent="0.3">
      <c r="F112" s="173" t="s">
        <v>335</v>
      </c>
      <c r="G112" s="256" t="s">
        <v>454</v>
      </c>
      <c r="H112" s="32">
        <v>28</v>
      </c>
      <c r="I112" s="55" t="s">
        <v>337</v>
      </c>
      <c r="J112" s="24">
        <v>1</v>
      </c>
      <c r="K112" s="64"/>
      <c r="L112" s="62"/>
      <c r="M112" s="27" t="str">
        <f t="shared" si="27"/>
        <v/>
      </c>
      <c r="N112" s="27" t="str">
        <f t="shared" si="26"/>
        <v/>
      </c>
      <c r="O112" s="27"/>
      <c r="P112" s="27"/>
      <c r="Q112" s="181"/>
      <c r="R112" s="4"/>
      <c r="S112" s="220"/>
      <c r="T112" s="4"/>
      <c r="U112" s="244"/>
      <c r="V112" s="245"/>
      <c r="W112" s="245"/>
      <c r="X112" s="245"/>
      <c r="Y112" s="245"/>
    </row>
    <row r="113" spans="2:25" ht="45" customHeight="1" x14ac:dyDescent="0.3">
      <c r="F113" s="90" t="s">
        <v>338</v>
      </c>
      <c r="G113" s="257" t="s">
        <v>455</v>
      </c>
      <c r="H113" s="87">
        <v>29</v>
      </c>
      <c r="I113" s="55" t="s">
        <v>340</v>
      </c>
      <c r="J113" s="56">
        <v>1</v>
      </c>
      <c r="K113" s="89"/>
      <c r="L113" s="62"/>
      <c r="M113" s="27" t="str">
        <f t="shared" si="27"/>
        <v/>
      </c>
      <c r="N113" s="27" t="str">
        <f t="shared" si="26"/>
        <v/>
      </c>
      <c r="O113" s="27"/>
      <c r="P113" s="27"/>
      <c r="Q113" s="181"/>
      <c r="R113" s="4"/>
      <c r="S113" s="220"/>
      <c r="T113" s="4"/>
      <c r="U113" s="244"/>
      <c r="V113" s="245"/>
      <c r="W113" s="245"/>
      <c r="X113" s="245"/>
      <c r="Y113" s="245"/>
    </row>
    <row r="114" spans="2:25" ht="45" customHeight="1" x14ac:dyDescent="0.3">
      <c r="F114" s="39" t="s">
        <v>54</v>
      </c>
      <c r="G114" s="39"/>
      <c r="H114" s="40"/>
      <c r="I114" s="39"/>
      <c r="J114" s="40">
        <f>SUM(J108:J113)</f>
        <v>5</v>
      </c>
      <c r="K114" s="40">
        <f>SUM(K108:K113)</f>
        <v>0</v>
      </c>
      <c r="L114" s="26" t="str">
        <f>IF(K114&gt;J114,"!","")</f>
        <v/>
      </c>
      <c r="M114" s="41">
        <f t="shared" ref="M114:N114" si="28">SUM(M108:M113)</f>
        <v>0</v>
      </c>
      <c r="N114" s="41">
        <f t="shared" si="28"/>
        <v>0</v>
      </c>
      <c r="O114" s="1"/>
      <c r="P114" s="1"/>
      <c r="Q114" s="184"/>
      <c r="R114" s="4"/>
      <c r="S114" s="225"/>
      <c r="T114" s="4"/>
      <c r="U114" s="250"/>
      <c r="V114" s="251"/>
      <c r="W114" s="251"/>
      <c r="X114" s="251"/>
      <c r="Y114" s="251"/>
    </row>
    <row r="115" spans="2:25" ht="45" customHeight="1" x14ac:dyDescent="0.3">
      <c r="F115" s="57"/>
      <c r="G115" s="57"/>
      <c r="H115" s="1"/>
      <c r="I115" s="57"/>
      <c r="J115" s="1"/>
      <c r="K115" s="1"/>
      <c r="L115" s="19"/>
      <c r="M115" s="1"/>
      <c r="N115" s="1"/>
      <c r="O115" s="1"/>
      <c r="P115" s="1"/>
      <c r="Q115" s="184"/>
      <c r="R115" s="4"/>
      <c r="S115" s="225"/>
      <c r="T115" s="4"/>
      <c r="U115" s="250"/>
      <c r="V115" s="251"/>
      <c r="W115" s="251"/>
      <c r="X115" s="251"/>
      <c r="Y115" s="251"/>
    </row>
    <row r="116" spans="2:25" ht="45" customHeight="1" x14ac:dyDescent="0.3">
      <c r="F116" s="525" t="s">
        <v>341</v>
      </c>
      <c r="G116" s="525"/>
      <c r="H116" s="525"/>
      <c r="I116" s="525"/>
      <c r="J116" s="49">
        <v>10</v>
      </c>
      <c r="K116" s="91"/>
      <c r="L116" s="19"/>
      <c r="M116" s="92"/>
      <c r="N116" s="92"/>
      <c r="O116" s="92"/>
      <c r="P116" s="92"/>
      <c r="Q116" s="172"/>
      <c r="R116" s="60"/>
      <c r="S116" s="226"/>
      <c r="T116" s="60"/>
      <c r="U116" s="234"/>
      <c r="V116" s="226"/>
      <c r="W116" s="226"/>
      <c r="X116" s="226"/>
      <c r="Y116" s="226"/>
    </row>
    <row r="117" spans="2:25" ht="45" customHeight="1" x14ac:dyDescent="0.3">
      <c r="F117" s="174" t="s">
        <v>342</v>
      </c>
      <c r="G117" s="93" t="s">
        <v>392</v>
      </c>
      <c r="H117" s="30" t="s">
        <v>393</v>
      </c>
      <c r="I117" s="177" t="s">
        <v>342</v>
      </c>
      <c r="J117" s="526">
        <v>10</v>
      </c>
      <c r="K117" s="85"/>
      <c r="L117" s="62"/>
      <c r="M117" s="27" t="str">
        <f>IF(OR(Q117=$AC$9,Q117=$AC$10),K117,"")</f>
        <v/>
      </c>
      <c r="N117" s="27" t="str">
        <f t="shared" ref="N117:N121" si="29">IF(Q117=$AC$11,K117,"")</f>
        <v/>
      </c>
      <c r="O117" s="27"/>
      <c r="P117" s="27"/>
      <c r="Q117" s="182"/>
      <c r="R117" s="60"/>
      <c r="S117" s="220"/>
      <c r="T117" s="4"/>
      <c r="U117" s="244"/>
      <c r="V117" s="245"/>
      <c r="W117" s="245"/>
      <c r="X117" s="245"/>
      <c r="Y117" s="245"/>
    </row>
    <row r="118" spans="2:25" ht="45" customHeight="1" x14ac:dyDescent="0.3">
      <c r="F118" s="173" t="s">
        <v>344</v>
      </c>
      <c r="G118" s="38" t="s">
        <v>394</v>
      </c>
      <c r="H118" s="24" t="s">
        <v>395</v>
      </c>
      <c r="I118" s="33" t="s">
        <v>344</v>
      </c>
      <c r="J118" s="526"/>
      <c r="K118" s="85"/>
      <c r="L118" s="62"/>
      <c r="M118" s="27" t="str">
        <f t="shared" ref="M118:M121" si="30">IF(OR(Q118=$AC$9,Q118=$AC$10),K118,"")</f>
        <v/>
      </c>
      <c r="N118" s="27" t="str">
        <f t="shared" si="29"/>
        <v/>
      </c>
      <c r="O118" s="27"/>
      <c r="P118" s="27"/>
      <c r="Q118" s="181"/>
      <c r="R118" s="60"/>
      <c r="S118" s="220"/>
      <c r="T118" s="4"/>
      <c r="U118" s="244"/>
      <c r="V118" s="245"/>
      <c r="W118" s="245"/>
      <c r="X118" s="245"/>
      <c r="Y118" s="245"/>
    </row>
    <row r="119" spans="2:25" ht="45" customHeight="1" x14ac:dyDescent="0.3">
      <c r="F119" s="173" t="s">
        <v>346</v>
      </c>
      <c r="G119" s="38" t="s">
        <v>396</v>
      </c>
      <c r="H119" s="24" t="s">
        <v>397</v>
      </c>
      <c r="I119" s="33" t="s">
        <v>346</v>
      </c>
      <c r="J119" s="526"/>
      <c r="K119" s="85"/>
      <c r="L119" s="62"/>
      <c r="M119" s="27" t="str">
        <f t="shared" si="30"/>
        <v/>
      </c>
      <c r="N119" s="27" t="str">
        <f t="shared" si="29"/>
        <v/>
      </c>
      <c r="O119" s="27"/>
      <c r="P119" s="27"/>
      <c r="Q119" s="181"/>
      <c r="R119" s="60"/>
      <c r="S119" s="220"/>
      <c r="T119" s="4"/>
      <c r="U119" s="244"/>
      <c r="V119" s="245"/>
      <c r="W119" s="245"/>
      <c r="X119" s="245"/>
      <c r="Y119" s="245"/>
    </row>
    <row r="120" spans="2:25" ht="45" customHeight="1" x14ac:dyDescent="0.3">
      <c r="F120" s="173" t="s">
        <v>348</v>
      </c>
      <c r="G120" s="38" t="s">
        <v>398</v>
      </c>
      <c r="H120" s="24" t="s">
        <v>399</v>
      </c>
      <c r="I120" s="33" t="s">
        <v>348</v>
      </c>
      <c r="J120" s="526"/>
      <c r="K120" s="85"/>
      <c r="L120" s="62"/>
      <c r="M120" s="27" t="str">
        <f t="shared" si="30"/>
        <v/>
      </c>
      <c r="N120" s="27" t="str">
        <f t="shared" si="29"/>
        <v/>
      </c>
      <c r="O120" s="27"/>
      <c r="P120" s="27"/>
      <c r="Q120" s="181"/>
      <c r="R120" s="60"/>
      <c r="S120" s="220"/>
      <c r="T120" s="4"/>
      <c r="U120" s="244"/>
      <c r="V120" s="245"/>
      <c r="W120" s="245"/>
      <c r="X120" s="245"/>
      <c r="Y120" s="245"/>
    </row>
    <row r="121" spans="2:25" ht="45" customHeight="1" x14ac:dyDescent="0.3">
      <c r="F121" s="175" t="s">
        <v>350</v>
      </c>
      <c r="G121" s="94" t="s">
        <v>400</v>
      </c>
      <c r="H121" s="56" t="s">
        <v>401</v>
      </c>
      <c r="I121" s="176" t="s">
        <v>350</v>
      </c>
      <c r="J121" s="526"/>
      <c r="K121" s="85"/>
      <c r="L121" s="62"/>
      <c r="M121" s="27" t="str">
        <f t="shared" si="30"/>
        <v/>
      </c>
      <c r="N121" s="27" t="str">
        <f t="shared" si="29"/>
        <v/>
      </c>
      <c r="O121" s="27"/>
      <c r="P121" s="27"/>
      <c r="Q121" s="181"/>
      <c r="R121" s="60"/>
      <c r="S121" s="220"/>
      <c r="T121" s="4"/>
      <c r="U121" s="244"/>
      <c r="V121" s="245"/>
      <c r="W121" s="245"/>
      <c r="X121" s="245"/>
      <c r="Y121" s="245"/>
    </row>
    <row r="122" spans="2:25" ht="45" customHeight="1" x14ac:dyDescent="0.3">
      <c r="F122" s="39" t="s">
        <v>54</v>
      </c>
      <c r="G122" s="39"/>
      <c r="H122" s="40"/>
      <c r="I122" s="39"/>
      <c r="J122" s="40">
        <f>SUM(J117)</f>
        <v>10</v>
      </c>
      <c r="K122" s="40">
        <f>IF(SUM(K117:K121)&gt;10,10,SUM(K117:K121))</f>
        <v>0</v>
      </c>
      <c r="L122" s="26" t="str">
        <f>IF(K122&gt;J122,"!","")</f>
        <v/>
      </c>
      <c r="M122" s="41">
        <f t="shared" ref="M122:N122" si="31">SUM(M117:M121)</f>
        <v>0</v>
      </c>
      <c r="N122" s="41">
        <f t="shared" si="31"/>
        <v>0</v>
      </c>
      <c r="U122" s="233"/>
      <c r="V122" s="217"/>
      <c r="W122" s="217"/>
      <c r="X122" s="217"/>
      <c r="Y122" s="217"/>
    </row>
    <row r="123" spans="2:25" ht="45" customHeight="1" x14ac:dyDescent="0.3">
      <c r="F123" s="57"/>
      <c r="G123" s="57"/>
      <c r="H123" s="1"/>
      <c r="I123" s="57"/>
      <c r="J123" s="1"/>
      <c r="K123" s="1"/>
      <c r="L123" s="4"/>
      <c r="M123" s="1"/>
      <c r="N123" s="1"/>
      <c r="O123" s="1"/>
      <c r="P123" s="1"/>
      <c r="U123" s="233"/>
      <c r="V123" s="217"/>
      <c r="W123" s="217"/>
      <c r="X123" s="217"/>
      <c r="Y123" s="217"/>
    </row>
    <row r="124" spans="2:25" ht="45" customHeight="1" x14ac:dyDescent="0.3">
      <c r="B124" s="144" t="s">
        <v>352</v>
      </c>
      <c r="F124" s="109"/>
      <c r="G124" s="109"/>
      <c r="H124" s="42"/>
      <c r="I124" s="106" t="s">
        <v>353</v>
      </c>
      <c r="J124" s="9" t="s">
        <v>354</v>
      </c>
      <c r="K124" s="9" t="s">
        <v>355</v>
      </c>
      <c r="L124" s="121"/>
      <c r="M124" s="9" t="s">
        <v>356</v>
      </c>
      <c r="N124" s="9" t="s">
        <v>357</v>
      </c>
      <c r="S124" s="227"/>
      <c r="T124" s="60"/>
      <c r="U124" s="235"/>
      <c r="V124" s="227"/>
      <c r="W124" s="227"/>
      <c r="X124" s="227"/>
      <c r="Y124" s="227"/>
    </row>
    <row r="125" spans="2:25" ht="45" customHeight="1" x14ac:dyDescent="0.3">
      <c r="B125" s="141">
        <f>SUM(B7:B113)</f>
        <v>0</v>
      </c>
      <c r="F125" s="17"/>
      <c r="G125" s="17"/>
      <c r="H125" s="1"/>
      <c r="I125" s="18" t="s">
        <v>358</v>
      </c>
      <c r="J125" s="112">
        <f>100-B125</f>
        <v>100</v>
      </c>
      <c r="K125" s="113">
        <f>K24+K44+K64+K73+K82+K96+K105+K114</f>
        <v>0</v>
      </c>
      <c r="L125" s="121"/>
      <c r="M125" s="113">
        <f>(M24+M44+M64+M73+M82+M96+M105+M114)/$J$125*100+M122</f>
        <v>0</v>
      </c>
      <c r="N125" s="113">
        <f>(N24+N44+N64+N73+N82+N96+N105+N114)/$J$125*100+N122</f>
        <v>0</v>
      </c>
      <c r="S125" s="228"/>
      <c r="T125" s="4"/>
      <c r="U125" s="236"/>
      <c r="V125" s="228"/>
      <c r="W125" s="228"/>
      <c r="X125" s="228"/>
      <c r="Y125" s="228"/>
    </row>
    <row r="126" spans="2:25" ht="45" customHeight="1" x14ac:dyDescent="0.3">
      <c r="F126" s="17"/>
      <c r="G126" s="17"/>
      <c r="H126" s="122"/>
      <c r="I126" s="18" t="s">
        <v>359</v>
      </c>
      <c r="J126" s="110"/>
      <c r="K126" s="125">
        <f>K125/J125*100</f>
        <v>0</v>
      </c>
      <c r="L126" s="107"/>
      <c r="M126" s="121"/>
      <c r="N126" s="121"/>
      <c r="S126" s="228"/>
      <c r="T126" s="4"/>
      <c r="U126" s="236"/>
      <c r="V126" s="228"/>
      <c r="W126" s="228"/>
      <c r="X126" s="228"/>
      <c r="Y126" s="228"/>
    </row>
    <row r="127" spans="2:25" ht="45" customHeight="1" x14ac:dyDescent="0.3">
      <c r="F127" s="17"/>
      <c r="G127" s="17"/>
      <c r="H127" s="1"/>
      <c r="I127" s="18" t="s">
        <v>360</v>
      </c>
      <c r="J127" s="112">
        <v>10</v>
      </c>
      <c r="K127" s="113">
        <f>K122</f>
        <v>0</v>
      </c>
      <c r="L127" s="108"/>
      <c r="M127" s="121"/>
      <c r="N127" s="121"/>
      <c r="S127" s="228"/>
      <c r="T127" s="4"/>
      <c r="U127" s="236"/>
      <c r="V127" s="228"/>
      <c r="W127" s="228"/>
      <c r="X127" s="228"/>
      <c r="Y127" s="228"/>
    </row>
    <row r="128" spans="2:25" ht="45" customHeight="1" x14ac:dyDescent="0.3">
      <c r="I128" s="18" t="s">
        <v>361</v>
      </c>
      <c r="J128" s="111"/>
      <c r="K128" s="125">
        <f>K126+K127</f>
        <v>0</v>
      </c>
      <c r="M128" s="121"/>
      <c r="N128" s="121"/>
      <c r="U128" s="233"/>
      <c r="V128" s="217"/>
      <c r="W128" s="217"/>
      <c r="X128" s="217"/>
      <c r="Y128" s="217"/>
    </row>
    <row r="129" spans="4:25" x14ac:dyDescent="0.3">
      <c r="U129" s="233"/>
      <c r="V129" s="217"/>
      <c r="W129" s="217"/>
      <c r="X129" s="217"/>
      <c r="Y129" s="217"/>
    </row>
    <row r="130" spans="4:25" x14ac:dyDescent="0.3">
      <c r="U130" s="233"/>
      <c r="V130" s="217"/>
      <c r="W130" s="217"/>
      <c r="X130" s="217"/>
      <c r="Y130" s="217"/>
    </row>
    <row r="131" spans="4:25" x14ac:dyDescent="0.3">
      <c r="U131" s="233"/>
      <c r="V131" s="217"/>
      <c r="W131" s="217"/>
      <c r="X131" s="217"/>
      <c r="Y131" s="217"/>
    </row>
    <row r="132" spans="4:25" x14ac:dyDescent="0.3">
      <c r="U132" s="233"/>
      <c r="V132" s="217"/>
      <c r="W132" s="217"/>
      <c r="X132" s="217"/>
      <c r="Y132" s="217"/>
    </row>
    <row r="133" spans="4:25" ht="38.25" hidden="1" customHeight="1" x14ac:dyDescent="0.3">
      <c r="D133" s="3" t="s">
        <v>19</v>
      </c>
      <c r="O133" s="152" t="s">
        <v>362</v>
      </c>
      <c r="P133" s="205" t="s">
        <v>363</v>
      </c>
      <c r="Q133" s="155" t="s">
        <v>364</v>
      </c>
      <c r="R133" s="205" t="s">
        <v>365</v>
      </c>
      <c r="U133" s="233"/>
      <c r="V133" s="217"/>
      <c r="W133" s="217"/>
      <c r="X133" s="217"/>
      <c r="Y133" s="217"/>
    </row>
    <row r="134" spans="4:25" ht="38.25" hidden="1" customHeight="1" x14ac:dyDescent="0.3">
      <c r="D134" s="3" t="s">
        <v>19</v>
      </c>
      <c r="N134" s="210" t="s">
        <v>191</v>
      </c>
      <c r="O134" s="211"/>
      <c r="P134" s="206">
        <f>COUNTIF(P7:P113,"Core")</f>
        <v>0</v>
      </c>
      <c r="Q134" s="207">
        <f>COUNTIF(Q7:Q113,"Not Awarded - Major Non-compliance")</f>
        <v>0</v>
      </c>
      <c r="R134" s="212"/>
      <c r="U134" s="233"/>
      <c r="V134" s="217"/>
      <c r="W134" s="217"/>
      <c r="X134" s="217"/>
      <c r="Y134" s="217"/>
    </row>
    <row r="135" spans="4:25" ht="38.25" hidden="1" customHeight="1" x14ac:dyDescent="0.3">
      <c r="D135" s="3" t="s">
        <v>19</v>
      </c>
      <c r="N135" s="210" t="s">
        <v>196</v>
      </c>
      <c r="O135" s="206">
        <f>COUNTIF(O7:O113,"Stage 1")</f>
        <v>0</v>
      </c>
      <c r="P135" s="206">
        <f>COUNTIF(P7:P113,"Stage 1")</f>
        <v>0</v>
      </c>
      <c r="Q135" s="207">
        <f>COUNTIF(Q7:Q113,"Not Awarded - Major Non-compliance")</f>
        <v>0</v>
      </c>
      <c r="R135" s="208" t="str">
        <f>IF(Q135&gt;P135*0.5, "Go to Stage 2", "Assessment Complete")</f>
        <v>Assessment Complete</v>
      </c>
      <c r="U135" s="233"/>
      <c r="V135" s="217"/>
      <c r="W135" s="217"/>
      <c r="X135" s="217"/>
      <c r="Y135" s="217"/>
    </row>
    <row r="136" spans="4:25" ht="38.25" hidden="1" customHeight="1" x14ac:dyDescent="0.3">
      <c r="D136" s="3" t="s">
        <v>19</v>
      </c>
      <c r="N136" s="210" t="s">
        <v>200</v>
      </c>
      <c r="O136" s="206">
        <f>COUNTIF(O7:O113,"Stage 2")</f>
        <v>0</v>
      </c>
      <c r="P136" s="206">
        <f>COUNTIF(P7:P113,"Stage 2")</f>
        <v>0</v>
      </c>
      <c r="Q136" s="207">
        <f>COUNTIF(Q7:Q113,"Not Awarded - Major Non-compliance")</f>
        <v>0</v>
      </c>
      <c r="R136" s="208" t="str">
        <f>IF(AND(R135="Go to Stage 2", P136=0),R135,IF(Q136&gt;SUM(P135:P136)*0.5,"Go to Stage 3","Assessment Complete"))</f>
        <v>Assessment Complete</v>
      </c>
      <c r="U136" s="233"/>
      <c r="V136" s="217"/>
      <c r="W136" s="217"/>
      <c r="X136" s="217"/>
      <c r="Y136" s="217"/>
    </row>
    <row r="137" spans="4:25" ht="38.25" hidden="1" customHeight="1" x14ac:dyDescent="0.3">
      <c r="D137" s="3" t="s">
        <v>19</v>
      </c>
      <c r="N137" s="216" t="s">
        <v>204</v>
      </c>
      <c r="O137" s="206">
        <f>COUNTIF(O7:O113,"Stage 3")</f>
        <v>0</v>
      </c>
      <c r="P137" s="206">
        <f>COUNTIF(P7:P113,"Stage 3")</f>
        <v>0</v>
      </c>
      <c r="Q137" s="207">
        <f>COUNTIF(Q7:Q113,"Not Awarded - Major Non-compliance")</f>
        <v>0</v>
      </c>
      <c r="R137" s="213"/>
      <c r="U137" s="233"/>
      <c r="V137" s="217"/>
      <c r="W137" s="217"/>
      <c r="X137" s="217"/>
      <c r="Y137" s="217"/>
    </row>
    <row r="138" spans="4:25" ht="38.25" hidden="1" customHeight="1" x14ac:dyDescent="0.3">
      <c r="D138" s="3" t="s">
        <v>19</v>
      </c>
      <c r="O138" s="214"/>
      <c r="P138" s="215"/>
      <c r="Q138" s="209">
        <f>COUNTIF(Q7:Q113,"Awarded - Compliant")+COUNTIF(Q7:Q113,"Awarded - Minor non-Compliance")+COUNTIF(Q7:Q113,"Not Awarded - Major non-compliance")</f>
        <v>0</v>
      </c>
      <c r="R138" s="208" t="str">
        <f>IF(R135="Assessment Complete",R135,IF(R136="Assessment Complete",R136,IF(P134&gt;=1,R136,"Assessment Complete")))</f>
        <v>Assessment Complete</v>
      </c>
      <c r="U138" s="233"/>
      <c r="V138" s="217"/>
      <c r="W138" s="217"/>
      <c r="X138" s="217"/>
      <c r="Y138" s="217"/>
    </row>
    <row r="139" spans="4:25" x14ac:dyDescent="0.3">
      <c r="O139" s="151"/>
      <c r="P139" s="151"/>
      <c r="Q139" s="169"/>
      <c r="R139" s="47"/>
      <c r="U139" s="233"/>
      <c r="V139" s="217"/>
      <c r="W139" s="217"/>
      <c r="X139" s="217"/>
      <c r="Y139" s="217"/>
    </row>
    <row r="140" spans="4:25" x14ac:dyDescent="0.3">
      <c r="U140" s="233"/>
      <c r="V140" s="217"/>
      <c r="W140" s="217"/>
      <c r="X140" s="217"/>
      <c r="Y140" s="217"/>
    </row>
    <row r="141" spans="4:25" x14ac:dyDescent="0.3">
      <c r="U141" s="233"/>
      <c r="V141" s="217"/>
      <c r="W141" s="217"/>
      <c r="X141" s="217"/>
      <c r="Y141" s="217"/>
    </row>
    <row r="142" spans="4:25" x14ac:dyDescent="0.3">
      <c r="U142" s="233"/>
      <c r="V142" s="217"/>
      <c r="W142" s="217"/>
      <c r="X142" s="217"/>
      <c r="Y142" s="217"/>
    </row>
    <row r="143" spans="4:25" x14ac:dyDescent="0.3">
      <c r="U143" s="233"/>
      <c r="V143" s="217"/>
      <c r="W143" s="217"/>
      <c r="X143" s="217"/>
      <c r="Y143" s="217"/>
    </row>
    <row r="144" spans="4:25" x14ac:dyDescent="0.3">
      <c r="U144" s="233"/>
      <c r="V144" s="217"/>
      <c r="W144" s="217"/>
      <c r="X144" s="217"/>
      <c r="Y144" s="217"/>
    </row>
  </sheetData>
  <mergeCells count="58">
    <mergeCell ref="F99:F100"/>
    <mergeCell ref="G99:G100"/>
    <mergeCell ref="F101:F103"/>
    <mergeCell ref="G101:G103"/>
    <mergeCell ref="J117:J121"/>
    <mergeCell ref="F107:I107"/>
    <mergeCell ref="F108:F109"/>
    <mergeCell ref="G108:G109"/>
    <mergeCell ref="F110:F111"/>
    <mergeCell ref="G110:G111"/>
    <mergeCell ref="F116:I116"/>
    <mergeCell ref="L87:L89"/>
    <mergeCell ref="F90:F92"/>
    <mergeCell ref="G90:G92"/>
    <mergeCell ref="F98:I98"/>
    <mergeCell ref="M98:N98"/>
    <mergeCell ref="F94:F95"/>
    <mergeCell ref="G94:G95"/>
    <mergeCell ref="F85:F89"/>
    <mergeCell ref="G85:G89"/>
    <mergeCell ref="F62:F63"/>
    <mergeCell ref="G62:G63"/>
    <mergeCell ref="F67:F72"/>
    <mergeCell ref="G67:G72"/>
    <mergeCell ref="F76:F81"/>
    <mergeCell ref="G76:G81"/>
    <mergeCell ref="L47:L53"/>
    <mergeCell ref="F33:F36"/>
    <mergeCell ref="G33:G36"/>
    <mergeCell ref="F37:F39"/>
    <mergeCell ref="G37:G39"/>
    <mergeCell ref="F40:F41"/>
    <mergeCell ref="G40:G41"/>
    <mergeCell ref="F42:F43"/>
    <mergeCell ref="G42:G43"/>
    <mergeCell ref="F46:I46"/>
    <mergeCell ref="F47:F61"/>
    <mergeCell ref="G47:G61"/>
    <mergeCell ref="F30:F32"/>
    <mergeCell ref="G30:G32"/>
    <mergeCell ref="F15:F16"/>
    <mergeCell ref="G15:G16"/>
    <mergeCell ref="F17:F18"/>
    <mergeCell ref="G17:G18"/>
    <mergeCell ref="F19:F21"/>
    <mergeCell ref="G19:G21"/>
    <mergeCell ref="F22:F23"/>
    <mergeCell ref="G22:G23"/>
    <mergeCell ref="F26:I26"/>
    <mergeCell ref="F27:F29"/>
    <mergeCell ref="G27:G29"/>
    <mergeCell ref="F8:F12"/>
    <mergeCell ref="G8:G12"/>
    <mergeCell ref="F1:I1"/>
    <mergeCell ref="U1:W1"/>
    <mergeCell ref="G2:H2"/>
    <mergeCell ref="U2:W3"/>
    <mergeCell ref="G3:H3"/>
  </mergeCells>
  <conditionalFormatting sqref="G64">
    <cfRule type="expression" dxfId="50" priority="51">
      <formula>$J$63=0</formula>
    </cfRule>
  </conditionalFormatting>
  <conditionalFormatting sqref="H25:J25">
    <cfRule type="expression" dxfId="49" priority="52">
      <formula>#REF!=0</formula>
    </cfRule>
  </conditionalFormatting>
  <conditionalFormatting sqref="H28:J32">
    <cfRule type="expression" dxfId="48" priority="22">
      <formula>$C28=TRUE</formula>
    </cfRule>
  </conditionalFormatting>
  <conditionalFormatting sqref="H34:J36">
    <cfRule type="expression" dxfId="47" priority="21">
      <formula>$C34=TRUE</formula>
    </cfRule>
  </conditionalFormatting>
  <conditionalFormatting sqref="H38:J43">
    <cfRule type="expression" dxfId="46" priority="20">
      <formula>$C38=TRUE</formula>
    </cfRule>
  </conditionalFormatting>
  <conditionalFormatting sqref="H67:J67">
    <cfRule type="expression" dxfId="45" priority="49">
      <formula>$G$67=$AA$67</formula>
    </cfRule>
  </conditionalFormatting>
  <conditionalFormatting sqref="H68:J72">
    <cfRule type="expression" dxfId="44" priority="47">
      <formula>$G$67=$AA$68</formula>
    </cfRule>
  </conditionalFormatting>
  <conditionalFormatting sqref="H76:J76">
    <cfRule type="expression" dxfId="43" priority="45">
      <formula>$G$76=$AA$76</formula>
    </cfRule>
  </conditionalFormatting>
  <conditionalFormatting sqref="H77:J81">
    <cfRule type="expression" dxfId="42" priority="44">
      <formula>$G$76=$AA$77</formula>
    </cfRule>
  </conditionalFormatting>
  <conditionalFormatting sqref="H22:K22">
    <cfRule type="expression" dxfId="41" priority="10">
      <formula>$G$22=$AA$9</formula>
    </cfRule>
  </conditionalFormatting>
  <conditionalFormatting sqref="H23:K23">
    <cfRule type="expression" dxfId="40" priority="9">
      <formula>$G$22=$AA$8</formula>
    </cfRule>
  </conditionalFormatting>
  <conditionalFormatting sqref="H27:K27 K28:K43">
    <cfRule type="expression" dxfId="39" priority="24">
      <formula>$C27=TRUE</formula>
    </cfRule>
  </conditionalFormatting>
  <conditionalFormatting sqref="H47:K53">
    <cfRule type="expression" dxfId="38" priority="27">
      <formula>$G$47&lt;&gt;$AA$47</formula>
    </cfRule>
  </conditionalFormatting>
  <conditionalFormatting sqref="H54:K55">
    <cfRule type="expression" dxfId="37" priority="26">
      <formula>$G$47&lt;&gt;$AA$48</formula>
    </cfRule>
  </conditionalFormatting>
  <conditionalFormatting sqref="H56:K57">
    <cfRule type="expression" dxfId="36" priority="25">
      <formula>$G$47&lt;&gt;$AA$49</formula>
    </cfRule>
  </conditionalFormatting>
  <conditionalFormatting sqref="H58:K59">
    <cfRule type="expression" dxfId="35" priority="7">
      <formula>$G$47&lt;&gt;$AA$50</formula>
    </cfRule>
  </conditionalFormatting>
  <conditionalFormatting sqref="H60:K61">
    <cfRule type="expression" dxfId="34" priority="8">
      <formula>$G$47&lt;&gt;$AA$51</formula>
    </cfRule>
  </conditionalFormatting>
  <conditionalFormatting sqref="H62:K62">
    <cfRule type="expression" dxfId="33" priority="6">
      <formula>$G$62=$AA$63</formula>
    </cfRule>
  </conditionalFormatting>
  <conditionalFormatting sqref="H63:K63">
    <cfRule type="expression" dxfId="32" priority="5">
      <formula>$G$62=$AA$62</formula>
    </cfRule>
  </conditionalFormatting>
  <conditionalFormatting sqref="H69:K69">
    <cfRule type="expression" dxfId="31" priority="19">
      <formula>$C$69=TRUE</formula>
    </cfRule>
  </conditionalFormatting>
  <conditionalFormatting sqref="H70:K70">
    <cfRule type="expression" dxfId="30" priority="18">
      <formula>$C$70=TRUE</formula>
    </cfRule>
  </conditionalFormatting>
  <conditionalFormatting sqref="H80:K80">
    <cfRule type="expression" dxfId="29" priority="17">
      <formula>$C$80=TRUE</formula>
    </cfRule>
  </conditionalFormatting>
  <conditionalFormatting sqref="H81:K81">
    <cfRule type="expression" dxfId="28" priority="16">
      <formula>$C$81=TRUE</formula>
    </cfRule>
  </conditionalFormatting>
  <conditionalFormatting sqref="H85:K86">
    <cfRule type="expression" dxfId="27" priority="29">
      <formula>$G$85=$AA$86</formula>
    </cfRule>
  </conditionalFormatting>
  <conditionalFormatting sqref="H87:K89">
    <cfRule type="expression" dxfId="26" priority="28">
      <formula>$G$85=$AA$85</formula>
    </cfRule>
  </conditionalFormatting>
  <conditionalFormatting sqref="H89:K89">
    <cfRule type="expression" dxfId="25" priority="14">
      <formula>$C$89=TRUE</formula>
    </cfRule>
  </conditionalFormatting>
  <conditionalFormatting sqref="H90:K90">
    <cfRule type="expression" dxfId="24" priority="13">
      <formula>$C$90=TRUE</formula>
    </cfRule>
  </conditionalFormatting>
  <conditionalFormatting sqref="H91:K91">
    <cfRule type="expression" dxfId="23" priority="12">
      <formula>$C$91=TRUE</formula>
    </cfRule>
  </conditionalFormatting>
  <conditionalFormatting sqref="H92:K92">
    <cfRule type="expression" dxfId="22" priority="11">
      <formula>$C$92=TRUE</formula>
    </cfRule>
  </conditionalFormatting>
  <conditionalFormatting sqref="H94:K94">
    <cfRule type="expression" dxfId="21" priority="4">
      <formula>$G$94=$AA$95</formula>
    </cfRule>
  </conditionalFormatting>
  <conditionalFormatting sqref="H95:K95">
    <cfRule type="expression" dxfId="20" priority="3">
      <formula>$G$94=$AA$94</formula>
    </cfRule>
  </conditionalFormatting>
  <conditionalFormatting sqref="H103:K103">
    <cfRule type="expression" dxfId="19" priority="15">
      <formula>$C$103=TRUE</formula>
    </cfRule>
  </conditionalFormatting>
  <conditionalFormatting sqref="K20:K21">
    <cfRule type="expression" dxfId="18" priority="50">
      <formula>$G$19=$I$20</formula>
    </cfRule>
  </conditionalFormatting>
  <conditionalFormatting sqref="K67">
    <cfRule type="expression" dxfId="17" priority="48">
      <formula>$G$67=$AA$67</formula>
    </cfRule>
  </conditionalFormatting>
  <conditionalFormatting sqref="K68:K72">
    <cfRule type="expression" dxfId="16" priority="46">
      <formula>$G$67=$AA$68</formula>
    </cfRule>
  </conditionalFormatting>
  <conditionalFormatting sqref="K76">
    <cfRule type="expression" dxfId="15" priority="33">
      <formula>$G$76=$AA$76</formula>
    </cfRule>
  </conditionalFormatting>
  <conditionalFormatting sqref="K77:K81">
    <cfRule type="expression" dxfId="14" priority="34">
      <formula>$G$76=$AA$77</formula>
    </cfRule>
  </conditionalFormatting>
  <conditionalFormatting sqref="K108:K109">
    <cfRule type="expression" dxfId="13" priority="32">
      <formula>$G$84=$AA$85</formula>
    </cfRule>
  </conditionalFormatting>
  <conditionalFormatting sqref="K110">
    <cfRule type="expression" dxfId="12" priority="35">
      <formula>$G$47=$AA$50</formula>
    </cfRule>
  </conditionalFormatting>
  <conditionalFormatting sqref="K111:K113">
    <cfRule type="expression" dxfId="11" priority="31">
      <formula>$G$84=$AA$85</formula>
    </cfRule>
  </conditionalFormatting>
  <conditionalFormatting sqref="K117:K121">
    <cfRule type="expression" dxfId="10" priority="30">
      <formula>$G$84=$AA$85</formula>
    </cfRule>
  </conditionalFormatting>
  <conditionalFormatting sqref="S7:S23">
    <cfRule type="expression" dxfId="9" priority="42">
      <formula>Q7=$AC$11</formula>
    </cfRule>
  </conditionalFormatting>
  <conditionalFormatting sqref="S27:S43">
    <cfRule type="expression" dxfId="8" priority="41">
      <formula>Q27=$AC$11</formula>
    </cfRule>
  </conditionalFormatting>
  <conditionalFormatting sqref="S47:S63 S85:S95">
    <cfRule type="expression" dxfId="7" priority="43">
      <formula>Q47=$AC$11</formula>
    </cfRule>
  </conditionalFormatting>
  <conditionalFormatting sqref="S67:S72">
    <cfRule type="expression" dxfId="6" priority="40">
      <formula>Q67=$AC$11</formula>
    </cfRule>
  </conditionalFormatting>
  <conditionalFormatting sqref="S76:S81">
    <cfRule type="expression" dxfId="5" priority="39">
      <formula>Q76=$AC$11</formula>
    </cfRule>
  </conditionalFormatting>
  <conditionalFormatting sqref="S99:S104">
    <cfRule type="expression" dxfId="4" priority="38">
      <formula>Q99=$AC$11</formula>
    </cfRule>
  </conditionalFormatting>
  <conditionalFormatting sqref="S108:S113">
    <cfRule type="expression" dxfId="3" priority="37">
      <formula>Q108=$AC$11</formula>
    </cfRule>
  </conditionalFormatting>
  <conditionalFormatting sqref="S117:S121">
    <cfRule type="expression" dxfId="2" priority="36">
      <formula>Q117=$AC$11</formula>
    </cfRule>
  </conditionalFormatting>
  <conditionalFormatting sqref="U7:Y121">
    <cfRule type="expression" dxfId="1" priority="1">
      <formula>$Q7=$AC$11</formula>
    </cfRule>
    <cfRule type="expression" dxfId="0" priority="2">
      <formula>$Q7=$AC$11</formula>
    </cfRule>
  </conditionalFormatting>
  <dataValidations count="21">
    <dataValidation type="list" allowBlank="1" showInputMessage="1" showErrorMessage="1" promptTitle="Selection Required" prompt="Please indicate the project's desired pathway." sqref="G94:G95" xr:uid="{00000000-0002-0000-0500-000000000000}">
      <formula1>$AA$94:$AA$95</formula1>
    </dataValidation>
    <dataValidation type="decimal" operator="lessThanOrEqual" allowBlank="1" showInputMessage="1" showErrorMessage="1" sqref="K22:K23" xr:uid="{00000000-0002-0000-0500-000001000000}">
      <formula1>1</formula1>
    </dataValidation>
    <dataValidation type="list" allowBlank="1" showInputMessage="1" showErrorMessage="1" sqref="G65" xr:uid="{00000000-0002-0000-0500-000002000000}">
      <formula1>$AA$62:$AA$62</formula1>
    </dataValidation>
    <dataValidation type="list" allowBlank="1" showInputMessage="1" showErrorMessage="1" promptTitle="Selection Required" prompt="Please indicate the project's desired pathway." sqref="G62:G63" xr:uid="{00000000-0002-0000-0500-000003000000}">
      <formula1>$AA$62:$AA$63</formula1>
    </dataValidation>
    <dataValidation type="list" allowBlank="1" showInputMessage="1" showErrorMessage="1" promptTitle="Selection Required" prompt="Please indicate the project's desired pathway." sqref="G22:G23" xr:uid="{00000000-0002-0000-0500-000004000000}">
      <formula1>$AA$8:$AA$9</formula1>
    </dataValidation>
    <dataValidation type="list" allowBlank="1" showInputMessage="1" showErrorMessage="1" sqref="O108:O113 O99:O104 O85:O95 O76:O81 O67:O72 O27:O43 O7:O23 O47:O63" xr:uid="{00000000-0002-0000-0500-000005000000}">
      <formula1>$AB$10:$AB$12</formula1>
    </dataValidation>
    <dataValidation type="list" allowBlank="1" showInputMessage="1" showErrorMessage="1" sqref="O117:P121" xr:uid="{00000000-0002-0000-0500-000006000000}">
      <formula1>$AB$10</formula1>
    </dataValidation>
    <dataValidation type="list" allowBlank="1" showInputMessage="1" showErrorMessage="1" sqref="P99:P104 P85:P95 P76:P81 P67:P72 P27:P43 P108:P113 P7:P23 P47:P63" xr:uid="{00000000-0002-0000-0500-000007000000}">
      <formula1>$AB$9:$AB$12</formula1>
    </dataValidation>
    <dataValidation type="decimal" operator="lessThanOrEqual" allowBlank="1" showInputMessage="1" showErrorMessage="1" sqref="K117:K121" xr:uid="{00000000-0002-0000-0500-000008000000}">
      <formula1>10</formula1>
    </dataValidation>
    <dataValidation type="list" allowBlank="1" showInputMessage="1" showErrorMessage="1" promptTitle="Selection Required" prompt="Please indicate the project's desired pathway." sqref="G85:G89" xr:uid="{00000000-0002-0000-0500-000009000000}">
      <formula1>$AA$85:$AA$86</formula1>
    </dataValidation>
    <dataValidation type="list" allowBlank="1" showInputMessage="1" showErrorMessage="1" sqref="Q117:Q121 Q108:Q113 Q99:Q104 Q85:Q95 Q76:Q81 Q67:Q72 Q27:Q43 Q7:Q23 Q47:Q63" xr:uid="{00000000-0002-0000-0500-00000A000000}">
      <formula1>$AC$9:$AC$11</formula1>
    </dataValidation>
    <dataValidation type="list" allowBlank="1" showInputMessage="1" showErrorMessage="1" sqref="K56 K60 K54 K58 K99 K110 K47 K8 K101 K19 K17" xr:uid="{00000000-0002-0000-0500-00000B000000}">
      <formula1>$AD$7:$AD$9</formula1>
    </dataValidation>
    <dataValidation type="list" allowBlank="1" showInputMessage="1" showErrorMessage="1" sqref="G83" xr:uid="{00000000-0002-0000-0500-00000C000000}">
      <formula1>$T$76:$T$77</formula1>
    </dataValidation>
    <dataValidation type="list" allowBlank="1" showInputMessage="1" showErrorMessage="1" sqref="G25" xr:uid="{00000000-0002-0000-0500-00000D000000}">
      <formula1>$T$23:$T$23</formula1>
    </dataValidation>
    <dataValidation type="decimal" allowBlank="1" showInputMessage="1" showErrorMessage="1" sqref="K18 K7 K20:K21 K9:K16" xr:uid="{00000000-0002-0000-0500-00000E000000}">
      <formula1>0</formula1>
      <formula2>J7</formula2>
    </dataValidation>
    <dataValidation type="list" allowBlank="1" showInputMessage="1" showErrorMessage="1" sqref="G74" xr:uid="{00000000-0002-0000-0500-00000F000000}">
      <formula1>$AA$67:$AA$68</formula1>
    </dataValidation>
    <dataValidation type="list" allowBlank="1" showInputMessage="1" showErrorMessage="1" promptTitle="Selection Required" prompt="Please indicate the project's desired pathway." sqref="G67:G72" xr:uid="{00000000-0002-0000-0500-000010000000}">
      <formula1>$AA$67:$AA$68</formula1>
    </dataValidation>
    <dataValidation type="list" allowBlank="1" showInputMessage="1" showErrorMessage="1" promptTitle="Selection Required" prompt="Please indicate the project's desired pathway." sqref="G76:G81" xr:uid="{00000000-0002-0000-0500-000011000000}">
      <formula1>$AA$76:$AA$77</formula1>
    </dataValidation>
    <dataValidation type="decimal" operator="lessThanOrEqual" allowBlank="1" showInputMessage="1" showErrorMessage="1" sqref="K111:K113 K122 K102:K104 K61:K63 K38:K43 K67:K72 K76:K81 K108:K109 K100 K27:K32 K34:K36 K85:K95 K55 K57 K59 K48:K53" xr:uid="{00000000-0002-0000-0500-000012000000}">
      <formula1>J27</formula1>
    </dataValidation>
    <dataValidation type="list" operator="lessThanOrEqual" allowBlank="1" showInputMessage="1" showErrorMessage="1" sqref="K33 K37" xr:uid="{00000000-0002-0000-0500-000013000000}">
      <formula1>$AD$7:$AD$9</formula1>
    </dataValidation>
    <dataValidation type="list" allowBlank="1" showInputMessage="1" showErrorMessage="1" promptTitle="Selection Required" prompt="Please indicate the project's desired pathway." sqref="G47:G61" xr:uid="{00000000-0002-0000-0500-000014000000}">
      <formula1>$AA$47:$AA$51</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headerFooter>
    <oddHeader>&amp;L&amp;"Calibri"&amp;8&amp;K000000 Sensitivity: General&amp;1#_x000D_</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38100</xdr:colOff>
                    <xdr:row>27</xdr:row>
                    <xdr:rowOff>171450</xdr:rowOff>
                  </from>
                  <to>
                    <xdr:col>5</xdr:col>
                    <xdr:colOff>565150</xdr:colOff>
                    <xdr:row>27</xdr:row>
                    <xdr:rowOff>381000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38100</xdr:colOff>
                    <xdr:row>26</xdr:row>
                    <xdr:rowOff>184150</xdr:rowOff>
                  </from>
                  <to>
                    <xdr:col>5</xdr:col>
                    <xdr:colOff>565150</xdr:colOff>
                    <xdr:row>26</xdr:row>
                    <xdr:rowOff>393700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38100</xdr:colOff>
                    <xdr:row>28</xdr:row>
                    <xdr:rowOff>171450</xdr:rowOff>
                  </from>
                  <to>
                    <xdr:col>5</xdr:col>
                    <xdr:colOff>565150</xdr:colOff>
                    <xdr:row>28</xdr:row>
                    <xdr:rowOff>381000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4</xdr:col>
                    <xdr:colOff>38100</xdr:colOff>
                    <xdr:row>29</xdr:row>
                    <xdr:rowOff>171450</xdr:rowOff>
                  </from>
                  <to>
                    <xdr:col>5</xdr:col>
                    <xdr:colOff>565150</xdr:colOff>
                    <xdr:row>29</xdr:row>
                    <xdr:rowOff>381000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38100</xdr:colOff>
                    <xdr:row>30</xdr:row>
                    <xdr:rowOff>171450</xdr:rowOff>
                  </from>
                  <to>
                    <xdr:col>5</xdr:col>
                    <xdr:colOff>565150</xdr:colOff>
                    <xdr:row>30</xdr:row>
                    <xdr:rowOff>381000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4</xdr:col>
                    <xdr:colOff>38100</xdr:colOff>
                    <xdr:row>31</xdr:row>
                    <xdr:rowOff>171450</xdr:rowOff>
                  </from>
                  <to>
                    <xdr:col>5</xdr:col>
                    <xdr:colOff>565150</xdr:colOff>
                    <xdr:row>31</xdr:row>
                    <xdr:rowOff>381000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38100</xdr:colOff>
                    <xdr:row>33</xdr:row>
                    <xdr:rowOff>171450</xdr:rowOff>
                  </from>
                  <to>
                    <xdr:col>5</xdr:col>
                    <xdr:colOff>565150</xdr:colOff>
                    <xdr:row>33</xdr:row>
                    <xdr:rowOff>381000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4</xdr:col>
                    <xdr:colOff>38100</xdr:colOff>
                    <xdr:row>34</xdr:row>
                    <xdr:rowOff>171450</xdr:rowOff>
                  </from>
                  <to>
                    <xdr:col>5</xdr:col>
                    <xdr:colOff>565150</xdr:colOff>
                    <xdr:row>34</xdr:row>
                    <xdr:rowOff>381000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38100</xdr:colOff>
                    <xdr:row>35</xdr:row>
                    <xdr:rowOff>171450</xdr:rowOff>
                  </from>
                  <to>
                    <xdr:col>5</xdr:col>
                    <xdr:colOff>565150</xdr:colOff>
                    <xdr:row>35</xdr:row>
                    <xdr:rowOff>381000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4</xdr:col>
                    <xdr:colOff>38100</xdr:colOff>
                    <xdr:row>37</xdr:row>
                    <xdr:rowOff>171450</xdr:rowOff>
                  </from>
                  <to>
                    <xdr:col>5</xdr:col>
                    <xdr:colOff>565150</xdr:colOff>
                    <xdr:row>37</xdr:row>
                    <xdr:rowOff>381000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38100</xdr:colOff>
                    <xdr:row>38</xdr:row>
                    <xdr:rowOff>171450</xdr:rowOff>
                  </from>
                  <to>
                    <xdr:col>5</xdr:col>
                    <xdr:colOff>565150</xdr:colOff>
                    <xdr:row>38</xdr:row>
                    <xdr:rowOff>381000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4</xdr:col>
                    <xdr:colOff>38100</xdr:colOff>
                    <xdr:row>39</xdr:row>
                    <xdr:rowOff>171450</xdr:rowOff>
                  </from>
                  <to>
                    <xdr:col>5</xdr:col>
                    <xdr:colOff>565150</xdr:colOff>
                    <xdr:row>39</xdr:row>
                    <xdr:rowOff>381000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38100</xdr:colOff>
                    <xdr:row>40</xdr:row>
                    <xdr:rowOff>171450</xdr:rowOff>
                  </from>
                  <to>
                    <xdr:col>5</xdr:col>
                    <xdr:colOff>565150</xdr:colOff>
                    <xdr:row>40</xdr:row>
                    <xdr:rowOff>381000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4</xdr:col>
                    <xdr:colOff>38100</xdr:colOff>
                    <xdr:row>41</xdr:row>
                    <xdr:rowOff>171450</xdr:rowOff>
                  </from>
                  <to>
                    <xdr:col>5</xdr:col>
                    <xdr:colOff>565150</xdr:colOff>
                    <xdr:row>41</xdr:row>
                    <xdr:rowOff>381000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38100</xdr:colOff>
                    <xdr:row>42</xdr:row>
                    <xdr:rowOff>171450</xdr:rowOff>
                  </from>
                  <to>
                    <xdr:col>5</xdr:col>
                    <xdr:colOff>565150</xdr:colOff>
                    <xdr:row>42</xdr:row>
                    <xdr:rowOff>381000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4</xdr:col>
                    <xdr:colOff>38100</xdr:colOff>
                    <xdr:row>68</xdr:row>
                    <xdr:rowOff>171450</xdr:rowOff>
                  </from>
                  <to>
                    <xdr:col>5</xdr:col>
                    <xdr:colOff>565150</xdr:colOff>
                    <xdr:row>68</xdr:row>
                    <xdr:rowOff>381000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38100</xdr:colOff>
                    <xdr:row>69</xdr:row>
                    <xdr:rowOff>171450</xdr:rowOff>
                  </from>
                  <to>
                    <xdr:col>5</xdr:col>
                    <xdr:colOff>565150</xdr:colOff>
                    <xdr:row>69</xdr:row>
                    <xdr:rowOff>381000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4</xdr:col>
                    <xdr:colOff>38100</xdr:colOff>
                    <xdr:row>79</xdr:row>
                    <xdr:rowOff>171450</xdr:rowOff>
                  </from>
                  <to>
                    <xdr:col>5</xdr:col>
                    <xdr:colOff>565150</xdr:colOff>
                    <xdr:row>79</xdr:row>
                    <xdr:rowOff>381000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38100</xdr:colOff>
                    <xdr:row>80</xdr:row>
                    <xdr:rowOff>171450</xdr:rowOff>
                  </from>
                  <to>
                    <xdr:col>5</xdr:col>
                    <xdr:colOff>565150</xdr:colOff>
                    <xdr:row>80</xdr:row>
                    <xdr:rowOff>381000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4</xdr:col>
                    <xdr:colOff>38100</xdr:colOff>
                    <xdr:row>102</xdr:row>
                    <xdr:rowOff>171450</xdr:rowOff>
                  </from>
                  <to>
                    <xdr:col>5</xdr:col>
                    <xdr:colOff>565150</xdr:colOff>
                    <xdr:row>102</xdr:row>
                    <xdr:rowOff>381000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38100</xdr:colOff>
                    <xdr:row>89</xdr:row>
                    <xdr:rowOff>171450</xdr:rowOff>
                  </from>
                  <to>
                    <xdr:col>5</xdr:col>
                    <xdr:colOff>565150</xdr:colOff>
                    <xdr:row>89</xdr:row>
                    <xdr:rowOff>381000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4</xdr:col>
                    <xdr:colOff>38100</xdr:colOff>
                    <xdr:row>90</xdr:row>
                    <xdr:rowOff>171450</xdr:rowOff>
                  </from>
                  <to>
                    <xdr:col>5</xdr:col>
                    <xdr:colOff>565150</xdr:colOff>
                    <xdr:row>90</xdr:row>
                    <xdr:rowOff>381000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38100</xdr:colOff>
                    <xdr:row>91</xdr:row>
                    <xdr:rowOff>171450</xdr:rowOff>
                  </from>
                  <to>
                    <xdr:col>5</xdr:col>
                    <xdr:colOff>565150</xdr:colOff>
                    <xdr:row>91</xdr:row>
                    <xdr:rowOff>381000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091d4f-8901-46df-85f4-029614b39d2e">
      <Terms xmlns="http://schemas.microsoft.com/office/infopath/2007/PartnerControls"/>
    </lcf76f155ced4ddcb4097134ff3c332f>
    <TaxCatchAll xmlns="52985c86-f8c2-4ffb-9ed4-056f10e7bf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41C3597F76DEA4A8B37024205BF4B46" ma:contentTypeVersion="16" ma:contentTypeDescription="Create a new document." ma:contentTypeScope="" ma:versionID="8ed860e220d4a8e37ede811abc173770">
  <xsd:schema xmlns:xsd="http://www.w3.org/2001/XMLSchema" xmlns:xs="http://www.w3.org/2001/XMLSchema" xmlns:p="http://schemas.microsoft.com/office/2006/metadata/properties" xmlns:ns2="a5091d4f-8901-46df-85f4-029614b39d2e" xmlns:ns3="52985c86-f8c2-4ffb-9ed4-056f10e7bf99" targetNamespace="http://schemas.microsoft.com/office/2006/metadata/properties" ma:root="true" ma:fieldsID="b6922714710994b7650069806227b2a1" ns2:_="" ns3:_="">
    <xsd:import namespace="a5091d4f-8901-46df-85f4-029614b39d2e"/>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091d4f-8901-46df-85f4-029614b39d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99BEFA-0C46-4C39-BD4B-79608CADF9F3}">
  <ds:schemaRefs>
    <ds:schemaRef ds:uri="http://schemas.microsoft.com/sharepoint/v3/contenttype/forms"/>
  </ds:schemaRefs>
</ds:datastoreItem>
</file>

<file path=customXml/itemProps2.xml><?xml version="1.0" encoding="utf-8"?>
<ds:datastoreItem xmlns:ds="http://schemas.openxmlformats.org/officeDocument/2006/customXml" ds:itemID="{15CDE22D-3DB6-4B56-80D6-BF45DB7B4C19}">
  <ds:schemaRefs>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purl.org/dc/dcmitype/"/>
    <ds:schemaRef ds:uri="52985c86-f8c2-4ffb-9ed4-056f10e7bf99"/>
    <ds:schemaRef ds:uri="http://schemas.openxmlformats.org/package/2006/metadata/core-properties"/>
    <ds:schemaRef ds:uri="a5091d4f-8901-46df-85f4-029614b39d2e"/>
    <ds:schemaRef ds:uri="http://www.w3.org/XML/1998/namespace"/>
    <ds:schemaRef ds:uri="http://purl.org/dc/terms/"/>
  </ds:schemaRefs>
</ds:datastoreItem>
</file>

<file path=customXml/itemProps3.xml><?xml version="1.0" encoding="utf-8"?>
<ds:datastoreItem xmlns:ds="http://schemas.openxmlformats.org/officeDocument/2006/customXml" ds:itemID="{F46C08F4-D692-4A68-857C-EB0C74370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091d4f-8901-46df-85f4-029614b39d2e"/>
    <ds:schemaRef ds:uri="52985c86-f8c2-4ffb-9ed4-056f10e7bf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1e8007d-0344-4ee5-bb02-8f24bdb7d471}" enabled="1" method="Standard" siteId="{bb0f7126-b1c5-4f3e-8ca1-2b24f0f74620}"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Disclaimer</vt:lpstr>
      <vt:lpstr>Change Log</vt:lpstr>
      <vt:lpstr>Instructions</vt:lpstr>
      <vt:lpstr>Building Input Sheet</vt:lpstr>
      <vt:lpstr>Design Review Scorecard</vt:lpstr>
      <vt:lpstr>As Built Scorecard</vt:lpstr>
      <vt:lpstr>Submission Planner</vt:lpstr>
      <vt:lpstr>ss - As Built Scorecard</vt:lpstr>
      <vt:lpstr>CAL_Cold.shell.area</vt:lpstr>
      <vt:lpstr>CAL_Integrated.area</vt:lpstr>
      <vt:lpstr>'As Built Scorecard'!Print_Area</vt:lpstr>
      <vt:lpstr>'Building Input Sheet'!Print_Area</vt:lpstr>
      <vt:lpstr>'Change Log'!Print_Area</vt:lpstr>
      <vt:lpstr>'Design Review Scorecard'!Print_Area</vt:lpstr>
      <vt:lpstr>Instructions!Print_Area</vt:lpstr>
      <vt:lpstr>'ss - As Built Scorecard'!Print_Area</vt:lpstr>
      <vt:lpstr>'Submission Planner'!Print_Area</vt:lpstr>
      <vt:lpstr>SEL_YN_Industrial</vt:lpstr>
      <vt:lpstr>SEL_YN_Int.Credit</vt:lpstr>
      <vt:lpstr>SEL_YN_NA.Credit</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Bhumika Mistry</cp:lastModifiedBy>
  <cp:revision/>
  <dcterms:created xsi:type="dcterms:W3CDTF">2013-06-25T01:42:25Z</dcterms:created>
  <dcterms:modified xsi:type="dcterms:W3CDTF">2023-08-09T21:25:10Z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0x010100841C3597F76DEA4A8B37024205BF4B46</vt:lpwstr>
  </property>
  <property fmtid="{D5CDD505-2E9C-101B-9397-08002B2CF9AE}" pid="3" name="Originator">
    <vt:lpwstr>4;#Beca|a9bbb40e-5fed-4cc0-bdb5-0fb463d1eb14</vt:lpwstr>
  </property>
  <property fmtid="{D5CDD505-2E9C-101B-9397-08002B2CF9AE}" pid="4" name="_dlc_DocIdItemGuid">
    <vt:lpwstr>8316ed0a-9b21-4afb-ac50-891bc1faae1b</vt:lpwstr>
  </property>
  <property fmtid="{D5CDD505-2E9C-101B-9397-08002B2CF9AE}" pid="5" name="MediaServiceImageTags">
    <vt:lpwstr/>
  </property>
  <property fmtid="{D5CDD505-2E9C-101B-9397-08002B2CF9AE}" pid="6" name="DMSMarketSegmentV2">
    <vt:lpwstr>3;#Commercial Buildings|5e086400-0972-43ac-b1bc-812a4d7eeec3</vt:lpwstr>
  </property>
  <property fmtid="{D5CDD505-2E9C-101B-9397-08002B2CF9AE}" pid="7" name="OwningCompany">
    <vt:lpwstr>1;#Beca Limited|32943bc8-db00-41f3-beb5-5cb7e1307330</vt:lpwstr>
  </property>
  <property fmtid="{D5CDD505-2E9C-101B-9397-08002B2CF9AE}" pid="8" name="Client_x0020_Address">
    <vt:lpwstr/>
  </property>
  <property fmtid="{D5CDD505-2E9C-101B-9397-08002B2CF9AE}" pid="9" name="Document Status">
    <vt:lpwstr>5;#WIP|db997c6c-dc18-4bc4-99fc-2cbf3aaf93f9</vt:lpwstr>
  </property>
  <property fmtid="{D5CDD505-2E9C-101B-9397-08002B2CF9AE}" pid="10" name="DMSOwningSection">
    <vt:lpwstr>2;#529 - Central Building Services - BL|8886b3af-7a51-43e9-ba52-90f7e440c830</vt:lpwstr>
  </property>
  <property fmtid="{D5CDD505-2E9C-101B-9397-08002B2CF9AE}" pid="11" name="DMSProjectDocumentType">
    <vt:lpwstr/>
  </property>
  <property fmtid="{D5CDD505-2E9C-101B-9397-08002B2CF9AE}" pid="12" name="Revision Stamp">
    <vt:lpwstr/>
  </property>
  <property fmtid="{D5CDD505-2E9C-101B-9397-08002B2CF9AE}" pid="13" name="Discipline">
    <vt:lpwstr/>
  </property>
  <property fmtid="{D5CDD505-2E9C-101B-9397-08002B2CF9AE}" pid="14" name="kfc07b57045244179ffa5bae4291b42d">
    <vt:lpwstr/>
  </property>
  <property fmtid="{D5CDD505-2E9C-101B-9397-08002B2CF9AE}" pid="15" name="Client Address">
    <vt:lpwstr/>
  </property>
  <property fmtid="{D5CDD505-2E9C-101B-9397-08002B2CF9AE}" pid="16" name="Solution ID">
    <vt:lpwstr>{15727DE6-F92D-4E46-ACB4-0E2C58B31A18}</vt:lpwstr>
  </property>
</Properties>
</file>