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3.xml" ContentType="application/vnd.openxmlformats-officedocument.spreadsheetml.comments+xml"/>
  <Override PartName="/xl/drawings/drawing8.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03"/>
  <workbookPr codeName="ThisWorkbook"/>
  <mc:AlternateContent xmlns:mc="http://schemas.openxmlformats.org/markup-compatibility/2006">
    <mc:Choice Requires="x15">
      <x15ac:absPath xmlns:x15ac="http://schemas.microsoft.com/office/spreadsheetml/2010/11/ac" url="https://nzgbc.sharepoint.com/sites/GreenStarTeamSite/Performance/Shared Documents/02_Performance_Tech/01 Tools &amp; Calculators/Scorecards/"/>
    </mc:Choice>
  </mc:AlternateContent>
  <xr:revisionPtr revIDLastSave="0" documentId="8_{4737EB9F-F55F-4108-9805-8DADCC790294}" xr6:coauthVersionLast="47" xr6:coauthVersionMax="47" xr10:uidLastSave="{00000000-0000-0000-0000-000000000000}"/>
  <workbookProtection workbookAlgorithmName="SHA-512" workbookHashValue="2NEzdrifv0UrMPuFrNGWa/YsRR8RHYNIOhhWKGCqvUXZPL2+5HiVY5SEbDCyZZk/1qtCX5XnZR89DwudW485Ng==" workbookSaltValue="nFULMJQZaidZAD0AvAucCg==" workbookSpinCount="100000" lockStructure="1"/>
  <bookViews>
    <workbookView xWindow="28680" yWindow="-120" windowWidth="29040" windowHeight="15720" tabRatio="682" firstSheet="5" activeTab="5" xr2:uid="{00000000-000D-0000-FFFF-FFFF00000000}"/>
  </bookViews>
  <sheets>
    <sheet name="Disclaimer" sheetId="1" r:id="rId1"/>
    <sheet name="Change Log" sheetId="2" r:id="rId2"/>
    <sheet name="Instructions" sheetId="3" r:id="rId3"/>
    <sheet name="Building Information" sheetId="4" r:id="rId4"/>
    <sheet name="Initial" sheetId="5" r:id="rId5"/>
    <sheet name="Year 1" sheetId="6" r:id="rId6"/>
    <sheet name="Year 2" sheetId="7" r:id="rId7"/>
    <sheet name="Submission Planner" sheetId="8" r:id="rId8"/>
    <sheet name="Audit Tracker" sheetId="9" r:id="rId9"/>
  </sheets>
  <externalReferences>
    <externalReference r:id="rId10"/>
    <externalReference r:id="rId11"/>
    <externalReference r:id="rId12"/>
  </externalReferences>
  <definedNames>
    <definedName name="_xlnm._FilterDatabase" localSheetId="4" hidden="1">Initial!#REF!</definedName>
    <definedName name="_xlnm._FilterDatabase" localSheetId="7" hidden="1">'Submission Planner'!$I$6:$I$106</definedName>
    <definedName name="_xlnm._FilterDatabase" localSheetId="5" hidden="1">'Year 1'!#REF!</definedName>
    <definedName name="_xlnm._FilterDatabase" localSheetId="6" hidden="1">'Year 2'!#REF!</definedName>
    <definedName name="Are_Urinals_installed?" localSheetId="4">#REF!</definedName>
    <definedName name="Are_Urinals_installed?" localSheetId="7">#REF!</definedName>
    <definedName name="Are_Urinals_installed?" localSheetId="5">#REF!</definedName>
    <definedName name="Are_Urinals_installed?" localSheetId="6">#REF!</definedName>
    <definedName name="ene1_fields" localSheetId="8">'[1]Building Input'!$C$7:$C$11,'[1]Building Input'!$C$14:$C$15,'[1]Building Input'!$C$17,'[1]Building Input'!$C$19:$C$28,'[1]Building Input'!$C$30:$C$34,'[1]Building Input'!$C$45,'[1]Building Input'!$C$47,'[1]Building Input'!#REF!</definedName>
    <definedName name="ene1_fields" localSheetId="4">'[1]Building Input'!$C$7:$C$11,'[1]Building Input'!$C$14:$C$15,'[1]Building Input'!$C$17,'[1]Building Input'!$C$19:$C$28,'[1]Building Input'!$C$30:$C$34,'[1]Building Input'!$C$45,'[1]Building Input'!$C$47,'[1]Building Input'!#REF!</definedName>
    <definedName name="ene1_fields" localSheetId="7">'[1]Building Input'!$C$7:$C$11,'[1]Building Input'!$C$14:$C$15,'[1]Building Input'!$C$17,'[1]Building Input'!$C$19:$C$28,'[1]Building Input'!$C$30:$C$34,'[1]Building Input'!$C$45,'[1]Building Input'!$C$47,'[1]Building Input'!#REF!</definedName>
    <definedName name="ene1_fields" localSheetId="5">'[1]Building Input'!$C$7:$C$11,'[1]Building Input'!$C$14:$C$15,'[1]Building Input'!$C$17,'[1]Building Input'!$C$19:$C$28,'[1]Building Input'!$C$30:$C$34,'[1]Building Input'!$C$45,'[1]Building Input'!$C$47,'[1]Building Input'!#REF!</definedName>
    <definedName name="ene1_fields" localSheetId="6">'[1]Building Input'!$C$7:$C$11,'[1]Building Input'!$C$14:$C$15,'[1]Building Input'!$C$17,'[1]Building Input'!$C$19:$C$28,'[1]Building Input'!$C$30:$C$34,'[1]Building Input'!$C$45,'[1]Building Input'!$C$47,'[1]Building Input'!#REF!</definedName>
    <definedName name="ene1_fields">'[1]Building Input'!$C$7:$C$11,'[1]Building Input'!$C$14:$C$15,'[1]Building Input'!$C$17,'[1]Building Input'!$C$19:$C$28,'[1]Building Input'!$C$30:$C$34,'[1]Building Input'!$C$45,'[1]Building Input'!$C$47,'[1]Building Input'!#REF!</definedName>
    <definedName name="Ene1_headingsEC">'[1]Ecology Calculator'!$B$5,'[1]Ecology Calculator'!$B$7,'[1]Ecology Calculator'!$B$9:$F$10,'[1]Ecology Calculator'!$B$11:$B$31,'[1]Ecology Calculator'!$D$28:$F$31</definedName>
    <definedName name="Enecon_fields" localSheetId="8">'[1]Building Input'!$C$7:$C$11,'[1]Building Input'!$C$14:$C$15,'[1]Building Input'!$C$17,'[1]Building Input'!$C$19:$C$28,'[1]Building Input'!$C$30:$C$34,'[1]Building Input'!$C$45,'[1]Building Input'!$C$47,'[1]Building Input'!#REF!</definedName>
    <definedName name="Enecon_fields" localSheetId="4">'[1]Building Input'!$C$7:$C$11,'[1]Building Input'!$C$14:$C$15,'[1]Building Input'!$C$17,'[1]Building Input'!$C$19:$C$28,'[1]Building Input'!$C$30:$C$34,'[1]Building Input'!$C$45,'[1]Building Input'!$C$47,'[1]Building Input'!#REF!</definedName>
    <definedName name="Enecon_fields" localSheetId="7">'[1]Building Input'!$C$7:$C$11,'[1]Building Input'!$C$14:$C$15,'[1]Building Input'!$C$17,'[1]Building Input'!$C$19:$C$28,'[1]Building Input'!$C$30:$C$34,'[1]Building Input'!$C$45,'[1]Building Input'!$C$47,'[1]Building Input'!#REF!</definedName>
    <definedName name="Enecon_fields" localSheetId="5">'[1]Building Input'!$C$7:$C$11,'[1]Building Input'!$C$14:$C$15,'[1]Building Input'!$C$17,'[1]Building Input'!$C$19:$C$28,'[1]Building Input'!$C$30:$C$34,'[1]Building Input'!$C$45,'[1]Building Input'!$C$47,'[1]Building Input'!#REF!</definedName>
    <definedName name="Enecon_fields" localSheetId="6">'[1]Building Input'!$C$7:$C$11,'[1]Building Input'!$C$14:$C$15,'[1]Building Input'!$C$17,'[1]Building Input'!$C$19:$C$28,'[1]Building Input'!$C$30:$C$34,'[1]Building Input'!$C$45,'[1]Building Input'!$C$47,'[1]Building Input'!#REF!</definedName>
    <definedName name="Enecon_fields">'[1]Building Input'!$C$7:$C$11,'[1]Building Input'!$C$14:$C$15,'[1]Building Input'!$C$17,'[1]Building Input'!$C$19:$C$28,'[1]Building Input'!$C$30:$C$34,'[1]Building Input'!$C$45,'[1]Building Input'!$C$47,'[1]Building Input'!#REF!</definedName>
    <definedName name="Enecon_headingsEC">'[1]Ecology Calculator'!$B$5,'[1]Ecology Calculator'!$B$7,'[1]Ecology Calculator'!$B$9:$F$10,'[1]Ecology Calculator'!$B$11:$B$31,'[1]Ecology Calculator'!$D$28:$F$31</definedName>
    <definedName name="Fields" localSheetId="8">'[2]Building Input'!$C$9:$C$13,'[2]Building Input'!#REF!,'[2]Building Input'!#REF!,'[2]Building Input'!#REF!,'[2]Building Input'!$C$17:$C$17,'[2]Building Input'!#REF!,'[2]Building Input'!#REF!,'[2]Building Input'!#REF!</definedName>
    <definedName name="Fields" localSheetId="4">'[2]Building Input'!$C$9:$C$13,'[2]Building Input'!#REF!,'[2]Building Input'!#REF!,'[2]Building Input'!#REF!,'[2]Building Input'!$C$17:$C$17,'[2]Building Input'!#REF!,'[2]Building Input'!#REF!,'[2]Building Input'!#REF!</definedName>
    <definedName name="Fields" localSheetId="7">'[2]Building Input'!$C$9:$C$13,'[2]Building Input'!#REF!,'[2]Building Input'!#REF!,'[2]Building Input'!#REF!,'[2]Building Input'!$C$17:$C$17,'[2]Building Input'!#REF!,'[2]Building Input'!#REF!,'[2]Building Input'!#REF!</definedName>
    <definedName name="Fields" localSheetId="5">'[2]Building Input'!$C$9:$C$13,'[2]Building Input'!#REF!,'[2]Building Input'!#REF!,'[2]Building Input'!#REF!,'[2]Building Input'!$C$17:$C$17,'[2]Building Input'!#REF!,'[2]Building Input'!#REF!,'[2]Building Input'!#REF!</definedName>
    <definedName name="Fields" localSheetId="6">'[2]Building Input'!$C$9:$C$13,'[2]Building Input'!#REF!,'[2]Building Input'!#REF!,'[2]Building Input'!#REF!,'[2]Building Input'!$C$17:$C$17,'[2]Building Input'!#REF!,'[2]Building Input'!#REF!,'[2]Building Input'!#REF!</definedName>
    <definedName name="Fields">'[2]Building Input'!$C$9:$C$13,'[2]Building Input'!#REF!,'[2]Building Input'!#REF!,'[2]Building Input'!#REF!,'[2]Building Input'!$C$17:$C$17,'[2]Building Input'!#REF!,'[2]Building Input'!#REF!,'[2]Building Input'!#REF!</definedName>
    <definedName name="fields2">'[3]Building Input'!$C$7:$C$11,'[3]Building Input'!$C$14:$C$15,'[3]Building Input'!$C$17,'[3]Building Input'!$C$19:$C$28,'[3]Building Input'!$C$35:$C$37,'[3]Building Input'!$C$39,'[3]Building Input'!$C$41,'[3]Building Input'!$C$43:$C$44</definedName>
    <definedName name="Fields3">'[3]Building Input'!$C$7:$C$11,'[3]Building Input'!$C$14:$C$15,'[3]Building Input'!$C$17,'[3]Building Input'!$C$19:$C$28,'[3]Building Input'!$C$35:$C$37,'[3]Building Input'!$C$39,'[3]Building Input'!$C$41,'[3]Building Input'!$C$43:$C$44</definedName>
    <definedName name="Headings2">'[3]Transport Calculator'!$B$5:$B$11,'[3]Transport Calculator'!$C$5:$D$7,'[3]Transport Calculator'!$B$14:$B$20,'[3]Transport Calculator'!$C$14:$D$16,'[3]Transport Calculator'!$C$22:$D$22</definedName>
    <definedName name="Headingsec2">'[3]Ecology Calculator'!$B$5,'[3]Ecology Calculator'!$B$7,'[3]Ecology Calculator'!$B$9:$F$10,'[3]Ecology Calculator'!$B$11:$B$31,'[3]Ecology Calculator'!$D$28:$F$31</definedName>
    <definedName name="_xlnm.Print_Area" localSheetId="3">'Building Information'!$A$2:$C$24</definedName>
    <definedName name="_xlnm.Print_Area" localSheetId="1">'Change Log'!$A$1:$F$2</definedName>
    <definedName name="_xlnm.Print_Area" localSheetId="0">Disclaimer!$A$3:$B$27</definedName>
    <definedName name="_xlnm.Print_Area" localSheetId="4">Initial!#REF!</definedName>
    <definedName name="_xlnm.Print_Area" localSheetId="2">Instructions!$A$1:$B$7</definedName>
    <definedName name="_xlnm.Print_Area" localSheetId="7">'Submission Planner'!#REF!</definedName>
    <definedName name="_xlnm.Print_Area" localSheetId="5">'Year 1'!#REF!</definedName>
    <definedName name="_xlnm.Print_Area" localSheetId="6">'Year 2'!#REF!</definedName>
    <definedName name="Z_3F24B786_6082_4FC5_9BB6_BFF2D0E27157_.wvu.Cols" localSheetId="3" hidden="1">'Building Information'!$E:$F</definedName>
    <definedName name="Z_3F24B786_6082_4FC5_9BB6_BFF2D0E27157_.wvu.Cols" localSheetId="4" hidden="1">Initial!$Q:$R,Initial!$W:$AB,Initial!$AD:$AF</definedName>
    <definedName name="Z_3F24B786_6082_4FC5_9BB6_BFF2D0E27157_.wvu.Cols" localSheetId="7" hidden="1">'Submission Planner'!$R:$Z</definedName>
    <definedName name="Z_3F24B786_6082_4FC5_9BB6_BFF2D0E27157_.wvu.Cols" localSheetId="5" hidden="1">'Year 1'!$Q:$R,'Year 1'!$W:$AB,'Year 1'!$AD:$AF</definedName>
    <definedName name="Z_3F24B786_6082_4FC5_9BB6_BFF2D0E27157_.wvu.Cols" localSheetId="6" hidden="1">'Year 2'!$Q:$R,'Year 2'!$W:$AB,'Year 2'!$AD:$AF</definedName>
    <definedName name="Z_3F24B786_6082_4FC5_9BB6_BFF2D0E27157_.wvu.FilterData" localSheetId="7" hidden="1">'Submission Planner'!$I$6:$I$106</definedName>
    <definedName name="Z_3F24B786_6082_4FC5_9BB6_BFF2D0E27157_.wvu.PrintArea" localSheetId="3" hidden="1">'Building Information'!$A$2:$C$24</definedName>
    <definedName name="Z_3F24B786_6082_4FC5_9BB6_BFF2D0E27157_.wvu.PrintArea" localSheetId="1" hidden="1">'Change Log'!$A$1:$F$2</definedName>
    <definedName name="Z_3F24B786_6082_4FC5_9BB6_BFF2D0E27157_.wvu.PrintArea" localSheetId="0" hidden="1">Disclaimer!$A$3:$B$27</definedName>
    <definedName name="Z_3F24B786_6082_4FC5_9BB6_BFF2D0E27157_.wvu.PrintArea" localSheetId="2" hidden="1">Instructions!$A$1:$B$7</definedName>
    <definedName name="Z_3F24B786_6082_4FC5_9BB6_BFF2D0E27157_.wvu.Rows" localSheetId="4" hidden="1">Initial!$113:$113,Initial!$124:$129</definedName>
    <definedName name="Z_3F24B786_6082_4FC5_9BB6_BFF2D0E27157_.wvu.Rows" localSheetId="7" hidden="1">'Submission Planner'!$110:$110</definedName>
    <definedName name="Z_3F24B786_6082_4FC5_9BB6_BFF2D0E27157_.wvu.Rows" localSheetId="5" hidden="1">'Year 1'!$113:$113,'Year 1'!$124:$129</definedName>
    <definedName name="Z_3F24B786_6082_4FC5_9BB6_BFF2D0E27157_.wvu.Rows" localSheetId="6" hidden="1">'Year 2'!$113:$113,'Year 2'!$124:$129</definedName>
    <definedName name="Z_42D9CD2F_DEC4_401D_AA43_DA29FAC1CB2D_.wvu.Cols" localSheetId="8" hidden="1">'Audit Tracker'!#REF!</definedName>
    <definedName name="Z_6E2B1EC5_B325_440D_86AF_58179BF7A401_.wvu.Cols" localSheetId="8" hidden="1">'Audit Tracker'!#REF!,'Audit Tracker'!$E:$E,'Audit Tracker'!$G:$G,'Audit Tracker'!$I:$I,'Audit Tracker'!$P:$R,'Audit Tracker'!$T:$V,'Audit Tracker'!$AG:$AI,'Audit Tracker'!#REF!</definedName>
    <definedName name="Z_A5F14444_D021_42C3_95C5_5EB2E80B62B8_.wvu.Cols" localSheetId="8" hidden="1">'Audit Tracker'!#REF!</definedName>
    <definedName name="Z_E345A537_ABE6_4DCD_97C2_C197481B2A31_.wvu.Cols" localSheetId="8" hidden="1">'Audit Tracker'!$E:$E,'Audit Tracker'!$G:$G,'Audit Tracker'!$I:$I,'Audit Tracker'!$P:$R,'Audit Tracker'!$T:$V,'Audit Tracker'!$AG:$AI</definedName>
    <definedName name="Z_E345A537_ABE6_4DCD_97C2_C197481B2A31_.wvu.Cols" localSheetId="3" hidden="1">'Building Information'!$J:$L</definedName>
    <definedName name="Z_E345A537_ABE6_4DCD_97C2_C197481B2A31_.wvu.Cols" localSheetId="4" hidden="1">Initial!$A:$C,Initial!$P:$R,Initial!$W:$AB</definedName>
    <definedName name="Z_E345A537_ABE6_4DCD_97C2_C197481B2A31_.wvu.Cols" localSheetId="7" hidden="1">'Submission Planner'!$A:$D,'Submission Planner'!$R:$Z</definedName>
    <definedName name="Z_E345A537_ABE6_4DCD_97C2_C197481B2A31_.wvu.Cols" localSheetId="5" hidden="1">'Year 1'!$A:$C,'Year 1'!$P:$R,'Year 1'!$W:$AB</definedName>
    <definedName name="Z_E345A537_ABE6_4DCD_97C2_C197481B2A31_.wvu.Cols" localSheetId="6" hidden="1">'Year 2'!$A:$C,'Year 2'!$P:$R,'Year 2'!$W:$AB</definedName>
    <definedName name="Z_E345A537_ABE6_4DCD_97C2_C197481B2A31_.wvu.FilterData" localSheetId="7" hidden="1">'Submission Planner'!$I$6:$I$106</definedName>
    <definedName name="Z_E345A537_ABE6_4DCD_97C2_C197481B2A31_.wvu.PrintArea" localSheetId="3" hidden="1">'Building Information'!$A$2:$C$24</definedName>
    <definedName name="Z_E345A537_ABE6_4DCD_97C2_C197481B2A31_.wvu.PrintArea" localSheetId="1" hidden="1">'Change Log'!$A$1:$F$2</definedName>
    <definedName name="Z_E345A537_ABE6_4DCD_97C2_C197481B2A31_.wvu.PrintArea" localSheetId="0" hidden="1">Disclaimer!$A$3:$B$27</definedName>
    <definedName name="Z_E345A537_ABE6_4DCD_97C2_C197481B2A31_.wvu.PrintArea" localSheetId="2" hidden="1">Instructions!$A$1:$B$7</definedName>
  </definedNames>
  <calcPr calcId="191028"/>
  <customWorkbookViews>
    <customWorkbookView name="Edwin Chu - Personal View" guid="{E345A537-ABE6-4DCD-97C2-C197481B2A31}" mergeInterval="0" personalView="1" maximized="1" xWindow="-8" yWindow="-8" windowWidth="1936" windowHeight="1056" tabRatio="682" activeSheetId="2"/>
    <customWorkbookView name="Simon Ng - Personal View" guid="{3F24B786-6082-4FC5-9BB6-BFF2D0E27157}" mergeInterval="0" personalView="1" maximized="1" xWindow="-8" yWindow="-8" windowWidth="1936" windowHeight="1056" tabRatio="526" activeSheetId="8"/>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5" l="1"/>
  <c r="G4" i="8"/>
  <c r="G4" i="7"/>
  <c r="G4" i="6"/>
  <c r="C73" i="7" l="1"/>
  <c r="C73" i="6"/>
  <c r="C73" i="5"/>
  <c r="K73" i="5"/>
  <c r="K72" i="5"/>
  <c r="E22" i="4" l="1"/>
  <c r="O55" i="7" l="1"/>
  <c r="N55" i="7"/>
  <c r="O55" i="6"/>
  <c r="N55" i="6"/>
  <c r="O55" i="5"/>
  <c r="N55" i="5"/>
  <c r="AI49" i="6" l="1"/>
  <c r="AI50" i="6" s="1"/>
  <c r="AI49" i="7"/>
  <c r="AI51" i="7" s="1"/>
  <c r="AI51" i="6" l="1"/>
  <c r="AI50" i="7"/>
  <c r="G3" i="7" l="1"/>
  <c r="G3" i="6"/>
  <c r="V21" i="9"/>
  <c r="U21" i="9"/>
  <c r="T21" i="9"/>
  <c r="P108" i="5"/>
  <c r="Q108" i="5" s="1"/>
  <c r="P107" i="5"/>
  <c r="Q107" i="5" s="1"/>
  <c r="P106" i="5"/>
  <c r="Q106" i="5" s="1"/>
  <c r="P105" i="5"/>
  <c r="P104" i="5"/>
  <c r="P100" i="5"/>
  <c r="Q100" i="5" s="1"/>
  <c r="P99" i="5"/>
  <c r="Q99" i="5" s="1"/>
  <c r="P97" i="5"/>
  <c r="Q97" i="5" s="1"/>
  <c r="P96" i="5"/>
  <c r="Q96" i="5" s="1"/>
  <c r="P95" i="5"/>
  <c r="Q95" i="5" s="1"/>
  <c r="P91" i="5"/>
  <c r="Q91" i="5" s="1"/>
  <c r="P90" i="5"/>
  <c r="Q90" i="5" s="1"/>
  <c r="P89" i="5"/>
  <c r="Q89" i="5" s="1"/>
  <c r="P88" i="5"/>
  <c r="Q88" i="5" s="1"/>
  <c r="P87" i="5"/>
  <c r="Q87" i="5" s="1"/>
  <c r="Q86" i="5" s="1"/>
  <c r="P81" i="5"/>
  <c r="Q81" i="5" s="1"/>
  <c r="P80" i="5"/>
  <c r="Q80" i="5" s="1"/>
  <c r="P78" i="5"/>
  <c r="Q78" i="5" s="1"/>
  <c r="P77" i="5"/>
  <c r="Q77" i="5" s="1"/>
  <c r="P64" i="5"/>
  <c r="P63" i="5"/>
  <c r="P62" i="5"/>
  <c r="P61" i="5"/>
  <c r="P60" i="5"/>
  <c r="Q60" i="5" s="1"/>
  <c r="P59" i="5"/>
  <c r="Q59" i="5" s="1"/>
  <c r="P55" i="5"/>
  <c r="Q55" i="5" s="1"/>
  <c r="P54" i="5"/>
  <c r="Q54" i="5" s="1"/>
  <c r="P53" i="5"/>
  <c r="Q53" i="5" s="1"/>
  <c r="P52" i="5"/>
  <c r="Q52" i="5" s="1"/>
  <c r="P51" i="5"/>
  <c r="Q51" i="5" s="1"/>
  <c r="P50" i="5"/>
  <c r="Q50" i="5" s="1"/>
  <c r="P49" i="5"/>
  <c r="Q49" i="5" s="1"/>
  <c r="P45" i="5"/>
  <c r="Q45" i="5" s="1"/>
  <c r="P44" i="5"/>
  <c r="Q44" i="5" s="1"/>
  <c r="P43" i="5"/>
  <c r="Q43" i="5" s="1"/>
  <c r="P38" i="5"/>
  <c r="Q38" i="5" s="1"/>
  <c r="P37" i="5"/>
  <c r="Q37" i="5" s="1"/>
  <c r="P36" i="5"/>
  <c r="Q36" i="5" s="1"/>
  <c r="P35" i="5"/>
  <c r="P32" i="5"/>
  <c r="P31" i="5"/>
  <c r="P30" i="5"/>
  <c r="P26" i="5"/>
  <c r="P25" i="5"/>
  <c r="P24" i="5"/>
  <c r="P23" i="5"/>
  <c r="P22" i="5"/>
  <c r="P21" i="5"/>
  <c r="P20" i="5"/>
  <c r="P19" i="5"/>
  <c r="P18" i="5"/>
  <c r="P17" i="5"/>
  <c r="P16" i="5"/>
  <c r="P15" i="5"/>
  <c r="P14" i="5"/>
  <c r="P13" i="5"/>
  <c r="P12" i="5"/>
  <c r="P11" i="5"/>
  <c r="Q61" i="5" l="1"/>
  <c r="Q63" i="5"/>
  <c r="Q62" i="5"/>
  <c r="Q64" i="5"/>
  <c r="Q48" i="5"/>
  <c r="Q104" i="5"/>
  <c r="Q105" i="5"/>
  <c r="Q103" i="5"/>
  <c r="Q35" i="5"/>
  <c r="Q32" i="5"/>
  <c r="Q30" i="5"/>
  <c r="Q31" i="5"/>
  <c r="Q26" i="5"/>
  <c r="Q25" i="5"/>
  <c r="Q24" i="5"/>
  <c r="Q22" i="5"/>
  <c r="Q23" i="5"/>
  <c r="Q21" i="5"/>
  <c r="Q20" i="5"/>
  <c r="Q19" i="5"/>
  <c r="Q14" i="5"/>
  <c r="Q18" i="5"/>
  <c r="Q17" i="5"/>
  <c r="Q16" i="5"/>
  <c r="Q15" i="5"/>
  <c r="Q13" i="5"/>
  <c r="Q12" i="5"/>
  <c r="Q11" i="5"/>
  <c r="D9" i="9"/>
  <c r="D8" i="9"/>
  <c r="AH21" i="9"/>
  <c r="AI21" i="9"/>
  <c r="AG21" i="9"/>
  <c r="AB18" i="9"/>
  <c r="K18" i="9"/>
  <c r="R21" i="9"/>
  <c r="Q21" i="9"/>
  <c r="P21" i="9"/>
  <c r="C21" i="9"/>
  <c r="B21" i="9"/>
  <c r="C7" i="9"/>
  <c r="C10" i="9" l="1"/>
  <c r="Y21" i="9"/>
  <c r="AL20" i="9"/>
  <c r="AL21" i="9"/>
  <c r="L21" i="9"/>
  <c r="AC21" i="9"/>
  <c r="B18" i="9"/>
  <c r="B4" i="9"/>
  <c r="C6" i="9"/>
  <c r="M20" i="9"/>
  <c r="B9" i="9"/>
  <c r="AC20" i="9"/>
  <c r="AD20" i="9"/>
  <c r="B5" i="9"/>
  <c r="Y20" i="9"/>
  <c r="L20" i="9"/>
  <c r="AK20" i="9" l="1"/>
  <c r="AB20" i="9"/>
  <c r="K20" i="9"/>
  <c r="AE20" i="9"/>
  <c r="N20" i="9"/>
  <c r="J19" i="9"/>
  <c r="X20" i="9"/>
  <c r="B8" i="9"/>
  <c r="S21" i="9" l="1"/>
  <c r="C13" i="9" s="1"/>
  <c r="W21" i="9"/>
  <c r="AJ21" i="9"/>
  <c r="C16" i="9" s="1"/>
  <c r="L109" i="7" l="1"/>
  <c r="L114" i="7" s="1"/>
  <c r="P108" i="7"/>
  <c r="Q108" i="7" s="1"/>
  <c r="O108" i="7"/>
  <c r="N108" i="7"/>
  <c r="P107" i="7"/>
  <c r="Q107" i="7" s="1"/>
  <c r="O107" i="7"/>
  <c r="N107" i="7"/>
  <c r="P106" i="7"/>
  <c r="Q106" i="7" s="1"/>
  <c r="O106" i="7"/>
  <c r="N106" i="7"/>
  <c r="P105" i="7"/>
  <c r="Q105" i="7" s="1"/>
  <c r="O105" i="7"/>
  <c r="N105" i="7"/>
  <c r="P104" i="7"/>
  <c r="Q104" i="7" s="1"/>
  <c r="O104" i="7"/>
  <c r="N104" i="7"/>
  <c r="L101" i="7"/>
  <c r="P100" i="7"/>
  <c r="Q100" i="7" s="1"/>
  <c r="O100" i="7"/>
  <c r="N100" i="7"/>
  <c r="P99" i="7"/>
  <c r="Q99" i="7" s="1"/>
  <c r="O99" i="7"/>
  <c r="N99" i="7"/>
  <c r="O98" i="7"/>
  <c r="N98" i="7"/>
  <c r="K98" i="7"/>
  <c r="P98" i="7" s="1"/>
  <c r="Q98" i="7" s="1"/>
  <c r="P97" i="7"/>
  <c r="Q97" i="7" s="1"/>
  <c r="O97" i="7"/>
  <c r="N97" i="7"/>
  <c r="P96" i="7"/>
  <c r="Q96" i="7" s="1"/>
  <c r="O96" i="7"/>
  <c r="N96" i="7"/>
  <c r="P95" i="7"/>
  <c r="Q95" i="7" s="1"/>
  <c r="O95" i="7"/>
  <c r="N95" i="7"/>
  <c r="L92" i="7"/>
  <c r="P91" i="7"/>
  <c r="Q91" i="7" s="1"/>
  <c r="O91" i="7"/>
  <c r="N91" i="7"/>
  <c r="P90" i="7"/>
  <c r="Q90" i="7" s="1"/>
  <c r="O90" i="7"/>
  <c r="N90" i="7"/>
  <c r="K90" i="7"/>
  <c r="K92" i="7" s="1"/>
  <c r="P89" i="7"/>
  <c r="Q89" i="7" s="1"/>
  <c r="O89" i="7"/>
  <c r="N89" i="7"/>
  <c r="P88" i="7"/>
  <c r="Q88" i="7" s="1"/>
  <c r="O88" i="7"/>
  <c r="N88" i="7"/>
  <c r="P87" i="7"/>
  <c r="Q87" i="7" s="1"/>
  <c r="O87" i="7"/>
  <c r="N87" i="7"/>
  <c r="L84" i="7"/>
  <c r="O83" i="7"/>
  <c r="N83" i="7"/>
  <c r="K83" i="7"/>
  <c r="P83" i="7" s="1"/>
  <c r="Q83" i="7" s="1"/>
  <c r="O82" i="7"/>
  <c r="N82" i="7"/>
  <c r="K82" i="7"/>
  <c r="P82" i="7" s="1"/>
  <c r="Q82" i="7" s="1"/>
  <c r="P81" i="7"/>
  <c r="O81" i="7"/>
  <c r="N81" i="7"/>
  <c r="P80" i="7"/>
  <c r="O80" i="7"/>
  <c r="N80" i="7"/>
  <c r="O79" i="7"/>
  <c r="N79" i="7"/>
  <c r="K79" i="7"/>
  <c r="K84" i="7" s="1"/>
  <c r="P78" i="7"/>
  <c r="O78" i="7"/>
  <c r="N78" i="7"/>
  <c r="P77" i="7"/>
  <c r="O77" i="7"/>
  <c r="N77" i="7"/>
  <c r="L74" i="7"/>
  <c r="O73" i="7"/>
  <c r="N73" i="7"/>
  <c r="K73" i="7"/>
  <c r="P73" i="7" s="1"/>
  <c r="O72" i="7"/>
  <c r="N72" i="7"/>
  <c r="K72" i="7"/>
  <c r="P72" i="7" s="1"/>
  <c r="O71" i="7"/>
  <c r="N71" i="7"/>
  <c r="K71" i="7"/>
  <c r="P71" i="7" s="1"/>
  <c r="Q71" i="7" s="1"/>
  <c r="O70" i="7"/>
  <c r="N70" i="7"/>
  <c r="K70" i="7"/>
  <c r="P70" i="7" s="1"/>
  <c r="O69" i="7"/>
  <c r="N69" i="7"/>
  <c r="K69" i="7"/>
  <c r="P69" i="7" s="1"/>
  <c r="Q69" i="7" s="1"/>
  <c r="O68" i="7"/>
  <c r="N68" i="7"/>
  <c r="K68" i="7"/>
  <c r="P68" i="7" s="1"/>
  <c r="L65" i="7"/>
  <c r="K65" i="7"/>
  <c r="P64" i="7"/>
  <c r="O64" i="7"/>
  <c r="N64" i="7"/>
  <c r="P63" i="7"/>
  <c r="O63" i="7"/>
  <c r="N63" i="7"/>
  <c r="P62" i="7"/>
  <c r="O62" i="7"/>
  <c r="N62" i="7"/>
  <c r="P61" i="7"/>
  <c r="O61" i="7"/>
  <c r="N61" i="7"/>
  <c r="P60" i="7"/>
  <c r="Q60" i="7" s="1"/>
  <c r="O60" i="7"/>
  <c r="N60" i="7"/>
  <c r="P59" i="7"/>
  <c r="Q59" i="7" s="1"/>
  <c r="O59" i="7"/>
  <c r="N59" i="7"/>
  <c r="L56" i="7"/>
  <c r="P55" i="7"/>
  <c r="Q55" i="7" s="1"/>
  <c r="K55" i="7"/>
  <c r="P54" i="7"/>
  <c r="Q54" i="7" s="1"/>
  <c r="O54" i="7"/>
  <c r="N54" i="7"/>
  <c r="K54" i="7"/>
  <c r="P53" i="7"/>
  <c r="O53" i="7"/>
  <c r="N53" i="7"/>
  <c r="K53" i="7"/>
  <c r="P52" i="7"/>
  <c r="Q52" i="7" s="1"/>
  <c r="O52" i="7"/>
  <c r="N52" i="7"/>
  <c r="K52" i="7"/>
  <c r="P51" i="7"/>
  <c r="Q51" i="7" s="1"/>
  <c r="O51" i="7"/>
  <c r="N51" i="7"/>
  <c r="K51" i="7"/>
  <c r="P50" i="7"/>
  <c r="O50" i="7"/>
  <c r="N50" i="7"/>
  <c r="K50" i="7"/>
  <c r="P49" i="7"/>
  <c r="Q49" i="7" s="1"/>
  <c r="O49" i="7"/>
  <c r="N49" i="7"/>
  <c r="K49" i="7"/>
  <c r="L46" i="7"/>
  <c r="P45" i="7"/>
  <c r="O45" i="7"/>
  <c r="N45" i="7"/>
  <c r="P44" i="7"/>
  <c r="Q44" i="7" s="1"/>
  <c r="O44" i="7"/>
  <c r="N44" i="7"/>
  <c r="P43" i="7"/>
  <c r="Q43" i="7" s="1"/>
  <c r="O43" i="7"/>
  <c r="N43" i="7"/>
  <c r="O42" i="7"/>
  <c r="N42" i="7"/>
  <c r="K42" i="7"/>
  <c r="P42" i="7" s="1"/>
  <c r="Q42" i="7" s="1"/>
  <c r="O41" i="7"/>
  <c r="N41" i="7"/>
  <c r="K41" i="7"/>
  <c r="P41" i="7" s="1"/>
  <c r="Q41" i="7" s="1"/>
  <c r="O40" i="7"/>
  <c r="N40" i="7"/>
  <c r="K40" i="7"/>
  <c r="P40" i="7" s="1"/>
  <c r="O39" i="7"/>
  <c r="N39" i="7"/>
  <c r="K39" i="7"/>
  <c r="P39" i="7" s="1"/>
  <c r="P38" i="7"/>
  <c r="O38" i="7"/>
  <c r="N38" i="7"/>
  <c r="P37" i="7"/>
  <c r="O37" i="7"/>
  <c r="N37" i="7"/>
  <c r="P36" i="7"/>
  <c r="O36" i="7"/>
  <c r="N36" i="7"/>
  <c r="P35" i="7"/>
  <c r="O35" i="7"/>
  <c r="N35" i="7"/>
  <c r="O34" i="7"/>
  <c r="N34" i="7"/>
  <c r="K34" i="7"/>
  <c r="O33" i="7"/>
  <c r="N33" i="7"/>
  <c r="K33" i="7"/>
  <c r="P33" i="7" s="1"/>
  <c r="P32" i="7"/>
  <c r="O32" i="7"/>
  <c r="N32" i="7"/>
  <c r="P31" i="7"/>
  <c r="O31" i="7"/>
  <c r="N31" i="7"/>
  <c r="P30" i="7"/>
  <c r="O30" i="7"/>
  <c r="N30" i="7"/>
  <c r="L27" i="7"/>
  <c r="K27" i="7"/>
  <c r="P26" i="7"/>
  <c r="O26" i="7"/>
  <c r="N26" i="7"/>
  <c r="P25" i="7"/>
  <c r="O25" i="7"/>
  <c r="N25" i="7"/>
  <c r="P24" i="7"/>
  <c r="O24" i="7"/>
  <c r="N24" i="7"/>
  <c r="P23" i="7"/>
  <c r="O23" i="7"/>
  <c r="N23" i="7"/>
  <c r="P22" i="7"/>
  <c r="O22" i="7"/>
  <c r="N22" i="7"/>
  <c r="P21" i="7"/>
  <c r="O21" i="7"/>
  <c r="N21" i="7"/>
  <c r="P20" i="7"/>
  <c r="O20" i="7"/>
  <c r="N20" i="7"/>
  <c r="P19" i="7"/>
  <c r="O19" i="7"/>
  <c r="N19" i="7"/>
  <c r="P18" i="7"/>
  <c r="O18" i="7"/>
  <c r="N18" i="7"/>
  <c r="P17" i="7"/>
  <c r="O17" i="7"/>
  <c r="N17" i="7"/>
  <c r="P16" i="7"/>
  <c r="O16" i="7"/>
  <c r="N16" i="7"/>
  <c r="P15" i="7"/>
  <c r="O15" i="7"/>
  <c r="N15" i="7"/>
  <c r="P14" i="7"/>
  <c r="O14" i="7"/>
  <c r="N14" i="7"/>
  <c r="P13" i="7"/>
  <c r="O13" i="7"/>
  <c r="N13" i="7"/>
  <c r="P12" i="7"/>
  <c r="O12" i="7"/>
  <c r="N12" i="7"/>
  <c r="P11" i="7"/>
  <c r="O11" i="7"/>
  <c r="N11" i="7"/>
  <c r="L109" i="6"/>
  <c r="L114" i="6" s="1"/>
  <c r="P108" i="6"/>
  <c r="Q108" i="6" s="1"/>
  <c r="O108" i="6"/>
  <c r="N108" i="6"/>
  <c r="P107" i="6"/>
  <c r="Q107" i="6" s="1"/>
  <c r="O107" i="6"/>
  <c r="N107" i="6"/>
  <c r="P106" i="6"/>
  <c r="Q106" i="6" s="1"/>
  <c r="O106" i="6"/>
  <c r="N106" i="6"/>
  <c r="P105" i="6"/>
  <c r="Q105" i="6" s="1"/>
  <c r="O105" i="6"/>
  <c r="N105" i="6"/>
  <c r="P104" i="6"/>
  <c r="O104" i="6"/>
  <c r="N104" i="6"/>
  <c r="L101" i="6"/>
  <c r="P100" i="6"/>
  <c r="Q100" i="6" s="1"/>
  <c r="O100" i="6"/>
  <c r="N100" i="6"/>
  <c r="P99" i="6"/>
  <c r="Q99" i="6" s="1"/>
  <c r="O99" i="6"/>
  <c r="N99" i="6"/>
  <c r="O98" i="6"/>
  <c r="N98" i="6"/>
  <c r="K98" i="6"/>
  <c r="P98" i="6" s="1"/>
  <c r="Q98" i="6" s="1"/>
  <c r="P97" i="6"/>
  <c r="Q97" i="6" s="1"/>
  <c r="O97" i="6"/>
  <c r="N97" i="6"/>
  <c r="P96" i="6"/>
  <c r="Q96" i="6" s="1"/>
  <c r="O96" i="6"/>
  <c r="N96" i="6"/>
  <c r="P95" i="6"/>
  <c r="Q95" i="6" s="1"/>
  <c r="O95" i="6"/>
  <c r="N95" i="6"/>
  <c r="L92" i="6"/>
  <c r="P91" i="6"/>
  <c r="Q91" i="6" s="1"/>
  <c r="O91" i="6"/>
  <c r="N91" i="6"/>
  <c r="P90" i="6"/>
  <c r="Q90" i="6" s="1"/>
  <c r="O90" i="6"/>
  <c r="N90" i="6"/>
  <c r="K90" i="6"/>
  <c r="K92" i="6" s="1"/>
  <c r="P89" i="6"/>
  <c r="Q89" i="6" s="1"/>
  <c r="O89" i="6"/>
  <c r="N89" i="6"/>
  <c r="P88" i="6"/>
  <c r="Q88" i="6" s="1"/>
  <c r="O88" i="6"/>
  <c r="N88" i="6"/>
  <c r="P87" i="6"/>
  <c r="Q87" i="6" s="1"/>
  <c r="O87" i="6"/>
  <c r="N87" i="6"/>
  <c r="L84" i="6"/>
  <c r="O83" i="6"/>
  <c r="N83" i="6"/>
  <c r="K83" i="6"/>
  <c r="O82" i="6"/>
  <c r="N82" i="6"/>
  <c r="K82" i="6"/>
  <c r="P82" i="6" s="1"/>
  <c r="Q82" i="6" s="1"/>
  <c r="P81" i="6"/>
  <c r="O81" i="6"/>
  <c r="N81" i="6"/>
  <c r="P80" i="6"/>
  <c r="O80" i="6"/>
  <c r="N80" i="6"/>
  <c r="P79" i="6"/>
  <c r="O79" i="6"/>
  <c r="N79" i="6"/>
  <c r="K79" i="6"/>
  <c r="P78" i="6"/>
  <c r="O78" i="6"/>
  <c r="N78" i="6"/>
  <c r="P77" i="6"/>
  <c r="O77" i="6"/>
  <c r="N77" i="6"/>
  <c r="L74" i="6"/>
  <c r="O73" i="6"/>
  <c r="N73" i="6"/>
  <c r="K73" i="6"/>
  <c r="P73" i="6" s="1"/>
  <c r="O72" i="6"/>
  <c r="N72" i="6"/>
  <c r="K72" i="6"/>
  <c r="P72" i="6" s="1"/>
  <c r="O71" i="6"/>
  <c r="N71" i="6"/>
  <c r="K71" i="6"/>
  <c r="P71" i="6" s="1"/>
  <c r="Q71" i="6" s="1"/>
  <c r="O70" i="6"/>
  <c r="N70" i="6"/>
  <c r="K70" i="6"/>
  <c r="O69" i="6"/>
  <c r="N69" i="6"/>
  <c r="K69" i="6"/>
  <c r="P69" i="6" s="1"/>
  <c r="Q69" i="6" s="1"/>
  <c r="O68" i="6"/>
  <c r="N68" i="6"/>
  <c r="K68" i="6"/>
  <c r="P68" i="6" s="1"/>
  <c r="L65" i="6"/>
  <c r="K65" i="6"/>
  <c r="P64" i="6"/>
  <c r="O64" i="6"/>
  <c r="N64" i="6"/>
  <c r="P63" i="6"/>
  <c r="O63" i="6"/>
  <c r="N63" i="6"/>
  <c r="P62" i="6"/>
  <c r="O62" i="6"/>
  <c r="N62" i="6"/>
  <c r="P61" i="6"/>
  <c r="O61" i="6"/>
  <c r="N61" i="6"/>
  <c r="P60" i="6"/>
  <c r="Q60" i="6" s="1"/>
  <c r="O60" i="6"/>
  <c r="N60" i="6"/>
  <c r="P59" i="6"/>
  <c r="Q59" i="6" s="1"/>
  <c r="O59" i="6"/>
  <c r="N59" i="6"/>
  <c r="L56" i="6"/>
  <c r="P55" i="6"/>
  <c r="Q55" i="6" s="1"/>
  <c r="K55" i="6"/>
  <c r="P54" i="6"/>
  <c r="Q54" i="6" s="1"/>
  <c r="O54" i="6"/>
  <c r="N54" i="6"/>
  <c r="K54" i="6"/>
  <c r="P53" i="6"/>
  <c r="Q53" i="6" s="1"/>
  <c r="O53" i="6"/>
  <c r="N53" i="6"/>
  <c r="K53" i="6"/>
  <c r="P52" i="6"/>
  <c r="Q52" i="6" s="1"/>
  <c r="O52" i="6"/>
  <c r="N52" i="6"/>
  <c r="K52" i="6"/>
  <c r="P51" i="6"/>
  <c r="Q51" i="6" s="1"/>
  <c r="O51" i="6"/>
  <c r="N51" i="6"/>
  <c r="K51" i="6"/>
  <c r="P50" i="6"/>
  <c r="Q50" i="6" s="1"/>
  <c r="O50" i="6"/>
  <c r="N50" i="6"/>
  <c r="K50" i="6"/>
  <c r="P49" i="6"/>
  <c r="Q49" i="6" s="1"/>
  <c r="O49" i="6"/>
  <c r="N49" i="6"/>
  <c r="X21" i="9" s="1"/>
  <c r="Z21" i="9" s="1"/>
  <c r="K49" i="6"/>
  <c r="L46" i="6"/>
  <c r="P45" i="6"/>
  <c r="Q45" i="6" s="1"/>
  <c r="O45" i="6"/>
  <c r="N45" i="6"/>
  <c r="P44" i="6"/>
  <c r="Q44" i="6" s="1"/>
  <c r="O44" i="6"/>
  <c r="N44" i="6"/>
  <c r="P43" i="6"/>
  <c r="O43" i="6"/>
  <c r="N43" i="6"/>
  <c r="O42" i="6"/>
  <c r="N42" i="6"/>
  <c r="K42" i="6"/>
  <c r="P42" i="6" s="1"/>
  <c r="Q42" i="6" s="1"/>
  <c r="O41" i="6"/>
  <c r="N41" i="6"/>
  <c r="K41" i="6"/>
  <c r="P41" i="6" s="1"/>
  <c r="Q41" i="6" s="1"/>
  <c r="O40" i="6"/>
  <c r="N40" i="6"/>
  <c r="K40" i="6"/>
  <c r="P40" i="6" s="1"/>
  <c r="Q40" i="6" s="1"/>
  <c r="O39" i="6"/>
  <c r="N39" i="6"/>
  <c r="K39" i="6"/>
  <c r="P39" i="6" s="1"/>
  <c r="Q39" i="6" s="1"/>
  <c r="P38" i="6"/>
  <c r="Q38" i="6" s="1"/>
  <c r="O38" i="6"/>
  <c r="N38" i="6"/>
  <c r="P37" i="6"/>
  <c r="Q37" i="6" s="1"/>
  <c r="O37" i="6"/>
  <c r="N37" i="6"/>
  <c r="P36" i="6"/>
  <c r="Q36" i="6" s="1"/>
  <c r="O36" i="6"/>
  <c r="N36" i="6"/>
  <c r="P35" i="6"/>
  <c r="O35" i="6"/>
  <c r="N35" i="6"/>
  <c r="O34" i="6"/>
  <c r="N34" i="6"/>
  <c r="K34" i="6"/>
  <c r="P34" i="6" s="1"/>
  <c r="O33" i="6"/>
  <c r="N33" i="6"/>
  <c r="K33" i="6"/>
  <c r="P32" i="6"/>
  <c r="O32" i="6"/>
  <c r="N32" i="6"/>
  <c r="P31" i="6"/>
  <c r="O31" i="6"/>
  <c r="N31" i="6"/>
  <c r="P30" i="6"/>
  <c r="O30" i="6"/>
  <c r="N30" i="6"/>
  <c r="L27" i="6"/>
  <c r="K27" i="6"/>
  <c r="P26" i="6"/>
  <c r="O26" i="6"/>
  <c r="N26" i="6"/>
  <c r="P25" i="6"/>
  <c r="O25" i="6"/>
  <c r="N25" i="6"/>
  <c r="P24" i="6"/>
  <c r="O24" i="6"/>
  <c r="N24" i="6"/>
  <c r="P23" i="6"/>
  <c r="O23" i="6"/>
  <c r="N23" i="6"/>
  <c r="P22" i="6"/>
  <c r="O22" i="6"/>
  <c r="N22" i="6"/>
  <c r="P21" i="6"/>
  <c r="O21" i="6"/>
  <c r="N21" i="6"/>
  <c r="P20" i="6"/>
  <c r="O20" i="6"/>
  <c r="N20" i="6"/>
  <c r="P19" i="6"/>
  <c r="O19" i="6"/>
  <c r="N19" i="6"/>
  <c r="P18" i="6"/>
  <c r="O18" i="6"/>
  <c r="N18" i="6"/>
  <c r="P17" i="6"/>
  <c r="O17" i="6"/>
  <c r="N17" i="6"/>
  <c r="P16" i="6"/>
  <c r="O16" i="6"/>
  <c r="N16" i="6"/>
  <c r="P15" i="6"/>
  <c r="O15" i="6"/>
  <c r="N15" i="6"/>
  <c r="P14" i="6"/>
  <c r="O14" i="6"/>
  <c r="N14" i="6"/>
  <c r="P13" i="6"/>
  <c r="O13" i="6"/>
  <c r="N13" i="6"/>
  <c r="P12" i="6"/>
  <c r="O12" i="6"/>
  <c r="N12" i="6"/>
  <c r="P11" i="6"/>
  <c r="O11" i="6"/>
  <c r="N11" i="6"/>
  <c r="AI68" i="7"/>
  <c r="AI69" i="7" s="1"/>
  <c r="AI68" i="6"/>
  <c r="AI70" i="6" s="1"/>
  <c r="AI68" i="5"/>
  <c r="AI49" i="5"/>
  <c r="K74" i="6" l="1"/>
  <c r="K101" i="6"/>
  <c r="K84" i="6"/>
  <c r="P83" i="6"/>
  <c r="Q83" i="6" s="1"/>
  <c r="O92" i="6"/>
  <c r="N92" i="6"/>
  <c r="N101" i="7"/>
  <c r="O109" i="7"/>
  <c r="K46" i="6"/>
  <c r="Q86" i="6"/>
  <c r="O46" i="6"/>
  <c r="Q70" i="7"/>
  <c r="AK21" i="9"/>
  <c r="AM21" i="9" s="1"/>
  <c r="Q53" i="7"/>
  <c r="Q26" i="7"/>
  <c r="Q25" i="7"/>
  <c r="Q24" i="7"/>
  <c r="Q23" i="7"/>
  <c r="Q22" i="7"/>
  <c r="Q18" i="7"/>
  <c r="Q21" i="7"/>
  <c r="Q20" i="7"/>
  <c r="Q19" i="7"/>
  <c r="Q17" i="7"/>
  <c r="Q16" i="7"/>
  <c r="Q14" i="7"/>
  <c r="Q15" i="7"/>
  <c r="Q13" i="7"/>
  <c r="Q12" i="7"/>
  <c r="Q11" i="7"/>
  <c r="N101" i="6"/>
  <c r="O74" i="6"/>
  <c r="O101" i="6"/>
  <c r="N109" i="6"/>
  <c r="O84" i="6"/>
  <c r="O46" i="7"/>
  <c r="O27" i="7"/>
  <c r="N92" i="7"/>
  <c r="N27" i="7"/>
  <c r="O92" i="7"/>
  <c r="O109" i="6"/>
  <c r="Q104" i="6"/>
  <c r="Q103" i="6"/>
  <c r="N84" i="7"/>
  <c r="Q73" i="7"/>
  <c r="O84" i="7"/>
  <c r="Q72" i="7"/>
  <c r="Q64" i="7"/>
  <c r="Q63" i="7"/>
  <c r="Q62" i="7"/>
  <c r="Q61" i="7"/>
  <c r="Q50" i="7"/>
  <c r="Q80" i="6"/>
  <c r="Q81" i="6"/>
  <c r="Q79" i="6"/>
  <c r="Q77" i="6"/>
  <c r="Q78" i="6"/>
  <c r="N84" i="6"/>
  <c r="Q63" i="6"/>
  <c r="N65" i="6"/>
  <c r="Q64" i="6"/>
  <c r="O65" i="6"/>
  <c r="Q62" i="6"/>
  <c r="Q61" i="6"/>
  <c r="O56" i="6"/>
  <c r="L112" i="6"/>
  <c r="Q48" i="6"/>
  <c r="N56" i="6"/>
  <c r="N46" i="6"/>
  <c r="Q26" i="6"/>
  <c r="Q25" i="6"/>
  <c r="Q24" i="6"/>
  <c r="Q23" i="6"/>
  <c r="Q14" i="6"/>
  <c r="Q22" i="6"/>
  <c r="Q17" i="6"/>
  <c r="Q21" i="6"/>
  <c r="Q18" i="6"/>
  <c r="Q16" i="6"/>
  <c r="Q20" i="6"/>
  <c r="Q15" i="6"/>
  <c r="Q19" i="6"/>
  <c r="Q13" i="6"/>
  <c r="AI70" i="5"/>
  <c r="AI69" i="5"/>
  <c r="O27" i="6"/>
  <c r="N27" i="6"/>
  <c r="Q12" i="6"/>
  <c r="AI51" i="5"/>
  <c r="AI50" i="5"/>
  <c r="O56" i="7"/>
  <c r="N56" i="7"/>
  <c r="L112" i="7"/>
  <c r="N65" i="7"/>
  <c r="K74" i="7"/>
  <c r="O101" i="7"/>
  <c r="N109" i="7"/>
  <c r="K46" i="7"/>
  <c r="N46" i="7"/>
  <c r="O65" i="7"/>
  <c r="N74" i="7"/>
  <c r="K56" i="7"/>
  <c r="N74" i="6"/>
  <c r="Q68" i="7"/>
  <c r="O74" i="7"/>
  <c r="Q11" i="6"/>
  <c r="K56" i="6"/>
  <c r="Q103" i="7"/>
  <c r="Q86" i="7"/>
  <c r="Q94" i="7"/>
  <c r="P34" i="7"/>
  <c r="Q34" i="7" s="1"/>
  <c r="P79" i="7"/>
  <c r="Q79" i="7" s="1"/>
  <c r="K101" i="7"/>
  <c r="Q94" i="6"/>
  <c r="P33" i="6"/>
  <c r="Q33" i="6" s="1"/>
  <c r="P70" i="6"/>
  <c r="Q70" i="6" s="1"/>
  <c r="C28" i="4"/>
  <c r="C27" i="4"/>
  <c r="AI70" i="7"/>
  <c r="AI69" i="6"/>
  <c r="D26" i="4"/>
  <c r="E26" i="4" s="1"/>
  <c r="F26" i="4" s="1"/>
  <c r="G26" i="4" s="1"/>
  <c r="H26" i="4" s="1"/>
  <c r="I26" i="4" s="1"/>
  <c r="N26" i="4"/>
  <c r="C26" i="4"/>
  <c r="B26" i="4"/>
  <c r="Q48" i="7" l="1"/>
  <c r="Q45" i="7"/>
  <c r="Q40" i="7"/>
  <c r="Q39" i="7"/>
  <c r="Q38" i="7"/>
  <c r="Q37" i="7"/>
  <c r="Q36" i="7"/>
  <c r="Q35" i="7"/>
  <c r="Q33" i="7"/>
  <c r="Q32" i="7"/>
  <c r="Q31" i="7"/>
  <c r="Q30" i="7"/>
  <c r="Q10" i="7"/>
  <c r="Q81" i="7"/>
  <c r="Q58" i="7"/>
  <c r="Q80" i="7"/>
  <c r="Q67" i="7"/>
  <c r="Q78" i="7"/>
  <c r="Q77" i="7"/>
  <c r="Q76" i="6"/>
  <c r="Q72" i="6"/>
  <c r="Q73" i="6"/>
  <c r="Q58" i="6"/>
  <c r="Q35" i="6"/>
  <c r="Q34" i="6"/>
  <c r="Q32" i="6"/>
  <c r="Q31" i="6"/>
  <c r="Q30" i="6"/>
  <c r="Q10" i="6"/>
  <c r="Q68" i="6"/>
  <c r="Q43" i="6"/>
  <c r="C15" i="4"/>
  <c r="O25" i="4"/>
  <c r="O28" i="4" s="1"/>
  <c r="Q123" i="7"/>
  <c r="Q122" i="7"/>
  <c r="R120" i="7"/>
  <c r="R119" i="7"/>
  <c r="B98" i="7"/>
  <c r="B90" i="7"/>
  <c r="B83" i="7"/>
  <c r="B82" i="7"/>
  <c r="B79" i="7"/>
  <c r="B72" i="7"/>
  <c r="B34" i="7"/>
  <c r="B33" i="7"/>
  <c r="Q123" i="6"/>
  <c r="Q122" i="6"/>
  <c r="R120" i="6"/>
  <c r="R119" i="6"/>
  <c r="B98" i="6"/>
  <c r="B90" i="6"/>
  <c r="B83" i="6"/>
  <c r="B82" i="6"/>
  <c r="B79" i="6"/>
  <c r="B72" i="6"/>
  <c r="B34" i="6"/>
  <c r="B33" i="6"/>
  <c r="E7" i="4"/>
  <c r="E8" i="4"/>
  <c r="E9" i="4"/>
  <c r="E6" i="4"/>
  <c r="I28" i="4"/>
  <c r="AD21" i="9" s="1"/>
  <c r="G28" i="4"/>
  <c r="AB21" i="9" s="1"/>
  <c r="AE21" i="9" s="1"/>
  <c r="C15" i="9" s="1"/>
  <c r="E28" i="4"/>
  <c r="I27" i="4"/>
  <c r="M21" i="9" s="1"/>
  <c r="G27" i="4"/>
  <c r="K21" i="9" s="1"/>
  <c r="N21" i="9" s="1"/>
  <c r="C12" i="9" s="1"/>
  <c r="E27" i="4"/>
  <c r="C17" i="4"/>
  <c r="F6" i="4" l="1"/>
  <c r="G6" i="5" s="1"/>
  <c r="H6" i="4"/>
  <c r="F9" i="4"/>
  <c r="F8" i="4"/>
  <c r="G6" i="7" s="1"/>
  <c r="F7" i="4"/>
  <c r="G6" i="6" s="1"/>
  <c r="H9" i="4"/>
  <c r="H8" i="4"/>
  <c r="H7" i="4"/>
  <c r="B112" i="6"/>
  <c r="Q29" i="7"/>
  <c r="Q76" i="7"/>
  <c r="Q67" i="6"/>
  <c r="Q29" i="6"/>
  <c r="B112" i="7"/>
  <c r="P25" i="4"/>
  <c r="P26" i="4" s="1"/>
  <c r="P27" i="4"/>
  <c r="P28" i="4"/>
  <c r="O26" i="4"/>
  <c r="O27" i="4"/>
  <c r="C5" i="9" l="1"/>
  <c r="Q25" i="4"/>
  <c r="K112" i="6"/>
  <c r="K112" i="7"/>
  <c r="R25" i="4"/>
  <c r="Q28" i="4"/>
  <c r="Q27" i="4"/>
  <c r="Q26" i="4"/>
  <c r="Q119" i="6"/>
  <c r="Q124" i="7"/>
  <c r="Q119" i="7"/>
  <c r="Q120" i="7"/>
  <c r="Q120" i="6"/>
  <c r="Q124" i="6"/>
  <c r="L113" i="6" l="1"/>
  <c r="L115" i="6" s="1"/>
  <c r="L4" i="6" s="1"/>
  <c r="O112" i="6"/>
  <c r="O4" i="6" s="1"/>
  <c r="N112" i="6"/>
  <c r="N4" i="6" s="1"/>
  <c r="F21" i="9" s="1"/>
  <c r="G21" i="9" s="1"/>
  <c r="K4" i="6"/>
  <c r="N112" i="7"/>
  <c r="N4" i="7" s="1"/>
  <c r="H21" i="9" s="1"/>
  <c r="I21" i="9" s="1"/>
  <c r="O112" i="7"/>
  <c r="O4" i="7" s="1"/>
  <c r="L113" i="7"/>
  <c r="L115" i="7" s="1"/>
  <c r="L4" i="7" s="1"/>
  <c r="K4" i="7"/>
  <c r="R28" i="4"/>
  <c r="R27" i="4"/>
  <c r="R26" i="4"/>
  <c r="S25" i="4"/>
  <c r="Q125" i="7"/>
  <c r="Q4" i="7" s="1"/>
  <c r="Q125" i="6"/>
  <c r="Q4" i="6" s="1"/>
  <c r="AI52" i="6" l="1"/>
  <c r="F4" i="6"/>
  <c r="AI71" i="6"/>
  <c r="F4" i="7"/>
  <c r="AI52" i="7"/>
  <c r="AI71" i="7"/>
  <c r="S28" i="4"/>
  <c r="S27" i="4"/>
  <c r="S26" i="4"/>
  <c r="T25" i="4"/>
  <c r="T26" i="4" l="1"/>
  <c r="U25" i="4"/>
  <c r="T27" i="4"/>
  <c r="T28" i="4"/>
  <c r="V25" i="4" l="1"/>
  <c r="U28" i="4"/>
  <c r="U27" i="4"/>
  <c r="U26" i="4"/>
  <c r="V28" i="4" l="1"/>
  <c r="V27" i="4"/>
  <c r="V26" i="4"/>
  <c r="W25" i="4"/>
  <c r="W28" i="4" l="1"/>
  <c r="W27" i="4"/>
  <c r="W26" i="4"/>
  <c r="X25" i="4"/>
  <c r="X28" i="4" l="1"/>
  <c r="Y25" i="4"/>
  <c r="X26" i="4"/>
  <c r="X27" i="4"/>
  <c r="Z25" i="4" l="1"/>
  <c r="Y28" i="4"/>
  <c r="Y27" i="4"/>
  <c r="Y26" i="4"/>
  <c r="Z28" i="4" l="1"/>
  <c r="Z27" i="4"/>
  <c r="Z26" i="4"/>
  <c r="AA25" i="4"/>
  <c r="AA28" i="4" l="1"/>
  <c r="AA27" i="4"/>
  <c r="AA26" i="4"/>
  <c r="AB25" i="4"/>
  <c r="AB27" i="4" l="1"/>
  <c r="AC25" i="4"/>
  <c r="AB28" i="4"/>
  <c r="AB26" i="4"/>
  <c r="AD25" i="4" l="1"/>
  <c r="AC28" i="4"/>
  <c r="AC27" i="4"/>
  <c r="AC26" i="4"/>
  <c r="AD28" i="4" l="1"/>
  <c r="AD27" i="4"/>
  <c r="AD26" i="4"/>
  <c r="AE25" i="4"/>
  <c r="AE28" i="4" l="1"/>
  <c r="AE27" i="4"/>
  <c r="AE26" i="4"/>
  <c r="AF25" i="4"/>
  <c r="AF26" i="4" l="1"/>
  <c r="AG25" i="4"/>
  <c r="AF27" i="4"/>
  <c r="AF28" i="4"/>
  <c r="AH25" i="4" l="1"/>
  <c r="AG28" i="4"/>
  <c r="AG27" i="4"/>
  <c r="AG26" i="4"/>
  <c r="AH28" i="4" l="1"/>
  <c r="AH27" i="4"/>
  <c r="AH26" i="4"/>
  <c r="AI25" i="4"/>
  <c r="AJ25" i="4" l="1"/>
  <c r="AI28" i="4"/>
  <c r="AI27" i="4"/>
  <c r="AI26" i="4"/>
  <c r="AJ28" i="4" l="1"/>
  <c r="AJ27" i="4"/>
  <c r="AK25" i="4"/>
  <c r="AJ26" i="4"/>
  <c r="AL25" i="4" l="1"/>
  <c r="AK28" i="4"/>
  <c r="AK27" i="4"/>
  <c r="AK26" i="4"/>
  <c r="AL28" i="4" l="1"/>
  <c r="AL27" i="4"/>
  <c r="AL26" i="4"/>
  <c r="AM25" i="4"/>
  <c r="AN25" i="4" l="1"/>
  <c r="AM28" i="4"/>
  <c r="AM27" i="4"/>
  <c r="AM26" i="4"/>
  <c r="AO25" i="4" l="1"/>
  <c r="AN28" i="4"/>
  <c r="AN27" i="4"/>
  <c r="AN26" i="4"/>
  <c r="AP25" i="4" l="1"/>
  <c r="AO28" i="4"/>
  <c r="AO27" i="4"/>
  <c r="AO26" i="4"/>
  <c r="AP28" i="4" l="1"/>
  <c r="AP27" i="4"/>
  <c r="AP26" i="4"/>
  <c r="AQ25" i="4"/>
  <c r="AQ28" i="4" l="1"/>
  <c r="AQ27" i="4"/>
  <c r="AQ26" i="4"/>
  <c r="AR25" i="4"/>
  <c r="AR26" i="4" l="1"/>
  <c r="AS25" i="4"/>
  <c r="AR27" i="4"/>
  <c r="AR28" i="4"/>
  <c r="AT25" i="4" l="1"/>
  <c r="AS28" i="4"/>
  <c r="AS27" i="4"/>
  <c r="AS26" i="4"/>
  <c r="AT28" i="4" l="1"/>
  <c r="AT27" i="4"/>
  <c r="AT26" i="4"/>
  <c r="AU25" i="4"/>
  <c r="AV25" i="4" l="1"/>
  <c r="AU28" i="4"/>
  <c r="AU27" i="4"/>
  <c r="AU26" i="4"/>
  <c r="AV28" i="4" l="1"/>
  <c r="AV27" i="4"/>
  <c r="AW25" i="4"/>
  <c r="AV26" i="4"/>
  <c r="AX25" i="4" l="1"/>
  <c r="AW28" i="4"/>
  <c r="AW27" i="4"/>
  <c r="AW26" i="4"/>
  <c r="AX28" i="4" l="1"/>
  <c r="AX27" i="4"/>
  <c r="AX26" i="4"/>
  <c r="AY25" i="4"/>
  <c r="AZ25" i="4" l="1"/>
  <c r="AY28" i="4"/>
  <c r="AY27" i="4"/>
  <c r="AY26" i="4"/>
  <c r="BA25" i="4" l="1"/>
  <c r="AZ28" i="4"/>
  <c r="AZ27" i="4"/>
  <c r="AZ26" i="4"/>
  <c r="BB25" i="4" l="1"/>
  <c r="BA28" i="4"/>
  <c r="BA27" i="4"/>
  <c r="BA26" i="4"/>
  <c r="BB28" i="4" l="1"/>
  <c r="BB27" i="4"/>
  <c r="BB26" i="4"/>
  <c r="BC25" i="4"/>
  <c r="BC28" i="4" l="1"/>
  <c r="BC27" i="4"/>
  <c r="BC26" i="4"/>
  <c r="BD25" i="4"/>
  <c r="BD28" i="4" l="1"/>
  <c r="BD26" i="4"/>
  <c r="BE25" i="4"/>
  <c r="BD27" i="4"/>
  <c r="BF25" i="4" l="1"/>
  <c r="BE28" i="4"/>
  <c r="BE27" i="4"/>
  <c r="BE26" i="4"/>
  <c r="BF28" i="4" l="1"/>
  <c r="BF27" i="4"/>
  <c r="BF26" i="4"/>
  <c r="BG25" i="4"/>
  <c r="BH25" i="4" l="1"/>
  <c r="BG28" i="4"/>
  <c r="BG27" i="4"/>
  <c r="BG26" i="4"/>
  <c r="BH27" i="4" l="1"/>
  <c r="BI25" i="4"/>
  <c r="BH28" i="4"/>
  <c r="BH26" i="4"/>
  <c r="BJ25" i="4" l="1"/>
  <c r="BI28" i="4"/>
  <c r="BI27" i="4"/>
  <c r="BI26" i="4"/>
  <c r="BJ28" i="4" l="1"/>
  <c r="BJ27" i="4"/>
  <c r="BJ26" i="4"/>
  <c r="BK25" i="4"/>
  <c r="BL25" i="4" l="1"/>
  <c r="BK28" i="4"/>
  <c r="BK27" i="4"/>
  <c r="BK26" i="4"/>
  <c r="BM25" i="4" l="1"/>
  <c r="BL27" i="4"/>
  <c r="BL28" i="4"/>
  <c r="BL26" i="4"/>
  <c r="BN25" i="4" l="1"/>
  <c r="BM28" i="4"/>
  <c r="BM27" i="4"/>
  <c r="BM26" i="4"/>
  <c r="BN28" i="4" l="1"/>
  <c r="BN27" i="4"/>
  <c r="BN26" i="4"/>
  <c r="BO25" i="4"/>
  <c r="BO28" i="4" l="1"/>
  <c r="BO27" i="4"/>
  <c r="BO26" i="4"/>
  <c r="BP25" i="4"/>
  <c r="BP28" i="4" l="1"/>
  <c r="BP26" i="4"/>
  <c r="BQ25" i="4"/>
  <c r="BP27" i="4"/>
  <c r="BR25" i="4" l="1"/>
  <c r="BQ28" i="4"/>
  <c r="BQ27" i="4"/>
  <c r="BQ26" i="4"/>
  <c r="BR28" i="4" l="1"/>
  <c r="BR27" i="4"/>
  <c r="BR26" i="4"/>
  <c r="BS25" i="4"/>
  <c r="BT25" i="4" l="1"/>
  <c r="BS28" i="4"/>
  <c r="BS27" i="4"/>
  <c r="BS26" i="4"/>
  <c r="BT27" i="4" l="1"/>
  <c r="BU25" i="4"/>
  <c r="BT26" i="4"/>
  <c r="BT28" i="4"/>
  <c r="BV25" i="4" l="1"/>
  <c r="BU28" i="4"/>
  <c r="BU27" i="4"/>
  <c r="BU26" i="4"/>
  <c r="BV28" i="4" l="1"/>
  <c r="BV27" i="4"/>
  <c r="BV26" i="4"/>
  <c r="Q123" i="5" l="1"/>
  <c r="Q122" i="5"/>
  <c r="R120" i="5"/>
  <c r="R119" i="5"/>
  <c r="B76" i="8"/>
  <c r="K76" i="8"/>
  <c r="K79" i="5"/>
  <c r="P79" i="5" s="1"/>
  <c r="Q79" i="5" s="1"/>
  <c r="K82" i="5"/>
  <c r="P82" i="5" s="1"/>
  <c r="Q82" i="5" s="1"/>
  <c r="B79" i="5"/>
  <c r="L53" i="8"/>
  <c r="K52" i="8"/>
  <c r="L56" i="5"/>
  <c r="K53" i="5"/>
  <c r="K54" i="5"/>
  <c r="K55" i="5"/>
  <c r="K50" i="5"/>
  <c r="K49" i="5"/>
  <c r="K51" i="5"/>
  <c r="K52" i="5"/>
  <c r="N105" i="5"/>
  <c r="O105" i="5"/>
  <c r="N106" i="5"/>
  <c r="O106" i="5"/>
  <c r="N107" i="5"/>
  <c r="O107" i="5"/>
  <c r="N108" i="5"/>
  <c r="O108" i="5"/>
  <c r="O104" i="5"/>
  <c r="N104" i="5"/>
  <c r="N96" i="5"/>
  <c r="O96" i="5"/>
  <c r="N97" i="5"/>
  <c r="O97" i="5"/>
  <c r="N98" i="5"/>
  <c r="O98" i="5"/>
  <c r="N99" i="5"/>
  <c r="O99" i="5"/>
  <c r="N100" i="5"/>
  <c r="O100" i="5"/>
  <c r="O95" i="5"/>
  <c r="N95" i="5"/>
  <c r="N88" i="5"/>
  <c r="O88" i="5"/>
  <c r="N89" i="5"/>
  <c r="O89" i="5"/>
  <c r="N90" i="5"/>
  <c r="O90" i="5"/>
  <c r="N91" i="5"/>
  <c r="O91" i="5"/>
  <c r="O87" i="5"/>
  <c r="N87" i="5"/>
  <c r="N78" i="5"/>
  <c r="O78" i="5"/>
  <c r="N79" i="5"/>
  <c r="O79" i="5"/>
  <c r="N80" i="5"/>
  <c r="O80" i="5"/>
  <c r="N81" i="5"/>
  <c r="O81" i="5"/>
  <c r="N82" i="5"/>
  <c r="O82" i="5"/>
  <c r="N83" i="5"/>
  <c r="O83" i="5"/>
  <c r="O77" i="5"/>
  <c r="N77" i="5"/>
  <c r="N69" i="5"/>
  <c r="O69" i="5"/>
  <c r="N70" i="5"/>
  <c r="O70" i="5"/>
  <c r="N71" i="5"/>
  <c r="O71" i="5"/>
  <c r="N72" i="5"/>
  <c r="O72" i="5"/>
  <c r="N73" i="5"/>
  <c r="O73" i="5"/>
  <c r="O68" i="5"/>
  <c r="N68" i="5"/>
  <c r="N60" i="5"/>
  <c r="O60" i="5"/>
  <c r="N61" i="5"/>
  <c r="O61" i="5"/>
  <c r="N62" i="5"/>
  <c r="O62" i="5"/>
  <c r="N63" i="5"/>
  <c r="O63" i="5"/>
  <c r="N64" i="5"/>
  <c r="O64" i="5"/>
  <c r="O59" i="5"/>
  <c r="N59" i="5"/>
  <c r="N50" i="5"/>
  <c r="O50" i="5"/>
  <c r="N51" i="5"/>
  <c r="O51" i="5"/>
  <c r="N52" i="5"/>
  <c r="O52" i="5"/>
  <c r="N53" i="5"/>
  <c r="O53" i="5"/>
  <c r="N54" i="5"/>
  <c r="O54" i="5"/>
  <c r="O49" i="5"/>
  <c r="N49" i="5"/>
  <c r="N31" i="5"/>
  <c r="O31" i="5"/>
  <c r="N32" i="5"/>
  <c r="O32" i="5"/>
  <c r="N33" i="5"/>
  <c r="O33" i="5"/>
  <c r="N34" i="5"/>
  <c r="O34" i="5"/>
  <c r="N35" i="5"/>
  <c r="O35" i="5"/>
  <c r="O36" i="5"/>
  <c r="N37" i="5"/>
  <c r="O37" i="5"/>
  <c r="N38" i="5"/>
  <c r="O38" i="5"/>
  <c r="N39" i="5"/>
  <c r="O39" i="5"/>
  <c r="N40" i="5"/>
  <c r="O40" i="5"/>
  <c r="N41" i="5"/>
  <c r="O41" i="5"/>
  <c r="N42" i="5"/>
  <c r="O42" i="5"/>
  <c r="N43" i="5"/>
  <c r="O43" i="5"/>
  <c r="N44" i="5"/>
  <c r="O44" i="5"/>
  <c r="N45" i="5"/>
  <c r="O45" i="5"/>
  <c r="O30" i="5"/>
  <c r="N30" i="5"/>
  <c r="O12" i="5"/>
  <c r="O13" i="5"/>
  <c r="O14" i="5"/>
  <c r="O15" i="5"/>
  <c r="O16" i="5"/>
  <c r="O17" i="5"/>
  <c r="O18" i="5"/>
  <c r="O19" i="5"/>
  <c r="O20" i="5"/>
  <c r="O21" i="5"/>
  <c r="O22" i="5"/>
  <c r="O23" i="5"/>
  <c r="O24" i="5"/>
  <c r="O25" i="5"/>
  <c r="O26" i="5"/>
  <c r="O11" i="5"/>
  <c r="N12" i="5"/>
  <c r="N13" i="5"/>
  <c r="N14" i="5"/>
  <c r="N15" i="5"/>
  <c r="N16" i="5"/>
  <c r="N17" i="5"/>
  <c r="N18" i="5"/>
  <c r="N19" i="5"/>
  <c r="N20" i="5"/>
  <c r="N21" i="5"/>
  <c r="N22" i="5"/>
  <c r="N23" i="5"/>
  <c r="N24" i="5"/>
  <c r="N25" i="5"/>
  <c r="N26" i="5"/>
  <c r="N11" i="5"/>
  <c r="K79" i="8"/>
  <c r="B79" i="8"/>
  <c r="B82" i="5"/>
  <c r="L106" i="8"/>
  <c r="L111" i="8" s="1"/>
  <c r="Z15" i="8"/>
  <c r="Y15" i="8"/>
  <c r="L98" i="8"/>
  <c r="W14" i="8" s="1"/>
  <c r="K95" i="8"/>
  <c r="K98" i="8"/>
  <c r="B95" i="8"/>
  <c r="Z14" i="8"/>
  <c r="Y14" i="8"/>
  <c r="L89" i="8"/>
  <c r="W13" i="8" s="1"/>
  <c r="K87" i="8"/>
  <c r="K89" i="8"/>
  <c r="B87" i="8"/>
  <c r="Z13" i="8"/>
  <c r="Y13" i="8"/>
  <c r="L81" i="8"/>
  <c r="W12" i="8" s="1"/>
  <c r="K80" i="8"/>
  <c r="B80" i="8"/>
  <c r="Z12" i="8"/>
  <c r="Y12" i="8"/>
  <c r="L71" i="8"/>
  <c r="K70" i="8"/>
  <c r="K69" i="8"/>
  <c r="B69" i="8"/>
  <c r="K68" i="8"/>
  <c r="K67" i="8"/>
  <c r="K66" i="8"/>
  <c r="Z11" i="8"/>
  <c r="Y11" i="8"/>
  <c r="K65" i="8"/>
  <c r="L62" i="8"/>
  <c r="W10" i="8" s="1"/>
  <c r="K62" i="8"/>
  <c r="Z10" i="8"/>
  <c r="Y10" i="8"/>
  <c r="K51" i="8"/>
  <c r="K50" i="8"/>
  <c r="K49" i="8"/>
  <c r="K48" i="8"/>
  <c r="K47" i="8"/>
  <c r="Z9" i="8"/>
  <c r="Y9" i="8"/>
  <c r="K46" i="8"/>
  <c r="L43" i="8"/>
  <c r="K39" i="8"/>
  <c r="K38" i="8"/>
  <c r="K37" i="8"/>
  <c r="K36" i="8"/>
  <c r="K31" i="8"/>
  <c r="B31" i="8"/>
  <c r="K30" i="8"/>
  <c r="B30" i="8"/>
  <c r="Z8" i="8"/>
  <c r="Y8" i="8"/>
  <c r="L24" i="8"/>
  <c r="W7" i="8" s="1"/>
  <c r="K24" i="8"/>
  <c r="W11" i="8"/>
  <c r="W9" i="8"/>
  <c r="W8" i="8"/>
  <c r="Z7" i="8"/>
  <c r="Z16" i="8"/>
  <c r="Y7" i="8"/>
  <c r="Y16" i="8" s="1"/>
  <c r="G3" i="8"/>
  <c r="K70" i="5"/>
  <c r="P70" i="5" s="1"/>
  <c r="K71" i="5"/>
  <c r="P71" i="5" s="1"/>
  <c r="Q71" i="5" s="1"/>
  <c r="P72" i="5"/>
  <c r="P73" i="5"/>
  <c r="L74" i="5"/>
  <c r="K69" i="5"/>
  <c r="P69" i="5" s="1"/>
  <c r="Q69" i="5" s="1"/>
  <c r="K68" i="5"/>
  <c r="P68" i="5" s="1"/>
  <c r="Q68" i="5" s="1"/>
  <c r="K42" i="5"/>
  <c r="P42" i="5" s="1"/>
  <c r="Q42" i="5" s="1"/>
  <c r="K41" i="5"/>
  <c r="P41" i="5" s="1"/>
  <c r="Q41" i="5" s="1"/>
  <c r="K40" i="5"/>
  <c r="P40" i="5" s="1"/>
  <c r="Q40" i="5" s="1"/>
  <c r="K39" i="5"/>
  <c r="P39" i="5" s="1"/>
  <c r="Q39" i="5" s="1"/>
  <c r="G3" i="5"/>
  <c r="K98" i="5"/>
  <c r="B98" i="5"/>
  <c r="K90" i="5"/>
  <c r="K92" i="5" s="1"/>
  <c r="B90" i="5"/>
  <c r="K83" i="5"/>
  <c r="P83" i="5" s="1"/>
  <c r="Q83" i="5" s="1"/>
  <c r="B83" i="5"/>
  <c r="B72" i="5"/>
  <c r="B34" i="5"/>
  <c r="K34" i="5"/>
  <c r="P34" i="5" s="1"/>
  <c r="Q34" i="5" s="1"/>
  <c r="K33" i="5"/>
  <c r="P33" i="5" s="1"/>
  <c r="Q33" i="5" s="1"/>
  <c r="B33" i="5"/>
  <c r="L101" i="5"/>
  <c r="L92" i="5"/>
  <c r="L84" i="5"/>
  <c r="L65" i="5"/>
  <c r="L46" i="5"/>
  <c r="L109" i="5"/>
  <c r="L114" i="5" s="1"/>
  <c r="K65" i="5"/>
  <c r="L27" i="5"/>
  <c r="K27" i="5"/>
  <c r="N54" i="2"/>
  <c r="K71" i="8" l="1"/>
  <c r="Q73" i="5"/>
  <c r="Q72" i="5"/>
  <c r="K43" i="8"/>
  <c r="B109" i="8"/>
  <c r="K109" i="8" s="1"/>
  <c r="K4" i="8" s="1"/>
  <c r="K53" i="8"/>
  <c r="K81" i="8"/>
  <c r="K101" i="5"/>
  <c r="P98" i="5"/>
  <c r="Q98" i="5" s="1"/>
  <c r="Q94" i="5" s="1"/>
  <c r="W16" i="8"/>
  <c r="W15" i="8"/>
  <c r="W17" i="8" s="1"/>
  <c r="Q70" i="5"/>
  <c r="K74" i="5"/>
  <c r="K46" i="5"/>
  <c r="K56" i="5"/>
  <c r="O65" i="5"/>
  <c r="L109" i="8"/>
  <c r="L110" i="8" s="1"/>
  <c r="L112" i="8" s="1"/>
  <c r="L4" i="8" s="1"/>
  <c r="K84" i="5"/>
  <c r="B112" i="5"/>
  <c r="K112" i="5" s="1"/>
  <c r="K4" i="5" s="1"/>
  <c r="N46" i="5"/>
  <c r="N92" i="5"/>
  <c r="O92" i="5"/>
  <c r="N101" i="5"/>
  <c r="O109" i="5"/>
  <c r="N109" i="5"/>
  <c r="O101" i="5"/>
  <c r="Q76" i="5"/>
  <c r="O84" i="5"/>
  <c r="N84" i="5"/>
  <c r="N74" i="5"/>
  <c r="O74" i="5"/>
  <c r="N65" i="5"/>
  <c r="N56" i="5"/>
  <c r="O56" i="5"/>
  <c r="O46" i="5"/>
  <c r="L112" i="5"/>
  <c r="O27" i="5"/>
  <c r="N27" i="5"/>
  <c r="Q67" i="5" l="1"/>
  <c r="Q58" i="5"/>
  <c r="Q29" i="5"/>
  <c r="L113" i="5"/>
  <c r="L115" i="5" s="1"/>
  <c r="L4" i="5" s="1"/>
  <c r="G4" i="5" s="1"/>
  <c r="N112" i="5"/>
  <c r="N4" i="5" s="1"/>
  <c r="O112" i="5"/>
  <c r="O4" i="5" s="1"/>
  <c r="Q10" i="5"/>
  <c r="D21" i="9" l="1"/>
  <c r="E21" i="9" s="1"/>
  <c r="J21" i="9" s="1"/>
  <c r="F4" i="5"/>
  <c r="Q119" i="5"/>
  <c r="AI71" i="5"/>
  <c r="AI52" i="5"/>
  <c r="Q120" i="5"/>
  <c r="Q124" i="5"/>
  <c r="Q125" i="5" l="1"/>
  <c r="Q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 Desai</author>
    <author>Ulises Demeneghi Cervantes</author>
  </authors>
  <commentList>
    <comment ref="L113" authorId="0" shapeId="0" xr:uid="{00000000-0006-0000-0400-000001000000}">
      <text>
        <r>
          <rPr>
            <sz val="12"/>
            <color indexed="81"/>
            <rFont val="Arial"/>
            <family val="2"/>
            <scheme val="major"/>
          </rPr>
          <t xml:space="preserve">This is the number of core points targeted divided by the number of core points available (i.e. 100 points minus N/A credits). </t>
        </r>
      </text>
    </comment>
    <comment ref="L115" authorId="0" shapeId="0" xr:uid="{00000000-0006-0000-0400-000002000000}">
      <text>
        <r>
          <rPr>
            <sz val="12"/>
            <color indexed="81"/>
            <rFont val="Arial"/>
            <family val="2"/>
            <scheme val="major"/>
          </rPr>
          <t>This is the Core Score plus the Innovation points targeted. See the Introduction section of the Submission Guidelines for additional detail.</t>
        </r>
      </text>
    </comment>
    <comment ref="Q119" authorId="1" shapeId="0" xr:uid="{00000000-0006-0000-0400-000003000000}">
      <text>
        <r>
          <rPr>
            <b/>
            <sz val="10"/>
            <color indexed="81"/>
            <rFont val="Tahoma"/>
            <family val="2"/>
          </rPr>
          <t xml:space="preserve">Ulises Demeneghi: Changed interval to exclude innovation points
</t>
        </r>
      </text>
    </comment>
    <comment ref="Q120" authorId="1" shapeId="0" xr:uid="{00000000-0006-0000-0400-000004000000}">
      <text>
        <r>
          <rPr>
            <b/>
            <sz val="10"/>
            <color indexed="81"/>
            <rFont val="Tahoma"/>
            <family val="2"/>
          </rPr>
          <t xml:space="preserve">Ulises Demeneghi: Changed interval to exclude innovation points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 Desai</author>
    <author>Ulises Demeneghi Cervantes</author>
  </authors>
  <commentList>
    <comment ref="L113" authorId="0" shapeId="0" xr:uid="{00000000-0006-0000-0500-000001000000}">
      <text>
        <r>
          <rPr>
            <sz val="12"/>
            <color indexed="81"/>
            <rFont val="Arial"/>
            <family val="2"/>
            <scheme val="major"/>
          </rPr>
          <t xml:space="preserve">This is the number of core points targeted divided by the number of core points available (i.e. 100 points minus N/A credits). </t>
        </r>
      </text>
    </comment>
    <comment ref="L115" authorId="0" shapeId="0" xr:uid="{00000000-0006-0000-0500-000002000000}">
      <text>
        <r>
          <rPr>
            <sz val="12"/>
            <color indexed="81"/>
            <rFont val="Arial"/>
            <family val="2"/>
            <scheme val="major"/>
          </rPr>
          <t>This is the Core Score plus the Innovation points targeted. See the Introduction section of the Submission Guidelines for additional detail.</t>
        </r>
      </text>
    </comment>
    <comment ref="Q119" authorId="1" shapeId="0" xr:uid="{00000000-0006-0000-0500-000003000000}">
      <text>
        <r>
          <rPr>
            <b/>
            <sz val="10"/>
            <color indexed="81"/>
            <rFont val="Tahoma"/>
            <family val="2"/>
          </rPr>
          <t xml:space="preserve">Ulises Demeneghi: Changed interval to exclude innovation points
</t>
        </r>
      </text>
    </comment>
    <comment ref="Q120" authorId="1" shapeId="0" xr:uid="{00000000-0006-0000-0500-000004000000}">
      <text>
        <r>
          <rPr>
            <b/>
            <sz val="10"/>
            <color indexed="81"/>
            <rFont val="Tahoma"/>
            <family val="2"/>
          </rPr>
          <t xml:space="preserve">Ulises Demeneghi: Changed interval to exclude innovation points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Karl Desai</author>
    <author>Ulises Demeneghi Cervantes</author>
  </authors>
  <commentList>
    <comment ref="L113" authorId="0" shapeId="0" xr:uid="{00000000-0006-0000-0600-000001000000}">
      <text>
        <r>
          <rPr>
            <sz val="14"/>
            <color indexed="81"/>
            <rFont val="Tahoma"/>
            <family val="2"/>
          </rPr>
          <t xml:space="preserve">This is the number of core points targeted divided by the number of core points available (i.e. 100 points minus N/A credits). </t>
        </r>
      </text>
    </comment>
    <comment ref="L115" authorId="0" shapeId="0" xr:uid="{00000000-0006-0000-0600-000002000000}">
      <text>
        <r>
          <rPr>
            <sz val="14"/>
            <color indexed="81"/>
            <rFont val="Tahoma"/>
            <family val="2"/>
          </rPr>
          <t>This is the Core Score plus the Innovation points targeted. See the Introduction section of the Submission Guidelines for additional detail.</t>
        </r>
      </text>
    </comment>
    <comment ref="Q119" authorId="1" shapeId="0" xr:uid="{00000000-0006-0000-0600-000003000000}">
      <text>
        <r>
          <rPr>
            <b/>
            <sz val="10"/>
            <color indexed="81"/>
            <rFont val="Tahoma"/>
            <family val="2"/>
          </rPr>
          <t xml:space="preserve">Ulises Demeneghi: Changed interval to exclude innovation points
</t>
        </r>
      </text>
    </comment>
    <comment ref="Q120" authorId="1" shapeId="0" xr:uid="{00000000-0006-0000-0600-000004000000}">
      <text>
        <r>
          <rPr>
            <b/>
            <sz val="10"/>
            <color indexed="81"/>
            <rFont val="Tahoma"/>
            <family val="2"/>
          </rPr>
          <t xml:space="preserve">Ulises Demeneghi: Changed interval to exclude innovation points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Karl Desai</author>
  </authors>
  <commentList>
    <comment ref="L110" authorId="0" shapeId="0" xr:uid="{00000000-0006-0000-0700-000001000000}">
      <text>
        <r>
          <rPr>
            <sz val="14"/>
            <color indexed="81"/>
            <rFont val="Tahoma"/>
            <family val="2"/>
          </rPr>
          <t xml:space="preserve">This is the number of core points targeted divided by the number of core points available. </t>
        </r>
      </text>
    </comment>
    <comment ref="L112" authorId="0" shapeId="0" xr:uid="{00000000-0006-0000-0700-000002000000}">
      <text>
        <r>
          <rPr>
            <sz val="14"/>
            <color indexed="81"/>
            <rFont val="Tahoma"/>
            <family val="2"/>
          </rPr>
          <t>This is the Core Score plus the Innovation points targeted. See the Introduction section of the Submission Guidelines for additional detail.</t>
        </r>
      </text>
    </comment>
  </commentList>
</comments>
</file>

<file path=xl/sharedStrings.xml><?xml version="1.0" encoding="utf-8"?>
<sst xmlns="http://schemas.openxmlformats.org/spreadsheetml/2006/main" count="4964" uniqueCount="1113">
  <si>
    <t>Authorisation, Acknowledgement and Disclaimer</t>
  </si>
  <si>
    <t xml:space="preserve">Please ensure that you use the most up to date version of the Green Star - Performance scorecard. The scorecard is routinely updated, and using the most current version will make filling in your scorecard easier, clearer and more accurate.
This scorecard provides an indication of the number of points available in the rating tool.  It is not final, and it is only intended for feedback purposes. </t>
  </si>
  <si>
    <t>Change Log</t>
  </si>
  <si>
    <t>Scorecard Release</t>
  </si>
  <si>
    <t>Summary of Changes</t>
  </si>
  <si>
    <t>Green Star - Performance Version 1.2</t>
  </si>
  <si>
    <t>Release 5 - 13/07/2020</t>
  </si>
  <si>
    <t>1) Updated instructions regarding eligibility requirements for the project's registration date and the Performance Period.
2) Submission deadlines increased to 6 months after the respective Performance Period
3) Formatting to round up points to the nearest whole number, when calculating the final score.</t>
  </si>
  <si>
    <t>Release 4 - 05/06/2020</t>
  </si>
  <si>
    <t>Updated for Green Star - Performance v1.2 with;
1) Added timeline to assist identify overlap of rated/billed period with the Performance Period 
2) Added prompts to notify project teams when the Conditional Requirements for Best Practice Ratings may not be met.
3) Added prompts to indicate when points targeted for the relevant credit &amp; asset does not match the points in the previous certification phase.</t>
  </si>
  <si>
    <t>Release 3 - 11/03/2020</t>
  </si>
  <si>
    <t>Minor edits</t>
  </si>
  <si>
    <t>Release 2 - 28/06/2018</t>
  </si>
  <si>
    <t>1. Added 'Not Applicable' (N/A) option for the 'Waste Management Plan' criterion (21.3), as per the Submission Guidelines. 
2. Corrected totals for 'points awarded' in the Energy catergory</t>
  </si>
  <si>
    <t>Release 1 - 29/11/2017</t>
  </si>
  <si>
    <t>Released for Green Star - Performance v1.2
- Addition of Performance Period and Certification Period inputs
- Inclusion of 16C Preliminary Benchmark for Commerical Buildings</t>
  </si>
  <si>
    <t>Green Star - Performance 
Version 1.1</t>
  </si>
  <si>
    <t>Release 1 - 08/04/2016</t>
  </si>
  <si>
    <t>Relased for Green Star - Performance v1.1.
- Addition of 'Clarification of Assesment Comments'</t>
  </si>
  <si>
    <t>Green Star - Performance 
Version 1.0</t>
  </si>
  <si>
    <t>Release 4 - 22/12/2015</t>
  </si>
  <si>
    <t>Corrected totals for 'points awarded' and 'points to be confirmed' where some points are 'Not Applicable'.</t>
  </si>
  <si>
    <t>Release 3 - 4/12/2015</t>
  </si>
  <si>
    <t>Amended calculation for total score to reflect 'Not applicable' options</t>
  </si>
  <si>
    <t>Release 2 - 20/08/2015</t>
  </si>
  <si>
    <t>1. Added 'Not Applicable' (N/A) option for the 'Waste Management Plan' criterion (23.1), as per the Submission Guidelines. 
For clarity, where no refurbishments or building upgrades that cost at least $5 per square metre have taken place during the building’s performance period:
     - Both 23.1 and 23.2 (i.e. the full credit) can be made N/A; or
     - 23.2 can be made N/A and 23.1 can be targeted. 
2. Minor formatting and language updated for assessment outcomes</t>
  </si>
  <si>
    <t xml:space="preserve"> Release 1 - 6/03/2015</t>
  </si>
  <si>
    <t>Initial release.</t>
  </si>
  <si>
    <t>x</t>
  </si>
  <si>
    <t xml:space="preserve">Summary of Changes - Internal Use only </t>
  </si>
  <si>
    <t>Release Number</t>
  </si>
  <si>
    <t>Date</t>
  </si>
  <si>
    <t>Author</t>
  </si>
  <si>
    <t>Reviewer</t>
  </si>
  <si>
    <t>Approver</t>
  </si>
  <si>
    <t>Sheet</t>
  </si>
  <si>
    <t>Range</t>
  </si>
  <si>
    <t>New Value</t>
  </si>
  <si>
    <t>Old Value</t>
  </si>
  <si>
    <t>Comments</t>
  </si>
  <si>
    <t>Version 1.2, Release 1</t>
  </si>
  <si>
    <t>SN</t>
  </si>
  <si>
    <t>TR</t>
  </si>
  <si>
    <t>Building Information</t>
  </si>
  <si>
    <t>B13</t>
  </si>
  <si>
    <t>Performance Period:</t>
  </si>
  <si>
    <t>&lt;blank&gt;</t>
  </si>
  <si>
    <t>Addition of Performance Period Input</t>
  </si>
  <si>
    <t>B14</t>
  </si>
  <si>
    <t xml:space="preserve">Certification Period: </t>
  </si>
  <si>
    <t>Addition of Certification Period Incut</t>
  </si>
  <si>
    <t>Submission Planner</t>
  </si>
  <si>
    <t>H52</t>
  </si>
  <si>
    <t>16C</t>
  </si>
  <si>
    <t>Inclusion of 16C pathway</t>
  </si>
  <si>
    <t>I52</t>
  </si>
  <si>
    <t>Data</t>
  </si>
  <si>
    <t>J52</t>
  </si>
  <si>
    <t>Preliminary Benchmark for Commerical Buildings</t>
  </si>
  <si>
    <t>R52</t>
  </si>
  <si>
    <t>C. Preliminary Benchmark for Commerical Buildings</t>
  </si>
  <si>
    <t>K52</t>
  </si>
  <si>
    <t>=IF(G50=R52,1,0)</t>
  </si>
  <si>
    <t>Scorecard</t>
  </si>
  <si>
    <t>H54</t>
  </si>
  <si>
    <t>I54</t>
  </si>
  <si>
    <t>J54</t>
  </si>
  <si>
    <t>K54</t>
  </si>
  <si>
    <t>'=IF(G50=AC52,1,0)</t>
  </si>
  <si>
    <t>F5</t>
  </si>
  <si>
    <t>Performance Period</t>
  </si>
  <si>
    <t>F6</t>
  </si>
  <si>
    <t>Certification Period</t>
  </si>
  <si>
    <t>Version 1.2, Release 2</t>
  </si>
  <si>
    <t>DF</t>
  </si>
  <si>
    <t>TC</t>
  </si>
  <si>
    <t>A78</t>
  </si>
  <si>
    <t>Addition of 'Not Applicable' for Refurbishment Materials criterion</t>
  </si>
  <si>
    <t>B78</t>
  </si>
  <si>
    <t>'=IF(C78=TRUE,A78,0)</t>
  </si>
  <si>
    <t>K78</t>
  </si>
  <si>
    <t>'=IF(C78=FALSE,A78,0)</t>
  </si>
  <si>
    <t>A76</t>
  </si>
  <si>
    <t>B76</t>
  </si>
  <si>
    <t>=IF(C76=TRUE,A76,0)</t>
  </si>
  <si>
    <t>K76</t>
  </si>
  <si>
    <t>'=IF(C76=FALSE,A76,0)</t>
  </si>
  <si>
    <t>C76</t>
  </si>
  <si>
    <t>N55</t>
  </si>
  <si>
    <t>SUM(N48:N54)</t>
  </si>
  <si>
    <t>SUM(N48:N53)</t>
  </si>
  <si>
    <t>Corrected the formula to include credit 16C</t>
  </si>
  <si>
    <t>Version 1.2, Release 3</t>
  </si>
  <si>
    <t>EC</t>
  </si>
  <si>
    <t>-</t>
  </si>
  <si>
    <t>All sheets</t>
  </si>
  <si>
    <t>Password change</t>
  </si>
  <si>
    <t>6GT8bxo*`N</t>
  </si>
  <si>
    <t>captainplanet</t>
  </si>
  <si>
    <t>Password updates for all calculators and scorecards</t>
  </si>
  <si>
    <t>Version 1.2, Release 4</t>
  </si>
  <si>
    <t>Initial, Year 1, Year 2</t>
  </si>
  <si>
    <t>P:P</t>
  </si>
  <si>
    <t>Column Insert</t>
  </si>
  <si>
    <t>New column to randomise credits for staged assessment</t>
  </si>
  <si>
    <t>Q4</t>
  </si>
  <si>
    <t>'=IF(AND(Q118=0,Q119=0),"",Q124)</t>
  </si>
  <si>
    <t>'=IF(S128&lt;SUM(R124:R125),"",T128)</t>
  </si>
  <si>
    <t xml:space="preserve">Included randomiser for staged assessments </t>
  </si>
  <si>
    <t>P9</t>
  </si>
  <si>
    <t>STAGED ASSESSMENT RANDOMISER</t>
  </si>
  <si>
    <t>P11</t>
  </si>
  <si>
    <t>'=IF(OR(AND(K11="-",L11&lt;&gt;""),C11=TRUE),1,IF(OR(L11="",L11=0),"",RAND()))</t>
  </si>
  <si>
    <t>If the credit is a conditional/minimum requirement or claimed as NA, the formula will return the value 1 (to be assessed as comprehensive), otherwise if the credit is targeted the formula will generate a random number</t>
  </si>
  <si>
    <t>P12</t>
  </si>
  <si>
    <t>'=IF(OR(AND(K12="-",L12&lt;&gt;""),C12=TRUE),1,IF(OR(L12="",L12=0),"",RAND()))</t>
  </si>
  <si>
    <t>P13</t>
  </si>
  <si>
    <t>'=IF(OR(AND(K13="-",L13&lt;&gt;""),C13=TRUE),1,IF(OR(L13="",L13=0),"",RAND()))</t>
  </si>
  <si>
    <t>P14</t>
  </si>
  <si>
    <t>'=IF(OR(AND(K14="-",L14&lt;&gt;""),C14=TRUE),1,IF(OR(L14="",L14=0),"",RAND()))</t>
  </si>
  <si>
    <t>P15</t>
  </si>
  <si>
    <t>'=IF(OR(AND(K15="-",L15&lt;&gt;""),C15=TRUE),1,IF(OR(L15="",L15=0),"",RAND()))</t>
  </si>
  <si>
    <t>P16</t>
  </si>
  <si>
    <t>'=IF(OR(AND(K16="-",L16&lt;&gt;""),C16=TRUE),1,IF(OR(L16="",L16=0),"",RAND()))</t>
  </si>
  <si>
    <t>P17</t>
  </si>
  <si>
    <t>'=IF(OR(AND(K17="-",L17&lt;&gt;""),C17=TRUE),1,IF(OR(L17="",L17=0),"",RAND()))</t>
  </si>
  <si>
    <t>P18</t>
  </si>
  <si>
    <t>'=IF(OR(AND(K18="-",L18&lt;&gt;""),C18=TRUE),1,IF(OR(L18="",L18=0),"",RAND()))</t>
  </si>
  <si>
    <t>P19</t>
  </si>
  <si>
    <t>'=IF(OR(AND(K19="-",L19&lt;&gt;""),C19=TRUE),1,IF(OR(L19="",L19=0),"",RAND()))</t>
  </si>
  <si>
    <t>P20</t>
  </si>
  <si>
    <t>'=IF(OR(AND(K20="-",L20&lt;&gt;""),C20=TRUE),1,IF(OR(L20="",L20=0),"",RAND()))</t>
  </si>
  <si>
    <t>P21</t>
  </si>
  <si>
    <t>'=IF(OR(AND(K21="-",L21&lt;&gt;""),C21=TRUE),1,IF(OR(L21="",L21=0),"",RAND()))</t>
  </si>
  <si>
    <t>P22</t>
  </si>
  <si>
    <t>'=IF(OR(AND(K22="-",L22&lt;&gt;""),C22=TRUE),1,IF(OR(L22="",L22=0),"",RAND()))</t>
  </si>
  <si>
    <t>P23</t>
  </si>
  <si>
    <t>'=IF(OR(AND(K23="-",L23&lt;&gt;""),C23=TRUE),1,IF(OR(L23="",L23=0),"",RAND()))</t>
  </si>
  <si>
    <t>P24</t>
  </si>
  <si>
    <t>'=IF(OR(AND(K24="-",L24&lt;&gt;""),C24=TRUE),1,IF(OR(L24="",L24=0),"",RAND()))</t>
  </si>
  <si>
    <t>P25</t>
  </si>
  <si>
    <t>'=IF(OR(AND(K25="-",L25&lt;&gt;""),C25=TRUE),1,IF(OR(L25="",L25=0),"",RAND()))</t>
  </si>
  <si>
    <t>P26</t>
  </si>
  <si>
    <t>'=IF(OR(AND(K26="-",L26&lt;&gt;""),C26=TRUE),1,IF(OR(L26="",L26=0),"",RAND()))</t>
  </si>
  <si>
    <t>P30</t>
  </si>
  <si>
    <t>'=IF(OR(AND(K30="-",L30&lt;&gt;""),C30=TRUE),1,IF(OR(L30="",L30=0),"",RAND()))</t>
  </si>
  <si>
    <t>P31</t>
  </si>
  <si>
    <t>'=IF(OR(AND(K31="-",L31&lt;&gt;""),C31=TRUE),1,IF(OR(L31="",L31=0),"",RAND()))</t>
  </si>
  <si>
    <t>P32</t>
  </si>
  <si>
    <t>'=IF(OR(AND(K32="-",L32&lt;&gt;""),C32=TRUE),1,IF(OR(L32="",L32=0),"",RAND()))</t>
  </si>
  <si>
    <t>P33</t>
  </si>
  <si>
    <t>'=IF(OR(AND(K33="-",L33&lt;&gt;""),C33=TRUE),1,IF(OR(L33="",L33=0),"",RAND()))</t>
  </si>
  <si>
    <t>P34</t>
  </si>
  <si>
    <t>'=IF(OR(AND(K34="-",L34&lt;&gt;""),C34=TRUE),1,IF(OR(L34="",L34=0),"",RAND()))</t>
  </si>
  <si>
    <t>P35</t>
  </si>
  <si>
    <t>'=IF(OR(AND(K35="-",L35&lt;&gt;""),C35=TRUE),1,IF(OR(L35="",L35=0),"",RAND()))</t>
  </si>
  <si>
    <t>P36</t>
  </si>
  <si>
    <t>'=IF(OR(AND(K36="-",L36&lt;&gt;""),C36=TRUE),1,IF(OR(L36="",L36=0),"",RAND()))</t>
  </si>
  <si>
    <t>P37</t>
  </si>
  <si>
    <t>'=IF(OR(AND(K37="-",L37&lt;&gt;""),C37=TRUE),1,IF(OR(L37="",L37=0),"",RAND()))</t>
  </si>
  <si>
    <t>P38</t>
  </si>
  <si>
    <t>'=IF(OR(AND(K38="-",L38&lt;&gt;""),C38=TRUE),1,IF(OR(L38="",L38=0),"",RAND()))</t>
  </si>
  <si>
    <t>P39</t>
  </si>
  <si>
    <t>'=IF(OR(AND(K39="-",L39&lt;&gt;""),C39=TRUE),1,IF(OR(L39="",L39=0),"",RAND()))</t>
  </si>
  <si>
    <t>P40</t>
  </si>
  <si>
    <t>'=IF(OR(AND(K40="-",L40&lt;&gt;""),C40=TRUE),1,IF(OR(L40="",L40=0),"",RAND()))</t>
  </si>
  <si>
    <t>P41</t>
  </si>
  <si>
    <t>'=IF(OR(AND(K41="-",L41&lt;&gt;""),C41=TRUE),1,IF(OR(L41="",L41=0),"",RAND()))</t>
  </si>
  <si>
    <t>P42</t>
  </si>
  <si>
    <t>'=IF(OR(AND(K42="-",L42&lt;&gt;""),C42=TRUE),1,IF(OR(L42="",L42=0),"",RAND()))</t>
  </si>
  <si>
    <t>P43</t>
  </si>
  <si>
    <t>'=IF(OR(AND(K43="-",L43&lt;&gt;""),C43=TRUE),1,IF(OR(L43="",L43=0),"",RAND()))</t>
  </si>
  <si>
    <t>P44</t>
  </si>
  <si>
    <t>'=IF(OR(AND(K44="-",L44&lt;&gt;""),C44=TRUE),1,IF(OR(L44="",L44=0),"",RAND()))</t>
  </si>
  <si>
    <t>P45</t>
  </si>
  <si>
    <t>'=IF(OR(AND(K45="-",L45&lt;&gt;""),C45=TRUE),1,IF(OR(L45="",L45=0),"",RAND()))</t>
  </si>
  <si>
    <t>P49</t>
  </si>
  <si>
    <t>'=IF(L49="","",1)</t>
  </si>
  <si>
    <t>All credits in Energy category must be assessed as comprehensive so if the credit is targeted, the formula will just return the value 1</t>
  </si>
  <si>
    <t>P50</t>
  </si>
  <si>
    <t>'=IF(L50="","",1)</t>
  </si>
  <si>
    <t>P51</t>
  </si>
  <si>
    <t>'=IF(L51="","",1)</t>
  </si>
  <si>
    <t>P52</t>
  </si>
  <si>
    <t>'=IF(L52="","",1)</t>
  </si>
  <si>
    <t>P53</t>
  </si>
  <si>
    <t>'=IF(L53="","",1)</t>
  </si>
  <si>
    <t>P54</t>
  </si>
  <si>
    <t>'=IF(L54="","",1)</t>
  </si>
  <si>
    <t>P55</t>
  </si>
  <si>
    <t>'=IF(L55="","",1)</t>
  </si>
  <si>
    <t>P59</t>
  </si>
  <si>
    <t>'=IF(OR(AND(K59="-",L59&lt;&gt;""),C59=TRUE),1,IF(OR(L59="",L59=0),"",RAND()))</t>
  </si>
  <si>
    <t>P60</t>
  </si>
  <si>
    <t>'=IF(OR(AND(K60="-",L60&lt;&gt;""),C60=TRUE),1,IF(OR(L60="",L60=0),"",RAND()))</t>
  </si>
  <si>
    <t>P61</t>
  </si>
  <si>
    <t>'=IF(OR(AND(K61="-",L61&lt;&gt;""),C61=TRUE),1,IF(OR(L61="",L61=0),"",RAND()))</t>
  </si>
  <si>
    <t>P62</t>
  </si>
  <si>
    <t>'=IF(OR(AND(K62="-",L62&lt;&gt;""),C62=TRUE),1,IF(OR(L62="",L62=0),"",RAND()))</t>
  </si>
  <si>
    <t>P63</t>
  </si>
  <si>
    <t>'=IF(OR(AND(K63="-",L63&lt;&gt;""),C63=TRUE),1,IF(OR(L63="",L63=0),"",RAND()))</t>
  </si>
  <si>
    <t>P64</t>
  </si>
  <si>
    <t>'=IF(OR(AND(K64="-",L64&lt;&gt;""),C64=TRUE),1,IF(OR(L64="",L64=0),"",RAND()))</t>
  </si>
  <si>
    <t>P68</t>
  </si>
  <si>
    <t>'=IF(OR(AND(K68="-",L68&lt;&gt;""),C68=TRUE),1,IF(OR(L68="",L68=0),"",RAND()))</t>
  </si>
  <si>
    <t>P69</t>
  </si>
  <si>
    <t>'=IF(OR(AND(K69="-",L69&lt;&gt;""),C69=TRUE),1,IF(OR(L69="",L69=0),"",RAND()))</t>
  </si>
  <si>
    <t>P70</t>
  </si>
  <si>
    <t>'=IF(OR(AND(K70="-",L70&lt;&gt;""),C70=TRUE),1,IF(OR(L70="",L70=0),"",RAND()))</t>
  </si>
  <si>
    <t>P71</t>
  </si>
  <si>
    <t>'=IF(OR(AND(K71="-",L71&lt;&gt;""),C71=TRUE),1,IF(OR(L71="",L71=0),"",RAND()))</t>
  </si>
  <si>
    <t>P72</t>
  </si>
  <si>
    <t>'=IF(OR(AND(K72="-",L72&lt;&gt;""),C72=TRUE),1,IF(OR(L72="",L72=0),"",RAND()))</t>
  </si>
  <si>
    <t>P73</t>
  </si>
  <si>
    <t>'=IF(OR(AND(K73="-",L73&lt;&gt;""),C73=TRUE),1,IF(OR(L73="",L73=0),"",RAND()))</t>
  </si>
  <si>
    <t>P77</t>
  </si>
  <si>
    <t>'=IF(OR(AND(K77="-",L77&lt;&gt;""),C77=TRUE),1,IF(OR(L77="",L77=0),"",RAND()))</t>
  </si>
  <si>
    <t>P78</t>
  </si>
  <si>
    <t>'=IF(OR(AND(K78="-",L78&lt;&gt;""),C78=TRUE),1,IF(OR(L78="",L78=0),"",RAND()))</t>
  </si>
  <si>
    <t>P79</t>
  </si>
  <si>
    <t>'=IF(OR(AND(K79="-",L79&lt;&gt;""),C79=TRUE),1,IF(OR(L79="",L79=0),"",RAND()))</t>
  </si>
  <si>
    <t>P80</t>
  </si>
  <si>
    <t>'=IF(OR(AND(K80="-",L80&lt;&gt;""),C80=TRUE),1,IF(OR(L80="",L80=0),"",RAND()))</t>
  </si>
  <si>
    <t>P81</t>
  </si>
  <si>
    <t>'=IF(OR(AND(K81="-",L81&lt;&gt;""),C81=TRUE),1,IF(OR(L81="",L81=0),"",RAND()))</t>
  </si>
  <si>
    <t>P82</t>
  </si>
  <si>
    <t>'=IF(OR(AND(K82="-",L82&lt;&gt;""),C82=TRUE),1,IF(OR(L82="",L82=0),"",RAND()))</t>
  </si>
  <si>
    <t>P83</t>
  </si>
  <si>
    <t>'=IF(OR(AND(K83="-",L83&lt;&gt;""),C83=TRUE),1,IF(OR(L83="",L83=0),"",RAND()))</t>
  </si>
  <si>
    <t>P87</t>
  </si>
  <si>
    <t>'=IF(L87="","",1)</t>
  </si>
  <si>
    <t>All credits in Water category must be assessed as comprehensive so if the credit is targeted, the formula will just return the value 1</t>
  </si>
  <si>
    <t>P88</t>
  </si>
  <si>
    <t>'=IF(L88="","",1)</t>
  </si>
  <si>
    <t>P89</t>
  </si>
  <si>
    <t>'=IF(L89="","",1)</t>
  </si>
  <si>
    <t>P90</t>
  </si>
  <si>
    <t>'=IF(L90="","",1)</t>
  </si>
  <si>
    <t>P91</t>
  </si>
  <si>
    <t>'=IF(L91="","",1)</t>
  </si>
  <si>
    <t>P95</t>
  </si>
  <si>
    <t>'=IF(OR(AND(K95="-",L95&lt;&gt;""),C95=TRUE),1,IF(OR(L95="",L95=0),"",RAND()))</t>
  </si>
  <si>
    <t>P96</t>
  </si>
  <si>
    <t>'=IF(OR(AND(K96="-",L96&lt;&gt;""),C96=TRUE),1,IF(OR(L96="",L96=0),"",RAND()))</t>
  </si>
  <si>
    <t>P97</t>
  </si>
  <si>
    <t>'=IF(OR(AND(K97="-",L97&lt;&gt;""),C97=TRUE),1,IF(OR(L97="",L97=0),"",RAND()))</t>
  </si>
  <si>
    <t>P98</t>
  </si>
  <si>
    <t>'=IF(OR(AND(K98="-",L98&lt;&gt;""),C98=TRUE),1,IF(OR(L98="",L98=0),"",RAND()))</t>
  </si>
  <si>
    <t>P99</t>
  </si>
  <si>
    <t>'=IF(OR(AND(K99="-",L99&lt;&gt;""),C99=TRUE),1,IF(OR(L99="",L99=0),"",RAND()))</t>
  </si>
  <si>
    <t>P100</t>
  </si>
  <si>
    <t>'=IF(OR(AND(K100="-",L100&lt;&gt;""),C100=TRUE),1,IF(OR(L100="",L100=0),"",RAND()))</t>
  </si>
  <si>
    <t>P104</t>
  </si>
  <si>
    <t>'=IF(L104="","",1)</t>
  </si>
  <si>
    <t>All credits in Innovation category must be assessed as comprehensive so if the credit is targeted, the formula will just return the value 1</t>
  </si>
  <si>
    <t>P105</t>
  </si>
  <si>
    <t>'=IF(L105="","",1)</t>
  </si>
  <si>
    <t>P106</t>
  </si>
  <si>
    <t>'=IF(L106="","",1)</t>
  </si>
  <si>
    <t>P107</t>
  </si>
  <si>
    <t>'=IF(L107="","",1)</t>
  </si>
  <si>
    <t>P108</t>
  </si>
  <si>
    <t>'=IF(L108="","",1)</t>
  </si>
  <si>
    <t>Q10</t>
  </si>
  <si>
    <t>'=CONCATENATE(COUNTIF(Q10:Q25,"Comprehensive")," Comprehensive",CHAR(10),COUNTIF(Q10:Q25,"Core")," Core")</t>
  </si>
  <si>
    <t>Counts how many credits in Management category will be assigned Comprehensive and Core stage for assessment</t>
  </si>
  <si>
    <t>Q11</t>
  </si>
  <si>
    <t>'=IF(P11="","",IF(ROUNDUP(RANK(P11,$P$11:$P$26)/ROUND((COUNT($P$11:$P$26)/2),0),0)=1,"Comprehensive","Core"))</t>
  </si>
  <si>
    <t>If this credit is targeted, the formula ranks the value of the randomised value in ascending order. It then counts how many credits are targeted and assigns the first half the value 1 (i.e. Comprehensive) and the second half the value 2 (i.e. Core). If an odd number of credits are targeted, then the extra credit is assigned Comprehensive, hence the ROUNDUP() and ROUND() formulae.</t>
  </si>
  <si>
    <t>Q12</t>
  </si>
  <si>
    <t>'=IF(P12="","",IF(ROUNDUP(RANK(P12,$P$11:$P$26)/ROUND((COUNT($P$11:$P$26)/2),0),0)=1,"Comprehensive","Core"))</t>
  </si>
  <si>
    <t>Q13</t>
  </si>
  <si>
    <t>'=IF(P13="","",IF(ROUNDUP(RANK(P13,$P$11:$P$26)/ROUND((COUNT($P$11:$P$26)/2),0),0)=1,"Comprehensive","Core"))</t>
  </si>
  <si>
    <t>Q14</t>
  </si>
  <si>
    <t>'=IF(P14="","",IF(ROUNDUP(RANK(P14,$P$11:$P$26)/ROUND((COUNT($P$11:$P$26)/2),0),0)=1,"Comprehensive","Core"))</t>
  </si>
  <si>
    <t>Q15</t>
  </si>
  <si>
    <t>'=IF(P15="","",IF(ROUNDUP(RANK(P15,$P$11:$P$26)/ROUND((COUNT($P$11:$P$26)/2),0),0)=1,"Comprehensive","Core"))</t>
  </si>
  <si>
    <t>Q16</t>
  </si>
  <si>
    <t>'=IF(P16="","",IF(ROUNDUP(RANK(P16,$P$11:$P$26)/ROUND((COUNT($P$11:$P$26)/2),0),0)=1,"Comprehensive","Core"))</t>
  </si>
  <si>
    <t>Q17</t>
  </si>
  <si>
    <t>'=IF(P17="","",IF(ROUNDUP(RANK(P17,$P$11:$P$26)/ROUND((COUNT($P$11:$P$26)/2),0),0)=1,"Comprehensive","Core"))</t>
  </si>
  <si>
    <t>Q18</t>
  </si>
  <si>
    <t>'=IF(P18="","",IF(ROUNDUP(RANK(P18,$P$11:$P$26)/ROUND((COUNT($P$11:$P$26)/2),0),0)=1,"Comprehensive","Core"))</t>
  </si>
  <si>
    <t>Q19</t>
  </si>
  <si>
    <t>'=IF(P19="","",IF(ROUNDUP(RANK(P19,$P$11:$P$26)/ROUND((COUNT($P$11:$P$26)/2),0),0)=1,"Comprehensive","Core"))</t>
  </si>
  <si>
    <t>Q20</t>
  </si>
  <si>
    <t>'=IF(P20="","",IF(ROUNDUP(RANK(P20,$P$11:$P$26)/ROUND((COUNT($P$11:$P$26)/2),0),0)=1,"Comprehensive","Core"))</t>
  </si>
  <si>
    <t>Q21</t>
  </si>
  <si>
    <t>'=IF(P21="","",IF(ROUNDUP(RANK(P21,$P$11:$P$26)/ROUND((COUNT($P$11:$P$26)/2),0),0)=1,"Comprehensive","Core"))</t>
  </si>
  <si>
    <t>Q22</t>
  </si>
  <si>
    <t>'=IF(P22="","",IF(ROUNDUP(RANK(P22,$P$11:$P$26)/ROUND((COUNT($P$11:$P$26)/2),0),0)=1,"Comprehensive","Core"))</t>
  </si>
  <si>
    <t>Q23</t>
  </si>
  <si>
    <t>'=IF(P23="","",IF(ROUNDUP(RANK(P23,$P$11:$P$26)/ROUND((COUNT($P$11:$P$26)/2),0),0)=1,"Comprehensive","Core"))</t>
  </si>
  <si>
    <t>Q24</t>
  </si>
  <si>
    <t>'=IF(P24="","",IF(ROUNDUP(RANK(P24,$P$11:$P$26)/ROUND((COUNT($P$11:$P$26)/2),0),0)=1,"Comprehensive","Core"))</t>
  </si>
  <si>
    <t>Q25</t>
  </si>
  <si>
    <t>'=IF(P25="","",IF(ROUNDUP(RANK(P25,$P$11:$P$26)/ROUND((COUNT($P$11:$P$26)/2),0),0)=1,"Comprehensive","Core"))</t>
  </si>
  <si>
    <t>Q26</t>
  </si>
  <si>
    <t>'=IF(P26="","",IF(ROUNDUP(RANK(P26,$P$11:$P$26)/ROUND((COUNT($P$11:$P$26)/2),0),0)=1,"Comprehensive","Core"))</t>
  </si>
  <si>
    <t>Q29</t>
  </si>
  <si>
    <t>'=CONCATENATE(COUNTIF(Q30:Q45,"Comprehensive")," Comprehensive",CHAR(10),COUNTIF(Q30:Q45,"Core")," Core")</t>
  </si>
  <si>
    <t>Counts how many credits in Indoor Environment Quality category will be assigned Comprehensive and Core stage for assessment</t>
  </si>
  <si>
    <t>Q30</t>
  </si>
  <si>
    <t>'=IF(P30="","",IF(ROUNDUP(RANK(P30,$P$30:$P$45)/ROUND((COUNT($P$30:$P$45)/2),0),0)=1,"Comprehensive","Core"))</t>
  </si>
  <si>
    <t>Q31</t>
  </si>
  <si>
    <t>'=IF(P31="","",IF(ROUNDUP(RANK(P31,$P$30:$P$45)/ROUND((COUNT($P$30:$P$45)/2),0),0)=1,"Comprehensive","Core"))</t>
  </si>
  <si>
    <t>Q32</t>
  </si>
  <si>
    <t>'=IF(P32="","",IF(ROUNDUP(RANK(P32,$P$30:$P$45)/ROUND((COUNT($P$30:$P$45)/2),0),0)=1,"Comprehensive","Core"))</t>
  </si>
  <si>
    <t>Q33</t>
  </si>
  <si>
    <t>'=IF(P33="","",IF(ROUNDUP(RANK(P33,$P$30:$P$45)/ROUND((COUNT($P$30:$P$45)/2),0),0)=1,"Comprehensive","Core"))</t>
  </si>
  <si>
    <t>Q34</t>
  </si>
  <si>
    <t>'=IF(P34="","",IF(ROUNDUP(RANK(P34,$P$30:$P$45)/ROUND((COUNT($P$30:$P$45)/2),0),0)=1,"Comprehensive","Core"))</t>
  </si>
  <si>
    <t>Q35</t>
  </si>
  <si>
    <t>'=IF(P35="","",IF(ROUNDUP(RANK(P35,$P$30:$P$45)/ROUND((COUNT($P$30:$P$45)/2),0),0)=1,"Comprehensive","Core"))</t>
  </si>
  <si>
    <t>Q36</t>
  </si>
  <si>
    <t>'=IF(P36="","",IF(ROUNDUP(RANK(P36,$P$30:$P$45)/ROUND((COUNT($P$30:$P$45)/2),0),0)=1,"Comprehensive","Core"))</t>
  </si>
  <si>
    <t>Q37</t>
  </si>
  <si>
    <t>'=IF(P37="","",IF(ROUNDUP(RANK(P37,$P$30:$P$45)/ROUND((COUNT($P$30:$P$45)/2),0),0)=1,"Comprehensive","Core"))</t>
  </si>
  <si>
    <t>Q38</t>
  </si>
  <si>
    <t>'=IF(P38="","",IF(ROUNDUP(RANK(P38,$P$30:$P$45)/ROUND((COUNT($P$30:$P$45)/2),0),0)=1,"Comprehensive","Core"))</t>
  </si>
  <si>
    <t>Q39</t>
  </si>
  <si>
    <t>'=IF(P39="","",IF(ROUNDUP(RANK(P39,$P$30:$P$45)/ROUND((COUNT($P$30:$P$45)/2),0),0)=1,"Comprehensive","Core"))</t>
  </si>
  <si>
    <t>Q40</t>
  </si>
  <si>
    <t>'=IF(P40="","",IF(ROUNDUP(RANK(P40,$P$30:$P$45)/ROUND((COUNT($P$30:$P$45)/2),0),0)=1,"Comprehensive","Core"))</t>
  </si>
  <si>
    <t>Q41</t>
  </si>
  <si>
    <t>'=IF(P41="","",IF(ROUNDUP(RANK(P41,$P$30:$P$45)/ROUND((COUNT($P$30:$P$45)/2),0),0)=1,"Comprehensive","Core"))</t>
  </si>
  <si>
    <t>Q42</t>
  </si>
  <si>
    <t>'=IF(P42="","",IF(ROUNDUP(RANK(P42,$P$30:$P$45)/ROUND((COUNT($P$30:$P$45)/2),0),0)=1,"Comprehensive","Core"))</t>
  </si>
  <si>
    <t>Q43</t>
  </si>
  <si>
    <t>'=IF(P43="","",IF(ROUNDUP(RANK(P43,$P$30:$P$45)/ROUND((COUNT($P$30:$P$45)/2),0),0)=1,"Comprehensive","Core"))</t>
  </si>
  <si>
    <t>Q44</t>
  </si>
  <si>
    <t>'=IF(P44="","",IF(ROUNDUP(RANK(P44,$P$30:$P$45)/ROUND((COUNT($P$30:$P$45)/2),0),0)=1,"Comprehensive","Core"))</t>
  </si>
  <si>
    <t>Q45</t>
  </si>
  <si>
    <t>'=IF(P45="","",IF(ROUNDUP(RANK(P45,$P$30:$P$45)/ROUND((COUNT($P$30:$P$45)/2),0),0)=1,"Comprehensive","Core"))</t>
  </si>
  <si>
    <t>Q48</t>
  </si>
  <si>
    <t>'=CONCATENATE(COUNTIF(Q49:Q55,"Comprehensive")," Comprehensive",CHAR(10),COUNTIF(Q49:Q55,"Core")," Core")</t>
  </si>
  <si>
    <t>Counts how many credits in Energy category will be assigned Comprehensive and Core stage for assessment</t>
  </si>
  <si>
    <t>Q49</t>
  </si>
  <si>
    <t>'=IF(P49="","",IF(ROUNDUP(RANK(P49,$P$49:$P$55)/ROUND((COUNT($P$49:$P$55)/2),0),0)=1,"Comprehensive","Core"))</t>
  </si>
  <si>
    <t>Q50</t>
  </si>
  <si>
    <t>'=IF(P50="","",IF(ROUNDUP(RANK(P50,$P$49:$P$55)/ROUND((COUNT($P$49:$P$55)/2),0),0)=1,"Comprehensive","Core"))</t>
  </si>
  <si>
    <t>Q51</t>
  </si>
  <si>
    <t>'=IF(P51="","",IF(ROUNDUP(RANK(P51,$P$49:$P$55)/ROUND((COUNT($P$49:$P$55)/2),0),0)=1,"Comprehensive","Core"))</t>
  </si>
  <si>
    <t>Q52</t>
  </si>
  <si>
    <t>'=IF(P52="","",IF(ROUNDUP(RANK(P52,$P$49:$P$55)/ROUND((COUNT($P$49:$P$55)/2),0),0)=1,"Comprehensive","Core"))</t>
  </si>
  <si>
    <t>Q53</t>
  </si>
  <si>
    <t>'=IF(P53="","",IF(ROUNDUP(RANK(P53,$P$49:$P$55)/ROUND((COUNT($P$49:$P$55)/2),0),0)=1,"Comprehensive","Core"))</t>
  </si>
  <si>
    <t>Q54</t>
  </si>
  <si>
    <t>'=IF(P54="","",IF(ROUNDUP(RANK(P54,$P$49:$P$55)/ROUND((COUNT($P$49:$P$55)/2),0),0)=1,"Comprehensive","Core"))</t>
  </si>
  <si>
    <t>Q55</t>
  </si>
  <si>
    <t>'=IF(P55="","",IF(ROUNDUP(RANK(P55,$P$49:$P$55)/ROUND((COUNT($P$49:$P$55)/2),0),0)=1,"Comprehensive","Core"))</t>
  </si>
  <si>
    <t>Q58</t>
  </si>
  <si>
    <t>'=CONCATENATE(COUNTIF(Q59:Q64,"Comprehensive")," Comprehensive",CHAR(10),COUNTIF(Q59:Q64,"Core")," Core")</t>
  </si>
  <si>
    <t>Counts how many credits in Transport category will be assigned Comprehensive and Core stage for assessment</t>
  </si>
  <si>
    <t>Q59</t>
  </si>
  <si>
    <t>'=IF(P59="","",IF(ROUNDUP(RANK(P59,$P$59:$P$64)/ROUND((COUNT($P$59:$P$64)/2),0),0)=1,"Comprehensive","Core"))</t>
  </si>
  <si>
    <t>Q60</t>
  </si>
  <si>
    <t>'=IF(P60="","",IF(ROUNDUP(RANK(P60,$P$59:$P$64)/ROUND((COUNT($P$59:$P$64)/2),0),0)=1,"Comprehensive","Core"))</t>
  </si>
  <si>
    <t>Q61</t>
  </si>
  <si>
    <t>'=IF(P61="","",IF(ROUNDUP(RANK(P61,$P$59:$P$64)/ROUND((COUNT($P$59:$P$64)/2),0),0)=1,"Comprehensive","Core"))</t>
  </si>
  <si>
    <t>Q62</t>
  </si>
  <si>
    <t>'=IF(P62="","",IF(ROUNDUP(RANK(P62,$P$59:$P$64)/ROUND((COUNT($P$59:$P$64)/2),0),0)=1,"Comprehensive","Core"))</t>
  </si>
  <si>
    <t>Q63</t>
  </si>
  <si>
    <t>'=IF(P63="","",IF(ROUNDUP(RANK(P63,$P$59:$P$64)/ROUND((COUNT($P$59:$P$64)/2),0),0)=1,"Comprehensive","Core"))</t>
  </si>
  <si>
    <t>Q64</t>
  </si>
  <si>
    <t>'=IF(P64="","",IF(ROUNDUP(RANK(P64,$P$59:$P$64)/ROUND((COUNT($P$59:$P$64)/2),0),0)=1,"Comprehensive","Core"))</t>
  </si>
  <si>
    <t>Q67</t>
  </si>
  <si>
    <t>'=CONCATENATE(COUNTIF(Q68:Q73,"Comprehensive")," Comprehensive",CHAR(10),COUNTIF(Q68:Q73,"Core")," Core")</t>
  </si>
  <si>
    <t>Counts how many credits in Water category will be assigned Comprehensive and Core stage for assessment</t>
  </si>
  <si>
    <t>Q68</t>
  </si>
  <si>
    <t>'=IF(P68="","",IF(ROUNDUP(RANK(P68,$P$68:$P$73)/ROUND((COUNT($P$68:$P$73)/2),0),0)=1,"Comprehensive","Core"))</t>
  </si>
  <si>
    <t>Q69</t>
  </si>
  <si>
    <t>'=IF(P69="","",IF(ROUNDUP(RANK(P69,$P$68:$P$73)/ROUND((COUNT($P$68:$P$73)/2),0),0)=1,"Comprehensive","Core"))</t>
  </si>
  <si>
    <t>Q70</t>
  </si>
  <si>
    <t>'=IF(P70="","",IF(ROUNDUP(RANK(P70,$P$68:$P$73)/ROUND((COUNT($P$68:$P$73)/2),0),0)=1,"Comprehensive","Core"))</t>
  </si>
  <si>
    <t>Q71</t>
  </si>
  <si>
    <t>'=IF(P71="","",IF(ROUNDUP(RANK(P71,$P$68:$P$73)/ROUND((COUNT($P$68:$P$73)/2),0),0)=1,"Comprehensive","Core"))</t>
  </si>
  <si>
    <t>Q72</t>
  </si>
  <si>
    <t>'=IF(P72="","",IF(ROUNDUP(RANK(P72,$P$68:$P$73)/ROUND((COUNT($P$68:$P$73)/2),0),0)=1,"Comprehensive","Core"))</t>
  </si>
  <si>
    <t>Q73</t>
  </si>
  <si>
    <t>'=IF(P73="","",IF(ROUNDUP(RANK(P73,$P$68:$P$73)/ROUND((COUNT($P$68:$P$73)/2),0),0)=1,"Comprehensive","Core"))</t>
  </si>
  <si>
    <t>Q76</t>
  </si>
  <si>
    <t>'=CONCATENATE(COUNTIF(Q77:Q83,"Comprehensive")," Comprehensive",CHAR(10),COUNTIF(Q77:Q83,"Core")," Core")</t>
  </si>
  <si>
    <t>Counts how many credits in Materials category will be assigned Comprehensive and Core stage for assessment</t>
  </si>
  <si>
    <t>Q77</t>
  </si>
  <si>
    <t>'=IF(P77="","",IF(ROUNDUP(RANK(P77,$P$77:$P$83)/ROUND((COUNT($P$77:$P$83)/2),0),0)=1,"Comprehensive","Core"))</t>
  </si>
  <si>
    <t>Q78</t>
  </si>
  <si>
    <t>'=IF(P78="","",IF(ROUNDUP(RANK(P78,$P$77:$P$83)/ROUND((COUNT($P$77:$P$83)/2),0),0)=1,"Comprehensive","Core"))</t>
  </si>
  <si>
    <t>Q79</t>
  </si>
  <si>
    <t>'=IF(P79="","",IF(ROUNDUP(RANK(P79,$P$77:$P$83)/ROUND((COUNT($P$77:$P$83)/2),0),0)=1,"Comprehensive","Core"))</t>
  </si>
  <si>
    <t>Q80</t>
  </si>
  <si>
    <t>'=IF(P80="","",IF(ROUNDUP(RANK(P80,$P$77:$P$83)/ROUND((COUNT($P$77:$P$83)/2),0),0)=1,"Comprehensive","Core"))</t>
  </si>
  <si>
    <t>Q81</t>
  </si>
  <si>
    <t>'=IF(P81="","",IF(ROUNDUP(RANK(P81,$P$77:$P$83)/ROUND((COUNT($P$77:$P$83)/2),0),0)=1,"Comprehensive","Core"))</t>
  </si>
  <si>
    <t>Q82</t>
  </si>
  <si>
    <t>'=IF(P82="","",IF(ROUNDUP(RANK(P82,$P$77:$P$83)/ROUND((COUNT($P$77:$P$83)/2),0),0)=1,"Comprehensive","Core"))</t>
  </si>
  <si>
    <t>Q83</t>
  </si>
  <si>
    <t>'=IF(P83="","",IF(ROUNDUP(RANK(P83,$P$77:$P$83)/ROUND((COUNT($P$77:$P$83)/2),0),0)=1,"Comprehensive","Core"))</t>
  </si>
  <si>
    <t>Q86</t>
  </si>
  <si>
    <t>'=CONCATENATE(COUNTIF(Q87:Q91,"Comprehensive")," Comprehensive",CHAR(10),COUNTIF(Q87:Q91,"Core")," Core")</t>
  </si>
  <si>
    <t>Counts how many credits in Land Use &amp; Ecology category will be assigned Comprehensive and Core stage for assessment</t>
  </si>
  <si>
    <t>Q87</t>
  </si>
  <si>
    <t>'=IF(P87="","",IF(ROUNDUP(RANK(P87,$P$87:$P$91)/ROUND((COUNT($P$87:$P$91)/2),0),0)=1,"Comprehensive","Core"))</t>
  </si>
  <si>
    <t>Q88</t>
  </si>
  <si>
    <t>'=IF(P88="","",IF(ROUNDUP(RANK(P88,$P$87:$P$91)/ROUND((COUNT($P$87:$P$91)/2),0),0)=1,"Comprehensive","Core"))</t>
  </si>
  <si>
    <t>Q89</t>
  </si>
  <si>
    <t>'=IF(P89="","",IF(ROUNDUP(RANK(P89,$P$87:$P$91)/ROUND((COUNT($P$87:$P$91)/2),0),0)=1,"Comprehensive","Core"))</t>
  </si>
  <si>
    <t>Q90</t>
  </si>
  <si>
    <t>'=IF(P90="","",IF(ROUNDUP(RANK(P90,$P$87:$P$91)/ROUND((COUNT($P$87:$P$91)/2),0),0)=1,"Comprehensive","Core"))</t>
  </si>
  <si>
    <t>Q91</t>
  </si>
  <si>
    <t>'=IF(P91="","",IF(ROUNDUP(RANK(P91,$P$87:$P$91)/ROUND((COUNT($P$87:$P$91)/2),0),0)=1,"Comprehensive","Core"))</t>
  </si>
  <si>
    <t>Q94</t>
  </si>
  <si>
    <t>'=CONCATENATE(COUNTIF(Q95:Q100,"Comprehensive")," Comprehensive",CHAR(10),COUNTIF(Q95:Q100,"Core")," Core")</t>
  </si>
  <si>
    <t>Counts how many credits in Emissions category will be assigned Comprehensive and Core stage for assessment</t>
  </si>
  <si>
    <t>Q95</t>
  </si>
  <si>
    <t>'=IF(P95="","",IF(ROUNDUP(RANK(P95,$P$95:$P$100)/ROUND((COUNT($P$95:$P$100)/2),0),0)=1,"Comprehensive","Core"))</t>
  </si>
  <si>
    <t>Q96</t>
  </si>
  <si>
    <t>'=IF(P96="","",IF(ROUNDUP(RANK(P96,$P$95:$P$100)/ROUND((COUNT($P$95:$P$100)/2),0),0)=1,"Comprehensive","Core"))</t>
  </si>
  <si>
    <t>Q97</t>
  </si>
  <si>
    <t>'=IF(P97="","",IF(ROUNDUP(RANK(P97,$P$95:$P$100)/ROUND((COUNT($P$95:$P$100)/2),0),0)=1,"Comprehensive","Core"))</t>
  </si>
  <si>
    <t>Q98</t>
  </si>
  <si>
    <t>'=IF(P98="","",IF(ROUNDUP(RANK(P98,$P$95:$P$100)/ROUND((COUNT($P$95:$P$100)/2),0),0)=1,"Comprehensive","Core"))</t>
  </si>
  <si>
    <t>Q99</t>
  </si>
  <si>
    <t>'=IF(P99="","",IF(ROUNDUP(RANK(P99,$P$95:$P$100)/ROUND((COUNT($P$95:$P$100)/2),0),0)=1,"Comprehensive","Core"))</t>
  </si>
  <si>
    <t>Q100</t>
  </si>
  <si>
    <t>'=IF(P100="","",IF(ROUNDUP(RANK(P100,$P$95:$P$100)/ROUND((COUNT($P$95:$P$100)/2),0),0)=1,"Comprehensive","Core"))</t>
  </si>
  <si>
    <t>Q103</t>
  </si>
  <si>
    <t>'=CONCATENATE(COUNTIF(Q104:Q108,"Comprehensive")," Comprehensive",CHAR(10),COUNTIF(Q104:Q108,"Core")," Core")</t>
  </si>
  <si>
    <t>Counts how many credits in Innovation category will be assigned Comprehensive and Core stage for assessment</t>
  </si>
  <si>
    <t>Q104</t>
  </si>
  <si>
    <t>'=IF(P104="","",IF(ROUNDUP(RANK(P104,$P$104:$P$108)/ROUND((COUNT($P$104:$P$108)/2),0),0)=1,"Comprehensive","Core"))</t>
  </si>
  <si>
    <t>Q105</t>
  </si>
  <si>
    <t>'=IF(P105="","",IF(ROUNDUP(RANK(P105,$P$104:$P$108)/ROUND((COUNT($P$104:$P$108)/2),0),0)=1,"Comprehensive","Core"))</t>
  </si>
  <si>
    <t>Q106</t>
  </si>
  <si>
    <t>'=IF(P106="","",IF(ROUNDUP(RANK(P106,$P$104:$P$108)/ROUND((COUNT($P$104:$P$108)/2),0),0)=1,"Comprehensive","Core"))</t>
  </si>
  <si>
    <t>Q107</t>
  </si>
  <si>
    <t>'=IF(P107="","",IF(ROUNDUP(RANK(P107,$P$104:$P$108)/ROUND((COUNT($P$104:$P$108)/2),0),0)=1,"Comprehensive","Core"))</t>
  </si>
  <si>
    <t>Q108</t>
  </si>
  <si>
    <t>'=IF(P108="","",IF(ROUNDUP(RANK(P108,$P$104:$P$108)/ROUND((COUNT($P$104:$P$108)/2),0),0)=1,"Comprehensive","Core"))</t>
  </si>
  <si>
    <t>Q117</t>
  </si>
  <si>
    <t>TOTALS</t>
  </si>
  <si>
    <t>Q118</t>
  </si>
  <si>
    <t>Assigned Stage</t>
  </si>
  <si>
    <t>R118</t>
  </si>
  <si>
    <t>Assessor Completed Stage</t>
  </si>
  <si>
    <t>P119</t>
  </si>
  <si>
    <t>Core (Excl. Innovation)</t>
  </si>
  <si>
    <t>Q119</t>
  </si>
  <si>
    <t>=COUNTIF($Q$11:$Q$100,"Core")</t>
  </si>
  <si>
    <t>R119</t>
  </si>
  <si>
    <t>=COUNTIF($R$11:$R$100,"Core")</t>
  </si>
  <si>
    <t>P120</t>
  </si>
  <si>
    <t>Comprehensive (Excl. Innovation)</t>
  </si>
  <si>
    <t>Q120</t>
  </si>
  <si>
    <t>=COUNTIF($Q$11:$Q$100,"Comprehensive")</t>
  </si>
  <si>
    <t>R120</t>
  </si>
  <si>
    <t>=COUNTIF($R$11:$R$100,"Comprehensive")</t>
  </si>
  <si>
    <t>P122</t>
  </si>
  <si>
    <t>Criteria Assessed (Excl. Inn.)</t>
  </si>
  <si>
    <t>Q122</t>
  </si>
  <si>
    <t>=COUNTA($S$11:$S$100)</t>
  </si>
  <si>
    <t>P123</t>
  </si>
  <si>
    <t>Outcome: Not Awarded (Excl. Inn.)</t>
  </si>
  <si>
    <t>Q123</t>
  </si>
  <si>
    <t>=COUNTIF($S$11:$S$100,"Not Awarded - Major Non-compliance")</t>
  </si>
  <si>
    <t>P124</t>
  </si>
  <si>
    <t>Core Assessed as Comprehensive</t>
  </si>
  <si>
    <t>Q124</t>
  </si>
  <si>
    <t>=COUNTIFS($Q$11:$Q$100,"Core",$R$11:$R$100,"Comprehensive")</t>
  </si>
  <si>
    <t>Stage Count</t>
  </si>
  <si>
    <t>P125</t>
  </si>
  <si>
    <t>Instruction to Assessor</t>
  </si>
  <si>
    <t>Q125</t>
  </si>
  <si>
    <t>=IF(OR(Q122&lt;&gt;SUM(R119:R120),SUM(R119:R120)&lt;&gt;SUM(Q119:Q120)),"Complete the Staged Assessment",IF(AND(Q123&gt;=(Q122*0.5),Q124=0),"Assess Core as Comprehensive","Assessment Complete"))</t>
  </si>
  <si>
    <t>R124</t>
  </si>
  <si>
    <t>'=COUNTIF($R$10:$R$99,"Core")</t>
  </si>
  <si>
    <t>Removed Previous back end calculations for staged assessments</t>
  </si>
  <si>
    <t>O124</t>
  </si>
  <si>
    <t>Core</t>
  </si>
  <si>
    <t>O125</t>
  </si>
  <si>
    <t>Stage 1</t>
  </si>
  <si>
    <t>O126</t>
  </si>
  <si>
    <t>Stage 2</t>
  </si>
  <si>
    <t>O127</t>
  </si>
  <si>
    <t>Stage 3</t>
  </si>
  <si>
    <t>O128</t>
  </si>
  <si>
    <t>Total</t>
  </si>
  <si>
    <t>'=COUNTIF($Q$10:$Q$99,"Stage 1")</t>
  </si>
  <si>
    <t>R125</t>
  </si>
  <si>
    <t>'=COUNTIF($R$10:$R$99,"Stage 1")</t>
  </si>
  <si>
    <t>Q126</t>
  </si>
  <si>
    <t>'=COUNTIF($Q$10:$Q$99,"Stage 2")</t>
  </si>
  <si>
    <t>R126</t>
  </si>
  <si>
    <t>'=COUNTIF($R$10:$R$99,"Stage 2")</t>
  </si>
  <si>
    <t>Q127</t>
  </si>
  <si>
    <t>'=COUNTIF($Q$10:$Q$99,"Stage 3")</t>
  </si>
  <si>
    <t>R127</t>
  </si>
  <si>
    <t>'=COUNTIF($R$10:$R$99,"Stage 3")</t>
  </si>
  <si>
    <t>S123</t>
  </si>
  <si>
    <t>Outcome Count</t>
  </si>
  <si>
    <t>T123</t>
  </si>
  <si>
    <t>Assessment Result</t>
  </si>
  <si>
    <t>S124</t>
  </si>
  <si>
    <t>'=COUNTIF($S$10:$S$99,"Not Awarded - Major Non Compliance")</t>
  </si>
  <si>
    <t>S125</t>
  </si>
  <si>
    <t>T125</t>
  </si>
  <si>
    <t>'=IF(S125&gt;R125*0.5,"Go to Stage 2","Assessment Complete")</t>
  </si>
  <si>
    <t>S126</t>
  </si>
  <si>
    <t>T126</t>
  </si>
  <si>
    <t>'=IF(AND(T125="Go to Stage 2",R126=0),T125,IF(S126&gt;SUM(R125:R126)*0.5,"Go to Stage 3","Assessment Complete"))</t>
  </si>
  <si>
    <t>S127</t>
  </si>
  <si>
    <t>S128</t>
  </si>
  <si>
    <t>'=COUNTIF(S10:S99,"Awarded - Compliant")+COUNTIF(S10:S99,"Awarded - Minor Non Compliance")+COUNTIF(S10:S99,"Not Awarded - Major Non Compliance")</t>
  </si>
  <si>
    <t>T128</t>
  </si>
  <si>
    <t>'=IF(T125="Assessment Complete", T125, IF(T126="Assessment Complete", T126, IF(R124&gt;=1, T126,"Assessment Complete")))</t>
  </si>
  <si>
    <t>Registration Date</t>
  </si>
  <si>
    <t>Cell for project teams to enter the project registration date</t>
  </si>
  <si>
    <t>Performance Period Start</t>
  </si>
  <si>
    <t>Cell for project teams to enter the performance period</t>
  </si>
  <si>
    <t>B15</t>
  </si>
  <si>
    <t>Performance Period End</t>
  </si>
  <si>
    <t>End date of performance period</t>
  </si>
  <si>
    <t>C15</t>
  </si>
  <si>
    <t>=IF($C$14="","",EDATE($C$14,12)-1)</t>
  </si>
  <si>
    <t>B16</t>
  </si>
  <si>
    <t>Certification Phase</t>
  </si>
  <si>
    <t>Rewording to be consistent with Portfolio scorecard</t>
  </si>
  <si>
    <t>C17</t>
  </si>
  <si>
    <t>'=IF($C$16="","Select the Certification Phase",CONCATENATE("Complete the '",$C$16,"' scorecard worksheet"))</t>
  </si>
  <si>
    <t>Instruction to project teams for which worksheet to use for the selected certification phase</t>
  </si>
  <si>
    <t>E3</t>
  </si>
  <si>
    <t>Submission Deadlines</t>
  </si>
  <si>
    <t>List of submission deadlines</t>
  </si>
  <si>
    <t>E5</t>
  </si>
  <si>
    <t>Certification</t>
  </si>
  <si>
    <t>List of the different certification phases</t>
  </si>
  <si>
    <t>E6</t>
  </si>
  <si>
    <t>=BW2</t>
  </si>
  <si>
    <t>References the list for Initial, Year 1, Year 2, and Rertification</t>
  </si>
  <si>
    <t>E7</t>
  </si>
  <si>
    <t>=BW3</t>
  </si>
  <si>
    <t>E8</t>
  </si>
  <si>
    <t>=BW4</t>
  </si>
  <si>
    <t>E9</t>
  </si>
  <si>
    <t>=BW5</t>
  </si>
  <si>
    <t>Corresponding performance periods of each certification phase</t>
  </si>
  <si>
    <t>=IF($C$12="","Fill in the Buidling Details",CONCATENATE(TEXT($C$12,"dd/mm/yyyy")," - ",TEXT($C$13,"dd/mm/yyyy")))</t>
  </si>
  <si>
    <t>Formula combines the 2 dates entered in cells C14 and C15 on the left of this table and instructs them to enter dates if it's empty</t>
  </si>
  <si>
    <t>F7</t>
  </si>
  <si>
    <t>=IF($C$12="","Fill in the Buidling Details",CONCATENATE(TEXT(EDATE($C$12,12),"dd/mm/yyyy")," - ",TEXT(EDATE($C$13,12),"dd/mm/yyyy")))</t>
  </si>
  <si>
    <t>F8</t>
  </si>
  <si>
    <t>=IF($C$12="","Fill in the Buidling Details",CONCATENATE(TEXT(EDATE($C$12,24),"dd/mm/yyyy")," - ",TEXT(EDATE($C$13,24),"dd/mm/yyyy")))</t>
  </si>
  <si>
    <t>F9</t>
  </si>
  <si>
    <t>=IF($C$12="","Fill in the Buidling Details",CONCATENATE(TEXT(EDATE($C$12,36),"dd/mm/yyyy")," - ",TEXT(EDATE($C$13,36),"dd/mm/yyyy")))</t>
  </si>
  <si>
    <t>H5</t>
  </si>
  <si>
    <t>Submission Deadline</t>
  </si>
  <si>
    <t>Submission deadlines for each certification phase</t>
  </si>
  <si>
    <t>H6</t>
  </si>
  <si>
    <t>=IF($C$12="","Fill in the Buidling Details",TEXT(EDATE($C$13,3),"dd/mm/yyyy"))</t>
  </si>
  <si>
    <t>Formula calculates 3 months after the end of each performance period and instructs them to enter dates if it's empty</t>
  </si>
  <si>
    <t>H7</t>
  </si>
  <si>
    <t>=IF($C$12="","Fill in the Buidling Details",TEXT(EDATE($C$13,15),"dd/mm/yyyy"))</t>
  </si>
  <si>
    <t>H8</t>
  </si>
  <si>
    <t>=IF($C$12="","Fill in the Buidling Details",TEXT(EDATE($C$13,27),"dd/mm/yyyy"))</t>
  </si>
  <si>
    <t>H9</t>
  </si>
  <si>
    <t>=IF($C$12="","Fill in the Buidling Details",TEXT(EDATE($C$13,39),"dd/mm/yyyy"))</t>
  </si>
  <si>
    <t>E11</t>
  </si>
  <si>
    <t>Timeline Legend</t>
  </si>
  <si>
    <t>Colour coding legend for the timeline below</t>
  </si>
  <si>
    <t>E12</t>
  </si>
  <si>
    <t>Colours of the Performance period of the whole building</t>
  </si>
  <si>
    <t>E13</t>
  </si>
  <si>
    <t>Rated Energy / Billing Period</t>
  </si>
  <si>
    <t xml:space="preserve">Colours of the Performance period of energy data </t>
  </si>
  <si>
    <t>E14</t>
  </si>
  <si>
    <t>Rated Water / Billing Period</t>
  </si>
  <si>
    <t xml:space="preserve">Colours of the Performance period of water data </t>
  </si>
  <si>
    <t>G12, G13, G14</t>
  </si>
  <si>
    <t>Initial</t>
  </si>
  <si>
    <t>Colour for Initial</t>
  </si>
  <si>
    <t>H12, H13, H14</t>
  </si>
  <si>
    <t>Year 1</t>
  </si>
  <si>
    <t>Colour for Year 1</t>
  </si>
  <si>
    <t>I12, I13, I14</t>
  </si>
  <si>
    <t>Year 2</t>
  </si>
  <si>
    <t>Colour for Year 2</t>
  </si>
  <si>
    <t>E15</t>
  </si>
  <si>
    <t>Gaps between Initial, Year 1, or Year 2 data</t>
  </si>
  <si>
    <t>Colour to show there are gaps between performance periods</t>
  </si>
  <si>
    <t>E16</t>
  </si>
  <si>
    <t>Minimum 3 months of overlap required</t>
  </si>
  <si>
    <t>Colour showing that there is not enough overlap between periods</t>
  </si>
  <si>
    <t>E17</t>
  </si>
  <si>
    <t>Overlap between energy billing periods</t>
  </si>
  <si>
    <t>Colour showing that there is an overlap between energy periods</t>
  </si>
  <si>
    <t>E18</t>
  </si>
  <si>
    <t>Overlap between water billing periods</t>
  </si>
  <si>
    <t>Colour showing that there is an overlap between water periods</t>
  </si>
  <si>
    <t>H17, H18</t>
  </si>
  <si>
    <t>Initial &amp; Year 1</t>
  </si>
  <si>
    <t>Colour for overlap between Initial &amp; Year 1</t>
  </si>
  <si>
    <t>I17, I18</t>
  </si>
  <si>
    <t>Year 1 &amp; Year 2</t>
  </si>
  <si>
    <t>Colour for overlap between Year 1 &amp; Year 2</t>
  </si>
  <si>
    <t>E22</t>
  </si>
  <si>
    <t>=IF(AND(C14&lt;&gt;"",C13=""),"Please enter the date when the project was registered with the GBCA.",IF(OR(C13-C14&gt;365,AND(MONTH(DATE(YEAR(C13),2,29))=2,C14-C13&gt;366)),"Eligibility criteria not met. The performance period for the project cannot start more than 12 months prior from the date of registration.",""))</t>
  </si>
  <si>
    <t xml:space="preserve">Added formula to capture eligibility criteria around registration and Start date of performance period was captured </t>
  </si>
  <si>
    <t>B25</t>
  </si>
  <si>
    <t>Building Performance Data</t>
  </si>
  <si>
    <t>Table listing out the dates and pathways for the building</t>
  </si>
  <si>
    <t>D25</t>
  </si>
  <si>
    <t>Initial Performance Period Start</t>
  </si>
  <si>
    <t>Headings for each performance period start and end</t>
  </si>
  <si>
    <t>E25</t>
  </si>
  <si>
    <t>Initial Performance Period End</t>
  </si>
  <si>
    <t>F25</t>
  </si>
  <si>
    <t>Year 1 Performance Period Start</t>
  </si>
  <si>
    <t>G25</t>
  </si>
  <si>
    <t>Year 1 Performance Period End</t>
  </si>
  <si>
    <t>H25</t>
  </si>
  <si>
    <t>Year 2 Performance Period Start</t>
  </si>
  <si>
    <t>I25</t>
  </si>
  <si>
    <t>Year 2 Performance Period End</t>
  </si>
  <si>
    <t>J25</t>
  </si>
  <si>
    <t>Certification Type</t>
  </si>
  <si>
    <t>Extra headings for information we may need</t>
  </si>
  <si>
    <t>K25</t>
  </si>
  <si>
    <t>Carbon Neutral  Building Certification</t>
  </si>
  <si>
    <t>L25</t>
  </si>
  <si>
    <t>Previous Green Star Certification</t>
  </si>
  <si>
    <t>B26</t>
  </si>
  <si>
    <t>=C6</t>
  </si>
  <si>
    <t>Returns the project number</t>
  </si>
  <si>
    <t>C26</t>
  </si>
  <si>
    <t>=C7</t>
  </si>
  <si>
    <t>Returns the project name</t>
  </si>
  <si>
    <t>D26</t>
  </si>
  <si>
    <t>=IF($C$14="","",$C$14)</t>
  </si>
  <si>
    <t>Start date of initial performance period</t>
  </si>
  <si>
    <t>E26</t>
  </si>
  <si>
    <t>=IF(D26="","",EDATE(D26,12)-1)</t>
  </si>
  <si>
    <t>End date of initial performance period</t>
  </si>
  <si>
    <t>F26</t>
  </si>
  <si>
    <t>=IF(E26="","",E26+1)</t>
  </si>
  <si>
    <t>Start date of Y1 performance period</t>
  </si>
  <si>
    <t>G26</t>
  </si>
  <si>
    <t>=IF(F26="","",EDATE(F26,12)-1)</t>
  </si>
  <si>
    <t>End date of Y1 performance period</t>
  </si>
  <si>
    <t>H26</t>
  </si>
  <si>
    <t>=IF(G26="","",G26+1)</t>
  </si>
  <si>
    <t>Start date of Y2 performance period</t>
  </si>
  <si>
    <t>I26</t>
  </si>
  <si>
    <t>=IF(H26="","",EDATE(H26,12)-1)</t>
  </si>
  <si>
    <t>End date of Y2 performance period</t>
  </si>
  <si>
    <t>B27</t>
  </si>
  <si>
    <t>Energy</t>
  </si>
  <si>
    <t>Row for the performance periods of energy data</t>
  </si>
  <si>
    <t>C27</t>
  </si>
  <si>
    <t>=IF($C$16=$BW$2,Initial!$AI$49,IF($C$16=$BW$3,'Year 1'!$AI$49,IF($C$16=$BW$4,'Year 2'!$AI$49,"")))</t>
  </si>
  <si>
    <t>Looks up the energy pathway that the project has selected and is dependent on the certitication phase</t>
  </si>
  <si>
    <t>E27</t>
  </si>
  <si>
    <t>'=IF(D28="","",EDATE(D28,12)-1)</t>
  </si>
  <si>
    <t>End date of performance periods dependent on project team input</t>
  </si>
  <si>
    <t>G27</t>
  </si>
  <si>
    <t>'=IF(F28="","",EDATE(F28,12)-1)</t>
  </si>
  <si>
    <t>I27</t>
  </si>
  <si>
    <t>'=IF(H28="","",EDATE(H28,12)-1)</t>
  </si>
  <si>
    <t>B28</t>
  </si>
  <si>
    <t>Water</t>
  </si>
  <si>
    <t>Row for the performance periods of water data</t>
  </si>
  <si>
    <t>C28</t>
  </si>
  <si>
    <t>=IF($C$16=$BW$2,Initial!$AI$68,IF($C$16=$BW$3,'Year 1'!$AI$68,IF($C$16=$BW$4,'Year 2'!$AI$68,"")))</t>
  </si>
  <si>
    <t>Looks up the water pathway that the project has selected and is dependent on the certitication phase</t>
  </si>
  <si>
    <t>E28</t>
  </si>
  <si>
    <t>'=IF(D29="","",EDATE(D29,12)-1)</t>
  </si>
  <si>
    <t>G28</t>
  </si>
  <si>
    <t>'=IF(F29="","",EDATE(F29,12)-1)</t>
  </si>
  <si>
    <t>I28</t>
  </si>
  <si>
    <t>'=IF(H29="","",EDATE(H29,12)-1)</t>
  </si>
  <si>
    <t>N26</t>
  </si>
  <si>
    <t>N27</t>
  </si>
  <si>
    <t>Row to show the performance periods timeline of energy data</t>
  </si>
  <si>
    <t>N28</t>
  </si>
  <si>
    <t>Row to show the performance periods timeline of water data</t>
  </si>
  <si>
    <t>O25</t>
  </si>
  <si>
    <t>'=IF($C$12="","",EDATE($C$12,-12))</t>
  </si>
  <si>
    <t>Header for the timeline - calculates the month 1 year before the start of the performance period</t>
  </si>
  <si>
    <t>P25:BV25</t>
  </si>
  <si>
    <r>
      <t>=IF($C$12="","",EDATE(</t>
    </r>
    <r>
      <rPr>
        <sz val="10"/>
        <color rgb="FFFF0000"/>
        <rFont val="Arial"/>
        <family val="2"/>
        <scheme val="major"/>
      </rPr>
      <t>O$25</t>
    </r>
    <r>
      <rPr>
        <sz val="10"/>
        <rFont val="Arial"/>
        <family val="2"/>
        <scheme val="major"/>
      </rPr>
      <t>,1))</t>
    </r>
  </si>
  <si>
    <t>Creates the rest of the months for the timeline providing a span of 5 years
Cell references in red change for each column</t>
  </si>
  <si>
    <t>O26:BV26</t>
  </si>
  <si>
    <r>
      <t>=IF($C$12="","",</t>
    </r>
    <r>
      <rPr>
        <sz val="10"/>
        <color rgb="FFFF0000"/>
        <rFont val="Arial"/>
        <family val="2"/>
        <scheme val="major"/>
      </rPr>
      <t>O25</t>
    </r>
    <r>
      <rPr>
        <sz val="10"/>
        <rFont val="Arial"/>
        <family val="2"/>
        <scheme val="major"/>
      </rPr>
      <t>-$C$12)</t>
    </r>
  </si>
  <si>
    <t>Calculates the difference in days between the start of the performance period and the day in the header of the timeline. The number of days difference will be conditional formatted the Initial, Y1, and Y2 colours
Cell references in red change for each column</t>
  </si>
  <si>
    <t>O27:BV27</t>
  </si>
  <si>
    <r>
      <t>=IF(OR($C$12="",$D27=""),"",IF(AND(ISBLANK($D27)=FALSE,</t>
    </r>
    <r>
      <rPr>
        <sz val="10"/>
        <color rgb="FFFF0000"/>
        <rFont val="Arial"/>
        <family val="2"/>
        <scheme val="major"/>
      </rPr>
      <t>O$25</t>
    </r>
    <r>
      <rPr>
        <sz val="10"/>
        <rFont val="Arial"/>
        <family val="2"/>
        <scheme val="major"/>
      </rPr>
      <t>-$D27&gt;=0,</t>
    </r>
    <r>
      <rPr>
        <sz val="10"/>
        <color rgb="FFFF0000"/>
        <rFont val="Arial"/>
        <family val="2"/>
        <scheme val="major"/>
      </rPr>
      <t>O$25</t>
    </r>
    <r>
      <rPr>
        <sz val="10"/>
        <rFont val="Arial"/>
        <family val="2"/>
        <scheme val="major"/>
      </rPr>
      <t>-$D27&lt;365),"Energy Initial",IF(AND(ISBLANK($F27)=FALSE,</t>
    </r>
    <r>
      <rPr>
        <sz val="10"/>
        <color rgb="FFFF0000"/>
        <rFont val="Arial"/>
        <family val="2"/>
        <scheme val="major"/>
      </rPr>
      <t>O$25</t>
    </r>
    <r>
      <rPr>
        <sz val="10"/>
        <rFont val="Arial"/>
        <family val="2"/>
        <scheme val="major"/>
      </rPr>
      <t>-$F27&gt;=0,</t>
    </r>
    <r>
      <rPr>
        <sz val="10"/>
        <color rgb="FFFF0000"/>
        <rFont val="Arial"/>
        <family val="2"/>
        <scheme val="major"/>
      </rPr>
      <t>O$25</t>
    </r>
    <r>
      <rPr>
        <sz val="10"/>
        <rFont val="Arial"/>
        <family val="2"/>
        <scheme val="major"/>
      </rPr>
      <t>-$F27&lt;365),"Energy Year 1",IF(AND(ISBLANK($H27)=FALSE,</t>
    </r>
    <r>
      <rPr>
        <sz val="10"/>
        <color rgb="FFFF0000"/>
        <rFont val="Arial"/>
        <family val="2"/>
        <scheme val="major"/>
      </rPr>
      <t>O$25</t>
    </r>
    <r>
      <rPr>
        <sz val="10"/>
        <rFont val="Arial"/>
        <family val="2"/>
        <scheme val="major"/>
      </rPr>
      <t>-$H27&gt;=0,</t>
    </r>
    <r>
      <rPr>
        <sz val="10"/>
        <color rgb="FFFF0000"/>
        <rFont val="Arial"/>
        <family val="2"/>
        <scheme val="major"/>
      </rPr>
      <t>O$25</t>
    </r>
    <r>
      <rPr>
        <sz val="10"/>
        <rFont val="Arial"/>
        <family val="2"/>
        <scheme val="major"/>
      </rPr>
      <t>-$H27&lt;365),"Energy Year 2",""))))</t>
    </r>
  </si>
  <si>
    <t>Calculates the difference in days again and returns either "Energy Initial", "Energy Year 1", or "Energy Year 2", and conditional formatting will set the colours based on one of those 3 values
Cell references in red change for each column</t>
  </si>
  <si>
    <t>O28:BV28</t>
  </si>
  <si>
    <r>
      <t>=IF(OR($C$12="",$D28=""),"",IF(AND(ISBLANK($D28)=FALSE,</t>
    </r>
    <r>
      <rPr>
        <sz val="10"/>
        <color rgb="FFFF0000"/>
        <rFont val="Arial"/>
        <family val="2"/>
        <scheme val="major"/>
      </rPr>
      <t>O$25</t>
    </r>
    <r>
      <rPr>
        <sz val="10"/>
        <rFont val="Arial"/>
        <family val="2"/>
        <scheme val="major"/>
      </rPr>
      <t>-$D28&gt;=0,</t>
    </r>
    <r>
      <rPr>
        <sz val="10"/>
        <color rgb="FFFF0000"/>
        <rFont val="Arial"/>
        <family val="2"/>
        <scheme val="major"/>
      </rPr>
      <t>O$25</t>
    </r>
    <r>
      <rPr>
        <sz val="10"/>
        <rFont val="Arial"/>
        <family val="2"/>
        <scheme val="major"/>
      </rPr>
      <t>-$D28&lt;365),"Water Initial",IF(AND(ISBLANK($F28)=FALSE,</t>
    </r>
    <r>
      <rPr>
        <sz val="10"/>
        <color rgb="FFFF0000"/>
        <rFont val="Arial"/>
        <family val="2"/>
        <scheme val="major"/>
      </rPr>
      <t>O$25</t>
    </r>
    <r>
      <rPr>
        <sz val="10"/>
        <rFont val="Arial"/>
        <family val="2"/>
        <scheme val="major"/>
      </rPr>
      <t>-$F28&gt;=0,</t>
    </r>
    <r>
      <rPr>
        <sz val="10"/>
        <color rgb="FFFF0000"/>
        <rFont val="Arial"/>
        <family val="2"/>
        <scheme val="major"/>
      </rPr>
      <t>O$25</t>
    </r>
    <r>
      <rPr>
        <sz val="10"/>
        <rFont val="Arial"/>
        <family val="2"/>
        <scheme val="major"/>
      </rPr>
      <t>-$F28&lt;365),"Water Year 1",IF(AND(ISBLANK($H28)=FALSE,</t>
    </r>
    <r>
      <rPr>
        <sz val="10"/>
        <color rgb="FFFF0000"/>
        <rFont val="Arial"/>
        <family val="2"/>
        <scheme val="major"/>
      </rPr>
      <t>O$25</t>
    </r>
    <r>
      <rPr>
        <sz val="10"/>
        <rFont val="Arial"/>
        <family val="2"/>
        <scheme val="major"/>
      </rPr>
      <t>-$H28&gt;=0,</t>
    </r>
    <r>
      <rPr>
        <sz val="10"/>
        <color rgb="FFFF0000"/>
        <rFont val="Arial"/>
        <family val="2"/>
        <scheme val="major"/>
      </rPr>
      <t>O$25</t>
    </r>
    <r>
      <rPr>
        <sz val="10"/>
        <rFont val="Arial"/>
        <family val="2"/>
        <scheme val="major"/>
      </rPr>
      <t>-$H28&lt;365),"Water Year 2",""))))</t>
    </r>
  </si>
  <si>
    <t>Calculates the difference in days again and returns either "Water Initial", "Water Year 1", or "Water Year 2", and conditional formatting will set the colours based on one of those 3 values
Cell references in red change for each column</t>
  </si>
  <si>
    <t>7:7</t>
  </si>
  <si>
    <t>Row Insert</t>
  </si>
  <si>
    <t>New row for project selection of scope of rating</t>
  </si>
  <si>
    <t>Scope of Rating</t>
  </si>
  <si>
    <t>AD6</t>
  </si>
  <si>
    <t>Please Select</t>
  </si>
  <si>
    <t>AD7</t>
  </si>
  <si>
    <t>Base Building</t>
  </si>
  <si>
    <t>AD8</t>
  </si>
  <si>
    <t>Whole Building</t>
  </si>
  <si>
    <t>G6</t>
  </si>
  <si>
    <t>'=VLOOKUP(G5,'Building Information'!E6:G9,2,FALSE)</t>
  </si>
  <si>
    <t>'=IF('Building Information'!C14="", "", 'Building Information'!C14)</t>
  </si>
  <si>
    <t>Gets the performance period listed in Building Information worksheet</t>
  </si>
  <si>
    <t>AH48</t>
  </si>
  <si>
    <t>ENERGY CONDITIONAL REQUIREMENTS</t>
  </si>
  <si>
    <t>Table determining if the conditional requirements for the energy credit have been met i.e. 10% improvement</t>
  </si>
  <si>
    <t>AE49</t>
  </si>
  <si>
    <t>15A</t>
  </si>
  <si>
    <t>Pathway names</t>
  </si>
  <si>
    <t>AE50</t>
  </si>
  <si>
    <t>15B</t>
  </si>
  <si>
    <t>AE51</t>
  </si>
  <si>
    <t>15C</t>
  </si>
  <si>
    <t>AE52</t>
  </si>
  <si>
    <t>15D</t>
  </si>
  <si>
    <t>AF48</t>
  </si>
  <si>
    <t>Minimum points required to be targeted for this credit on Base Building certifications</t>
  </si>
  <si>
    <t>AF49</t>
  </si>
  <si>
    <t>AF50</t>
  </si>
  <si>
    <t>AF51</t>
  </si>
  <si>
    <t>AF52</t>
  </si>
  <si>
    <t>AG48</t>
  </si>
  <si>
    <t>Minimum points required to be targeted for this credit on Whole Building certifications</t>
  </si>
  <si>
    <t>AG49</t>
  </si>
  <si>
    <t>AG50</t>
  </si>
  <si>
    <t>AG51</t>
  </si>
  <si>
    <t>AG52</t>
  </si>
  <si>
    <t>AH49</t>
  </si>
  <si>
    <t>Selected Pathway</t>
  </si>
  <si>
    <t>Looks up which pathway the project team has selected</t>
  </si>
  <si>
    <t>AI49</t>
  </si>
  <si>
    <t>'=VLOOKUP(G49,AD49:AE52,2,FALSE)</t>
  </si>
  <si>
    <t>AH50</t>
  </si>
  <si>
    <t>Points needed for improvement over average performer</t>
  </si>
  <si>
    <t>Looks up the minimum points required for the pathway that's been selected</t>
  </si>
  <si>
    <t>AI50</t>
  </si>
  <si>
    <t>=VLOOKUP(AI49,AE49:AG52,MATCH(G7,AE48:AG48,0),FALSE)</t>
  </si>
  <si>
    <t>AH51</t>
  </si>
  <si>
    <t>Points targeted</t>
  </si>
  <si>
    <t>Looks up points targeted by the project team</t>
  </si>
  <si>
    <t>AI51</t>
  </si>
  <si>
    <t>'=VLOOKUP(AI49,H49:L52,5,FALSE)</t>
  </si>
  <si>
    <t>AH52</t>
  </si>
  <si>
    <t>Has 10% improvement over baseline been achieved?</t>
  </si>
  <si>
    <t>Compares points targeted with minimum points required and if a rating of 4, 5 or 6 star is being achieved</t>
  </si>
  <si>
    <t>AI52</t>
  </si>
  <si>
    <t>'=IF(AND($L$4&gt;=44.5,OR(AI51&lt;=AI50,AI51=0)),"No","")</t>
  </si>
  <si>
    <t>AH67</t>
  </si>
  <si>
    <t>WATER CONDITIONAL REQUIREMENTS</t>
  </si>
  <si>
    <t>AE68</t>
  </si>
  <si>
    <t>19A</t>
  </si>
  <si>
    <t>AE69</t>
  </si>
  <si>
    <t>19B</t>
  </si>
  <si>
    <t>AE70</t>
  </si>
  <si>
    <t>19C</t>
  </si>
  <si>
    <t>AE71</t>
  </si>
  <si>
    <t>19D</t>
  </si>
  <si>
    <t>AF67</t>
  </si>
  <si>
    <t>AF68</t>
  </si>
  <si>
    <t>AF69</t>
  </si>
  <si>
    <t>AF70</t>
  </si>
  <si>
    <t>AF71</t>
  </si>
  <si>
    <t>AG67</t>
  </si>
  <si>
    <t>AG68</t>
  </si>
  <si>
    <t>AG69</t>
  </si>
  <si>
    <t>AG70</t>
  </si>
  <si>
    <t>AG71</t>
  </si>
  <si>
    <t>AH68</t>
  </si>
  <si>
    <t>AI68</t>
  </si>
  <si>
    <t>'=VLOOKUP(G68,AD68:AE71,2,FALSE)</t>
  </si>
  <si>
    <t>AH69</t>
  </si>
  <si>
    <t>AI69</t>
  </si>
  <si>
    <t>'=VLOOKUP(AI68,AE68:AF71,2,FALSE)</t>
  </si>
  <si>
    <t>AH70</t>
  </si>
  <si>
    <t>AI70</t>
  </si>
  <si>
    <t>'=VLOOKUP(AI68,H68:L71,5,FALSE)</t>
  </si>
  <si>
    <t>AH71</t>
  </si>
  <si>
    <t>AI71</t>
  </si>
  <si>
    <t>'=IF(AND($L$4&gt;=44.5,OR(AI70&lt;=AI69,AI70=0)),"No","")</t>
  </si>
  <si>
    <t>T3</t>
  </si>
  <si>
    <t>Cell Colour Legend</t>
  </si>
  <si>
    <t>Legend to tell project teams what the coloured cells indicate</t>
  </si>
  <si>
    <t>U4</t>
  </si>
  <si>
    <t>Project may not meet the Conditional Requirements for a 4, 5, or 6 Star rating under credits 15 &amp; 19, or they have not been targeted. Please check the relevant calculator or address the credit</t>
  </si>
  <si>
    <t>Year 1, Year 2</t>
  </si>
  <si>
    <t>U5</t>
  </si>
  <si>
    <t>Points targeted for this credit do not match the points in the previous certification phase (Initial).</t>
  </si>
  <si>
    <t>Audit Tracker</t>
  </si>
  <si>
    <t>Entire Sheet</t>
  </si>
  <si>
    <t>New worksheet to use for Y1, Y2 maintenance reviews/audits</t>
  </si>
  <si>
    <t>Instructions</t>
  </si>
  <si>
    <t>B5</t>
  </si>
  <si>
    <t>Use the tabs at the bottom of the worksheets to navigate. 
     1. Fill in the 'Building Information' sheet.
     2. In the 'Scorecard' sheet, fill in the points being targeted in the ‘Points Targeted’ column.
     3. Select the 'NA' check box for any credits which are deemed 'Not Applicable' to the project.
     4. For credits which have alternative compliance pathways, the desired pathway must be selected in the 'Aim of 
         Credit/Selection' column in order to unlock the associated criterion.  
     5. The scorecard will calculate the project's potential Green Star rating in the 'Targeted Rating' box.
     6. An alert (orange cell) will inform project teams if conditional requires may not be satisfied under the project's targeted rating.
     7. For the 'Year 1' and 'Year 2' submissions, an alert (green cell) will appear if points targeted do not match the previous year.
     Refer to the Cell Colour Legend located at the top of 'Initial', 'Year 1', and 'Year 2' worksheets for further information.
     8. Once the scorecard has been completed, include within the project's Green Star submission.</t>
  </si>
  <si>
    <t xml:space="preserve">Use the tabs at the bottom of the worksheets to navigate. 
     1. Fill in the 'Building Information' sheet.
     2. In the 'Scorecard' sheet, fill in the points being targeted in the ‘Points Targeted’ column.
     3. Select the 'NA' check box for any credits which are deemed 'Not Applicable' to the project.
     4. For credits which have alternative compliance pathways, the desired pathway must be selected in the 'Aim of Credit/Selection' column in order to unlock the associated criterion.  
     5. The scorecard will calculate the project's potential Green Star rating in the 'Targeted Rating' box.
     6. Once the scorecard has been completed, include within the project's Green Star submission. </t>
  </si>
  <si>
    <t>Updated instructions for using the scorecards and performance timeline</t>
  </si>
  <si>
    <t>B9</t>
  </si>
  <si>
    <t>Building Information &amp; Timeline</t>
  </si>
  <si>
    <t>B10</t>
  </si>
  <si>
    <t>The 'Building Information' worksheet is provided to capture information about the project's registration as well as provide project teams with a timeline of the rated periods. Below is some guidance on what information is required and how the worksheet can be used.
    1. Fill in the Building Details, Applicant Details, and Project Description sections.
    2. Submission Deadlines for assessment are provided based on the Performance Periods entered.
    3. Under Building Performance Data, the project's Green Star Number and Name will be auto filled.
    4. Provide information in the white cells for the starting dates of performance periods of Energy and Water.
    5. Performance periods for the project and the end dates of performance periods are automatically filled.
    6. A timeline to the right will be generated based on these dates. See the  Timeline Legend for what each colour represents.</t>
  </si>
  <si>
    <t>G4</t>
  </si>
  <si>
    <t>=IF(G2="limit","3 Star - Good Practice",IF(L4&gt;=75,"6 Star - World Leadership",IF(L4&gt;=60,"5 Star - Australian Excellence",IF(L4&gt;=45,"4 Star - Australian Best Practice",IF(L4&gt;=30,"3 Star - Good Practice",IF(L4&gt;=20,"2 Star - Average Practice",IF(L4&gt;=10,"1 Star - Minimum Practice","")))))))</t>
  </si>
  <si>
    <t>=IF(L4&gt;=75,"6 Star - World Leadership",IF(L4&gt;=60,"5 Star - Australian Excellence",IF(L4&gt;=45,"4 Star - Australian Best Practice",IF(L4&gt;=30,"3 Star - Good Practice", IF(L4&gt;=20,"2 Star - Average Practice",IF(L4&gt;=10,"1 Star - Minimum Practice", ""))))))</t>
  </si>
  <si>
    <t>Amended formula for the targeted star rating to be limited when CR are not met.
Updated formatting when the CR are met upon further investigation.
Password for assets where CR is met = "verified".
Password for assets where CR is not met = "limit"</t>
  </si>
  <si>
    <t>F4</t>
  </si>
  <si>
    <t>=IF(AND(L4&gt;0,L4=N4,O4=0),"Awarded Rating","Targeted Rating")</t>
  </si>
  <si>
    <t>Targeted Rating</t>
  </si>
  <si>
    <t>Version 1.2, Release 5</t>
  </si>
  <si>
    <t>=IF($C$14="","Fill in the Building Details",TEXT(EDATE($C$15,6),"dd/mm/yyyy"))</t>
  </si>
  <si>
    <t>'=IF($C$14="","Fill in the Buidling Details",TEXT(EDATE($C$15,3),"dd/mm/yyyy"))</t>
  </si>
  <si>
    <t>Submission deadlines updated to be 6 months after the performance period ends</t>
  </si>
  <si>
    <t>=IF($C$14="","Fill in the Building Details",TEXT(EDATE($C$15,18),"dd/mm/yyyy"))</t>
  </si>
  <si>
    <t>'=IF($C$14="","Fill in the Buidling Details",TEXT(EDATE($C$15,15),"dd/mm/yyyy"))</t>
  </si>
  <si>
    <t>=IF($C$14="","Fill in the Building Details",TEXT(EDATE($C$15,30),"dd/mm/yyyy"))</t>
  </si>
  <si>
    <t>'=IF($C$14="","Fill in the Buidling Details",TEXT(EDATE($C$15,27),"dd/mm/yyyy"))</t>
  </si>
  <si>
    <t>=IF($C$14="","Fill in the Building Details",TEXT(EDATE($C$15,42),"dd/mm/yyyy"))</t>
  </si>
  <si>
    <t>'=IF($C$14="","Fill in the Buidling Details",TEXT(EDATE($C$15,39),"dd/mm/yyyy"))</t>
  </si>
  <si>
    <t>=IF(AND(C14&lt;&gt;"",C13=""),"Please enter the the building's registration date and beginning of the performance period.",IF(IF(MONTH(DATE(YEAR(C13),2,29))=2,C13-C14&gt;366,C13-C14&gt;365),"Eligibility criteria not met. The beginning of the performance period can be no more than 12 months prior to the registration date. Please submit an eligibility request to the GBCA and include the response with your submission.",""))</t>
  </si>
  <si>
    <t>Updated instructions regarding eligibility requirements for the registration dates and performance period
Also updated the formula calculating if performance period is more than 1 year before registration</t>
  </si>
  <si>
    <t>'=IF(G2="limit","3 Star - Good Practice",IF(L4&gt;=74.5,"6 Star - World Leadership",IF(L4&gt;=59.5,"5 Star - Australian Excellence",IF(L4&gt;=44.5,"4 Star - Australian Best Practice",IF(L4&gt;=29.5,"3 Star - Good Practice",IF(L4&gt;=19.5,"2 Star - Average Practice",IF(L4&gt;=9.5,"1 Star - Minimum Practice","")))))))</t>
  </si>
  <si>
    <t xml:space="preserve">'=IF(G2="limit","3 Star - Good Practice",IF(L4&gt;=75,"6 Star - World Leadership",IF(L4&gt;=60,"5 Star - Australian Excellence",IF(L4&gt;=45,"4 Star - Australian Best Practice",IF(L4&gt;=30,"3 Star - Good Practice",IF(L4&gt;=20,"2 Star - Average Practice",IF(L4&gt;=10,"1 Star - Minimum Practice","")))))))
</t>
  </si>
  <si>
    <t xml:space="preserve">Updated formula to reflect star rating based on rounding of numbers to whole numbers.
</t>
  </si>
  <si>
    <t>'=IF(L4&gt;=74.5,"6 Star - World Leadership",IF(L4&gt;=59.5,"5 Star - Australian Excellence",IF(L4&gt;=44.5,"4 Star - Australian Best Practice",IF(L4&gt;=29.5,"3 Star - Good Practice", IF(L4&gt;=19.5,"2 Star - Average Practice",IF(L4&gt;=9.5,"1 Star - Minimum Practice", ""))))))</t>
  </si>
  <si>
    <r>
      <t xml:space="preserve">Use the tabs at the bottom of the worksheets to navigate. 
     1. Fill in the 'Building Information' sheet.
     2. Fill in the points being targeted in the ‘Points Targeted’ column for the 'Initial', 'Year 1', or 'Year 2' scorecards.
     3. Select the 'NA' check box for any credits which are deemed 'Not Applicable' to the project.
     4. For credits which have alternative compliance pathways, the desired pathway must be selected in the 'Aim of 
         Credit/Selection' column in order to unlock the associated criterion.  
     5. The scorecard will calculate the project's potential Green Star rating in the 'Targeted Rating' box.
     6. An </t>
    </r>
    <r>
      <rPr>
        <b/>
        <sz val="11"/>
        <color rgb="FFFF9966"/>
        <rFont val="Arial"/>
        <family val="2"/>
        <scheme val="major"/>
      </rPr>
      <t>alert (orange cell)</t>
    </r>
    <r>
      <rPr>
        <sz val="11"/>
        <color rgb="FFFF9966"/>
        <rFont val="Arial"/>
        <family val="2"/>
        <scheme val="major"/>
      </rPr>
      <t xml:space="preserve"> </t>
    </r>
    <r>
      <rPr>
        <sz val="11"/>
        <rFont val="Arial"/>
        <family val="2"/>
        <scheme val="major"/>
      </rPr>
      <t xml:space="preserve">will inform project teams if conditional requires may not be satisfied under the project's targeted rating.
     7. For the 'Year 1' and 'Year 2' submissions, an </t>
    </r>
    <r>
      <rPr>
        <b/>
        <sz val="11"/>
        <color rgb="FF00FF99"/>
        <rFont val="Arial"/>
        <family val="2"/>
        <scheme val="major"/>
      </rPr>
      <t>alert (green cell)</t>
    </r>
    <r>
      <rPr>
        <sz val="11"/>
        <rFont val="Arial"/>
        <family val="2"/>
        <scheme val="major"/>
      </rPr>
      <t xml:space="preserve"> will appear if points targeted do not match the previous year.
     Refer to the Cell Colour Legend located at the top of 'Initial', 'Year 1', and 'Year 2' worksheets for further information.
     8. Once the scorecard has been completed, include within the project's Green Star submission.</t>
    </r>
  </si>
  <si>
    <t>Important Notes</t>
  </si>
  <si>
    <t>* Please complete all cells in WHITE only. All other cells are to be completed by the GBCA and its representatives.   
* As stated in the Submission Guidelines, some credits will be considered 'Not Applicable' for certain projects. These credits have a 'Not Applicable' check box in the 'NA' column of the Scorecard. If a credit is deemed as 'Not Applicable', then please select the relevant tick box under the 'NA' column. This will affect the total number of points available and the project's final score. 
* The credits which have alternative compliance pathways are:
     + Thermal Comfort
     + Greenhouse Gas Emissions
     + Peak Electricity Demand
     + Potable Water</t>
  </si>
  <si>
    <r>
      <t xml:space="preserve">The 'Building Information' worksheet is provided to capture information about the project's registration as well as provide project teams with a timeline of the rated periods. Below is some guidance on what information is required and how the worksheet can be used.
    1. Fill in the </t>
    </r>
    <r>
      <rPr>
        <i/>
        <sz val="10"/>
        <rFont val="Arial"/>
        <family val="2"/>
        <scheme val="major"/>
      </rPr>
      <t>Building Details</t>
    </r>
    <r>
      <rPr>
        <sz val="10"/>
        <rFont val="Arial"/>
        <family val="2"/>
        <scheme val="major"/>
      </rPr>
      <t xml:space="preserve">, </t>
    </r>
    <r>
      <rPr>
        <i/>
        <sz val="10"/>
        <rFont val="Arial"/>
        <family val="2"/>
        <scheme val="major"/>
      </rPr>
      <t>Applicant Details</t>
    </r>
    <r>
      <rPr>
        <sz val="10"/>
        <rFont val="Arial"/>
        <family val="2"/>
        <scheme val="major"/>
      </rPr>
      <t xml:space="preserve">, and </t>
    </r>
    <r>
      <rPr>
        <i/>
        <sz val="10"/>
        <rFont val="Arial"/>
        <family val="2"/>
        <scheme val="major"/>
      </rPr>
      <t xml:space="preserve">Project Description </t>
    </r>
    <r>
      <rPr>
        <sz val="10"/>
        <rFont val="Arial"/>
        <family val="2"/>
        <scheme val="major"/>
      </rPr>
      <t xml:space="preserve">sections.
    2. Submission Deadlines for assessment are provided based on the Performance Periods entered.
    3. Under </t>
    </r>
    <r>
      <rPr>
        <i/>
        <sz val="10"/>
        <rFont val="Arial"/>
        <family val="2"/>
        <scheme val="major"/>
      </rPr>
      <t>Building Performance Data</t>
    </r>
    <r>
      <rPr>
        <sz val="10"/>
        <rFont val="Arial"/>
        <family val="2"/>
        <scheme val="major"/>
      </rPr>
      <t xml:space="preserve">, the project's Green Star Number and Name will be auto filled.
    4. Provide information in the white cells for the starting dates of performance periods of Energy and Water.
    5. Performance periods for the project and the end dates of performance periods are automatically filled.
    6. A timeline to the right will be generated based on these dates. See the </t>
    </r>
    <r>
      <rPr>
        <i/>
        <sz val="10"/>
        <rFont val="Arial"/>
        <family val="2"/>
        <scheme val="major"/>
      </rPr>
      <t>Timeline Legend</t>
    </r>
    <r>
      <rPr>
        <sz val="10"/>
        <rFont val="Arial"/>
        <family val="2"/>
        <scheme val="major"/>
      </rPr>
      <t xml:space="preserve"> for what each colour represents.</t>
    </r>
  </si>
  <si>
    <r>
      <t xml:space="preserve">The 'Submission Planner' worksheet has been provided to enable project teams to develop a strategy for their project's Green Star - Performance submission. Unlike the 'Scorecard' sheet, the 'Submission Planner' sheet has intentionally been made editable so that project teams can edit the list of credits/criterion as desired e.g. add columns, prepare notes, track progress etc. 
</t>
    </r>
    <r>
      <rPr>
        <b/>
        <sz val="11"/>
        <rFont val="Arial"/>
        <family val="2"/>
        <scheme val="major"/>
      </rPr>
      <t xml:space="preserve">
Please note that the completed 'Scorecard' sheet </t>
    </r>
    <r>
      <rPr>
        <b/>
        <u/>
        <sz val="11"/>
        <rFont val="Arial"/>
        <family val="2"/>
        <scheme val="major"/>
      </rPr>
      <t>must</t>
    </r>
    <r>
      <rPr>
        <b/>
        <sz val="11"/>
        <rFont val="Arial"/>
        <family val="2"/>
        <scheme val="major"/>
      </rPr>
      <t xml:space="preserve"> be included within the project's Green Star submission. This scorecard will be used to record the results of the project's Green Star assessment.</t>
    </r>
  </si>
  <si>
    <t>Credit/Criterion Types</t>
  </si>
  <si>
    <r>
      <t xml:space="preserve">Each credit/criterion within the Green Star - Performance rating tool has been grouped into four specific 'types' to enable project teams to conceptualise what type of compliance is being called for. These types are included within the Submission Guidelines and scorecard. 
The four types of credit criteria are:
     </t>
    </r>
    <r>
      <rPr>
        <b/>
        <sz val="11"/>
        <rFont val="Arial"/>
        <family val="2"/>
        <scheme val="major"/>
      </rPr>
      <t xml:space="preserve">- Action: </t>
    </r>
    <r>
      <rPr>
        <sz val="11"/>
        <rFont val="Arial"/>
        <family val="2"/>
        <scheme val="major"/>
      </rPr>
      <t>these credit criteria award points based on actions carried out by the building owner, facilities management team or other relevant parties to achieve best practice outcomes.</t>
    </r>
    <r>
      <rPr>
        <b/>
        <sz val="11"/>
        <rFont val="Arial"/>
        <family val="2"/>
        <scheme val="major"/>
      </rPr>
      <t xml:space="preserve">
     - Building: </t>
    </r>
    <r>
      <rPr>
        <sz val="11"/>
        <rFont val="Arial"/>
        <family val="2"/>
        <scheme val="major"/>
      </rPr>
      <t>these credit criteria award points based on attributes or outcomes that are heavily reliant on the building or equipment present in the building.</t>
    </r>
    <r>
      <rPr>
        <b/>
        <sz val="11"/>
        <rFont val="Arial"/>
        <family val="2"/>
        <scheme val="major"/>
      </rPr>
      <t xml:space="preserve">
     - Data: </t>
    </r>
    <r>
      <rPr>
        <sz val="11"/>
        <rFont val="Arial"/>
        <family val="2"/>
        <scheme val="major"/>
      </rPr>
      <t>these credit criteria award points based on outcomes verified by performance data.</t>
    </r>
    <r>
      <rPr>
        <b/>
        <sz val="11"/>
        <rFont val="Arial"/>
        <family val="2"/>
        <scheme val="major"/>
      </rPr>
      <t xml:space="preserve">
     - Policy: </t>
    </r>
    <r>
      <rPr>
        <sz val="11"/>
        <rFont val="Arial"/>
        <family val="2"/>
        <scheme val="major"/>
      </rPr>
      <t>these credit criteria award points based on management policy, strategies or framework designed to drive best practice outcomes. 
The credit/criterion types can be sorted in 'Submission Planner' sheet by selecting the drop-down menu in column I.</t>
    </r>
  </si>
  <si>
    <t>ACT</t>
  </si>
  <si>
    <t>NSW</t>
  </si>
  <si>
    <t>NT</t>
  </si>
  <si>
    <t xml:space="preserve">Building Details </t>
  </si>
  <si>
    <t>Recertification</t>
  </si>
  <si>
    <t>QLD</t>
  </si>
  <si>
    <t>Project Green Star number</t>
  </si>
  <si>
    <t>SA</t>
  </si>
  <si>
    <t>Name of building</t>
  </si>
  <si>
    <t>TAS</t>
  </si>
  <si>
    <t>Address of building</t>
  </si>
  <si>
    <t>VIC</t>
  </si>
  <si>
    <t>WA</t>
  </si>
  <si>
    <t>Postcode</t>
  </si>
  <si>
    <t xml:space="preserve">Country </t>
  </si>
  <si>
    <t>New Zealand</t>
  </si>
  <si>
    <t>Performance Period Start (Initial)</t>
  </si>
  <si>
    <t>Performance Period End (Initial)</t>
  </si>
  <si>
    <t>Applicant Details</t>
  </si>
  <si>
    <t>Applicant:</t>
  </si>
  <si>
    <t>Contact Person:</t>
  </si>
  <si>
    <t>Project Description</t>
  </si>
  <si>
    <t>Description of the project:</t>
  </si>
  <si>
    <t>1E</t>
  </si>
  <si>
    <t>1W</t>
  </si>
  <si>
    <t>Green Star - Performance</t>
  </si>
  <si>
    <t>Points Available</t>
  </si>
  <si>
    <t>NA Points</t>
  </si>
  <si>
    <t>NA - T/F</t>
  </si>
  <si>
    <t>Project</t>
  </si>
  <si>
    <t>Core Points Available</t>
  </si>
  <si>
    <t>Total Score Targeted</t>
  </si>
  <si>
    <t>Total Points Awarded</t>
  </si>
  <si>
    <t>Total Points TBC</t>
  </si>
  <si>
    <t>Clarification of Assessment Comments</t>
  </si>
  <si>
    <t>QUERY TYPE</t>
  </si>
  <si>
    <t>1. Clarifying the documentation requested in the assessment comment. 
2. Clarifying apparent inconsistencies between the assessment comment and Submission Guideline requirements.
3. Documentation was included but missed during the assessment.</t>
  </si>
  <si>
    <t xml:space="preserve">Please Select </t>
  </si>
  <si>
    <t>Provide an explanation of the project team’s questions/comments regarding the assessment comments.
Explain what action the project would like taken, e.g. comment be clarified, comment be removed, point awarded, etc.</t>
  </si>
  <si>
    <t>NA</t>
  </si>
  <si>
    <t>CREDIT</t>
  </si>
  <si>
    <t>AIM OF THE CREDIT / PATHWAY SELECTION</t>
  </si>
  <si>
    <t>CODE</t>
  </si>
  <si>
    <t>TYPE</t>
  </si>
  <si>
    <t>CREDIT CRITERIA</t>
  </si>
  <si>
    <t>POINTS AVAILABLE</t>
  </si>
  <si>
    <t>POINTS TARGETED</t>
  </si>
  <si>
    <t xml:space="preserve"> POINTS AWARDED</t>
  </si>
  <si>
    <t xml:space="preserve"> POINTS 
TBC</t>
  </si>
  <si>
    <t>ASSIGNED STAGE</t>
  </si>
  <si>
    <t>ASSESSOR COMPLETED STAGE</t>
  </si>
  <si>
    <t xml:space="preserve"> ASSESSMENT OUTCOME</t>
  </si>
  <si>
    <t xml:space="preserve"> ASSESSMENT COMMENTS</t>
  </si>
  <si>
    <t>Type of Query</t>
  </si>
  <si>
    <t>Query</t>
  </si>
  <si>
    <t>Requested Action by the project team</t>
  </si>
  <si>
    <t>NZGBC Comment</t>
  </si>
  <si>
    <t>Assessor Response</t>
  </si>
  <si>
    <t>Final Response</t>
  </si>
  <si>
    <t>Management</t>
  </si>
  <si>
    <t>Green Star Accredited Professional</t>
  </si>
  <si>
    <t>To encourage and recognise the involvement of Green Star Accredited Professionals in the facilities management and operations of premises.</t>
  </si>
  <si>
    <t>Action</t>
  </si>
  <si>
    <t>GSAP - Performance</t>
  </si>
  <si>
    <t>To recognise the provision of information describing a building’s systems, operations and maintenance requirements and environmental targets for optimum holistic performance.</t>
  </si>
  <si>
    <t>Operation and Maintenance Information</t>
  </si>
  <si>
    <t>Awarded - Compliant</t>
  </si>
  <si>
    <t>Occupant and User Information</t>
  </si>
  <si>
    <t>Awarded - Minor Non Compliance</t>
  </si>
  <si>
    <t>Metering and Monitoring</t>
  </si>
  <si>
    <t>To recognise the operational practices which facilitate the effective ongoing monitoring of water and energy consumption.</t>
  </si>
  <si>
    <t>Building</t>
  </si>
  <si>
    <t>Metering</t>
  </si>
  <si>
    <t>Not Awarded - Major Non Compliance</t>
  </si>
  <si>
    <t>Monitoring Systems</t>
  </si>
  <si>
    <t>Tuning and Commissioning</t>
  </si>
  <si>
    <t>To recognise the ongoing tuning processes (as well as effective commissioning, recommissioning or retro-commissioning) that ensure building systems operate to their optimum performance.</t>
  </si>
  <si>
    <t>Comprehensive Tuning Process</t>
  </si>
  <si>
    <t>Commissioning, Recommissioning or Retro-commissioning</t>
  </si>
  <si>
    <t>Environmental Management</t>
  </si>
  <si>
    <t>To recognise the adoption of a formal system of environmental management, in line with established leading practice guidelines for the operation of facilities.</t>
  </si>
  <si>
    <t>Policy</t>
  </si>
  <si>
    <t>Environmental Management Plan</t>
  </si>
  <si>
    <t>Formalised Management System</t>
  </si>
  <si>
    <t>Comprehensive</t>
  </si>
  <si>
    <t>Third-party Certification of Management System</t>
  </si>
  <si>
    <t>Green Cleaning</t>
  </si>
  <si>
    <t>To encourage green cleaning services that prevent the use of contaminants that impact on indoor environment quality, occupant health and the natural environment.</t>
  </si>
  <si>
    <t>Green Cleaning Policy</t>
  </si>
  <si>
    <t>Green Cleaning Implementation in Common Areas</t>
  </si>
  <si>
    <t>Green Cleaning Implementation in All Areas</t>
  </si>
  <si>
    <t>Commitment to Performance</t>
  </si>
  <si>
    <t>To recognise operational practices that allow and encourage building owners, building occupants and facilities management teams to set targets and monitor environmental performance in a collaborative way.</t>
  </si>
  <si>
    <t>Environmental Building Performance</t>
  </si>
  <si>
    <t>End-of-life Waste Performance</t>
  </si>
  <si>
    <t>Best Practice Procedures for Indoor Environment</t>
  </si>
  <si>
    <t>Indoor Environment Quality</t>
  </si>
  <si>
    <t>Indoor Air Quality</t>
  </si>
  <si>
    <t>To recognise operational practices that provide occupants with high quality indoor air.</t>
  </si>
  <si>
    <t>HVAC Maintenance, Cleaning and Hygiene</t>
  </si>
  <si>
    <t>Outdoor Pollutant Control: 
Carbon Monoxide Concentration</t>
  </si>
  <si>
    <t>Indoor Pollutant Control: 
Carbon Dioxide Concentration</t>
  </si>
  <si>
    <t>Hazardous Materials</t>
  </si>
  <si>
    <t>To recognise operational practices and actions that reduce health risks to occupants associated with the presence of hazardous materials in buildings.</t>
  </si>
  <si>
    <t>Location Assessment</t>
  </si>
  <si>
    <t>Refurbishment and Demolition Assessment</t>
  </si>
  <si>
    <t>Lighting Comfort</t>
  </si>
  <si>
    <t>To recognise the operational practices providing occupants with a high degree of lighting comfort.</t>
  </si>
  <si>
    <t>Lighting Fixture Performance</t>
  </si>
  <si>
    <t>General Illuminance</t>
  </si>
  <si>
    <t xml:space="preserve">Daylight &amp; Views </t>
  </si>
  <si>
    <t>To recognise naturally lit spaces providing occupants with access to appropriate daylight and views for the activities being performed during the performance period.</t>
  </si>
  <si>
    <t>Daylight Access</t>
  </si>
  <si>
    <t>Views and Lines of Sight</t>
  </si>
  <si>
    <t>Thermal Comfort</t>
  </si>
  <si>
    <t>A. Measurement</t>
  </si>
  <si>
    <t>12A.1</t>
  </si>
  <si>
    <t>Indoor Temperature</t>
  </si>
  <si>
    <t>12A.2</t>
  </si>
  <si>
    <t>Relative Humidity</t>
  </si>
  <si>
    <t>B. NABERS IE Rating (N/A for New Zealand Projects)</t>
  </si>
  <si>
    <t>12B.1</t>
  </si>
  <si>
    <t>NABERS IE Annual Monitoring (N/A for New Zealand Projects)</t>
  </si>
  <si>
    <t>12B.2</t>
  </si>
  <si>
    <t>NABERS IE Spot Measurements (N/A for New Zealand Projects)</t>
  </si>
  <si>
    <t>Acoustic Comfort</t>
  </si>
  <si>
    <t>To encourage operational practices that monitor and maintain internal noise levels from building systems and outside sources at an appropriate and comfortable level.</t>
  </si>
  <si>
    <t>Internal Noise Levels</t>
  </si>
  <si>
    <t>Occupant Satisfaction</t>
  </si>
  <si>
    <t>To encourage the assessment of thermal comfort, acoustics, indoor air quality, lighting and any other comfort issues for building occupants.</t>
  </si>
  <si>
    <t>Occupant Satisfaction Survey</t>
  </si>
  <si>
    <t>Occupant Satisfaction Levels</t>
  </si>
  <si>
    <t>Greenhouse Gas Emissions</t>
  </si>
  <si>
    <t>B. Building Energy Baselines</t>
  </si>
  <si>
    <t>NABERS Energy</t>
  </si>
  <si>
    <t>A. NABERS Energy</t>
  </si>
  <si>
    <t>Building Energy Baselines</t>
  </si>
  <si>
    <t>Peer Group of Comparable Buildings</t>
  </si>
  <si>
    <t>C. Peer Group of Comparable Buildings</t>
  </si>
  <si>
    <t>Longitudinal Benchmarking</t>
  </si>
  <si>
    <t>D. Longitudinal Benchmarking</t>
  </si>
  <si>
    <t>Peak Electricity Demand</t>
  </si>
  <si>
    <t>B. Longitudinal Benchmarking</t>
  </si>
  <si>
    <t>16A</t>
  </si>
  <si>
    <t>A. Peer Group of Comparable Buildings</t>
  </si>
  <si>
    <t>16B</t>
  </si>
  <si>
    <t>Preliminary Benchmark for Commercial Buildings (N/A for New Zealand Projects)</t>
  </si>
  <si>
    <t>C. Preliminary Benchmark (N/A for New Zealand Projects)</t>
  </si>
  <si>
    <t>Transport</t>
  </si>
  <si>
    <t>Sustainable Transport Program</t>
  </si>
  <si>
    <t>To recognise initiatives promoting and facilitating the use of alternative transport for commuting, reducing impacts from conventional single-occupant vehicles.</t>
  </si>
  <si>
    <t>Sustainable Transport Policy - 
Regular Occupants</t>
  </si>
  <si>
    <t>Sustainable Transport Policy -
Visitors</t>
  </si>
  <si>
    <t>Sustainable Transport Initiatives -
Regular Occupants</t>
  </si>
  <si>
    <t>Sustainable Transport Initiatives -
Visitors</t>
  </si>
  <si>
    <t>Transport Modes</t>
  </si>
  <si>
    <t>To recognise the outcomes of initiatives that support commuting via sustainable transport modes and in so doing reduce the impacts of vehicles carrying a single occupant.</t>
  </si>
  <si>
    <t>Transport Modes Survey</t>
  </si>
  <si>
    <t>Improved Transport Modes Performance</t>
  </si>
  <si>
    <t>Potable Water</t>
  </si>
  <si>
    <t>NABERS Water (N/A for New Zealand Projects)</t>
  </si>
  <si>
    <t>A. NABERS Water (N/A for New Zealand Projects)</t>
  </si>
  <si>
    <t>Potable Water Benchmarks</t>
  </si>
  <si>
    <t>B. Potable Water Benchmarks</t>
  </si>
  <si>
    <t>Fire Protection Testing Water (N/A for New Zealand Projects)</t>
  </si>
  <si>
    <t>To encourage operational practices that reduce consumption of potable water for the testing of fire protection systems.</t>
  </si>
  <si>
    <t>Testing Regimen</t>
  </si>
  <si>
    <t>Potable Water Use for Testing</t>
  </si>
  <si>
    <t>Materials</t>
  </si>
  <si>
    <t>Procurement and Purchasing</t>
  </si>
  <si>
    <t>To encourage the measurement and reduction of the environmental impacts of materials used in building operations, maintenance and upgrades.</t>
  </si>
  <si>
    <t>Sustainable Procurement Framework</t>
  </si>
  <si>
    <t>Consumable Materials</t>
  </si>
  <si>
    <t>Refurbishment Materials</t>
  </si>
  <si>
    <t>Waste from Operations</t>
  </si>
  <si>
    <t>To reward operational practices that reduce the amount of landfill waste from typical building operations.</t>
  </si>
  <si>
    <t>Operational Waste Management Plan</t>
  </si>
  <si>
    <t>Waste to Landfill Reduction</t>
  </si>
  <si>
    <t>Waste from Refurbishments</t>
  </si>
  <si>
    <t>To reward operational practices that reduce the amount of landfill waste from refurbishments, construction or demolition works.</t>
  </si>
  <si>
    <t>Waste Management Plan</t>
  </si>
  <si>
    <t xml:space="preserve">Waste Diverted from Landfill </t>
  </si>
  <si>
    <t>Land Use &amp; Ecology</t>
  </si>
  <si>
    <t>Ecological Value</t>
  </si>
  <si>
    <t>To recognise practices that preserve the ecological value of an occupied site and enhance its natural diversity.</t>
  </si>
  <si>
    <t>Operational Requirements for Biodiversity</t>
  </si>
  <si>
    <t>Natural Diversity</t>
  </si>
  <si>
    <t xml:space="preserve">Groundskeeping </t>
  </si>
  <si>
    <t>To encourage environmentally sensitive landscape, hard surface and building exterior maintenance practices that reduce environmental impacts and improve ecological value.</t>
  </si>
  <si>
    <t>Site Maintenance Procedures</t>
  </si>
  <si>
    <t>Landscape</t>
  </si>
  <si>
    <t>Hard Surfaces and Building Exterior</t>
  </si>
  <si>
    <t>Emissions</t>
  </si>
  <si>
    <t>Stormwater</t>
  </si>
  <si>
    <t>To encourage the minimisation of peak stormwater flows, the minimisation of pollutants in stormwater run-off and to minimise subsequent environmental impacts.</t>
  </si>
  <si>
    <t>Stormwater Management Plan</t>
  </si>
  <si>
    <t>Stormwater Runoff Pollutants</t>
  </si>
  <si>
    <t>Light Pollution</t>
  </si>
  <si>
    <t>To recognise operational practices that minimise direct and indirect night-time light pollution during the performance period.</t>
  </si>
  <si>
    <t>External Lighting</t>
  </si>
  <si>
    <t>Internal Lighting</t>
  </si>
  <si>
    <t>Refrigerant Impacts</t>
  </si>
  <si>
    <t>To encourage operational practices that minimise the environmental impacts of refrigeration equipment.</t>
  </si>
  <si>
    <t>Microbial Control</t>
  </si>
  <si>
    <t xml:space="preserve">To encourage and recognise building systems that minimise the risk of Legionella. </t>
  </si>
  <si>
    <t>Innovation</t>
  </si>
  <si>
    <t>To recognise and encourage pioneering initiatives in sustainable design, process, operational practices or advocacy.</t>
  </si>
  <si>
    <t>30A</t>
  </si>
  <si>
    <t>All</t>
  </si>
  <si>
    <t>Innovative Technology or Process</t>
  </si>
  <si>
    <t>30B</t>
  </si>
  <si>
    <t>Market Transformation</t>
  </si>
  <si>
    <t>30C</t>
  </si>
  <si>
    <t>Improving on Green Star Benchmarks</t>
  </si>
  <si>
    <t>30D</t>
  </si>
  <si>
    <t>Innovation Challenges</t>
  </si>
  <si>
    <t>30E</t>
  </si>
  <si>
    <t>Global Sustainability</t>
  </si>
  <si>
    <t>TOTAL NA POINTS</t>
  </si>
  <si>
    <t>AVAILABLE</t>
  </si>
  <si>
    <t>TARGETED</t>
  </si>
  <si>
    <t>AWARDED</t>
  </si>
  <si>
    <t>TBC</t>
  </si>
  <si>
    <t>POINTS</t>
  </si>
  <si>
    <t xml:space="preserve">CORE SCORE </t>
  </si>
  <si>
    <t>INNOVATION POINTS</t>
  </si>
  <si>
    <t>TOTAL SCORE TARGETED</t>
  </si>
  <si>
    <t>GBCA Comment</t>
  </si>
  <si>
    <t>Points targeted for this credit do not match the points in the previous certification phase (Year 1).</t>
  </si>
  <si>
    <t xml:space="preserve">NABERS IE Annual Monitoring (N/A for New Zealand Projects) </t>
  </si>
  <si>
    <t xml:space="preserve">NABERS IE Spot Measurements (N/A for New Zealand Projects) </t>
  </si>
  <si>
    <t xml:space="preserve">A. NABERS Water (N/A for New Zealand Projects) </t>
  </si>
  <si>
    <t>Project:</t>
  </si>
  <si>
    <t>Targeted Rating:</t>
  </si>
  <si>
    <t>SUBMISSION PLANNING…</t>
  </si>
  <si>
    <t>Categories</t>
  </si>
  <si>
    <t>Points Targeted</t>
  </si>
  <si>
    <t>Points Awarded</t>
  </si>
  <si>
    <t>Points TBC</t>
  </si>
  <si>
    <t>Criterion checked</t>
  </si>
  <si>
    <t>Criterion awarded</t>
  </si>
  <si>
    <t>Minor non-conformance</t>
  </si>
  <si>
    <t>Major non-conformance</t>
  </si>
  <si>
    <t>Credit not awarded</t>
  </si>
  <si>
    <t>Total Points Targeted</t>
  </si>
  <si>
    <t>Total Score (+ Innovation) Targeted</t>
  </si>
  <si>
    <t>B. Commercial Building Baseline Study</t>
  </si>
  <si>
    <t xml:space="preserve">Building Energy Baseline </t>
  </si>
  <si>
    <t>C. Preliminary Benchmark for Commercial Buildings (N/A for New Zealand Projects)</t>
  </si>
  <si>
    <t>Instructions:</t>
  </si>
  <si>
    <r>
      <t xml:space="preserve">This section of the scorecard has been created to help technical co-ordinators to conduct and manage the maintenance reviews for the project. The worksheet pulls information from the 'Building information', 'Initial', 'Year 1', and 'Year 2' tabs to assist technical co-ordinators and approvers when reviewing and approving audit results.
</t>
    </r>
    <r>
      <rPr>
        <b/>
        <u/>
        <sz val="12"/>
        <rFont val="Arial"/>
        <family val="2"/>
        <scheme val="major"/>
      </rPr>
      <t xml:space="preserve">
For Technical Co-ordinators</t>
    </r>
    <r>
      <rPr>
        <sz val="12"/>
        <rFont val="Arial"/>
        <family val="2"/>
        <scheme val="major"/>
      </rPr>
      <t xml:space="preserve">
When conducting maintenance reviews, technical co-ordinators must follow the steps outlined below:</t>
    </r>
    <r>
      <rPr>
        <b/>
        <sz val="12"/>
        <rFont val="Arial"/>
        <family val="2"/>
        <scheme val="major"/>
      </rPr>
      <t xml:space="preserve">
1. In the 'Building Information' Tab:</t>
    </r>
    <r>
      <rPr>
        <sz val="12"/>
        <rFont val="Arial"/>
        <family val="2"/>
        <scheme val="major"/>
      </rPr>
      <t xml:space="preserve">
</t>
    </r>
    <r>
      <rPr>
        <b/>
        <sz val="12"/>
        <rFont val="Arial"/>
        <family val="2"/>
        <scheme val="major"/>
      </rPr>
      <t xml:space="preserve">1.1  </t>
    </r>
    <r>
      <rPr>
        <sz val="12"/>
        <rFont val="Arial"/>
        <family val="2"/>
        <scheme val="major"/>
      </rPr>
      <t xml:space="preserve">Ensure that correct 'certification phase' [Cell C16] is selected for the performance period being audited
</t>
    </r>
    <r>
      <rPr>
        <b/>
        <sz val="12"/>
        <rFont val="Arial"/>
        <family val="2"/>
        <scheme val="major"/>
      </rPr>
      <t xml:space="preserve">1.2 </t>
    </r>
    <r>
      <rPr>
        <sz val="12"/>
        <rFont val="Arial"/>
        <family val="2"/>
        <scheme val="major"/>
      </rPr>
      <t xml:space="preserve">Ensure the relevant (Initial, Y1, Y2) performance periods have been completed for energy and water data [Cells B25:IXX]. </t>
    </r>
    <r>
      <rPr>
        <b/>
        <sz val="12"/>
        <rFont val="Arial"/>
        <family val="2"/>
        <scheme val="major"/>
      </rPr>
      <t xml:space="preserve">
2. In this Tab:</t>
    </r>
    <r>
      <rPr>
        <sz val="12"/>
        <rFont val="Arial"/>
        <family val="2"/>
        <scheme val="major"/>
      </rPr>
      <t xml:space="preserve">
</t>
    </r>
    <r>
      <rPr>
        <b/>
        <sz val="12"/>
        <rFont val="Arial"/>
        <family val="2"/>
        <scheme val="major"/>
      </rPr>
      <t>2.1.</t>
    </r>
    <r>
      <rPr>
        <sz val="12"/>
        <rFont val="Arial"/>
        <family val="2"/>
        <scheme val="major"/>
      </rPr>
      <t xml:space="preserve"> Complete all the white cells by copying information from the 'Initial', 'Y1', or 'Y2' tabs. </t>
    </r>
    <r>
      <rPr>
        <sz val="12"/>
        <color rgb="FFFF0000"/>
        <rFont val="Arial"/>
        <family val="2"/>
        <scheme val="major"/>
      </rPr>
      <t>This includes, the Project Scores [L4], GHG Points [H48:H41], Potable Water [H67:H70]</t>
    </r>
    <r>
      <rPr>
        <sz val="12"/>
        <rFont val="Arial"/>
        <family val="2"/>
        <scheme val="major"/>
      </rPr>
      <t xml:space="preserve">
</t>
    </r>
    <r>
      <rPr>
        <b/>
        <sz val="12"/>
        <rFont val="Arial"/>
        <family val="2"/>
        <scheme val="major"/>
      </rPr>
      <t>2.2</t>
    </r>
    <r>
      <rPr>
        <sz val="12"/>
        <rFont val="Arial"/>
        <family val="2"/>
        <scheme val="major"/>
      </rPr>
      <t xml:space="preserve"> Follow the process outlined in the document </t>
    </r>
    <r>
      <rPr>
        <b/>
        <i/>
        <sz val="12"/>
        <rFont val="Arial"/>
        <family val="2"/>
        <scheme val="major"/>
      </rPr>
      <t>Annual Performance Review Guide [REF-CERT-PROJ-25]</t>
    </r>
    <r>
      <rPr>
        <sz val="12"/>
        <rFont val="Arial"/>
        <family val="2"/>
        <scheme val="major"/>
      </rPr>
      <t xml:space="preserve"> to complete the audit
</t>
    </r>
    <r>
      <rPr>
        <b/>
        <sz val="12"/>
        <rFont val="Arial"/>
        <family val="2"/>
        <scheme val="major"/>
      </rPr>
      <t>2.3</t>
    </r>
    <r>
      <rPr>
        <sz val="12"/>
        <rFont val="Arial"/>
        <family val="2"/>
        <scheme val="major"/>
      </rPr>
      <t xml:space="preserve"> Leave comments for non-conformance issues such as, incorrect points claimed, assets externally assessed, or rating changes.
</t>
    </r>
    <r>
      <rPr>
        <b/>
        <sz val="12"/>
        <rFont val="Arial"/>
        <family val="2"/>
        <scheme val="major"/>
      </rPr>
      <t xml:space="preserve">
</t>
    </r>
    <r>
      <rPr>
        <b/>
        <u/>
        <sz val="12"/>
        <rFont val="Arial"/>
        <family val="2"/>
        <scheme val="major"/>
      </rPr>
      <t>For Approvers:</t>
    </r>
    <r>
      <rPr>
        <sz val="12"/>
        <rFont val="Arial"/>
        <family val="2"/>
        <scheme val="major"/>
      </rPr>
      <t xml:space="preserve">
</t>
    </r>
    <r>
      <rPr>
        <b/>
        <sz val="12"/>
        <rFont val="Arial"/>
        <family val="2"/>
        <scheme val="major"/>
      </rPr>
      <t xml:space="preserve">1. </t>
    </r>
    <r>
      <rPr>
        <sz val="12"/>
        <rFont val="Arial"/>
        <family val="2"/>
        <scheme val="major"/>
      </rPr>
      <t xml:space="preserve">When reviewing the maintenance reviews, approvers must follow the process outlined in the document </t>
    </r>
    <r>
      <rPr>
        <b/>
        <i/>
        <sz val="12"/>
        <rFont val="Arial"/>
        <family val="2"/>
        <scheme val="major"/>
      </rPr>
      <t>Annual Performance Review Guide [REF-CERT-PROJ-25]</t>
    </r>
    <r>
      <rPr>
        <sz val="12"/>
        <rFont val="Arial"/>
        <family val="2"/>
        <scheme val="major"/>
      </rPr>
      <t xml:space="preserve">
</t>
    </r>
    <r>
      <rPr>
        <b/>
        <sz val="12"/>
        <rFont val="Arial"/>
        <family val="2"/>
        <scheme val="major"/>
      </rPr>
      <t xml:space="preserve">2. </t>
    </r>
    <r>
      <rPr>
        <sz val="12"/>
        <rFont val="Arial"/>
        <family val="2"/>
        <scheme val="major"/>
      </rPr>
      <t>When the review is completed, lock and hide the tab and complete PAM tasks.</t>
    </r>
  </si>
  <si>
    <t>Previous Certification Phase</t>
  </si>
  <si>
    <t>Current Certification Phase</t>
  </si>
  <si>
    <t>&lt;Please complete&gt;</t>
  </si>
  <si>
    <t>Has the Green Star rating of the project changed?</t>
  </si>
  <si>
    <t>ENERGY</t>
  </si>
  <si>
    <t>Is there a gap between the rated periods?</t>
  </si>
  <si>
    <t>Have pathways been changed between certification phases?</t>
  </si>
  <si>
    <t>WATER</t>
  </si>
  <si>
    <t>Green Star Number</t>
  </si>
  <si>
    <t>Asset Name</t>
  </si>
  <si>
    <t>Total Score Awarded/Audited</t>
  </si>
  <si>
    <t>Pathway</t>
  </si>
  <si>
    <t>GHG Points</t>
  </si>
  <si>
    <t>Potable Water Points</t>
  </si>
  <si>
    <t>Rating</t>
  </si>
  <si>
    <t>Does the supporting documentation match the audited provided?, Enter 'Y', if compliant, 'N' , If non-compliant</t>
  </si>
  <si>
    <t>Has the pathway changed between certification phases?</t>
  </si>
  <si>
    <t>Scope of rating (Initial)</t>
  </si>
  <si>
    <t>Scope of rating (Year 1)</t>
  </si>
  <si>
    <t>Scope of rating (Year 2)</t>
  </si>
  <si>
    <t>Has the scope of Energy rating changed between current and previous certification cycle?</t>
  </si>
  <si>
    <t>Difference in GHG score</t>
  </si>
  <si>
    <t>Difference in Potable Water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</si>
</sst>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C09]dd\-mmm\-yy;@"/>
    <numFmt numFmtId="166" formatCode="0.0"/>
    <numFmt numFmtId="167" formatCode="mmm\ yyyy"/>
    <numFmt numFmtId="168" formatCode="#,##0.0"/>
  </numFmts>
  <fonts count="98">
    <font>
      <sz val="11"/>
      <color theme="1"/>
      <name val="Arial"/>
      <family val="2"/>
      <scheme val="minor"/>
    </font>
    <font>
      <b/>
      <sz val="12"/>
      <color theme="0"/>
      <name val="Arial"/>
      <family val="2"/>
      <scheme val="minor"/>
    </font>
    <font>
      <sz val="10"/>
      <color theme="1"/>
      <name val="Arial"/>
      <family val="2"/>
      <scheme val="minor"/>
    </font>
    <font>
      <sz val="12"/>
      <color theme="1"/>
      <name val="Arial"/>
      <family val="2"/>
      <scheme val="minor"/>
    </font>
    <font>
      <b/>
      <sz val="11"/>
      <color theme="0"/>
      <name val="Arial"/>
      <family val="2"/>
      <scheme val="minor"/>
    </font>
    <font>
      <b/>
      <sz val="11"/>
      <color theme="1"/>
      <name val="Arial"/>
      <family val="2"/>
      <scheme val="minor"/>
    </font>
    <font>
      <sz val="11"/>
      <color theme="1"/>
      <name val="Arial"/>
      <family val="2"/>
      <scheme val="minor"/>
    </font>
    <font>
      <sz val="10"/>
      <name val="Arial"/>
      <family val="2"/>
    </font>
    <font>
      <b/>
      <sz val="12"/>
      <color rgb="FFFF0000"/>
      <name val="Arial"/>
      <family val="2"/>
      <scheme val="minor"/>
    </font>
    <font>
      <b/>
      <sz val="10"/>
      <color rgb="FFFF0000"/>
      <name val="Arial"/>
      <family val="2"/>
      <scheme val="minor"/>
    </font>
    <font>
      <sz val="11"/>
      <color theme="0"/>
      <name val="Arial"/>
      <family val="2"/>
      <scheme val="minor"/>
    </font>
    <font>
      <b/>
      <sz val="14"/>
      <color theme="0"/>
      <name val="Calibri"/>
      <family val="2"/>
    </font>
    <font>
      <sz val="10"/>
      <name val="Verdana"/>
      <family val="2"/>
    </font>
    <font>
      <sz val="11"/>
      <name val="Calibri"/>
      <family val="2"/>
    </font>
    <font>
      <sz val="11"/>
      <name val="Arial"/>
      <family val="2"/>
      <scheme val="minor"/>
    </font>
    <font>
      <sz val="11"/>
      <name val="Century Gothic"/>
      <family val="2"/>
    </font>
    <font>
      <sz val="10"/>
      <name val="HelveticaNeue-Roman"/>
      <family val="2"/>
    </font>
    <font>
      <sz val="11"/>
      <color indexed="8"/>
      <name val="Calibri"/>
      <family val="2"/>
    </font>
    <font>
      <b/>
      <sz val="24"/>
      <color rgb="FFFFC000"/>
      <name val="Arial Black"/>
      <family val="2"/>
    </font>
    <font>
      <sz val="24"/>
      <color rgb="FFFFC000"/>
      <name val="Arial Black"/>
      <family val="2"/>
    </font>
    <font>
      <b/>
      <sz val="12"/>
      <name val="Arial"/>
      <family val="2"/>
      <scheme val="minor"/>
    </font>
    <font>
      <b/>
      <sz val="14"/>
      <color theme="1"/>
      <name val="Arial Black"/>
      <family val="2"/>
    </font>
    <font>
      <b/>
      <sz val="14"/>
      <color theme="1"/>
      <name val="Arial"/>
      <family val="2"/>
      <scheme val="minor"/>
    </font>
    <font>
      <b/>
      <sz val="12"/>
      <color theme="1"/>
      <name val="Century Gothic"/>
      <family val="2"/>
    </font>
    <font>
      <b/>
      <sz val="12"/>
      <color theme="1"/>
      <name val="Arial"/>
      <family val="2"/>
      <scheme val="minor"/>
    </font>
    <font>
      <b/>
      <sz val="14"/>
      <color theme="1"/>
      <name val="Century Gothic"/>
      <family val="2"/>
    </font>
    <font>
      <b/>
      <sz val="12"/>
      <color rgb="FFFF0000"/>
      <name val="Century Gothic"/>
      <family val="2"/>
    </font>
    <font>
      <b/>
      <sz val="14"/>
      <color theme="0"/>
      <name val="Arial"/>
      <family val="2"/>
      <scheme val="minor"/>
    </font>
    <font>
      <sz val="11"/>
      <color theme="1"/>
      <name val="Arial"/>
      <family val="2"/>
      <scheme val="major"/>
    </font>
    <font>
      <sz val="14"/>
      <color theme="1"/>
      <name val="Arial"/>
      <family val="2"/>
      <scheme val="minor"/>
    </font>
    <font>
      <sz val="11"/>
      <color theme="8" tint="0.39997558519241921"/>
      <name val="Arial"/>
      <family val="2"/>
      <scheme val="minor"/>
    </font>
    <font>
      <b/>
      <sz val="11"/>
      <color theme="0"/>
      <name val="Arial"/>
      <family val="2"/>
      <scheme val="major"/>
    </font>
    <font>
      <sz val="14"/>
      <color indexed="81"/>
      <name val="Tahoma"/>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sz val="8"/>
      <name val="Arial"/>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24"/>
      <color theme="3"/>
      <name val="Arial Black"/>
      <family val="2"/>
    </font>
    <font>
      <sz val="24"/>
      <color theme="3"/>
      <name val="Arial Black"/>
      <family val="2"/>
    </font>
    <font>
      <b/>
      <sz val="10"/>
      <color indexed="81"/>
      <name val="Tahoma"/>
      <family val="2"/>
    </font>
    <font>
      <sz val="10"/>
      <color theme="1"/>
      <name val="Arial"/>
      <family val="2"/>
      <scheme val="major"/>
    </font>
    <font>
      <b/>
      <sz val="10"/>
      <name val="Arial"/>
      <family val="2"/>
      <scheme val="major"/>
    </font>
    <font>
      <sz val="10"/>
      <name val="Arial"/>
      <family val="2"/>
      <scheme val="major"/>
    </font>
    <font>
      <sz val="11"/>
      <name val="Arial"/>
      <family val="2"/>
      <scheme val="major"/>
    </font>
    <font>
      <b/>
      <sz val="11"/>
      <name val="Arial"/>
      <family val="2"/>
      <scheme val="major"/>
    </font>
    <font>
      <b/>
      <sz val="14"/>
      <color theme="0"/>
      <name val="Arial"/>
      <family val="2"/>
      <scheme val="major"/>
    </font>
    <font>
      <sz val="11"/>
      <color theme="0"/>
      <name val="Arial"/>
      <family val="2"/>
      <scheme val="major"/>
    </font>
    <font>
      <b/>
      <sz val="16"/>
      <color theme="0"/>
      <name val="Arial"/>
      <family val="2"/>
      <scheme val="minor"/>
    </font>
    <font>
      <sz val="12"/>
      <color theme="1"/>
      <name val="Arial"/>
      <family val="2"/>
      <scheme val="major"/>
    </font>
    <font>
      <sz val="12"/>
      <color theme="0"/>
      <name val="Arial"/>
      <family val="2"/>
      <scheme val="minor"/>
    </font>
    <font>
      <b/>
      <sz val="12"/>
      <color theme="0"/>
      <name val="Arial"/>
      <family val="2"/>
      <scheme val="major"/>
    </font>
    <font>
      <sz val="12"/>
      <name val="Arial"/>
      <family val="2"/>
      <scheme val="minor"/>
    </font>
    <font>
      <b/>
      <sz val="10"/>
      <color theme="1"/>
      <name val="Arial"/>
      <family val="2"/>
      <scheme val="major"/>
    </font>
    <font>
      <sz val="10"/>
      <color theme="0"/>
      <name val="Arial"/>
      <family val="2"/>
      <scheme val="major"/>
    </font>
    <font>
      <b/>
      <sz val="10"/>
      <color theme="1"/>
      <name val="Arial"/>
      <family val="2"/>
      <scheme val="minor"/>
    </font>
    <font>
      <sz val="5.5"/>
      <name val="Arial"/>
      <family val="2"/>
      <scheme val="minor"/>
    </font>
    <font>
      <i/>
      <sz val="10"/>
      <color theme="1"/>
      <name val="Arial"/>
      <family val="2"/>
      <scheme val="major"/>
    </font>
    <font>
      <b/>
      <sz val="10"/>
      <color theme="0"/>
      <name val="Arial"/>
      <family val="2"/>
      <scheme val="major"/>
    </font>
    <font>
      <b/>
      <sz val="24"/>
      <color rgb="FF1F3860"/>
      <name val="Arial"/>
      <family val="2"/>
      <scheme val="major"/>
    </font>
    <font>
      <sz val="24"/>
      <color rgb="FF002060"/>
      <name val="Arial"/>
      <family val="2"/>
      <scheme val="major"/>
    </font>
    <font>
      <b/>
      <sz val="16"/>
      <color theme="1"/>
      <name val="Arial"/>
      <family val="2"/>
      <scheme val="major"/>
    </font>
    <font>
      <b/>
      <sz val="11"/>
      <color theme="7" tint="-0.749992370372631"/>
      <name val="Arial"/>
      <family val="2"/>
      <scheme val="major"/>
    </font>
    <font>
      <sz val="10"/>
      <color rgb="FFFF0000"/>
      <name val="Arial"/>
      <family val="2"/>
      <scheme val="major"/>
    </font>
    <font>
      <b/>
      <sz val="26"/>
      <color rgb="FF1F3860"/>
      <name val="Arial"/>
      <family val="2"/>
    </font>
    <font>
      <sz val="14"/>
      <color theme="0"/>
      <name val="Arial"/>
      <family val="2"/>
    </font>
    <font>
      <sz val="12"/>
      <color rgb="FF1F3860"/>
      <name val="Arial"/>
      <family val="2"/>
    </font>
    <font>
      <sz val="12"/>
      <name val="Arial"/>
      <family val="2"/>
      <scheme val="major"/>
    </font>
    <font>
      <b/>
      <u/>
      <sz val="12"/>
      <name val="Arial"/>
      <family val="2"/>
      <scheme val="major"/>
    </font>
    <font>
      <b/>
      <sz val="12"/>
      <name val="Arial"/>
      <family val="2"/>
      <scheme val="major"/>
    </font>
    <font>
      <sz val="12"/>
      <color rgb="FFFF0000"/>
      <name val="Arial"/>
      <family val="2"/>
      <scheme val="major"/>
    </font>
    <font>
      <sz val="8"/>
      <color theme="1"/>
      <name val="Arial"/>
      <family val="2"/>
      <scheme val="major"/>
    </font>
    <font>
      <i/>
      <sz val="12"/>
      <name val="Arial"/>
      <family val="2"/>
      <scheme val="major"/>
    </font>
    <font>
      <b/>
      <sz val="12"/>
      <color rgb="FF000000"/>
      <name val="Arial"/>
      <family val="2"/>
      <scheme val="major"/>
    </font>
    <font>
      <sz val="12"/>
      <color theme="0"/>
      <name val="Arial"/>
      <family val="2"/>
      <scheme val="major"/>
    </font>
    <font>
      <b/>
      <i/>
      <sz val="12"/>
      <name val="Arial"/>
      <family val="2"/>
      <scheme val="major"/>
    </font>
    <font>
      <b/>
      <sz val="14"/>
      <name val="Arial"/>
      <family val="2"/>
      <scheme val="major"/>
    </font>
    <font>
      <b/>
      <u/>
      <sz val="11"/>
      <name val="Arial"/>
      <family val="2"/>
      <scheme val="major"/>
    </font>
    <font>
      <sz val="11"/>
      <color rgb="FFFF9966"/>
      <name val="Arial"/>
      <family val="2"/>
      <scheme val="major"/>
    </font>
    <font>
      <b/>
      <sz val="11"/>
      <color rgb="FFFF9966"/>
      <name val="Arial"/>
      <family val="2"/>
      <scheme val="major"/>
    </font>
    <font>
      <b/>
      <sz val="11"/>
      <color rgb="FF00FF99"/>
      <name val="Arial"/>
      <family val="2"/>
      <scheme val="major"/>
    </font>
    <font>
      <i/>
      <sz val="10"/>
      <name val="Arial"/>
      <family val="2"/>
      <scheme val="major"/>
    </font>
    <font>
      <b/>
      <sz val="11"/>
      <color rgb="FFFF0000"/>
      <name val="Arial"/>
      <family val="2"/>
      <scheme val="major"/>
    </font>
    <font>
      <sz val="16"/>
      <color theme="0"/>
      <name val="Arial Black"/>
      <family val="2"/>
    </font>
    <font>
      <sz val="12"/>
      <color indexed="81"/>
      <name val="Arial"/>
      <family val="2"/>
      <scheme val="major"/>
    </font>
    <font>
      <b/>
      <sz val="10"/>
      <color indexed="18"/>
      <name val="Arial"/>
      <family val="2"/>
      <scheme val="major"/>
    </font>
  </fonts>
  <fills count="49">
    <fill>
      <patternFill patternType="none"/>
    </fill>
    <fill>
      <patternFill patternType="gray125"/>
    </fill>
    <fill>
      <patternFill patternType="solid">
        <fgColor theme="3"/>
        <bgColor indexed="64"/>
      </patternFill>
    </fill>
    <fill>
      <patternFill patternType="solid">
        <fgColor theme="7"/>
        <bgColor indexed="64"/>
      </patternFill>
    </fill>
    <fill>
      <patternFill patternType="solid">
        <fgColor theme="0"/>
        <bgColor indexed="64"/>
      </patternFill>
    </fill>
    <fill>
      <patternFill patternType="solid">
        <fgColor rgb="FF080808"/>
        <bgColor indexed="64"/>
      </patternFill>
    </fill>
    <fill>
      <patternFill patternType="solid">
        <fgColor rgb="FF56B3D0"/>
        <bgColor indexed="64"/>
      </patternFill>
    </fill>
    <fill>
      <patternFill patternType="solid">
        <fgColor rgb="FFFFEB9C"/>
        <bgColor indexed="64"/>
      </patternFill>
    </fill>
    <fill>
      <patternFill patternType="solid">
        <fgColor rgb="FF000000"/>
        <bgColor indexed="64"/>
      </patternFill>
    </fill>
    <fill>
      <patternFill patternType="solid">
        <fgColor theme="8" tint="0.79998168889431442"/>
        <bgColor indexed="64"/>
      </patternFill>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theme="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rgb="FF00FFCC"/>
        <bgColor indexed="64"/>
      </patternFill>
    </fill>
    <fill>
      <patternFill patternType="solid">
        <fgColor rgb="FF00CC99"/>
        <bgColor indexed="64"/>
      </patternFill>
    </fill>
    <fill>
      <patternFill patternType="solid">
        <fgColor rgb="FF00CC66"/>
        <bgColor indexed="64"/>
      </patternFill>
    </fill>
    <fill>
      <patternFill patternType="solid">
        <fgColor rgb="FFFFCC99"/>
        <bgColor indexed="64"/>
      </patternFill>
    </fill>
    <fill>
      <patternFill patternType="solid">
        <fgColor rgb="FFFFCC66"/>
        <bgColor indexed="64"/>
      </patternFill>
    </fill>
    <fill>
      <patternFill patternType="solid">
        <fgColor rgb="FFFF9900"/>
        <bgColor indexed="64"/>
      </patternFill>
    </fill>
    <fill>
      <patternFill patternType="darkUp">
        <fgColor rgb="FFFF0000"/>
        <bgColor rgb="FFFF0000"/>
      </patternFill>
    </fill>
    <fill>
      <patternFill patternType="gray125">
        <fgColor theme="7" tint="-0.499984740745262"/>
        <bgColor indexed="65"/>
      </patternFill>
    </fill>
    <fill>
      <patternFill patternType="darkUp">
        <fgColor theme="0"/>
        <bgColor rgb="FF00CC99"/>
      </patternFill>
    </fill>
    <fill>
      <patternFill patternType="darkUp">
        <fgColor theme="0"/>
        <bgColor rgb="FF00CC66"/>
      </patternFill>
    </fill>
    <fill>
      <patternFill patternType="darkUp">
        <fgColor theme="0"/>
        <bgColor rgb="FFFFCC99"/>
      </patternFill>
    </fill>
    <fill>
      <patternFill patternType="darkUp">
        <fgColor theme="0"/>
        <bgColor rgb="FFFFCC66"/>
      </patternFill>
    </fill>
    <fill>
      <patternFill patternType="solid">
        <fgColor theme="0" tint="-4.9989318521683403E-2"/>
        <bgColor indexed="64"/>
      </patternFill>
    </fill>
    <fill>
      <patternFill patternType="solid">
        <fgColor rgb="FFFF9966"/>
        <bgColor indexed="64"/>
      </patternFill>
    </fill>
    <fill>
      <patternFill patternType="solid">
        <fgColor rgb="FF00FF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0"/>
        <bgColor theme="0"/>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top/>
      <bottom style="hair">
        <color auto="1"/>
      </bottom>
      <diagonal/>
    </border>
    <border>
      <left/>
      <right style="hair">
        <color auto="1"/>
      </right>
      <top style="hair">
        <color auto="1"/>
      </top>
      <bottom/>
      <diagonal/>
    </border>
    <border>
      <left/>
      <right style="hair">
        <color auto="1"/>
      </right>
      <top/>
      <bottom style="hair">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hair">
        <color auto="1"/>
      </right>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hair">
        <color auto="1"/>
      </top>
      <bottom style="thin">
        <color indexed="64"/>
      </bottom>
      <diagonal/>
    </border>
    <border>
      <left style="dotted">
        <color theme="1" tint="0.79998168889431442"/>
      </left>
      <right style="dotted">
        <color theme="1" tint="0.79998168889431442"/>
      </right>
      <top/>
      <bottom/>
      <diagonal/>
    </border>
    <border>
      <left style="hair">
        <color theme="1" tint="0.79995117038483843"/>
      </left>
      <right style="hair">
        <color theme="1" tint="0.79995117038483843"/>
      </right>
      <top/>
      <bottom/>
      <diagonal/>
    </border>
    <border>
      <left/>
      <right/>
      <top style="thick">
        <color theme="0"/>
      </top>
      <bottom style="thick">
        <color theme="0"/>
      </bottom>
      <diagonal/>
    </border>
    <border>
      <left style="hair">
        <color theme="1" tint="0.79995117038483843"/>
      </left>
      <right style="hair">
        <color theme="1" tint="0.79995117038483843"/>
      </right>
      <top/>
      <bottom style="thick">
        <color theme="0"/>
      </bottom>
      <diagonal/>
    </border>
    <border>
      <left/>
      <right style="hair">
        <color auto="1"/>
      </right>
      <top style="hair">
        <color auto="1"/>
      </top>
      <bottom style="thin">
        <color theme="3" tint="-0.249977111117893"/>
      </bottom>
      <diagonal/>
    </border>
    <border>
      <left style="hair">
        <color auto="1"/>
      </left>
      <right style="hair">
        <color auto="1"/>
      </right>
      <top style="hair">
        <color auto="1"/>
      </top>
      <bottom style="thin">
        <color theme="3" tint="-0.249977111117893"/>
      </bottom>
      <diagonal/>
    </border>
    <border>
      <left style="thin">
        <color indexed="64"/>
      </left>
      <right style="hair">
        <color theme="0" tint="-0.14996795556505021"/>
      </right>
      <top style="thin">
        <color indexed="64"/>
      </top>
      <bottom style="thin">
        <color theme="0"/>
      </bottom>
      <diagonal/>
    </border>
    <border>
      <left style="hair">
        <color theme="0" tint="-0.14996795556505021"/>
      </left>
      <right style="hair">
        <color theme="0" tint="-0.14996795556505021"/>
      </right>
      <top style="thin">
        <color indexed="64"/>
      </top>
      <bottom style="thin">
        <color theme="0"/>
      </bottom>
      <diagonal/>
    </border>
    <border>
      <left style="hair">
        <color theme="0" tint="-0.14996795556505021"/>
      </left>
      <right style="thin">
        <color indexed="64"/>
      </right>
      <top style="thin">
        <color indexed="64"/>
      </top>
      <bottom style="thin">
        <color theme="0"/>
      </bottom>
      <diagonal/>
    </border>
    <border>
      <left style="thin">
        <color indexed="64"/>
      </left>
      <right style="hair">
        <color theme="0" tint="-0.14996795556505021"/>
      </right>
      <top style="thin">
        <color theme="0"/>
      </top>
      <bottom style="thin">
        <color theme="0"/>
      </bottom>
      <diagonal/>
    </border>
    <border>
      <left style="hair">
        <color theme="0" tint="-0.14996795556505021"/>
      </left>
      <right style="hair">
        <color theme="0" tint="-0.14996795556505021"/>
      </right>
      <top style="thin">
        <color theme="0"/>
      </top>
      <bottom style="thin">
        <color theme="0"/>
      </bottom>
      <diagonal/>
    </border>
    <border>
      <left style="hair">
        <color theme="0" tint="-0.14996795556505021"/>
      </left>
      <right style="thin">
        <color indexed="64"/>
      </right>
      <top style="thin">
        <color theme="0"/>
      </top>
      <bottom style="thin">
        <color theme="0"/>
      </bottom>
      <diagonal/>
    </border>
    <border>
      <left style="thin">
        <color indexed="64"/>
      </left>
      <right style="hair">
        <color theme="0" tint="-0.14996795556505021"/>
      </right>
      <top style="thin">
        <color theme="0"/>
      </top>
      <bottom/>
      <diagonal/>
    </border>
    <border>
      <left/>
      <right style="hair">
        <color theme="0" tint="-0.14996795556505021"/>
      </right>
      <top style="thin">
        <color theme="0"/>
      </top>
      <bottom/>
      <diagonal/>
    </border>
    <border>
      <left style="hair">
        <color theme="0" tint="-0.14996795556505021"/>
      </left>
      <right style="thin">
        <color indexed="64"/>
      </right>
      <top style="thin">
        <color theme="0"/>
      </top>
      <bottom/>
      <diagonal/>
    </border>
    <border>
      <left/>
      <right style="hair">
        <color theme="0" tint="-0.14996795556505021"/>
      </right>
      <top style="thin">
        <color rgb="FFFF0000"/>
      </top>
      <bottom style="thin">
        <color rgb="FFFF0000"/>
      </bottom>
      <diagonal/>
    </border>
    <border>
      <left style="hair">
        <color theme="0" tint="-0.14996795556505021"/>
      </left>
      <right style="thin">
        <color indexed="64"/>
      </right>
      <top style="thin">
        <color rgb="FFFF0000"/>
      </top>
      <bottom style="thin">
        <color rgb="FFFF0000"/>
      </bottom>
      <diagonal/>
    </border>
    <border>
      <left/>
      <right/>
      <top style="thick">
        <color theme="0"/>
      </top>
      <bottom style="thin">
        <color rgb="FF56B3D0"/>
      </bottom>
      <diagonal/>
    </border>
    <border>
      <left style="hair">
        <color theme="1" tint="0.79995117038483843"/>
      </left>
      <right style="hair">
        <color theme="1" tint="0.79995117038483843"/>
      </right>
      <top/>
      <bottom style="thin">
        <color rgb="FF56B3D0"/>
      </bottom>
      <diagonal/>
    </border>
    <border>
      <left style="hair">
        <color auto="1"/>
      </left>
      <right style="hair">
        <color auto="1"/>
      </right>
      <top style="hair">
        <color auto="1"/>
      </top>
      <bottom style="thin">
        <color rgb="FF56B3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style="thin">
        <color indexed="64"/>
      </right>
      <top/>
      <bottom style="thin">
        <color indexed="64"/>
      </bottom>
      <diagonal/>
    </border>
    <border>
      <left style="thin">
        <color indexed="64"/>
      </left>
      <right style="hair">
        <color indexed="64"/>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hair">
        <color indexed="64"/>
      </right>
      <top style="thin">
        <color indexed="64"/>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49">
    <xf numFmtId="0" fontId="0" fillId="0" borderId="0"/>
    <xf numFmtId="9" fontId="6" fillId="0" borderId="0" applyFont="0" applyFill="0" applyBorder="0" applyAlignment="0" applyProtection="0"/>
    <xf numFmtId="0" fontId="7" fillId="0" borderId="0"/>
    <xf numFmtId="0" fontId="7" fillId="0" borderId="0"/>
    <xf numFmtId="0" fontId="12" fillId="0" borderId="0"/>
    <xf numFmtId="165" fontId="7" fillId="0" borderId="0"/>
    <xf numFmtId="165" fontId="12" fillId="0" borderId="0"/>
    <xf numFmtId="165" fontId="6" fillId="0" borderId="0"/>
    <xf numFmtId="165" fontId="7" fillId="0" borderId="0"/>
    <xf numFmtId="0" fontId="6" fillId="7" borderId="3" applyNumberFormat="0" applyAlignment="0" applyProtection="0"/>
    <xf numFmtId="0" fontId="30" fillId="9" borderId="3">
      <alignment vertical="center"/>
    </xf>
    <xf numFmtId="0" fontId="4" fillId="8" borderId="0">
      <alignment horizontal="center" vertical="center" wrapText="1"/>
      <protection locked="0"/>
    </xf>
    <xf numFmtId="165" fontId="17" fillId="10" borderId="0" applyNumberFormat="0" applyBorder="0" applyAlignment="0" applyProtection="0"/>
    <xf numFmtId="165" fontId="17" fillId="10" borderId="0" applyNumberFormat="0" applyBorder="0" applyAlignment="0" applyProtection="0"/>
    <xf numFmtId="165" fontId="17" fillId="10" borderId="0" applyNumberFormat="0" applyBorder="0" applyAlignment="0" applyProtection="0"/>
    <xf numFmtId="165" fontId="17" fillId="10" borderId="0" applyNumberFormat="0" applyBorder="0" applyAlignment="0" applyProtection="0"/>
    <xf numFmtId="165" fontId="17" fillId="11" borderId="0" applyNumberFormat="0" applyBorder="0" applyAlignment="0" applyProtection="0"/>
    <xf numFmtId="165" fontId="17" fillId="11" borderId="0" applyNumberFormat="0" applyBorder="0" applyAlignment="0" applyProtection="0"/>
    <xf numFmtId="165" fontId="17" fillId="11" borderId="0" applyNumberFormat="0" applyBorder="0" applyAlignment="0" applyProtection="0"/>
    <xf numFmtId="165" fontId="17" fillId="11" borderId="0" applyNumberFormat="0" applyBorder="0" applyAlignment="0" applyProtection="0"/>
    <xf numFmtId="165" fontId="17" fillId="11" borderId="0" applyNumberFormat="0" applyBorder="0" applyAlignment="0" applyProtection="0"/>
    <xf numFmtId="165" fontId="17" fillId="12" borderId="0" applyNumberFormat="0" applyBorder="0" applyAlignment="0" applyProtection="0"/>
    <xf numFmtId="165" fontId="17" fillId="12" borderId="0" applyNumberFormat="0" applyBorder="0" applyAlignment="0" applyProtection="0"/>
    <xf numFmtId="165" fontId="17" fillId="12" borderId="0" applyNumberFormat="0" applyBorder="0" applyAlignment="0" applyProtection="0"/>
    <xf numFmtId="165" fontId="17" fillId="12" borderId="0" applyNumberFormat="0" applyBorder="0" applyAlignment="0" applyProtection="0"/>
    <xf numFmtId="165" fontId="17" fillId="12" borderId="0" applyNumberFormat="0" applyBorder="0" applyAlignment="0" applyProtection="0"/>
    <xf numFmtId="165" fontId="17" fillId="10" borderId="0" applyNumberFormat="0" applyBorder="0" applyAlignment="0" applyProtection="0"/>
    <xf numFmtId="165" fontId="17" fillId="10" borderId="0" applyNumberFormat="0" applyBorder="0" applyAlignment="0" applyProtection="0"/>
    <xf numFmtId="165" fontId="17" fillId="10" borderId="0" applyNumberFormat="0" applyBorder="0" applyAlignment="0" applyProtection="0"/>
    <xf numFmtId="165" fontId="17" fillId="10" borderId="0" applyNumberFormat="0" applyBorder="0" applyAlignment="0" applyProtection="0"/>
    <xf numFmtId="165" fontId="17" fillId="10" borderId="0" applyNumberFormat="0" applyBorder="0" applyAlignment="0" applyProtection="0"/>
    <xf numFmtId="165" fontId="17" fillId="13" borderId="0" applyNumberFormat="0" applyBorder="0" applyAlignment="0" applyProtection="0"/>
    <xf numFmtId="165" fontId="17" fillId="13" borderId="0" applyNumberFormat="0" applyBorder="0" applyAlignment="0" applyProtection="0"/>
    <xf numFmtId="165" fontId="17" fillId="13" borderId="0" applyNumberFormat="0" applyBorder="0" applyAlignment="0" applyProtection="0"/>
    <xf numFmtId="165" fontId="17" fillId="13" borderId="0" applyNumberFormat="0" applyBorder="0" applyAlignment="0" applyProtection="0"/>
    <xf numFmtId="165" fontId="17" fillId="13" borderId="0" applyNumberFormat="0" applyBorder="0" applyAlignment="0" applyProtection="0"/>
    <xf numFmtId="165" fontId="17" fillId="12" borderId="0" applyNumberFormat="0" applyBorder="0" applyAlignment="0" applyProtection="0"/>
    <xf numFmtId="165" fontId="17" fillId="12" borderId="0" applyNumberFormat="0" applyBorder="0" applyAlignment="0" applyProtection="0"/>
    <xf numFmtId="165" fontId="17" fillId="12" borderId="0" applyNumberFormat="0" applyBorder="0" applyAlignment="0" applyProtection="0"/>
    <xf numFmtId="165" fontId="17" fillId="12" borderId="0" applyNumberFormat="0" applyBorder="0" applyAlignment="0" applyProtection="0"/>
    <xf numFmtId="165" fontId="17" fillId="12" borderId="0" applyNumberFormat="0" applyBorder="0" applyAlignment="0" applyProtection="0"/>
    <xf numFmtId="165" fontId="17" fillId="14" borderId="0" applyNumberFormat="0" applyBorder="0" applyAlignment="0" applyProtection="0"/>
    <xf numFmtId="165" fontId="17" fillId="14" borderId="0" applyNumberFormat="0" applyBorder="0" applyAlignment="0" applyProtection="0"/>
    <xf numFmtId="165" fontId="17" fillId="14" borderId="0" applyNumberFormat="0" applyBorder="0" applyAlignment="0" applyProtection="0"/>
    <xf numFmtId="165" fontId="17" fillId="14" borderId="0" applyNumberFormat="0" applyBorder="0" applyAlignment="0" applyProtection="0"/>
    <xf numFmtId="165" fontId="17" fillId="14" borderId="0" applyNumberFormat="0" applyBorder="0" applyAlignment="0" applyProtection="0"/>
    <xf numFmtId="165" fontId="17" fillId="11" borderId="0" applyNumberFormat="0" applyBorder="0" applyAlignment="0" applyProtection="0"/>
    <xf numFmtId="165" fontId="17" fillId="11" borderId="0" applyNumberFormat="0" applyBorder="0" applyAlignment="0" applyProtection="0"/>
    <xf numFmtId="165" fontId="17" fillId="11" borderId="0" applyNumberFormat="0" applyBorder="0" applyAlignment="0" applyProtection="0"/>
    <xf numFmtId="165" fontId="17" fillId="11" borderId="0" applyNumberFormat="0" applyBorder="0" applyAlignment="0" applyProtection="0"/>
    <xf numFmtId="165" fontId="17" fillId="11" borderId="0" applyNumberFormat="0" applyBorder="0" applyAlignment="0" applyProtection="0"/>
    <xf numFmtId="165" fontId="17" fillId="15" borderId="0" applyNumberFormat="0" applyBorder="0" applyAlignment="0" applyProtection="0"/>
    <xf numFmtId="165" fontId="17" fillId="15" borderId="0" applyNumberFormat="0" applyBorder="0" applyAlignment="0" applyProtection="0"/>
    <xf numFmtId="165" fontId="17" fillId="15" borderId="0" applyNumberFormat="0" applyBorder="0" applyAlignment="0" applyProtection="0"/>
    <xf numFmtId="165" fontId="17" fillId="15" borderId="0" applyNumberFormat="0" applyBorder="0" applyAlignment="0" applyProtection="0"/>
    <xf numFmtId="165" fontId="17" fillId="15" borderId="0" applyNumberFormat="0" applyBorder="0" applyAlignment="0" applyProtection="0"/>
    <xf numFmtId="165" fontId="17" fillId="14" borderId="0" applyNumberFormat="0" applyBorder="0" applyAlignment="0" applyProtection="0"/>
    <xf numFmtId="165" fontId="17" fillId="14" borderId="0" applyNumberFormat="0" applyBorder="0" applyAlignment="0" applyProtection="0"/>
    <xf numFmtId="165" fontId="17" fillId="14" borderId="0" applyNumberFormat="0" applyBorder="0" applyAlignment="0" applyProtection="0"/>
    <xf numFmtId="165" fontId="17" fillId="14" borderId="0" applyNumberFormat="0" applyBorder="0" applyAlignment="0" applyProtection="0"/>
    <xf numFmtId="165" fontId="17" fillId="14" borderId="0" applyNumberFormat="0" applyBorder="0" applyAlignment="0" applyProtection="0"/>
    <xf numFmtId="165" fontId="17" fillId="13" borderId="0" applyNumberFormat="0" applyBorder="0" applyAlignment="0" applyProtection="0"/>
    <xf numFmtId="165" fontId="17" fillId="13" borderId="0" applyNumberFormat="0" applyBorder="0" applyAlignment="0" applyProtection="0"/>
    <xf numFmtId="165" fontId="17" fillId="13" borderId="0" applyNumberFormat="0" applyBorder="0" applyAlignment="0" applyProtection="0"/>
    <xf numFmtId="165" fontId="17" fillId="13" borderId="0" applyNumberFormat="0" applyBorder="0" applyAlignment="0" applyProtection="0"/>
    <xf numFmtId="165" fontId="17" fillId="13" borderId="0" applyNumberFormat="0" applyBorder="0" applyAlignment="0" applyProtection="0"/>
    <xf numFmtId="165" fontId="17" fillId="15" borderId="0" applyNumberFormat="0" applyBorder="0" applyAlignment="0" applyProtection="0"/>
    <xf numFmtId="165" fontId="17" fillId="15" borderId="0" applyNumberFormat="0" applyBorder="0" applyAlignment="0" applyProtection="0"/>
    <xf numFmtId="165" fontId="17" fillId="15" borderId="0" applyNumberFormat="0" applyBorder="0" applyAlignment="0" applyProtection="0"/>
    <xf numFmtId="165" fontId="17" fillId="15" borderId="0" applyNumberFormat="0" applyBorder="0" applyAlignment="0" applyProtection="0"/>
    <xf numFmtId="165" fontId="17" fillId="15"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5" borderId="0" applyNumberFormat="0" applyBorder="0" applyAlignment="0" applyProtection="0"/>
    <xf numFmtId="165" fontId="33" fillId="15" borderId="0" applyNumberFormat="0" applyBorder="0" applyAlignment="0" applyProtection="0"/>
    <xf numFmtId="165" fontId="33" fillId="15" borderId="0" applyNumberFormat="0" applyBorder="0" applyAlignment="0" applyProtection="0"/>
    <xf numFmtId="165" fontId="33" fillId="15" borderId="0" applyNumberFormat="0" applyBorder="0" applyAlignment="0" applyProtection="0"/>
    <xf numFmtId="165" fontId="33" fillId="15" borderId="0" applyNumberFormat="0" applyBorder="0" applyAlignment="0" applyProtection="0"/>
    <xf numFmtId="165" fontId="33" fillId="14" borderId="0" applyNumberFormat="0" applyBorder="0" applyAlignment="0" applyProtection="0"/>
    <xf numFmtId="165" fontId="33" fillId="14" borderId="0" applyNumberFormat="0" applyBorder="0" applyAlignment="0" applyProtection="0"/>
    <xf numFmtId="165" fontId="33" fillId="14" borderId="0" applyNumberFormat="0" applyBorder="0" applyAlignment="0" applyProtection="0"/>
    <xf numFmtId="165" fontId="33" fillId="14" borderId="0" applyNumberFormat="0" applyBorder="0" applyAlignment="0" applyProtection="0"/>
    <xf numFmtId="165" fontId="33" fillId="14"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1"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7" borderId="0" applyNumberFormat="0" applyBorder="0" applyAlignment="0" applyProtection="0"/>
    <xf numFmtId="165" fontId="33" fillId="17" borderId="0" applyNumberFormat="0" applyBorder="0" applyAlignment="0" applyProtection="0"/>
    <xf numFmtId="165" fontId="33" fillId="17" borderId="0" applyNumberFormat="0" applyBorder="0" applyAlignment="0" applyProtection="0"/>
    <xf numFmtId="165" fontId="33" fillId="17" borderId="0" applyNumberFormat="0" applyBorder="0" applyAlignment="0" applyProtection="0"/>
    <xf numFmtId="165" fontId="33" fillId="17" borderId="0" applyNumberFormat="0" applyBorder="0" applyAlignment="0" applyProtection="0"/>
    <xf numFmtId="165" fontId="33" fillId="18" borderId="0" applyNumberFormat="0" applyBorder="0" applyAlignment="0" applyProtection="0"/>
    <xf numFmtId="165" fontId="33" fillId="18" borderId="0" applyNumberFormat="0" applyBorder="0" applyAlignment="0" applyProtection="0"/>
    <xf numFmtId="165" fontId="33" fillId="18" borderId="0" applyNumberFormat="0" applyBorder="0" applyAlignment="0" applyProtection="0"/>
    <xf numFmtId="165" fontId="33" fillId="18" borderId="0" applyNumberFormat="0" applyBorder="0" applyAlignment="0" applyProtection="0"/>
    <xf numFmtId="165" fontId="33" fillId="18" borderId="0" applyNumberFormat="0" applyBorder="0" applyAlignment="0" applyProtection="0"/>
    <xf numFmtId="165" fontId="33" fillId="19" borderId="0" applyNumberFormat="0" applyBorder="0" applyAlignment="0" applyProtection="0"/>
    <xf numFmtId="165" fontId="33" fillId="19" borderId="0" applyNumberFormat="0" applyBorder="0" applyAlignment="0" applyProtection="0"/>
    <xf numFmtId="165" fontId="33" fillId="19" borderId="0" applyNumberFormat="0" applyBorder="0" applyAlignment="0" applyProtection="0"/>
    <xf numFmtId="165" fontId="33" fillId="19" borderId="0" applyNumberFormat="0" applyBorder="0" applyAlignment="0" applyProtection="0"/>
    <xf numFmtId="165" fontId="33" fillId="19"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16" borderId="0" applyNumberFormat="0" applyBorder="0" applyAlignment="0" applyProtection="0"/>
    <xf numFmtId="165" fontId="33" fillId="20" borderId="0" applyNumberFormat="0" applyBorder="0" applyAlignment="0" applyProtection="0"/>
    <xf numFmtId="165" fontId="33" fillId="20" borderId="0" applyNumberFormat="0" applyBorder="0" applyAlignment="0" applyProtection="0"/>
    <xf numFmtId="165" fontId="33" fillId="20" borderId="0" applyNumberFormat="0" applyBorder="0" applyAlignment="0" applyProtection="0"/>
    <xf numFmtId="165" fontId="33" fillId="20" borderId="0" applyNumberFormat="0" applyBorder="0" applyAlignment="0" applyProtection="0"/>
    <xf numFmtId="165" fontId="33" fillId="20" borderId="0" applyNumberFormat="0" applyBorder="0" applyAlignment="0" applyProtection="0"/>
    <xf numFmtId="165" fontId="34" fillId="21" borderId="0" applyNumberFormat="0" applyBorder="0" applyAlignment="0" applyProtection="0"/>
    <xf numFmtId="165" fontId="34" fillId="21" borderId="0" applyNumberFormat="0" applyBorder="0" applyAlignment="0" applyProtection="0"/>
    <xf numFmtId="165" fontId="34" fillId="21" borderId="0" applyNumberFormat="0" applyBorder="0" applyAlignment="0" applyProtection="0"/>
    <xf numFmtId="165" fontId="34" fillId="21" borderId="0" applyNumberFormat="0" applyBorder="0" applyAlignment="0" applyProtection="0"/>
    <xf numFmtId="165" fontId="34" fillId="21" borderId="0" applyNumberFormat="0" applyBorder="0" applyAlignment="0" applyProtection="0"/>
    <xf numFmtId="165" fontId="35" fillId="10" borderId="15" applyNumberFormat="0" applyAlignment="0" applyProtection="0"/>
    <xf numFmtId="165" fontId="35" fillId="10" borderId="15" applyNumberFormat="0" applyAlignment="0" applyProtection="0"/>
    <xf numFmtId="165" fontId="35" fillId="10" borderId="15" applyNumberFormat="0" applyAlignment="0" applyProtection="0"/>
    <xf numFmtId="165" fontId="35" fillId="10" borderId="15" applyNumberFormat="0" applyAlignment="0" applyProtection="0"/>
    <xf numFmtId="165" fontId="35" fillId="10" borderId="15" applyNumberFormat="0" applyAlignment="0" applyProtection="0"/>
    <xf numFmtId="165" fontId="36" fillId="22" borderId="16" applyNumberFormat="0" applyAlignment="0" applyProtection="0"/>
    <xf numFmtId="165" fontId="36" fillId="22" borderId="16" applyNumberFormat="0" applyAlignment="0" applyProtection="0"/>
    <xf numFmtId="165" fontId="36" fillId="22" borderId="16" applyNumberFormat="0" applyAlignment="0" applyProtection="0"/>
    <xf numFmtId="165" fontId="36" fillId="22" borderId="16" applyNumberFormat="0" applyAlignment="0" applyProtection="0"/>
    <xf numFmtId="165" fontId="36" fillId="22" borderId="16" applyNumberFormat="0" applyAlignment="0" applyProtection="0"/>
    <xf numFmtId="165" fontId="37" fillId="0" borderId="0" applyNumberFormat="0" applyFill="0" applyBorder="0" applyAlignment="0" applyProtection="0"/>
    <xf numFmtId="165" fontId="37" fillId="0" borderId="0" applyNumberFormat="0" applyFill="0" applyBorder="0" applyAlignment="0" applyProtection="0"/>
    <xf numFmtId="165" fontId="37" fillId="0" borderId="0" applyNumberFormat="0" applyFill="0" applyBorder="0" applyAlignment="0" applyProtection="0"/>
    <xf numFmtId="165" fontId="37" fillId="0" borderId="0" applyNumberFormat="0" applyFill="0" applyBorder="0" applyAlignment="0" applyProtection="0"/>
    <xf numFmtId="165" fontId="37" fillId="0" borderId="0" applyNumberFormat="0" applyFill="0" applyBorder="0" applyAlignment="0" applyProtection="0"/>
    <xf numFmtId="165" fontId="38" fillId="23" borderId="0" applyNumberFormat="0" applyBorder="0" applyAlignment="0" applyProtection="0"/>
    <xf numFmtId="165" fontId="38" fillId="23" borderId="0" applyNumberFormat="0" applyBorder="0" applyAlignment="0" applyProtection="0"/>
    <xf numFmtId="165" fontId="38" fillId="23" borderId="0" applyNumberFormat="0" applyBorder="0" applyAlignment="0" applyProtection="0"/>
    <xf numFmtId="165" fontId="38" fillId="23" borderId="0" applyNumberFormat="0" applyBorder="0" applyAlignment="0" applyProtection="0"/>
    <xf numFmtId="165" fontId="38" fillId="23" borderId="0" applyNumberFormat="0" applyBorder="0" applyAlignment="0" applyProtection="0"/>
    <xf numFmtId="165" fontId="39" fillId="0" borderId="17" applyNumberFormat="0" applyFill="0" applyAlignment="0" applyProtection="0"/>
    <xf numFmtId="165" fontId="39" fillId="0" borderId="17" applyNumberFormat="0" applyFill="0" applyAlignment="0" applyProtection="0"/>
    <xf numFmtId="165" fontId="39" fillId="0" borderId="17" applyNumberFormat="0" applyFill="0" applyAlignment="0" applyProtection="0"/>
    <xf numFmtId="165" fontId="39" fillId="0" borderId="17" applyNumberFormat="0" applyFill="0" applyAlignment="0" applyProtection="0"/>
    <xf numFmtId="165" fontId="39" fillId="0" borderId="17" applyNumberFormat="0" applyFill="0" applyAlignment="0" applyProtection="0"/>
    <xf numFmtId="165" fontId="40" fillId="0" borderId="18" applyNumberFormat="0" applyFill="0" applyAlignment="0" applyProtection="0"/>
    <xf numFmtId="165" fontId="40" fillId="0" borderId="18" applyNumberFormat="0" applyFill="0" applyAlignment="0" applyProtection="0"/>
    <xf numFmtId="165" fontId="40" fillId="0" borderId="18" applyNumberFormat="0" applyFill="0" applyAlignment="0" applyProtection="0"/>
    <xf numFmtId="165" fontId="40" fillId="0" borderId="18" applyNumberFormat="0" applyFill="0" applyAlignment="0" applyProtection="0"/>
    <xf numFmtId="165" fontId="40" fillId="0" borderId="18" applyNumberFormat="0" applyFill="0" applyAlignment="0" applyProtection="0"/>
    <xf numFmtId="165" fontId="41" fillId="0" borderId="19" applyNumberFormat="0" applyFill="0" applyAlignment="0" applyProtection="0"/>
    <xf numFmtId="165" fontId="41" fillId="0" borderId="19" applyNumberFormat="0" applyFill="0" applyAlignment="0" applyProtection="0"/>
    <xf numFmtId="165" fontId="41" fillId="0" borderId="19" applyNumberFormat="0" applyFill="0" applyAlignment="0" applyProtection="0"/>
    <xf numFmtId="165" fontId="41" fillId="0" borderId="19" applyNumberFormat="0" applyFill="0" applyAlignment="0" applyProtection="0"/>
    <xf numFmtId="165" fontId="41" fillId="0" borderId="19" applyNumberFormat="0" applyFill="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1" fillId="0" borderId="0" applyNumberFormat="0" applyFill="0" applyBorder="0" applyAlignment="0" applyProtection="0"/>
    <xf numFmtId="165" fontId="42" fillId="15" borderId="15" applyNumberFormat="0" applyAlignment="0" applyProtection="0"/>
    <xf numFmtId="165" fontId="42" fillId="15" borderId="15" applyNumberFormat="0" applyAlignment="0" applyProtection="0"/>
    <xf numFmtId="165" fontId="42" fillId="15" borderId="15" applyNumberFormat="0" applyAlignment="0" applyProtection="0"/>
    <xf numFmtId="165" fontId="42" fillId="15" borderId="15" applyNumberFormat="0" applyAlignment="0" applyProtection="0"/>
    <xf numFmtId="165" fontId="42" fillId="15" borderId="15" applyNumberFormat="0" applyAlignment="0" applyProtection="0"/>
    <xf numFmtId="165" fontId="43" fillId="0" borderId="20" applyNumberFormat="0" applyFill="0" applyAlignment="0" applyProtection="0"/>
    <xf numFmtId="165" fontId="43" fillId="0" borderId="20" applyNumberFormat="0" applyFill="0" applyAlignment="0" applyProtection="0"/>
    <xf numFmtId="165" fontId="43" fillId="0" borderId="20" applyNumberFormat="0" applyFill="0" applyAlignment="0" applyProtection="0"/>
    <xf numFmtId="165" fontId="43" fillId="0" borderId="20" applyNumberFormat="0" applyFill="0" applyAlignment="0" applyProtection="0"/>
    <xf numFmtId="165" fontId="43" fillId="0" borderId="20" applyNumberFormat="0" applyFill="0" applyAlignment="0" applyProtection="0"/>
    <xf numFmtId="165" fontId="44" fillId="15" borderId="0" applyNumberFormat="0" applyBorder="0" applyAlignment="0" applyProtection="0"/>
    <xf numFmtId="165" fontId="44" fillId="15" borderId="0" applyNumberFormat="0" applyBorder="0" applyAlignment="0" applyProtection="0"/>
    <xf numFmtId="165" fontId="44" fillId="15" borderId="0" applyNumberFormat="0" applyBorder="0" applyAlignment="0" applyProtection="0"/>
    <xf numFmtId="165" fontId="44" fillId="15" borderId="0" applyNumberFormat="0" applyBorder="0" applyAlignment="0" applyProtection="0"/>
    <xf numFmtId="165" fontId="44" fillId="15" borderId="0" applyNumberFormat="0" applyBorder="0" applyAlignment="0" applyProtection="0"/>
    <xf numFmtId="165" fontId="45" fillId="0" borderId="0"/>
    <xf numFmtId="165" fontId="12" fillId="0" borderId="0"/>
    <xf numFmtId="165" fontId="45" fillId="0" borderId="0"/>
    <xf numFmtId="165" fontId="7" fillId="0" borderId="0"/>
    <xf numFmtId="165" fontId="7" fillId="0" borderId="0"/>
    <xf numFmtId="165" fontId="7" fillId="12" borderId="21" applyNumberFormat="0" applyFont="0" applyAlignment="0" applyProtection="0"/>
    <xf numFmtId="165" fontId="7" fillId="12" borderId="21" applyNumberFormat="0" applyFont="0" applyAlignment="0" applyProtection="0"/>
    <xf numFmtId="165" fontId="7" fillId="12" borderId="21" applyNumberFormat="0" applyFont="0" applyAlignment="0" applyProtection="0"/>
    <xf numFmtId="165" fontId="7" fillId="12" borderId="21" applyNumberFormat="0" applyFont="0" applyAlignment="0" applyProtection="0"/>
    <xf numFmtId="165" fontId="7" fillId="12" borderId="21" applyNumberFormat="0" applyFont="0" applyAlignment="0" applyProtection="0"/>
    <xf numFmtId="165" fontId="46" fillId="10" borderId="22" applyNumberFormat="0" applyAlignment="0" applyProtection="0"/>
    <xf numFmtId="165" fontId="46" fillId="10" borderId="22" applyNumberFormat="0" applyAlignment="0" applyProtection="0"/>
    <xf numFmtId="165" fontId="46" fillId="10" borderId="22" applyNumberFormat="0" applyAlignment="0" applyProtection="0"/>
    <xf numFmtId="165" fontId="46" fillId="10" borderId="22" applyNumberFormat="0" applyAlignment="0" applyProtection="0"/>
    <xf numFmtId="165" fontId="46" fillId="10" borderId="22" applyNumberFormat="0" applyAlignment="0" applyProtection="0"/>
    <xf numFmtId="9" fontId="12" fillId="0" borderId="0" applyFon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7" fillId="0" borderId="0" applyNumberFormat="0" applyFill="0" applyBorder="0" applyAlignment="0" applyProtection="0"/>
    <xf numFmtId="165" fontId="48" fillId="0" borderId="23" applyNumberFormat="0" applyFill="0" applyAlignment="0" applyProtection="0"/>
    <xf numFmtId="165" fontId="48" fillId="0" borderId="23" applyNumberFormat="0" applyFill="0" applyAlignment="0" applyProtection="0"/>
    <xf numFmtId="165" fontId="48" fillId="0" borderId="23" applyNumberFormat="0" applyFill="0" applyAlignment="0" applyProtection="0"/>
    <xf numFmtId="165" fontId="48" fillId="0" borderId="23" applyNumberFormat="0" applyFill="0" applyAlignment="0" applyProtection="0"/>
    <xf numFmtId="165" fontId="48" fillId="0" borderId="23" applyNumberFormat="0" applyFill="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165" fontId="49" fillId="0" borderId="0" applyNumberFormat="0" applyFill="0" applyBorder="0" applyAlignment="0" applyProtection="0"/>
    <xf numFmtId="0" fontId="6" fillId="0" borderId="0"/>
    <xf numFmtId="165" fontId="35" fillId="10" borderId="56" applyNumberFormat="0" applyAlignment="0" applyProtection="0"/>
    <xf numFmtId="165" fontId="35" fillId="10" borderId="56" applyNumberFormat="0" applyAlignment="0" applyProtection="0"/>
    <xf numFmtId="165" fontId="35" fillId="10" borderId="56" applyNumberFormat="0" applyAlignment="0" applyProtection="0"/>
    <xf numFmtId="165" fontId="35" fillId="10" borderId="56" applyNumberFormat="0" applyAlignment="0" applyProtection="0"/>
    <xf numFmtId="165" fontId="35" fillId="10" borderId="56" applyNumberFormat="0" applyAlignment="0" applyProtection="0"/>
    <xf numFmtId="165" fontId="42" fillId="15" borderId="56" applyNumberFormat="0" applyAlignment="0" applyProtection="0"/>
    <xf numFmtId="165" fontId="42" fillId="15" borderId="56" applyNumberFormat="0" applyAlignment="0" applyProtection="0"/>
    <xf numFmtId="165" fontId="42" fillId="15" borderId="56" applyNumberFormat="0" applyAlignment="0" applyProtection="0"/>
    <xf numFmtId="165" fontId="42" fillId="15" borderId="56" applyNumberFormat="0" applyAlignment="0" applyProtection="0"/>
    <xf numFmtId="165" fontId="42" fillId="15" borderId="56" applyNumberFormat="0" applyAlignment="0" applyProtection="0"/>
    <xf numFmtId="165" fontId="7" fillId="12" borderId="57" applyNumberFormat="0" applyFont="0" applyAlignment="0" applyProtection="0"/>
    <xf numFmtId="165" fontId="7" fillId="12" borderId="57" applyNumberFormat="0" applyFont="0" applyAlignment="0" applyProtection="0"/>
    <xf numFmtId="165" fontId="7" fillId="12" borderId="57" applyNumberFormat="0" applyFont="0" applyAlignment="0" applyProtection="0"/>
    <xf numFmtId="165" fontId="7" fillId="12" borderId="57" applyNumberFormat="0" applyFont="0" applyAlignment="0" applyProtection="0"/>
    <xf numFmtId="165" fontId="7" fillId="12" borderId="57" applyNumberFormat="0" applyFont="0" applyAlignment="0" applyProtection="0"/>
    <xf numFmtId="165" fontId="46" fillId="10" borderId="58" applyNumberFormat="0" applyAlignment="0" applyProtection="0"/>
    <xf numFmtId="165" fontId="46" fillId="10" borderId="58" applyNumberFormat="0" applyAlignment="0" applyProtection="0"/>
    <xf numFmtId="165" fontId="46" fillId="10" borderId="58" applyNumberFormat="0" applyAlignment="0" applyProtection="0"/>
    <xf numFmtId="165" fontId="46" fillId="10" borderId="58" applyNumberFormat="0" applyAlignment="0" applyProtection="0"/>
    <xf numFmtId="165" fontId="46" fillId="10" borderId="58" applyNumberFormat="0" applyAlignment="0" applyProtection="0"/>
    <xf numFmtId="165" fontId="48" fillId="0" borderId="59" applyNumberFormat="0" applyFill="0" applyAlignment="0" applyProtection="0"/>
    <xf numFmtId="165" fontId="48" fillId="0" borderId="59" applyNumberFormat="0" applyFill="0" applyAlignment="0" applyProtection="0"/>
    <xf numFmtId="165" fontId="48" fillId="0" borderId="59" applyNumberFormat="0" applyFill="0" applyAlignment="0" applyProtection="0"/>
    <xf numFmtId="165" fontId="48" fillId="0" borderId="59" applyNumberFormat="0" applyFill="0" applyAlignment="0" applyProtection="0"/>
    <xf numFmtId="165" fontId="48" fillId="0" borderId="59" applyNumberFormat="0" applyFill="0" applyAlignment="0" applyProtection="0"/>
    <xf numFmtId="164" fontId="6" fillId="0" borderId="0" applyFont="0" applyFill="0" applyBorder="0" applyAlignment="0" applyProtection="0"/>
  </cellStyleXfs>
  <cellXfs count="470">
    <xf numFmtId="0" fontId="0" fillId="0" borderId="0" xfId="0"/>
    <xf numFmtId="0" fontId="0" fillId="0" borderId="0" xfId="0" applyProtection="1">
      <protection locked="0"/>
    </xf>
    <xf numFmtId="0" fontId="7" fillId="4" borderId="0" xfId="3" applyFill="1" applyAlignment="1" applyProtection="1">
      <alignment vertical="top" wrapText="1"/>
      <protection hidden="1"/>
    </xf>
    <xf numFmtId="0" fontId="11" fillId="5" borderId="0" xfId="3" applyFont="1" applyFill="1" applyAlignment="1" applyProtection="1">
      <alignment vertical="center" wrapText="1"/>
      <protection hidden="1"/>
    </xf>
    <xf numFmtId="0" fontId="13" fillId="4" borderId="0" xfId="4" applyFont="1" applyFill="1" applyAlignment="1" applyProtection="1">
      <alignment horizontal="justify" wrapText="1"/>
      <protection hidden="1"/>
    </xf>
    <xf numFmtId="0" fontId="13" fillId="4" borderId="0" xfId="4" applyFont="1" applyFill="1" applyAlignment="1" applyProtection="1">
      <alignment horizontal="justify" vertical="top" wrapText="1"/>
      <protection hidden="1"/>
    </xf>
    <xf numFmtId="0" fontId="14" fillId="4" borderId="0" xfId="4" applyFont="1" applyFill="1" applyAlignment="1" applyProtection="1">
      <alignment horizontal="justify" wrapText="1"/>
      <protection hidden="1"/>
    </xf>
    <xf numFmtId="0" fontId="15" fillId="4" borderId="0" xfId="4" applyFont="1" applyFill="1" applyAlignment="1" applyProtection="1">
      <alignment horizontal="justify" wrapText="1"/>
      <protection hidden="1"/>
    </xf>
    <xf numFmtId="0" fontId="15" fillId="4" borderId="0" xfId="4" applyFont="1" applyFill="1" applyAlignment="1" applyProtection="1">
      <alignment vertical="top" wrapText="1"/>
      <protection hidden="1"/>
    </xf>
    <xf numFmtId="0" fontId="7" fillId="4" borderId="0" xfId="4" applyFont="1" applyFill="1" applyAlignment="1" applyProtection="1">
      <alignment vertical="top" wrapText="1"/>
      <protection hidden="1"/>
    </xf>
    <xf numFmtId="0" fontId="16" fillId="4" borderId="0" xfId="3" applyFont="1" applyFill="1" applyAlignment="1" applyProtection="1">
      <alignment vertical="top" wrapText="1"/>
      <protection hidden="1"/>
    </xf>
    <xf numFmtId="0" fontId="0" fillId="0" borderId="0" xfId="0" applyAlignment="1" applyProtection="1">
      <alignment horizontal="center" vertical="center"/>
      <protection hidden="1"/>
    </xf>
    <xf numFmtId="0" fontId="0" fillId="0" borderId="0" xfId="0" applyAlignment="1" applyProtection="1">
      <alignment horizontal="left" vertical="center"/>
      <protection hidden="1"/>
    </xf>
    <xf numFmtId="0" fontId="18" fillId="0" borderId="0" xfId="0" applyFont="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20" fillId="0" borderId="0" xfId="0" applyFont="1" applyAlignment="1" applyProtection="1">
      <alignment horizontal="center" vertical="center"/>
      <protection hidden="1"/>
    </xf>
    <xf numFmtId="0" fontId="23" fillId="0" borderId="0" xfId="0" applyFont="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horizontal="center" vertical="center"/>
      <protection hidden="1"/>
    </xf>
    <xf numFmtId="0" fontId="4" fillId="8" borderId="0" xfId="11" applyProtection="1">
      <alignment horizontal="center" vertical="center" wrapText="1"/>
      <protection locked="0" hidden="1"/>
    </xf>
    <xf numFmtId="0" fontId="21" fillId="3" borderId="9" xfId="9" applyFont="1" applyFill="1" applyBorder="1" applyAlignment="1" applyProtection="1">
      <alignment horizontal="left" vertical="center" wrapText="1"/>
      <protection hidden="1"/>
    </xf>
    <xf numFmtId="0" fontId="22" fillId="0" borderId="0" xfId="9" applyFont="1" applyFill="1" applyBorder="1" applyAlignment="1" applyProtection="1">
      <alignment horizontal="left" vertical="center" wrapText="1"/>
      <protection hidden="1"/>
    </xf>
    <xf numFmtId="0" fontId="25" fillId="0" borderId="0" xfId="9" applyFont="1" applyFill="1" applyBorder="1" applyAlignment="1" applyProtection="1">
      <alignment horizontal="left" vertical="center" wrapText="1"/>
      <protection hidden="1"/>
    </xf>
    <xf numFmtId="0" fontId="27" fillId="2" borderId="6" xfId="0" applyFont="1" applyFill="1" applyBorder="1" applyAlignment="1" applyProtection="1">
      <alignment vertical="center" wrapText="1"/>
      <protection hidden="1"/>
    </xf>
    <xf numFmtId="0" fontId="27" fillId="2" borderId="6" xfId="0" applyFont="1" applyFill="1" applyBorder="1" applyAlignment="1" applyProtection="1">
      <alignment vertical="center"/>
      <protection hidden="1"/>
    </xf>
    <xf numFmtId="0" fontId="0" fillId="0" borderId="0" xfId="0" applyProtection="1">
      <protection locked="0" hidden="1"/>
    </xf>
    <xf numFmtId="0" fontId="24" fillId="3" borderId="0" xfId="0" applyFont="1" applyFill="1" applyAlignment="1" applyProtection="1">
      <alignment horizontal="center" vertical="center"/>
      <protection hidden="1"/>
    </xf>
    <xf numFmtId="166" fontId="24" fillId="3" borderId="0" xfId="0" applyNumberFormat="1" applyFont="1" applyFill="1" applyAlignment="1" applyProtection="1">
      <alignment horizontal="center" vertical="center"/>
      <protection hidden="1"/>
    </xf>
    <xf numFmtId="0" fontId="6" fillId="0" borderId="0" xfId="0" applyFont="1" applyProtection="1">
      <protection hidden="1"/>
    </xf>
    <xf numFmtId="0" fontId="5" fillId="0" borderId="0" xfId="0" applyFont="1" applyProtection="1">
      <protection hidden="1"/>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hidden="1"/>
    </xf>
    <xf numFmtId="0" fontId="9" fillId="0" borderId="0" xfId="0" applyFont="1" applyAlignment="1" applyProtection="1">
      <alignment horizontal="center" vertical="center"/>
      <protection locked="0" hidden="1"/>
    </xf>
    <xf numFmtId="0" fontId="0" fillId="0" borderId="0" xfId="0" applyAlignment="1" applyProtection="1">
      <alignment horizontal="center" vertical="center"/>
      <protection locked="0" hidden="1"/>
    </xf>
    <xf numFmtId="0" fontId="2" fillId="0" borderId="0" xfId="0" applyFont="1" applyAlignment="1" applyProtection="1">
      <alignment vertical="center"/>
      <protection locked="0" hidden="1"/>
    </xf>
    <xf numFmtId="0" fontId="0" fillId="0" borderId="0" xfId="0" applyAlignment="1" applyProtection="1">
      <alignment wrapText="1"/>
      <protection locked="0" hidden="1"/>
    </xf>
    <xf numFmtId="0" fontId="24" fillId="0" borderId="0" xfId="0" applyFont="1" applyAlignment="1" applyProtection="1">
      <alignment horizontal="center" vertical="center"/>
      <protection locked="0" hidden="1"/>
    </xf>
    <xf numFmtId="0" fontId="1" fillId="0" borderId="0" xfId="0" applyFont="1" applyAlignment="1" applyProtection="1">
      <alignment vertical="center"/>
      <protection locked="0" hidden="1"/>
    </xf>
    <xf numFmtId="0" fontId="3" fillId="0" borderId="0" xfId="0" applyFont="1" applyAlignment="1" applyProtection="1">
      <alignment vertical="center"/>
      <protection locked="0" hidden="1"/>
    </xf>
    <xf numFmtId="0" fontId="1" fillId="0" borderId="0" xfId="0" applyFont="1" applyAlignment="1" applyProtection="1">
      <alignment horizontal="center" vertical="center"/>
      <protection locked="0" hidden="1"/>
    </xf>
    <xf numFmtId="0" fontId="8" fillId="0" borderId="0" xfId="0" applyFont="1" applyAlignment="1" applyProtection="1">
      <alignment horizontal="center" vertical="center"/>
      <protection locked="0" hidden="1"/>
    </xf>
    <xf numFmtId="0" fontId="5" fillId="0" borderId="30" xfId="0" applyFont="1" applyBorder="1" applyProtection="1">
      <protection locked="0" hidden="1"/>
    </xf>
    <xf numFmtId="0" fontId="3" fillId="0" borderId="30" xfId="0" applyFont="1" applyBorder="1" applyProtection="1">
      <protection locked="0" hidden="1"/>
    </xf>
    <xf numFmtId="0" fontId="3" fillId="0" borderId="31" xfId="0" applyFont="1" applyBorder="1" applyProtection="1">
      <protection locked="0" hidden="1"/>
    </xf>
    <xf numFmtId="0" fontId="3" fillId="0" borderId="1" xfId="0" applyFont="1" applyBorder="1" applyProtection="1">
      <protection locked="0" hidden="1"/>
    </xf>
    <xf numFmtId="0" fontId="0" fillId="0" borderId="30" xfId="0" applyBorder="1" applyProtection="1">
      <protection locked="0" hidden="1"/>
    </xf>
    <xf numFmtId="0" fontId="29" fillId="0" borderId="0" xfId="0" applyFont="1" applyAlignment="1" applyProtection="1">
      <alignment vertical="center"/>
      <protection locked="0" hidden="1"/>
    </xf>
    <xf numFmtId="0" fontId="20" fillId="0" borderId="0" xfId="0" applyFont="1" applyAlignment="1" applyProtection="1">
      <alignment horizontal="center" vertical="center" wrapText="1"/>
      <protection locked="0" hidden="1"/>
    </xf>
    <xf numFmtId="0" fontId="3" fillId="0" borderId="0" xfId="0" applyFont="1" applyAlignment="1" applyProtection="1">
      <alignment vertical="center"/>
      <protection locked="0"/>
    </xf>
    <xf numFmtId="0" fontId="4" fillId="0" borderId="0" xfId="0" applyFont="1" applyAlignment="1" applyProtection="1">
      <alignment horizontal="center" vertical="center" wrapText="1"/>
      <protection locked="0"/>
    </xf>
    <xf numFmtId="0" fontId="0" fillId="0" borderId="1" xfId="0" applyBorder="1" applyProtection="1">
      <protection locked="0" hidden="1"/>
    </xf>
    <xf numFmtId="0" fontId="4"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3"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4" fillId="0" borderId="0" xfId="0" applyFont="1" applyAlignment="1" applyProtection="1">
      <alignment horizontal="center" vertical="center"/>
      <protection hidden="1"/>
    </xf>
    <xf numFmtId="166" fontId="24" fillId="0" borderId="0" xfId="0" applyNumberFormat="1" applyFont="1" applyAlignment="1" applyProtection="1">
      <alignment horizontal="center" vertical="center"/>
      <protection hidden="1"/>
    </xf>
    <xf numFmtId="0" fontId="20" fillId="0" borderId="33" xfId="0" applyFont="1" applyBorder="1" applyAlignment="1" applyProtection="1">
      <alignment horizontal="center" vertical="center" wrapText="1"/>
      <protection hidden="1"/>
    </xf>
    <xf numFmtId="0" fontId="53" fillId="0" borderId="0" xfId="0" applyFont="1" applyAlignment="1" applyProtection="1">
      <alignment horizontal="center" vertical="center"/>
      <protection hidden="1"/>
    </xf>
    <xf numFmtId="0" fontId="54" fillId="0" borderId="31" xfId="0" applyFont="1" applyBorder="1" applyAlignment="1" applyProtection="1">
      <alignment horizontal="center" vertical="center"/>
      <protection hidden="1"/>
    </xf>
    <xf numFmtId="0" fontId="55" fillId="0" borderId="1" xfId="0" applyFont="1" applyBorder="1" applyAlignment="1" applyProtection="1">
      <alignment horizontal="center" vertical="center"/>
      <protection hidden="1"/>
    </xf>
    <xf numFmtId="0" fontId="55" fillId="0" borderId="1" xfId="0" applyFont="1" applyBorder="1" applyAlignment="1" applyProtection="1">
      <alignment horizontal="center" vertical="center" wrapText="1"/>
      <protection hidden="1"/>
    </xf>
    <xf numFmtId="0" fontId="53" fillId="0" borderId="0" xfId="0" applyFont="1" applyAlignment="1" applyProtection="1">
      <alignment horizontal="center" vertical="center" wrapText="1"/>
      <protection locked="0" hidden="1"/>
    </xf>
    <xf numFmtId="0" fontId="55" fillId="0" borderId="0" xfId="0" applyFont="1" applyAlignment="1" applyProtection="1">
      <alignment horizontal="center" vertical="center" wrapText="1"/>
      <protection locked="0" hidden="1"/>
    </xf>
    <xf numFmtId="0" fontId="55" fillId="0" borderId="1" xfId="0" applyFont="1" applyBorder="1" applyAlignment="1" applyProtection="1">
      <alignment horizontal="center" vertical="center" wrapText="1"/>
      <protection locked="0" hidden="1"/>
    </xf>
    <xf numFmtId="1" fontId="55" fillId="0" borderId="0" xfId="0" applyNumberFormat="1" applyFont="1" applyAlignment="1" applyProtection="1">
      <alignment horizontal="center" vertical="center"/>
      <protection hidden="1"/>
    </xf>
    <xf numFmtId="0" fontId="54" fillId="0" borderId="0" xfId="0" applyFont="1" applyAlignment="1" applyProtection="1">
      <alignment horizontal="center" vertical="center"/>
      <protection hidden="1"/>
    </xf>
    <xf numFmtId="0" fontId="54" fillId="26" borderId="1" xfId="0" applyFont="1" applyFill="1" applyBorder="1" applyAlignment="1" applyProtection="1">
      <alignment horizontal="center" vertical="center" wrapText="1"/>
      <protection hidden="1"/>
    </xf>
    <xf numFmtId="0" fontId="22" fillId="3" borderId="24" xfId="9" applyFont="1" applyFill="1" applyBorder="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56" fillId="0" borderId="0" xfId="0" applyFont="1" applyProtection="1">
      <protection hidden="1"/>
    </xf>
    <xf numFmtId="165" fontId="57" fillId="0" borderId="0" xfId="8" applyFont="1" applyAlignment="1" applyProtection="1">
      <alignment vertical="top"/>
      <protection hidden="1"/>
    </xf>
    <xf numFmtId="165" fontId="56" fillId="0" borderId="0" xfId="8" applyFont="1" applyAlignment="1" applyProtection="1">
      <alignment horizontal="left" vertical="top" wrapText="1"/>
      <protection hidden="1"/>
    </xf>
    <xf numFmtId="165" fontId="58" fillId="5" borderId="0" xfId="8" applyFont="1" applyFill="1" applyAlignment="1" applyProtection="1">
      <alignment vertical="top"/>
      <protection hidden="1"/>
    </xf>
    <xf numFmtId="165" fontId="59" fillId="5" borderId="0" xfId="8" applyFont="1" applyFill="1" applyAlignment="1" applyProtection="1">
      <alignment horizontal="left" vertical="top" wrapText="1"/>
      <protection hidden="1"/>
    </xf>
    <xf numFmtId="0" fontId="31" fillId="6" borderId="0" xfId="0" applyFont="1" applyFill="1" applyAlignment="1" applyProtection="1">
      <alignment vertical="center" wrapText="1"/>
      <protection hidden="1"/>
    </xf>
    <xf numFmtId="0" fontId="28" fillId="3" borderId="12" xfId="0" applyFont="1" applyFill="1" applyBorder="1" applyAlignment="1" applyProtection="1">
      <alignment vertical="center" wrapText="1"/>
      <protection hidden="1"/>
    </xf>
    <xf numFmtId="0" fontId="28" fillId="3" borderId="12" xfId="9" applyFont="1" applyFill="1" applyBorder="1" applyAlignment="1" applyProtection="1">
      <alignment vertical="center" wrapText="1"/>
      <protection hidden="1"/>
    </xf>
    <xf numFmtId="165" fontId="57" fillId="4" borderId="0" xfId="8" applyFont="1" applyFill="1" applyAlignment="1" applyProtection="1">
      <alignment vertical="top"/>
      <protection hidden="1"/>
    </xf>
    <xf numFmtId="0" fontId="1" fillId="8" borderId="0" xfId="0" applyFont="1" applyFill="1" applyAlignment="1" applyProtection="1">
      <alignment horizontal="center" vertical="center" wrapText="1"/>
      <protection hidden="1"/>
    </xf>
    <xf numFmtId="0" fontId="24" fillId="0" borderId="0" xfId="0" applyFont="1" applyProtection="1">
      <protection hidden="1"/>
    </xf>
    <xf numFmtId="0" fontId="1" fillId="8" borderId="0" xfId="0" applyFont="1" applyFill="1" applyAlignment="1" applyProtection="1">
      <alignment horizontal="center" vertical="center" wrapText="1"/>
      <protection locked="0" hidden="1"/>
    </xf>
    <xf numFmtId="0" fontId="1" fillId="8" borderId="0" xfId="0" applyFont="1" applyFill="1" applyAlignment="1" applyProtection="1">
      <alignment horizontal="left" vertical="center" wrapText="1"/>
      <protection hidden="1"/>
    </xf>
    <xf numFmtId="0" fontId="3" fillId="0" borderId="0" xfId="0" applyFont="1" applyAlignment="1" applyProtection="1">
      <alignment horizontal="left" vertical="center"/>
      <protection locked="0" hidden="1"/>
    </xf>
    <xf numFmtId="0" fontId="1" fillId="8" borderId="0" xfId="0" applyFont="1" applyFill="1" applyAlignment="1" applyProtection="1">
      <alignment horizontal="center" vertical="center" wrapText="1"/>
      <protection locked="0"/>
    </xf>
    <xf numFmtId="0" fontId="1" fillId="2" borderId="6" xfId="0" applyFont="1" applyFill="1" applyBorder="1" applyAlignment="1" applyProtection="1">
      <alignment vertical="center" wrapText="1"/>
      <protection hidden="1"/>
    </xf>
    <xf numFmtId="0" fontId="1" fillId="2" borderId="0" xfId="0" applyFont="1" applyFill="1" applyAlignment="1" applyProtection="1">
      <alignment horizontal="center" vertical="center" wrapText="1"/>
      <protection hidden="1"/>
    </xf>
    <xf numFmtId="0" fontId="1" fillId="2" borderId="0" xfId="0" applyFont="1" applyFill="1" applyAlignment="1" applyProtection="1">
      <alignment horizontal="center" vertical="center" wrapText="1"/>
      <protection locked="0" hidden="1"/>
    </xf>
    <xf numFmtId="0" fontId="1" fillId="2" borderId="0" xfId="0" applyFont="1" applyFill="1" applyAlignment="1" applyProtection="1">
      <alignment horizontal="center" vertical="center" wrapText="1"/>
      <protection locked="0"/>
    </xf>
    <xf numFmtId="0" fontId="24" fillId="3" borderId="12" xfId="9" applyFont="1" applyFill="1" applyBorder="1" applyAlignment="1" applyProtection="1">
      <alignment vertical="center" wrapText="1"/>
      <protection hidden="1"/>
    </xf>
    <xf numFmtId="0" fontId="3" fillId="3" borderId="3" xfId="9" applyFont="1" applyFill="1" applyAlignment="1" applyProtection="1">
      <alignment horizontal="left" vertical="center" wrapText="1"/>
      <protection hidden="1"/>
    </xf>
    <xf numFmtId="166" fontId="3" fillId="3" borderId="3" xfId="9" applyNumberFormat="1" applyFont="1" applyFill="1" applyAlignment="1" applyProtection="1">
      <alignment horizontal="center" vertical="center"/>
      <protection hidden="1"/>
    </xf>
    <xf numFmtId="0" fontId="3" fillId="3" borderId="3" xfId="0" applyFont="1" applyFill="1" applyBorder="1" applyAlignment="1" applyProtection="1">
      <alignment vertical="center" wrapText="1"/>
      <protection hidden="1"/>
    </xf>
    <xf numFmtId="0" fontId="3" fillId="3" borderId="4" xfId="9" applyFont="1" applyFill="1" applyBorder="1" applyAlignment="1" applyProtection="1">
      <alignment horizontal="center" vertical="center"/>
      <protection hidden="1"/>
    </xf>
    <xf numFmtId="0" fontId="61" fillId="4" borderId="4" xfId="0" applyFont="1" applyFill="1" applyBorder="1" applyAlignment="1" applyProtection="1">
      <alignment horizontal="center" vertical="center"/>
      <protection locked="0" hidden="1"/>
    </xf>
    <xf numFmtId="0" fontId="8" fillId="4" borderId="0" xfId="0" applyFont="1" applyFill="1" applyAlignment="1" applyProtection="1">
      <alignment horizontal="center" vertical="center"/>
      <protection locked="0" hidden="1"/>
    </xf>
    <xf numFmtId="0" fontId="62" fillId="8" borderId="0" xfId="0" applyFont="1" applyFill="1" applyAlignment="1" applyProtection="1">
      <alignment horizontal="center" vertical="center"/>
      <protection hidden="1"/>
    </xf>
    <xf numFmtId="0" fontId="3" fillId="3" borderId="13" xfId="9" applyFont="1" applyFill="1" applyBorder="1" applyAlignment="1" applyProtection="1">
      <alignment horizontal="center" vertical="center" wrapText="1"/>
      <protection locked="0" hidden="1"/>
    </xf>
    <xf numFmtId="0" fontId="3" fillId="3" borderId="14" xfId="9" applyFont="1" applyFill="1" applyBorder="1" applyAlignment="1" applyProtection="1">
      <alignment horizontal="left" vertical="center" wrapText="1"/>
      <protection locked="0"/>
    </xf>
    <xf numFmtId="0" fontId="1" fillId="8" borderId="0" xfId="11" applyFont="1" applyAlignment="1" applyProtection="1">
      <alignment horizontal="left" vertical="center" wrapText="1"/>
      <protection hidden="1"/>
    </xf>
    <xf numFmtId="0" fontId="1" fillId="8" borderId="0" xfId="11" applyFont="1" applyProtection="1">
      <alignment horizontal="center" vertical="center" wrapText="1"/>
      <protection hidden="1"/>
    </xf>
    <xf numFmtId="0" fontId="63" fillId="8" borderId="10" xfId="11" applyFont="1" applyBorder="1" applyProtection="1">
      <alignment horizontal="center" vertical="center" wrapText="1"/>
      <protection hidden="1"/>
    </xf>
    <xf numFmtId="0" fontId="1" fillId="8" borderId="10" xfId="11" applyFont="1" applyBorder="1" applyProtection="1">
      <alignment horizontal="center" vertical="center" wrapText="1"/>
      <protection hidden="1"/>
    </xf>
    <xf numFmtId="0" fontId="3" fillId="0" borderId="0" xfId="0" applyFont="1"/>
    <xf numFmtId="0" fontId="20" fillId="0" borderId="0" xfId="11" applyFont="1" applyFill="1" applyProtection="1">
      <alignment horizontal="center" vertical="center" wrapText="1"/>
      <protection hidden="1"/>
    </xf>
    <xf numFmtId="0" fontId="1" fillId="0" borderId="0" xfId="11" applyFont="1" applyFill="1" applyProtection="1">
      <alignment horizontal="center" vertical="center" wrapText="1"/>
      <protection locked="0" hidden="1"/>
    </xf>
    <xf numFmtId="0" fontId="3" fillId="0" borderId="0" xfId="0" applyFont="1" applyAlignment="1" applyProtection="1">
      <alignment horizontal="center" vertical="center"/>
      <protection locked="0" hidden="1"/>
    </xf>
    <xf numFmtId="0" fontId="1" fillId="0" borderId="0" xfId="11" applyFont="1" applyFill="1" applyAlignment="1">
      <alignment horizontal="left" vertical="center" wrapText="1"/>
      <protection locked="0"/>
    </xf>
    <xf numFmtId="0" fontId="3" fillId="0" borderId="0" xfId="0" applyFont="1" applyAlignment="1" applyProtection="1">
      <alignment horizontal="left" vertical="center" wrapText="1"/>
      <protection hidden="1"/>
    </xf>
    <xf numFmtId="0" fontId="64" fillId="0" borderId="0" xfId="0" applyFont="1" applyAlignment="1" applyProtection="1">
      <alignment horizontal="left" vertical="center"/>
      <protection hidden="1"/>
    </xf>
    <xf numFmtId="166" fontId="20" fillId="0" borderId="0" xfId="0" applyNumberFormat="1" applyFont="1" applyAlignment="1" applyProtection="1">
      <alignment horizontal="center" vertical="center"/>
      <protection hidden="1"/>
    </xf>
    <xf numFmtId="0" fontId="64" fillId="0" borderId="0" xfId="0" applyFont="1" applyAlignment="1" applyProtection="1">
      <alignment horizontal="center" vertical="center"/>
      <protection hidden="1"/>
    </xf>
    <xf numFmtId="0" fontId="61" fillId="4" borderId="0" xfId="0" applyFont="1" applyFill="1" applyAlignment="1" applyProtection="1">
      <alignment horizontal="center" vertical="center"/>
      <protection locked="0" hidden="1"/>
    </xf>
    <xf numFmtId="0" fontId="3" fillId="4" borderId="0" xfId="0" applyFont="1"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center" vertical="center" wrapText="1"/>
      <protection locked="0" hidden="1"/>
    </xf>
    <xf numFmtId="0" fontId="1" fillId="2" borderId="6" xfId="0" applyFont="1" applyFill="1" applyBorder="1" applyAlignment="1" applyProtection="1">
      <alignment vertical="center"/>
      <protection hidden="1"/>
    </xf>
    <xf numFmtId="0" fontId="1" fillId="2" borderId="6" xfId="0" applyFont="1" applyFill="1" applyBorder="1" applyAlignment="1" applyProtection="1">
      <alignment horizontal="center" vertical="center"/>
      <protection locked="0" hidden="1"/>
    </xf>
    <xf numFmtId="0" fontId="3" fillId="2" borderId="0" xfId="0" applyFont="1" applyFill="1" applyAlignment="1" applyProtection="1">
      <alignment horizontal="center" vertical="center"/>
      <protection hidden="1"/>
    </xf>
    <xf numFmtId="0" fontId="64"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locked="0" hidden="1"/>
    </xf>
    <xf numFmtId="0" fontId="3" fillId="2" borderId="0" xfId="0" applyFont="1" applyFill="1" applyAlignment="1" applyProtection="1">
      <alignment horizontal="left" vertical="center"/>
      <protection locked="0"/>
    </xf>
    <xf numFmtId="166" fontId="3" fillId="3" borderId="3" xfId="0" applyNumberFormat="1" applyFont="1" applyFill="1" applyBorder="1" applyAlignment="1" applyProtection="1">
      <alignment horizontal="center" vertical="center"/>
      <protection hidden="1"/>
    </xf>
    <xf numFmtId="0" fontId="3" fillId="3" borderId="3" xfId="0" applyFont="1" applyFill="1" applyBorder="1" applyAlignment="1" applyProtection="1">
      <alignment horizontal="left" vertical="center" wrapText="1"/>
      <protection hidden="1"/>
    </xf>
    <xf numFmtId="0" fontId="3" fillId="3" borderId="3" xfId="0" applyFont="1" applyFill="1" applyBorder="1" applyAlignment="1" applyProtection="1">
      <alignment horizontal="center" vertical="center"/>
      <protection hidden="1"/>
    </xf>
    <xf numFmtId="0" fontId="61" fillId="4" borderId="14" xfId="0" applyFont="1" applyFill="1" applyBorder="1" applyAlignment="1" applyProtection="1">
      <alignment horizontal="center" vertical="center"/>
      <protection locked="0" hidden="1"/>
    </xf>
    <xf numFmtId="0" fontId="3" fillId="3" borderId="14" xfId="9" applyFont="1" applyFill="1" applyBorder="1" applyAlignment="1" applyProtection="1">
      <alignment horizontal="center" vertical="center" wrapText="1"/>
      <protection locked="0" hidden="1"/>
    </xf>
    <xf numFmtId="0" fontId="24" fillId="3" borderId="12" xfId="0" applyFont="1" applyFill="1" applyBorder="1" applyAlignment="1" applyProtection="1">
      <alignment horizontal="left" vertical="center" wrapText="1"/>
      <protection hidden="1"/>
    </xf>
    <xf numFmtId="0" fontId="64" fillId="8" borderId="0" xfId="0" applyFont="1" applyFill="1" applyAlignment="1" applyProtection="1">
      <alignment horizontal="left" vertical="center"/>
      <protection hidden="1"/>
    </xf>
    <xf numFmtId="166" fontId="20" fillId="8" borderId="0" xfId="0" applyNumberFormat="1" applyFont="1" applyFill="1" applyAlignment="1" applyProtection="1">
      <alignment horizontal="center" vertical="center"/>
      <protection hidden="1"/>
    </xf>
    <xf numFmtId="0" fontId="1" fillId="8" borderId="0" xfId="0" applyFont="1" applyFill="1" applyAlignment="1" applyProtection="1">
      <alignment horizontal="center" vertical="center"/>
      <protection hidden="1"/>
    </xf>
    <xf numFmtId="0" fontId="1" fillId="8" borderId="10" xfId="0" applyFont="1" applyFill="1" applyBorder="1" applyAlignment="1" applyProtection="1">
      <alignment horizontal="center" vertical="center"/>
      <protection hidden="1"/>
    </xf>
    <xf numFmtId="166" fontId="3" fillId="3" borderId="3" xfId="0" applyNumberFormat="1" applyFont="1" applyFill="1" applyBorder="1" applyAlignment="1" applyProtection="1">
      <alignment horizontal="center" vertical="center"/>
      <protection locked="0" hidden="1"/>
    </xf>
    <xf numFmtId="0" fontId="3" fillId="3" borderId="3" xfId="0" applyFont="1" applyFill="1" applyBorder="1" applyAlignment="1" applyProtection="1">
      <alignment horizontal="center" vertical="center"/>
      <protection locked="0" hidden="1"/>
    </xf>
    <xf numFmtId="0" fontId="3" fillId="3" borderId="3" xfId="0" applyFont="1" applyFill="1" applyBorder="1" applyAlignment="1" applyProtection="1">
      <alignment horizontal="left" vertical="center" wrapText="1"/>
      <protection locked="0" hidden="1"/>
    </xf>
    <xf numFmtId="0" fontId="3" fillId="3" borderId="4" xfId="0" applyFont="1" applyFill="1" applyBorder="1" applyAlignment="1" applyProtection="1">
      <alignment horizontal="center" vertical="center"/>
      <protection locked="0" hidden="1"/>
    </xf>
    <xf numFmtId="0" fontId="3" fillId="3" borderId="4" xfId="0" applyFont="1" applyFill="1" applyBorder="1" applyAlignment="1" applyProtection="1">
      <alignment horizontal="center" vertical="center"/>
      <protection hidden="1"/>
    </xf>
    <xf numFmtId="0" fontId="1" fillId="8" borderId="10" xfId="0" applyFont="1" applyFill="1" applyBorder="1" applyAlignment="1" applyProtection="1">
      <alignment horizontal="center" vertical="center" wrapText="1"/>
      <protection hidden="1"/>
    </xf>
    <xf numFmtId="0" fontId="1" fillId="0" borderId="0" xfId="0" applyFont="1" applyAlignment="1" applyProtection="1">
      <alignment horizontal="center" vertical="center" wrapText="1"/>
      <protection locked="0" hidden="1"/>
    </xf>
    <xf numFmtId="166" fontId="3" fillId="3" borderId="3" xfId="0" applyNumberFormat="1" applyFont="1" applyFill="1" applyBorder="1" applyAlignment="1" applyProtection="1">
      <alignment horizontal="center" vertical="center" wrapText="1"/>
      <protection hidden="1"/>
    </xf>
    <xf numFmtId="166" fontId="3" fillId="3" borderId="3" xfId="0" applyNumberFormat="1" applyFont="1" applyFill="1" applyBorder="1" applyAlignment="1" applyProtection="1">
      <alignment vertical="center" wrapText="1"/>
      <protection hidden="1"/>
    </xf>
    <xf numFmtId="0" fontId="3" fillId="3" borderId="3" xfId="0" applyFont="1" applyFill="1" applyBorder="1" applyAlignment="1" applyProtection="1">
      <alignment horizontal="center" vertical="center" wrapText="1"/>
      <protection hidden="1"/>
    </xf>
    <xf numFmtId="0" fontId="24" fillId="3" borderId="12" xfId="0" applyFont="1" applyFill="1" applyBorder="1" applyAlignment="1" applyProtection="1">
      <alignment vertical="center"/>
      <protection hidden="1"/>
    </xf>
    <xf numFmtId="0" fontId="1" fillId="0" borderId="0" xfId="0" applyFont="1" applyAlignment="1" applyProtection="1">
      <alignment horizontal="center" vertical="center" wrapText="1"/>
      <protection hidden="1"/>
    </xf>
    <xf numFmtId="0" fontId="3" fillId="0" borderId="0" xfId="0" applyFont="1" applyAlignment="1" applyProtection="1">
      <alignment horizontal="left" vertical="center"/>
      <protection hidden="1"/>
    </xf>
    <xf numFmtId="0" fontId="3" fillId="0" borderId="0" xfId="0" applyFont="1" applyProtection="1">
      <protection locked="0" hidden="1"/>
    </xf>
    <xf numFmtId="0" fontId="1" fillId="0" borderId="0" xfId="11" applyFont="1" applyFill="1" applyAlignment="1" applyProtection="1">
      <alignment vertical="center" wrapText="1"/>
      <protection hidden="1"/>
    </xf>
    <xf numFmtId="0" fontId="1" fillId="0" borderId="0" xfId="11" applyFont="1" applyFill="1" applyAlignment="1" applyProtection="1">
      <alignment horizontal="left" vertical="center" wrapText="1"/>
      <protection hidden="1"/>
    </xf>
    <xf numFmtId="0" fontId="1" fillId="0" borderId="0" xfId="11" applyFont="1" applyFill="1" applyProtection="1">
      <alignment horizontal="center" vertical="center" wrapText="1"/>
      <protection hidden="1"/>
    </xf>
    <xf numFmtId="0" fontId="24" fillId="3" borderId="0" xfId="0" applyFont="1" applyFill="1" applyAlignment="1">
      <alignment horizontal="center" vertical="center"/>
    </xf>
    <xf numFmtId="166" fontId="24" fillId="3" borderId="0" xfId="0" applyNumberFormat="1" applyFont="1" applyFill="1" applyAlignment="1">
      <alignment horizontal="center" vertical="center"/>
    </xf>
    <xf numFmtId="0" fontId="20" fillId="8" borderId="0" xfId="0" applyFont="1" applyFill="1" applyAlignment="1" applyProtection="1">
      <alignment horizontal="center" vertical="center"/>
      <protection hidden="1"/>
    </xf>
    <xf numFmtId="166" fontId="24" fillId="3" borderId="0" xfId="1" applyNumberFormat="1" applyFont="1" applyFill="1" applyBorder="1" applyAlignment="1" applyProtection="1">
      <alignment horizontal="center" vertical="center"/>
    </xf>
    <xf numFmtId="0" fontId="64" fillId="0" borderId="0" xfId="0" applyFont="1" applyAlignment="1" applyProtection="1">
      <alignment vertical="center"/>
      <protection locked="0" hidden="1"/>
    </xf>
    <xf numFmtId="0" fontId="64" fillId="0" borderId="0" xfId="0" applyFont="1" applyAlignment="1" applyProtection="1">
      <alignment horizontal="left" vertical="center"/>
      <protection locked="0"/>
    </xf>
    <xf numFmtId="0" fontId="24" fillId="8" borderId="0" xfId="0" applyFont="1" applyFill="1" applyAlignment="1" applyProtection="1">
      <alignment horizontal="center" vertical="center"/>
      <protection hidden="1"/>
    </xf>
    <xf numFmtId="0" fontId="1" fillId="8" borderId="0" xfId="0" applyFont="1" applyFill="1" applyAlignment="1" applyProtection="1">
      <alignment horizontal="left" vertical="center" wrapText="1"/>
      <protection locked="0"/>
    </xf>
    <xf numFmtId="0" fontId="3" fillId="0" borderId="14" xfId="0" applyFont="1" applyBorder="1" applyAlignment="1" applyProtection="1">
      <alignment vertical="center"/>
      <protection locked="0"/>
    </xf>
    <xf numFmtId="0" fontId="3" fillId="0" borderId="14" xfId="0" applyFont="1" applyBorder="1" applyProtection="1">
      <protection locked="0"/>
    </xf>
    <xf numFmtId="0" fontId="3" fillId="0" borderId="0" xfId="0" applyFont="1" applyProtection="1">
      <protection locked="0"/>
    </xf>
    <xf numFmtId="0" fontId="8" fillId="0" borderId="26" xfId="0" applyFont="1" applyBorder="1" applyAlignment="1" applyProtection="1">
      <alignment horizontal="center" vertical="center"/>
      <protection locked="0" hidden="1"/>
    </xf>
    <xf numFmtId="0" fontId="1" fillId="8" borderId="35" xfId="0" applyFont="1" applyFill="1" applyBorder="1" applyAlignment="1" applyProtection="1">
      <alignment horizontal="center" vertical="center" wrapText="1"/>
      <protection locked="0" hidden="1"/>
    </xf>
    <xf numFmtId="0" fontId="1" fillId="8" borderId="35" xfId="0" applyFont="1" applyFill="1" applyBorder="1" applyAlignment="1" applyProtection="1">
      <alignment horizontal="center" vertical="center"/>
      <protection locked="0" hidden="1"/>
    </xf>
    <xf numFmtId="166" fontId="3" fillId="3" borderId="12" xfId="0" applyNumberFormat="1" applyFont="1" applyFill="1" applyBorder="1" applyAlignment="1" applyProtection="1">
      <alignment horizontal="center" vertical="center"/>
      <protection locked="0" hidden="1"/>
    </xf>
    <xf numFmtId="166" fontId="3" fillId="3" borderId="12" xfId="0" applyNumberFormat="1" applyFont="1" applyFill="1" applyBorder="1" applyAlignment="1" applyProtection="1">
      <alignment horizontal="center" vertical="center"/>
      <protection hidden="1"/>
    </xf>
    <xf numFmtId="0" fontId="63" fillId="8" borderId="35" xfId="11" applyFont="1" applyBorder="1" applyProtection="1">
      <alignment horizontal="center" vertical="center" wrapText="1"/>
      <protection locked="0" hidden="1"/>
    </xf>
    <xf numFmtId="0" fontId="3" fillId="0" borderId="29" xfId="0" applyFont="1" applyBorder="1" applyAlignment="1" applyProtection="1">
      <alignment vertical="center"/>
      <protection locked="0" hidden="1"/>
    </xf>
    <xf numFmtId="0" fontId="21" fillId="3" borderId="25" xfId="9" applyFont="1" applyFill="1" applyBorder="1" applyAlignment="1" applyProtection="1">
      <alignment horizontal="left" vertical="center" wrapText="1"/>
      <protection hidden="1"/>
    </xf>
    <xf numFmtId="0" fontId="21" fillId="3" borderId="26" xfId="9" applyFont="1" applyFill="1" applyBorder="1" applyAlignment="1" applyProtection="1">
      <alignment horizontal="left" vertical="center" wrapText="1"/>
      <protection hidden="1"/>
    </xf>
    <xf numFmtId="0" fontId="21" fillId="3" borderId="27" xfId="9" applyFont="1" applyFill="1" applyBorder="1" applyAlignment="1" applyProtection="1">
      <alignment horizontal="left" vertical="center" wrapText="1"/>
      <protection hidden="1"/>
    </xf>
    <xf numFmtId="0" fontId="66" fillId="6" borderId="0" xfId="0" applyFont="1" applyFill="1" applyAlignment="1" applyProtection="1">
      <alignment vertical="center" wrapText="1"/>
      <protection hidden="1"/>
    </xf>
    <xf numFmtId="167" fontId="66" fillId="6" borderId="36" xfId="0" applyNumberFormat="1" applyFont="1" applyFill="1" applyBorder="1" applyAlignment="1" applyProtection="1">
      <alignment horizontal="center" vertical="center" textRotation="90" wrapText="1"/>
      <protection hidden="1"/>
    </xf>
    <xf numFmtId="1" fontId="68" fillId="0" borderId="37" xfId="0" applyNumberFormat="1" applyFont="1" applyBorder="1" applyAlignment="1" applyProtection="1">
      <alignment horizontal="center" vertical="center" wrapText="1"/>
      <protection hidden="1"/>
    </xf>
    <xf numFmtId="1" fontId="69" fillId="4" borderId="38" xfId="8" applyNumberFormat="1" applyFont="1" applyFill="1" applyBorder="1" applyAlignment="1" applyProtection="1">
      <alignment horizontal="center" vertical="center" wrapText="1"/>
      <protection hidden="1"/>
    </xf>
    <xf numFmtId="1" fontId="68" fillId="0" borderId="39" xfId="0" applyNumberFormat="1" applyFont="1" applyBorder="1" applyAlignment="1" applyProtection="1">
      <alignment horizontal="center" vertical="center" wrapText="1"/>
      <protection hidden="1"/>
    </xf>
    <xf numFmtId="0" fontId="10" fillId="0" borderId="0" xfId="0" applyFont="1" applyAlignment="1" applyProtection="1">
      <alignment horizontal="center" vertical="center"/>
      <protection hidden="1"/>
    </xf>
    <xf numFmtId="1" fontId="53" fillId="4" borderId="4" xfId="8" applyNumberFormat="1" applyFont="1" applyFill="1" applyBorder="1" applyAlignment="1" applyProtection="1">
      <alignment horizontal="center" vertical="center" wrapText="1"/>
      <protection locked="0" hidden="1"/>
    </xf>
    <xf numFmtId="1" fontId="53" fillId="4" borderId="14" xfId="8" applyNumberFormat="1" applyFont="1" applyFill="1" applyBorder="1" applyAlignment="1" applyProtection="1">
      <alignment horizontal="center" vertical="center" wrapText="1"/>
      <protection locked="0" hidden="1"/>
    </xf>
    <xf numFmtId="14" fontId="53" fillId="0" borderId="14" xfId="8" applyNumberFormat="1" applyFont="1" applyBorder="1" applyAlignment="1" applyProtection="1">
      <alignment horizontal="center" vertical="center" wrapText="1"/>
      <protection locked="0" hidden="1"/>
    </xf>
    <xf numFmtId="1" fontId="53" fillId="4" borderId="40" xfId="8" applyNumberFormat="1" applyFont="1" applyFill="1" applyBorder="1" applyAlignment="1" applyProtection="1">
      <alignment horizontal="center" vertical="center" wrapText="1"/>
      <protection locked="0" hidden="1"/>
    </xf>
    <xf numFmtId="1" fontId="53" fillId="4" borderId="41" xfId="8" applyNumberFormat="1" applyFont="1" applyFill="1" applyBorder="1" applyAlignment="1" applyProtection="1">
      <alignment horizontal="center" vertical="center" wrapText="1"/>
      <protection locked="0" hidden="1"/>
    </xf>
    <xf numFmtId="1" fontId="53" fillId="0" borderId="41" xfId="8" applyNumberFormat="1" applyFont="1" applyBorder="1" applyAlignment="1" applyProtection="1">
      <alignment horizontal="center" vertical="center" wrapText="1"/>
      <protection locked="0" hidden="1"/>
    </xf>
    <xf numFmtId="165" fontId="58" fillId="5" borderId="0" xfId="8" applyFont="1" applyFill="1" applyAlignment="1" applyProtection="1">
      <alignment vertical="center"/>
      <protection hidden="1"/>
    </xf>
    <xf numFmtId="0" fontId="28" fillId="0" borderId="0" xfId="0" applyFont="1" applyAlignment="1" applyProtection="1">
      <alignment horizontal="left" vertical="center"/>
      <protection hidden="1"/>
    </xf>
    <xf numFmtId="0" fontId="70" fillId="6" borderId="0" xfId="0" applyFont="1" applyFill="1" applyAlignment="1" applyProtection="1">
      <alignment horizontal="left" vertical="center"/>
      <protection hidden="1"/>
    </xf>
    <xf numFmtId="0" fontId="65" fillId="3" borderId="14" xfId="0" applyFont="1" applyFill="1" applyBorder="1" applyAlignment="1" applyProtection="1">
      <alignment vertical="center"/>
      <protection hidden="1"/>
    </xf>
    <xf numFmtId="0" fontId="67" fillId="0" borderId="1" xfId="0" applyFont="1" applyBorder="1" applyAlignment="1" applyProtection="1">
      <alignment horizontal="left" vertical="center"/>
      <protection hidden="1"/>
    </xf>
    <xf numFmtId="14" fontId="70" fillId="3" borderId="42" xfId="0" applyNumberFormat="1" applyFont="1" applyFill="1" applyBorder="1" applyAlignment="1" applyProtection="1">
      <alignment horizontal="center" vertical="center"/>
      <protection hidden="1"/>
    </xf>
    <xf numFmtId="14" fontId="70" fillId="27" borderId="43" xfId="0" applyNumberFormat="1" applyFont="1" applyFill="1" applyBorder="1" applyAlignment="1" applyProtection="1">
      <alignment horizontal="center" vertical="center"/>
      <protection hidden="1"/>
    </xf>
    <xf numFmtId="0" fontId="70" fillId="28" borderId="44" xfId="0" applyFont="1" applyFill="1" applyBorder="1" applyAlignment="1" applyProtection="1">
      <alignment horizontal="center" vertical="center"/>
      <protection hidden="1"/>
    </xf>
    <xf numFmtId="0" fontId="65" fillId="0" borderId="1" xfId="0" applyFont="1" applyBorder="1" applyAlignment="1" applyProtection="1">
      <alignment horizontal="left" vertical="center"/>
      <protection hidden="1"/>
    </xf>
    <xf numFmtId="14" fontId="70" fillId="29" borderId="45" xfId="0" applyNumberFormat="1" applyFont="1" applyFill="1" applyBorder="1" applyAlignment="1" applyProtection="1">
      <alignment horizontal="center" vertical="center"/>
      <protection hidden="1"/>
    </xf>
    <xf numFmtId="14" fontId="70" fillId="30" borderId="46" xfId="0" applyNumberFormat="1" applyFont="1" applyFill="1" applyBorder="1" applyAlignment="1" applyProtection="1">
      <alignment horizontal="center" vertical="center"/>
      <protection hidden="1"/>
    </xf>
    <xf numFmtId="0" fontId="70" fillId="31" borderId="47" xfId="0" applyFont="1" applyFill="1" applyBorder="1" applyAlignment="1" applyProtection="1">
      <alignment horizontal="center" vertical="center"/>
      <protection hidden="1"/>
    </xf>
    <xf numFmtId="14" fontId="70" fillId="32" borderId="48" xfId="0" applyNumberFormat="1" applyFont="1" applyFill="1" applyBorder="1" applyAlignment="1" applyProtection="1">
      <alignment horizontal="center" vertical="center"/>
      <protection hidden="1"/>
    </xf>
    <xf numFmtId="14" fontId="70" fillId="33" borderId="46" xfId="0" applyNumberFormat="1" applyFont="1" applyFill="1" applyBorder="1" applyAlignment="1" applyProtection="1">
      <alignment horizontal="center" vertical="center"/>
      <protection hidden="1"/>
    </xf>
    <xf numFmtId="0" fontId="70" fillId="34" borderId="47" xfId="0" applyFont="1" applyFill="1" applyBorder="1" applyAlignment="1" applyProtection="1">
      <alignment horizontal="center" vertical="center"/>
      <protection hidden="1"/>
    </xf>
    <xf numFmtId="0" fontId="67" fillId="0" borderId="34" xfId="0" applyFont="1" applyBorder="1" applyAlignment="1" applyProtection="1">
      <alignment horizontal="left" vertical="center" wrapText="1"/>
      <protection hidden="1"/>
    </xf>
    <xf numFmtId="0" fontId="53" fillId="35" borderId="49" xfId="0" applyFont="1" applyFill="1" applyBorder="1" applyAlignment="1" applyProtection="1">
      <alignment horizontal="center" vertical="center"/>
      <protection hidden="1"/>
    </xf>
    <xf numFmtId="0" fontId="53" fillId="35" borderId="50" xfId="0" applyFont="1" applyFill="1" applyBorder="1" applyAlignment="1" applyProtection="1">
      <alignment horizontal="center" vertical="center"/>
      <protection hidden="1"/>
    </xf>
    <xf numFmtId="0" fontId="65" fillId="0" borderId="34" xfId="0" applyFont="1" applyBorder="1" applyAlignment="1" applyProtection="1">
      <alignment horizontal="left" vertical="center"/>
      <protection hidden="1"/>
    </xf>
    <xf numFmtId="0" fontId="28" fillId="36" borderId="51" xfId="0" applyFont="1" applyFill="1" applyBorder="1" applyAlignment="1" applyProtection="1">
      <alignment horizontal="center" vertical="center"/>
      <protection hidden="1"/>
    </xf>
    <xf numFmtId="0" fontId="28" fillId="36" borderId="52" xfId="0" applyFont="1" applyFill="1" applyBorder="1" applyAlignment="1" applyProtection="1">
      <alignment horizontal="center" vertical="center"/>
      <protection hidden="1"/>
    </xf>
    <xf numFmtId="0" fontId="14" fillId="37" borderId="0" xfId="0" applyFont="1" applyFill="1" applyAlignment="1" applyProtection="1">
      <alignment horizontal="center" vertical="center"/>
      <protection hidden="1"/>
    </xf>
    <xf numFmtId="0" fontId="14" fillId="38" borderId="32" xfId="0" applyFont="1" applyFill="1" applyBorder="1" applyAlignment="1" applyProtection="1">
      <alignment horizontal="center" vertical="center"/>
      <protection hidden="1"/>
    </xf>
    <xf numFmtId="0" fontId="14" fillId="39" borderId="10" xfId="0" applyFont="1" applyFill="1" applyBorder="1" applyAlignment="1" applyProtection="1">
      <alignment horizontal="center" vertical="center"/>
      <protection hidden="1"/>
    </xf>
    <xf numFmtId="0" fontId="14" fillId="40" borderId="11" xfId="0" applyFont="1" applyFill="1" applyBorder="1" applyAlignment="1" applyProtection="1">
      <alignment horizontal="center" vertical="center"/>
      <protection hidden="1"/>
    </xf>
    <xf numFmtId="165" fontId="55" fillId="4" borderId="0" xfId="5" applyFont="1" applyFill="1" applyProtection="1">
      <protection hidden="1"/>
    </xf>
    <xf numFmtId="165" fontId="54" fillId="4" borderId="0" xfId="5" applyFont="1" applyFill="1" applyAlignment="1" applyProtection="1">
      <alignment vertical="top" wrapText="1"/>
      <protection hidden="1"/>
    </xf>
    <xf numFmtId="165" fontId="55" fillId="0" borderId="0" xfId="5" applyFont="1" applyProtection="1">
      <protection hidden="1"/>
    </xf>
    <xf numFmtId="165" fontId="58" fillId="5" borderId="0" xfId="6" applyFont="1" applyFill="1" applyAlignment="1">
      <alignment vertical="center"/>
    </xf>
    <xf numFmtId="0" fontId="28" fillId="0" borderId="0" xfId="0" applyFont="1"/>
    <xf numFmtId="165" fontId="58" fillId="0" borderId="0" xfId="6" applyFont="1"/>
    <xf numFmtId="165" fontId="31" fillId="0" borderId="0" xfId="6" applyFont="1"/>
    <xf numFmtId="165" fontId="55" fillId="0" borderId="0" xfId="5" applyFont="1" applyAlignment="1" applyProtection="1">
      <alignment vertical="top" wrapText="1"/>
      <protection hidden="1"/>
    </xf>
    <xf numFmtId="0" fontId="70" fillId="0" borderId="0" xfId="2" applyFont="1" applyAlignment="1">
      <alignment vertical="center" wrapText="1"/>
    </xf>
    <xf numFmtId="14" fontId="55" fillId="4" borderId="1" xfId="2" applyNumberFormat="1" applyFont="1" applyFill="1" applyBorder="1" applyAlignment="1">
      <alignment horizontal="center" vertical="center" wrapText="1"/>
    </xf>
    <xf numFmtId="0" fontId="65" fillId="3" borderId="1" xfId="2" applyFont="1" applyFill="1" applyBorder="1" applyAlignment="1">
      <alignment horizontal="center" vertical="center" wrapText="1"/>
    </xf>
    <xf numFmtId="165" fontId="55" fillId="4" borderId="0" xfId="5" applyFont="1" applyFill="1" applyAlignment="1" applyProtection="1">
      <alignment vertical="center"/>
      <protection hidden="1"/>
    </xf>
    <xf numFmtId="0" fontId="73" fillId="4" borderId="10" xfId="222" applyFont="1" applyFill="1" applyBorder="1" applyAlignment="1">
      <alignment horizontal="left" vertical="center"/>
    </xf>
    <xf numFmtId="0" fontId="28" fillId="4" borderId="0" xfId="222" applyFont="1" applyFill="1" applyAlignment="1">
      <alignment vertical="center"/>
    </xf>
    <xf numFmtId="165" fontId="55" fillId="0" borderId="0" xfId="6" applyFont="1"/>
    <xf numFmtId="165" fontId="74" fillId="4" borderId="5" xfId="8" applyFont="1" applyFill="1" applyBorder="1" applyAlignment="1" applyProtection="1">
      <alignment vertical="center"/>
      <protection hidden="1"/>
    </xf>
    <xf numFmtId="0" fontId="67" fillId="0" borderId="34" xfId="0" applyFont="1" applyBorder="1" applyAlignment="1" applyProtection="1">
      <alignment horizontal="left" vertical="center"/>
      <protection hidden="1"/>
    </xf>
    <xf numFmtId="0" fontId="31" fillId="6" borderId="0" xfId="0" applyFont="1" applyFill="1" applyAlignment="1" applyProtection="1">
      <alignment horizontal="center" vertical="center" wrapText="1"/>
      <protection hidden="1"/>
    </xf>
    <xf numFmtId="0" fontId="14" fillId="0" borderId="0" xfId="0" applyFont="1" applyAlignment="1" applyProtection="1">
      <alignment vertical="center"/>
      <protection hidden="1"/>
    </xf>
    <xf numFmtId="0" fontId="55" fillId="4" borderId="0" xfId="5" applyNumberFormat="1" applyFont="1" applyFill="1" applyProtection="1">
      <protection hidden="1"/>
    </xf>
    <xf numFmtId="0" fontId="28" fillId="3" borderId="14" xfId="9" applyFont="1" applyFill="1" applyBorder="1" applyAlignment="1" applyProtection="1">
      <alignment horizontal="left" vertical="center" wrapText="1"/>
      <protection hidden="1"/>
    </xf>
    <xf numFmtId="1" fontId="22" fillId="3" borderId="7" xfId="9" applyNumberFormat="1" applyFont="1" applyFill="1" applyBorder="1" applyAlignment="1" applyProtection="1">
      <alignment horizontal="center" vertical="center" wrapText="1"/>
      <protection hidden="1"/>
    </xf>
    <xf numFmtId="0" fontId="56" fillId="0" borderId="0" xfId="0" applyFont="1" applyAlignment="1" applyProtection="1">
      <alignment vertical="top"/>
      <protection hidden="1"/>
    </xf>
    <xf numFmtId="1" fontId="69" fillId="4" borderId="53" xfId="8" applyNumberFormat="1" applyFont="1" applyFill="1" applyBorder="1" applyAlignment="1" applyProtection="1">
      <alignment horizontal="center" vertical="center" wrapText="1"/>
      <protection hidden="1"/>
    </xf>
    <xf numFmtId="1" fontId="68" fillId="0" borderId="54" xfId="0" applyNumberFormat="1" applyFont="1" applyBorder="1" applyAlignment="1" applyProtection="1">
      <alignment horizontal="center" vertical="center" wrapText="1"/>
      <protection hidden="1"/>
    </xf>
    <xf numFmtId="0" fontId="2" fillId="41" borderId="14" xfId="0" applyFont="1" applyFill="1" applyBorder="1" applyAlignment="1" applyProtection="1">
      <alignment horizontal="center" vertical="center" wrapText="1"/>
      <protection hidden="1"/>
    </xf>
    <xf numFmtId="0" fontId="2" fillId="41" borderId="55" xfId="0" applyFont="1" applyFill="1" applyBorder="1" applyAlignment="1" applyProtection="1">
      <alignment horizontal="center" vertical="center" wrapText="1"/>
      <protection hidden="1"/>
    </xf>
    <xf numFmtId="14" fontId="53" fillId="41" borderId="14" xfId="8" applyNumberFormat="1" applyFont="1" applyFill="1" applyBorder="1" applyAlignment="1" applyProtection="1">
      <alignment horizontal="center" vertical="center" wrapText="1"/>
      <protection hidden="1"/>
    </xf>
    <xf numFmtId="14" fontId="53" fillId="41" borderId="55" xfId="8" applyNumberFormat="1" applyFont="1" applyFill="1" applyBorder="1" applyAlignment="1" applyProtection="1">
      <alignment horizontal="center" vertical="center" wrapText="1"/>
      <protection hidden="1"/>
    </xf>
    <xf numFmtId="14" fontId="28" fillId="41" borderId="4" xfId="8" applyNumberFormat="1" applyFont="1" applyFill="1" applyBorder="1" applyAlignment="1" applyProtection="1">
      <alignment horizontal="left" vertical="center" wrapText="1"/>
      <protection hidden="1"/>
    </xf>
    <xf numFmtId="14" fontId="65" fillId="3" borderId="14" xfId="9" applyNumberFormat="1" applyFont="1" applyFill="1" applyBorder="1" applyAlignment="1" applyProtection="1">
      <alignment horizontal="center" vertical="center" wrapText="1"/>
      <protection hidden="1"/>
    </xf>
    <xf numFmtId="14" fontId="67" fillId="3" borderId="0" xfId="0" applyNumberFormat="1" applyFont="1" applyFill="1" applyAlignment="1" applyProtection="1">
      <alignment horizontal="center" vertical="center" wrapText="1"/>
      <protection hidden="1"/>
    </xf>
    <xf numFmtId="0" fontId="70" fillId="6" borderId="0" xfId="0" applyFont="1" applyFill="1" applyAlignment="1" applyProtection="1">
      <alignment horizontal="center" vertical="center" wrapText="1"/>
      <protection hidden="1"/>
    </xf>
    <xf numFmtId="14" fontId="65" fillId="3" borderId="14" xfId="8" applyNumberFormat="1" applyFont="1" applyFill="1" applyBorder="1" applyAlignment="1" applyProtection="1">
      <alignment horizontal="center" vertical="center" wrapText="1"/>
      <protection hidden="1"/>
    </xf>
    <xf numFmtId="1" fontId="65" fillId="3" borderId="4" xfId="8" applyNumberFormat="1" applyFont="1" applyFill="1" applyBorder="1" applyAlignment="1" applyProtection="1">
      <alignment horizontal="center" vertical="center" wrapText="1"/>
      <protection locked="0" hidden="1"/>
    </xf>
    <xf numFmtId="1" fontId="65" fillId="3" borderId="14" xfId="8" applyNumberFormat="1" applyFont="1" applyFill="1" applyBorder="1" applyAlignment="1" applyProtection="1">
      <alignment horizontal="center" vertical="center" wrapText="1"/>
      <protection locked="0" hidden="1"/>
    </xf>
    <xf numFmtId="0" fontId="22" fillId="3" borderId="24" xfId="9" applyFont="1" applyFill="1" applyBorder="1" applyAlignment="1" applyProtection="1">
      <alignment horizontal="center" vertical="center" wrapText="1"/>
      <protection locked="0" hidden="1"/>
    </xf>
    <xf numFmtId="0" fontId="3" fillId="2" borderId="0" xfId="0" applyFont="1" applyFill="1" applyAlignment="1" applyProtection="1">
      <alignment vertical="center"/>
      <protection locked="0" hidden="1"/>
    </xf>
    <xf numFmtId="0" fontId="3" fillId="25" borderId="14" xfId="0" applyFont="1" applyFill="1" applyBorder="1" applyAlignment="1" applyProtection="1">
      <alignment vertical="center"/>
      <protection locked="0" hidden="1"/>
    </xf>
    <xf numFmtId="0" fontId="3" fillId="25" borderId="14" xfId="0" applyFont="1" applyFill="1" applyBorder="1" applyAlignment="1" applyProtection="1">
      <alignment vertical="center" wrapText="1"/>
      <protection locked="0" hidden="1"/>
    </xf>
    <xf numFmtId="0" fontId="76" fillId="0" borderId="0" xfId="0" applyFont="1" applyAlignment="1">
      <alignment vertical="center"/>
    </xf>
    <xf numFmtId="0" fontId="0" fillId="0" borderId="0" xfId="0" applyAlignment="1" applyProtection="1">
      <alignment vertical="center"/>
      <protection locked="0"/>
    </xf>
    <xf numFmtId="0" fontId="3" fillId="0" borderId="1" xfId="0" applyFont="1" applyBorder="1" applyAlignment="1" applyProtection="1">
      <alignment vertical="center"/>
      <protection locked="0" hidden="1"/>
    </xf>
    <xf numFmtId="0" fontId="0" fillId="0" borderId="0" xfId="0" applyAlignment="1">
      <alignment vertical="center"/>
    </xf>
    <xf numFmtId="0" fontId="3" fillId="0" borderId="2" xfId="0" applyFont="1" applyBorder="1" applyAlignment="1" applyProtection="1">
      <alignment vertical="center"/>
      <protection locked="0" hidden="1"/>
    </xf>
    <xf numFmtId="0" fontId="3" fillId="0" borderId="0" xfId="0" applyFont="1" applyAlignment="1" applyProtection="1">
      <alignment horizontal="right" vertical="center"/>
      <protection locked="0" hidden="1"/>
    </xf>
    <xf numFmtId="0" fontId="3" fillId="0" borderId="1" xfId="0" applyFont="1" applyBorder="1" applyAlignment="1" applyProtection="1">
      <alignment horizontal="center" vertical="center"/>
      <protection hidden="1"/>
    </xf>
    <xf numFmtId="0" fontId="3" fillId="0" borderId="30" xfId="0" applyFont="1" applyBorder="1" applyAlignment="1" applyProtection="1">
      <alignment horizontal="right" vertical="center"/>
      <protection locked="0" hidden="1"/>
    </xf>
    <xf numFmtId="0" fontId="3" fillId="0" borderId="1" xfId="0" applyFont="1" applyBorder="1" applyAlignment="1" applyProtection="1">
      <alignment horizontal="center" vertical="center"/>
      <protection locked="0" hidden="1"/>
    </xf>
    <xf numFmtId="0" fontId="10" fillId="24" borderId="31" xfId="0" applyFont="1" applyFill="1" applyBorder="1" applyProtection="1">
      <protection locked="0" hidden="1"/>
    </xf>
    <xf numFmtId="0" fontId="3" fillId="24" borderId="31" xfId="0" applyFont="1" applyFill="1" applyBorder="1" applyAlignment="1" applyProtection="1">
      <alignment horizontal="center" vertical="center"/>
      <protection locked="0" hidden="1"/>
    </xf>
    <xf numFmtId="0" fontId="2" fillId="0" borderId="0" xfId="0" applyFont="1" applyAlignment="1" applyProtection="1">
      <alignment horizontal="center" vertical="center" wrapText="1"/>
      <protection hidden="1"/>
    </xf>
    <xf numFmtId="165" fontId="7" fillId="41" borderId="14" xfId="8" applyFill="1" applyBorder="1" applyAlignment="1" applyProtection="1">
      <alignment horizontal="center" vertical="center"/>
      <protection hidden="1"/>
    </xf>
    <xf numFmtId="0" fontId="60" fillId="2" borderId="25" xfId="0" applyFont="1" applyFill="1" applyBorder="1" applyAlignment="1" applyProtection="1">
      <alignment vertical="center"/>
      <protection locked="0" hidden="1"/>
    </xf>
    <xf numFmtId="0" fontId="62" fillId="2" borderId="5" xfId="0" applyFont="1" applyFill="1" applyBorder="1" applyAlignment="1" applyProtection="1">
      <alignment vertical="center"/>
      <protection locked="0" hidden="1"/>
    </xf>
    <xf numFmtId="0" fontId="0" fillId="2" borderId="7" xfId="0" applyFill="1" applyBorder="1" applyAlignment="1" applyProtection="1">
      <alignment vertical="center"/>
      <protection locked="0"/>
    </xf>
    <xf numFmtId="0" fontId="24" fillId="0" borderId="0" xfId="0" applyFont="1" applyAlignment="1" applyProtection="1">
      <alignment horizontal="left" vertical="center" wrapText="1"/>
      <protection hidden="1"/>
    </xf>
    <xf numFmtId="0" fontId="8" fillId="0" borderId="0" xfId="0" applyFont="1" applyAlignment="1" applyProtection="1">
      <alignment horizontal="left" vertical="center" wrapText="1"/>
      <protection hidden="1"/>
    </xf>
    <xf numFmtId="0" fontId="24" fillId="0" borderId="0" xfId="9" applyFont="1" applyFill="1" applyBorder="1" applyAlignment="1" applyProtection="1">
      <alignment horizontal="left" vertical="center" wrapText="1"/>
      <protection hidden="1"/>
    </xf>
    <xf numFmtId="0" fontId="51" fillId="0" borderId="0" xfId="0" applyFont="1" applyAlignment="1" applyProtection="1">
      <alignment wrapText="1"/>
      <protection hidden="1"/>
    </xf>
    <xf numFmtId="0" fontId="50" fillId="0" borderId="0" xfId="0" applyFont="1" applyProtection="1">
      <protection hidden="1"/>
    </xf>
    <xf numFmtId="0" fontId="28" fillId="0" borderId="0" xfId="0" applyFont="1" applyAlignment="1">
      <alignment horizontal="center" vertical="center"/>
    </xf>
    <xf numFmtId="0" fontId="56" fillId="0" borderId="0" xfId="0" applyFont="1" applyAlignment="1">
      <alignment vertical="top" wrapText="1"/>
    </xf>
    <xf numFmtId="0" fontId="56" fillId="0" borderId="0" xfId="0" applyFont="1" applyAlignment="1">
      <alignment horizontal="left" vertical="top" wrapText="1"/>
    </xf>
    <xf numFmtId="0" fontId="56" fillId="0" borderId="0" xfId="0" applyFont="1" applyAlignment="1">
      <alignment horizontal="left" vertical="top"/>
    </xf>
    <xf numFmtId="0" fontId="79" fillId="3" borderId="1" xfId="9" applyFont="1" applyFill="1" applyBorder="1" applyAlignment="1" applyProtection="1">
      <alignment horizontal="left" vertical="center" wrapText="1"/>
    </xf>
    <xf numFmtId="0" fontId="79" fillId="3" borderId="1" xfId="9" applyFont="1" applyFill="1" applyBorder="1" applyAlignment="1" applyProtection="1">
      <alignment horizontal="center" vertical="center" wrapText="1"/>
    </xf>
    <xf numFmtId="0" fontId="83" fillId="0" borderId="0" xfId="0" applyFont="1"/>
    <xf numFmtId="0" fontId="83" fillId="0" borderId="0" xfId="0" applyFont="1" applyAlignment="1">
      <alignment wrapText="1"/>
    </xf>
    <xf numFmtId="14" fontId="79" fillId="3" borderId="1" xfId="9" applyNumberFormat="1" applyFont="1" applyFill="1" applyBorder="1" applyAlignment="1" applyProtection="1">
      <alignment horizontal="center" vertical="center" wrapText="1"/>
    </xf>
    <xf numFmtId="0" fontId="84" fillId="0" borderId="0" xfId="0" applyFont="1" applyAlignment="1">
      <alignment vertical="center"/>
    </xf>
    <xf numFmtId="0" fontId="79" fillId="45" borderId="1" xfId="9" applyFont="1" applyFill="1" applyBorder="1" applyAlignment="1" applyProtection="1">
      <alignment horizontal="center" vertical="center" wrapText="1"/>
    </xf>
    <xf numFmtId="0" fontId="79" fillId="46" borderId="1" xfId="9" applyFont="1" applyFill="1" applyBorder="1" applyAlignment="1" applyProtection="1">
      <alignment horizontal="center" vertical="center" wrapText="1"/>
    </xf>
    <xf numFmtId="0" fontId="61" fillId="0" borderId="0" xfId="0" applyFont="1"/>
    <xf numFmtId="0" fontId="61" fillId="0" borderId="0" xfId="0" applyFont="1" applyProtection="1">
      <protection hidden="1"/>
    </xf>
    <xf numFmtId="0" fontId="85" fillId="3" borderId="1" xfId="0" applyFont="1" applyFill="1" applyBorder="1" applyAlignment="1">
      <alignment horizontal="center" vertical="center" wrapText="1"/>
    </xf>
    <xf numFmtId="0" fontId="85" fillId="3" borderId="1" xfId="0" applyFont="1" applyFill="1" applyBorder="1" applyAlignment="1">
      <alignment horizontal="center" vertical="center"/>
    </xf>
    <xf numFmtId="0" fontId="85" fillId="45" borderId="1" xfId="0" applyFont="1" applyFill="1" applyBorder="1" applyAlignment="1">
      <alignment horizontal="center" vertical="center" wrapText="1"/>
    </xf>
    <xf numFmtId="0" fontId="85" fillId="43" borderId="1" xfId="0" applyFont="1" applyFill="1" applyBorder="1" applyAlignment="1">
      <alignment horizontal="center" vertical="center" wrapText="1"/>
    </xf>
    <xf numFmtId="0" fontId="85" fillId="47" borderId="1" xfId="0" applyFont="1" applyFill="1" applyBorder="1" applyAlignment="1">
      <alignment horizontal="center" vertical="center" wrapText="1"/>
    </xf>
    <xf numFmtId="168" fontId="61" fillId="3" borderId="63" xfId="0" applyNumberFormat="1" applyFont="1" applyFill="1" applyBorder="1" applyAlignment="1" applyProtection="1">
      <alignment horizontal="center" vertical="center"/>
      <protection hidden="1"/>
    </xf>
    <xf numFmtId="14" fontId="61" fillId="3" borderId="64" xfId="0" applyNumberFormat="1" applyFont="1" applyFill="1" applyBorder="1" applyAlignment="1" applyProtection="1">
      <alignment horizontal="center" vertical="center"/>
      <protection hidden="1"/>
    </xf>
    <xf numFmtId="14" fontId="61" fillId="3" borderId="65" xfId="0" applyNumberFormat="1" applyFont="1" applyFill="1" applyBorder="1" applyAlignment="1" applyProtection="1">
      <alignment horizontal="center" vertical="center"/>
      <protection hidden="1"/>
    </xf>
    <xf numFmtId="0" fontId="61" fillId="4" borderId="63" xfId="0" applyFont="1" applyFill="1" applyBorder="1" applyAlignment="1" applyProtection="1">
      <alignment horizontal="center" vertical="center"/>
      <protection locked="0"/>
    </xf>
    <xf numFmtId="0" fontId="61" fillId="3" borderId="64" xfId="0" applyFont="1" applyFill="1" applyBorder="1" applyAlignment="1">
      <alignment horizontal="center" vertical="center"/>
    </xf>
    <xf numFmtId="0" fontId="61" fillId="3" borderId="65" xfId="0" applyFont="1" applyFill="1" applyBorder="1" applyAlignment="1">
      <alignment horizontal="center" vertical="center"/>
    </xf>
    <xf numFmtId="0" fontId="61" fillId="3" borderId="63" xfId="0" applyFont="1" applyFill="1" applyBorder="1" applyAlignment="1">
      <alignment horizontal="center" vertical="center"/>
    </xf>
    <xf numFmtId="0" fontId="61" fillId="0" borderId="63" xfId="0" applyFont="1" applyBorder="1" applyAlignment="1" applyProtection="1">
      <alignment horizontal="center" vertical="center"/>
      <protection locked="0"/>
    </xf>
    <xf numFmtId="0" fontId="61" fillId="0" borderId="0" xfId="0" applyFont="1" applyAlignment="1">
      <alignment horizontal="center" vertical="center"/>
    </xf>
    <xf numFmtId="0" fontId="61" fillId="0" borderId="0" xfId="0" applyFont="1" applyAlignment="1">
      <alignment wrapText="1"/>
    </xf>
    <xf numFmtId="14" fontId="79" fillId="45" borderId="1" xfId="9" applyNumberFormat="1" applyFont="1" applyFill="1" applyBorder="1" applyAlignment="1" applyProtection="1">
      <alignment horizontal="center" vertical="center" wrapText="1"/>
    </xf>
    <xf numFmtId="14" fontId="79" fillId="46" borderId="1" xfId="9" applyNumberFormat="1" applyFont="1" applyFill="1" applyBorder="1" applyAlignment="1" applyProtection="1">
      <alignment horizontal="center" vertical="center" wrapText="1"/>
    </xf>
    <xf numFmtId="0" fontId="86" fillId="0" borderId="0" xfId="0" applyFont="1" applyAlignment="1" applyProtection="1">
      <alignment horizontal="center" vertical="center"/>
      <protection hidden="1"/>
    </xf>
    <xf numFmtId="0" fontId="61" fillId="44" borderId="61" xfId="0" applyFont="1" applyFill="1" applyBorder="1"/>
    <xf numFmtId="14" fontId="61" fillId="3" borderId="68" xfId="0" applyNumberFormat="1" applyFont="1" applyFill="1" applyBorder="1" applyAlignment="1" applyProtection="1">
      <alignment horizontal="center" vertical="center"/>
      <protection hidden="1"/>
    </xf>
    <xf numFmtId="14" fontId="61" fillId="3" borderId="67" xfId="0" applyNumberFormat="1" applyFont="1" applyFill="1" applyBorder="1" applyAlignment="1" applyProtection="1">
      <alignment horizontal="left" vertical="center" wrapText="1"/>
      <protection hidden="1"/>
    </xf>
    <xf numFmtId="1" fontId="61" fillId="3" borderId="68" xfId="0" applyNumberFormat="1" applyFont="1" applyFill="1" applyBorder="1" applyAlignment="1">
      <alignment horizontal="center" vertical="center"/>
    </xf>
    <xf numFmtId="0" fontId="61" fillId="3" borderId="66" xfId="0" applyFont="1" applyFill="1" applyBorder="1" applyAlignment="1">
      <alignment vertical="center"/>
    </xf>
    <xf numFmtId="1" fontId="61" fillId="3" borderId="66" xfId="0" applyNumberFormat="1" applyFont="1" applyFill="1" applyBorder="1" applyAlignment="1">
      <alignment horizontal="center" vertical="center"/>
    </xf>
    <xf numFmtId="0" fontId="61" fillId="3" borderId="63" xfId="0" applyFont="1" applyFill="1" applyBorder="1" applyAlignment="1" applyProtection="1">
      <alignment horizontal="center" vertical="center"/>
      <protection hidden="1"/>
    </xf>
    <xf numFmtId="0" fontId="55" fillId="0" borderId="0" xfId="5" applyNumberFormat="1" applyFont="1" applyProtection="1">
      <protection hidden="1"/>
    </xf>
    <xf numFmtId="0" fontId="55" fillId="0" borderId="0" xfId="6" applyNumberFormat="1" applyFont="1"/>
    <xf numFmtId="14" fontId="22" fillId="3" borderId="24" xfId="9" applyNumberFormat="1" applyFont="1" applyFill="1" applyBorder="1" applyAlignment="1" applyProtection="1">
      <alignment horizontal="center" vertical="center" wrapText="1"/>
      <protection hidden="1"/>
    </xf>
    <xf numFmtId="0" fontId="64" fillId="0" borderId="1" xfId="0" applyFont="1" applyBorder="1" applyAlignment="1" applyProtection="1">
      <alignment horizontal="center" vertical="center"/>
      <protection locked="0" hidden="1"/>
    </xf>
    <xf numFmtId="0" fontId="62" fillId="24" borderId="31" xfId="0" applyFont="1" applyFill="1" applyBorder="1" applyProtection="1">
      <protection locked="0" hidden="1"/>
    </xf>
    <xf numFmtId="165" fontId="56" fillId="4" borderId="0" xfId="7" applyFont="1" applyFill="1" applyProtection="1">
      <protection hidden="1"/>
    </xf>
    <xf numFmtId="165" fontId="56" fillId="0" borderId="0" xfId="7" applyFont="1" applyProtection="1">
      <protection hidden="1"/>
    </xf>
    <xf numFmtId="165" fontId="56" fillId="4" borderId="0" xfId="5" applyFont="1" applyFill="1" applyProtection="1">
      <protection hidden="1"/>
    </xf>
    <xf numFmtId="165" fontId="58" fillId="5" borderId="0" xfId="5" applyFont="1" applyFill="1" applyAlignment="1" applyProtection="1">
      <alignment horizontal="left" vertical="center"/>
      <protection hidden="1"/>
    </xf>
    <xf numFmtId="165" fontId="57" fillId="4" borderId="0" xfId="5" applyFont="1" applyFill="1" applyAlignment="1" applyProtection="1">
      <alignment horizontal="left"/>
      <protection hidden="1"/>
    </xf>
    <xf numFmtId="0" fontId="56" fillId="4" borderId="0" xfId="5" applyNumberFormat="1" applyFont="1" applyFill="1" applyAlignment="1" applyProtection="1">
      <alignment horizontal="justify" vertical="top" wrapText="1"/>
      <protection hidden="1"/>
    </xf>
    <xf numFmtId="0" fontId="55" fillId="4" borderId="0" xfId="5" applyNumberFormat="1" applyFont="1" applyFill="1" applyAlignment="1" applyProtection="1">
      <alignment vertical="top" wrapText="1"/>
      <protection hidden="1"/>
    </xf>
    <xf numFmtId="0" fontId="88" fillId="4" borderId="0" xfId="5" applyNumberFormat="1" applyFont="1" applyFill="1" applyAlignment="1" applyProtection="1">
      <alignment horizontal="justify" vertical="top" wrapText="1"/>
      <protection hidden="1"/>
    </xf>
    <xf numFmtId="0" fontId="55" fillId="4" borderId="0" xfId="5" applyNumberFormat="1" applyFont="1" applyFill="1" applyAlignment="1" applyProtection="1">
      <alignment horizontal="left" vertical="top" wrapText="1"/>
      <protection hidden="1"/>
    </xf>
    <xf numFmtId="0" fontId="56" fillId="4" borderId="0" xfId="5" applyNumberFormat="1" applyFont="1" applyFill="1" applyAlignment="1" applyProtection="1">
      <alignment horizontal="left" vertical="top" wrapText="1"/>
      <protection hidden="1"/>
    </xf>
    <xf numFmtId="0" fontId="56" fillId="4" borderId="0" xfId="5" applyNumberFormat="1" applyFont="1" applyFill="1" applyAlignment="1" applyProtection="1">
      <alignment vertical="top" wrapText="1"/>
      <protection hidden="1"/>
    </xf>
    <xf numFmtId="0" fontId="56" fillId="4" borderId="0" xfId="5" applyNumberFormat="1" applyFont="1" applyFill="1" applyAlignment="1" applyProtection="1">
      <alignment vertical="center" wrapText="1"/>
      <protection hidden="1"/>
    </xf>
    <xf numFmtId="165" fontId="58" fillId="5" borderId="69" xfId="5" applyFont="1" applyFill="1" applyBorder="1" applyAlignment="1" applyProtection="1">
      <alignment horizontal="left" vertical="center"/>
      <protection hidden="1"/>
    </xf>
    <xf numFmtId="0" fontId="55" fillId="4" borderId="61" xfId="5" applyNumberFormat="1" applyFont="1" applyFill="1" applyBorder="1" applyAlignment="1" applyProtection="1">
      <alignment vertical="center" wrapText="1"/>
      <protection hidden="1"/>
    </xf>
    <xf numFmtId="14" fontId="22" fillId="4" borderId="14" xfId="9" applyNumberFormat="1" applyFont="1" applyFill="1" applyBorder="1" applyAlignment="1" applyProtection="1">
      <alignment horizontal="center" vertical="center" wrapText="1"/>
      <protection locked="0"/>
    </xf>
    <xf numFmtId="0" fontId="61" fillId="3" borderId="64" xfId="0" applyFont="1" applyFill="1" applyBorder="1" applyAlignment="1">
      <alignment horizontal="center" vertical="center" wrapText="1"/>
    </xf>
    <xf numFmtId="0" fontId="95" fillId="48" borderId="0" xfId="0" applyFont="1" applyFill="1" applyAlignment="1" applyProtection="1">
      <alignment horizontal="center" vertical="center" wrapText="1"/>
      <protection hidden="1"/>
    </xf>
    <xf numFmtId="0" fontId="55" fillId="4" borderId="1" xfId="5" applyNumberFormat="1" applyFont="1" applyFill="1" applyBorder="1" applyAlignment="1" applyProtection="1">
      <alignment horizontal="left" wrapText="1"/>
      <protection hidden="1"/>
    </xf>
    <xf numFmtId="0" fontId="3" fillId="0" borderId="1" xfId="0" applyFont="1" applyBorder="1" applyAlignment="1" applyProtection="1">
      <alignment vertical="center" wrapText="1"/>
      <protection locked="0" hidden="1"/>
    </xf>
    <xf numFmtId="0" fontId="28" fillId="4" borderId="4" xfId="8" applyNumberFormat="1" applyFont="1" applyFill="1" applyBorder="1" applyAlignment="1" applyProtection="1">
      <alignment horizontal="left" vertical="center" wrapText="1"/>
      <protection locked="0" hidden="1"/>
    </xf>
    <xf numFmtId="0" fontId="28" fillId="4" borderId="4" xfId="8" applyNumberFormat="1" applyFont="1" applyFill="1" applyBorder="1" applyAlignment="1" applyProtection="1">
      <alignment horizontal="left" vertical="center" wrapText="1"/>
      <protection locked="0"/>
    </xf>
    <xf numFmtId="1" fontId="28" fillId="4" borderId="4" xfId="8" applyNumberFormat="1" applyFont="1" applyFill="1" applyBorder="1" applyAlignment="1" applyProtection="1">
      <alignment horizontal="left" vertical="center" wrapText="1"/>
      <protection locked="0"/>
    </xf>
    <xf numFmtId="1" fontId="28" fillId="4" borderId="14" xfId="8" applyNumberFormat="1" applyFont="1" applyFill="1" applyBorder="1" applyAlignment="1" applyProtection="1">
      <alignment horizontal="left" vertical="center" wrapText="1"/>
      <protection locked="0"/>
    </xf>
    <xf numFmtId="14" fontId="53" fillId="0" borderId="14" xfId="8" applyNumberFormat="1" applyFont="1" applyBorder="1" applyAlignment="1" applyProtection="1">
      <alignment horizontal="center" vertical="center" wrapText="1"/>
      <protection locked="0"/>
    </xf>
    <xf numFmtId="14" fontId="53" fillId="0" borderId="55" xfId="8" applyNumberFormat="1" applyFont="1" applyBorder="1" applyAlignment="1" applyProtection="1">
      <alignment horizontal="center" vertical="center" wrapText="1"/>
      <protection locked="0"/>
    </xf>
    <xf numFmtId="0" fontId="97" fillId="0" borderId="1" xfId="0" applyFont="1" applyBorder="1" applyAlignment="1">
      <alignment horizontal="left" vertical="center" wrapText="1"/>
    </xf>
    <xf numFmtId="0" fontId="97" fillId="0" borderId="1" xfId="0" applyFont="1" applyBorder="1" applyAlignment="1">
      <alignment horizontal="left" vertical="center"/>
    </xf>
    <xf numFmtId="0" fontId="55" fillId="4" borderId="1" xfId="0" applyFont="1" applyFill="1" applyBorder="1" applyAlignment="1">
      <alignment horizontal="left" vertical="center"/>
    </xf>
    <xf numFmtId="14" fontId="55" fillId="4" borderId="1" xfId="0" applyNumberFormat="1" applyFont="1" applyFill="1" applyBorder="1" applyAlignment="1">
      <alignment horizontal="left" vertical="center"/>
    </xf>
    <xf numFmtId="0" fontId="55" fillId="0" borderId="1" xfId="0" applyFont="1" applyBorder="1" applyAlignment="1">
      <alignment horizontal="left" vertical="center"/>
    </xf>
    <xf numFmtId="0" fontId="55" fillId="0" borderId="1" xfId="0" applyFont="1" applyBorder="1" applyAlignment="1">
      <alignment horizontal="left" vertical="center" wrapText="1"/>
    </xf>
    <xf numFmtId="0" fontId="55" fillId="4" borderId="1" xfId="0" applyFont="1" applyFill="1" applyBorder="1" applyAlignment="1">
      <alignment horizontal="left" vertical="center" wrapText="1"/>
    </xf>
    <xf numFmtId="0" fontId="55" fillId="0" borderId="1" xfId="0" quotePrefix="1" applyFont="1" applyBorder="1" applyAlignment="1">
      <alignment horizontal="left" vertical="center" wrapText="1"/>
    </xf>
    <xf numFmtId="0" fontId="55" fillId="4" borderId="1" xfId="5" applyNumberFormat="1" applyFont="1" applyFill="1" applyBorder="1" applyAlignment="1" applyProtection="1">
      <alignment horizontal="left" vertical="center"/>
      <protection hidden="1"/>
    </xf>
    <xf numFmtId="0" fontId="55" fillId="4" borderId="1" xfId="5" applyNumberFormat="1" applyFont="1" applyFill="1" applyBorder="1" applyAlignment="1" applyProtection="1">
      <alignment horizontal="left" vertical="center" wrapText="1"/>
      <protection hidden="1"/>
    </xf>
    <xf numFmtId="0" fontId="55" fillId="0" borderId="1" xfId="6" applyNumberFormat="1" applyFont="1" applyBorder="1" applyAlignment="1">
      <alignment horizontal="left" vertical="center"/>
    </xf>
    <xf numFmtId="14" fontId="55" fillId="4" borderId="1" xfId="5" applyNumberFormat="1" applyFont="1" applyFill="1" applyBorder="1" applyAlignment="1" applyProtection="1">
      <alignment horizontal="left" vertical="center"/>
      <protection hidden="1"/>
    </xf>
    <xf numFmtId="0" fontId="55" fillId="4" borderId="1" xfId="5" quotePrefix="1" applyNumberFormat="1" applyFont="1" applyFill="1" applyBorder="1" applyAlignment="1" applyProtection="1">
      <alignment horizontal="left" vertical="center" wrapText="1"/>
      <protection hidden="1"/>
    </xf>
    <xf numFmtId="14" fontId="55" fillId="0" borderId="1" xfId="5" applyNumberFormat="1" applyFont="1" applyBorder="1" applyAlignment="1" applyProtection="1">
      <alignment horizontal="left" vertical="center"/>
      <protection hidden="1"/>
    </xf>
    <xf numFmtId="0" fontId="55" fillId="0" borderId="1" xfId="5" applyNumberFormat="1" applyFont="1" applyBorder="1" applyAlignment="1" applyProtection="1">
      <alignment horizontal="left" vertical="center"/>
      <protection hidden="1"/>
    </xf>
    <xf numFmtId="0" fontId="55" fillId="4" borderId="2" xfId="5" applyNumberFormat="1" applyFont="1" applyFill="1" applyBorder="1" applyAlignment="1" applyProtection="1">
      <alignment vertical="center" wrapText="1"/>
      <protection hidden="1"/>
    </xf>
    <xf numFmtId="0" fontId="55" fillId="0" borderId="1" xfId="5" quotePrefix="1" applyNumberFormat="1" applyFont="1" applyBorder="1" applyAlignment="1" applyProtection="1">
      <alignment horizontal="left" vertical="center" wrapText="1"/>
      <protection hidden="1"/>
    </xf>
    <xf numFmtId="14" fontId="28" fillId="4" borderId="4" xfId="8" applyNumberFormat="1" applyFont="1" applyFill="1" applyBorder="1" applyAlignment="1" applyProtection="1">
      <alignment horizontal="left" vertical="center" wrapText="1"/>
      <protection locked="0"/>
    </xf>
    <xf numFmtId="0" fontId="28" fillId="0" borderId="0" xfId="0" applyFont="1" applyAlignment="1">
      <alignment wrapText="1"/>
    </xf>
    <xf numFmtId="0" fontId="79" fillId="0" borderId="1" xfId="9" applyFont="1" applyFill="1" applyBorder="1" applyAlignment="1" applyProtection="1">
      <alignment horizontal="center" vertical="center" wrapText="1"/>
      <protection locked="0"/>
    </xf>
    <xf numFmtId="0" fontId="22" fillId="3" borderId="24" xfId="9" quotePrefix="1" applyFont="1" applyFill="1" applyBorder="1" applyAlignment="1" applyProtection="1">
      <alignment horizontal="center" vertical="center" wrapText="1"/>
      <protection hidden="1"/>
    </xf>
    <xf numFmtId="1" fontId="24" fillId="3" borderId="0" xfId="0" applyNumberFormat="1" applyFont="1" applyFill="1" applyAlignment="1" applyProtection="1">
      <alignment horizontal="center" vertical="center"/>
      <protection hidden="1"/>
    </xf>
    <xf numFmtId="1" fontId="3" fillId="0" borderId="0" xfId="0" applyNumberFormat="1" applyFont="1" applyProtection="1">
      <protection hidden="1"/>
    </xf>
    <xf numFmtId="0" fontId="55" fillId="4" borderId="30" xfId="5" applyNumberFormat="1" applyFont="1" applyFill="1" applyBorder="1" applyAlignment="1" applyProtection="1">
      <alignment horizontal="left" vertical="center" wrapText="1"/>
      <protection hidden="1"/>
    </xf>
    <xf numFmtId="0" fontId="55" fillId="4" borderId="2" xfId="5" applyNumberFormat="1" applyFont="1" applyFill="1" applyBorder="1" applyAlignment="1" applyProtection="1">
      <alignment horizontal="left" vertical="center" wrapText="1"/>
      <protection hidden="1"/>
    </xf>
    <xf numFmtId="0" fontId="55" fillId="4" borderId="70" xfId="5" applyNumberFormat="1" applyFont="1" applyFill="1" applyBorder="1" applyAlignment="1" applyProtection="1">
      <alignment horizontal="left" vertical="center" wrapText="1"/>
      <protection hidden="1"/>
    </xf>
    <xf numFmtId="0" fontId="71" fillId="0" borderId="0" xfId="0" applyFont="1" applyAlignment="1" applyProtection="1">
      <alignment horizontal="left" vertical="center" wrapText="1"/>
      <protection hidden="1"/>
    </xf>
    <xf numFmtId="0" fontId="72" fillId="0" borderId="0" xfId="0" applyFont="1" applyAlignment="1" applyProtection="1">
      <alignment horizontal="left" vertical="center" wrapText="1"/>
      <protection hidden="1"/>
    </xf>
    <xf numFmtId="0" fontId="65" fillId="3" borderId="30" xfId="2" applyFont="1" applyFill="1" applyBorder="1" applyAlignment="1">
      <alignment horizontal="center" vertical="center" wrapText="1"/>
    </xf>
    <xf numFmtId="0" fontId="65" fillId="3" borderId="2" xfId="2" applyFont="1" applyFill="1" applyBorder="1" applyAlignment="1">
      <alignment horizontal="center" vertical="center" wrapText="1"/>
    </xf>
    <xf numFmtId="165" fontId="54" fillId="4" borderId="0" xfId="5" applyFont="1" applyFill="1" applyAlignment="1" applyProtection="1">
      <alignment vertical="center" wrapText="1"/>
      <protection hidden="1"/>
    </xf>
    <xf numFmtId="3" fontId="55" fillId="4" borderId="34" xfId="2" applyNumberFormat="1" applyFont="1" applyFill="1" applyBorder="1" applyAlignment="1">
      <alignment vertical="center" wrapText="1"/>
    </xf>
    <xf numFmtId="3" fontId="55" fillId="4" borderId="31" xfId="2" applyNumberFormat="1" applyFont="1" applyFill="1" applyBorder="1" applyAlignment="1">
      <alignment vertical="center" wrapText="1"/>
    </xf>
    <xf numFmtId="0" fontId="65" fillId="3" borderId="34" xfId="2" applyFont="1" applyFill="1" applyBorder="1" applyAlignment="1">
      <alignment vertical="center" wrapText="1"/>
    </xf>
    <xf numFmtId="0" fontId="65" fillId="3" borderId="31" xfId="2" applyFont="1" applyFill="1" applyBorder="1" applyAlignment="1">
      <alignment vertical="center" wrapText="1"/>
    </xf>
    <xf numFmtId="0" fontId="65" fillId="3" borderId="70" xfId="2" applyFont="1" applyFill="1" applyBorder="1" applyAlignment="1">
      <alignment horizontal="center" vertical="center" wrapText="1"/>
    </xf>
    <xf numFmtId="0" fontId="28" fillId="3" borderId="12" xfId="9" applyFont="1" applyFill="1" applyBorder="1" applyAlignment="1" applyProtection="1">
      <alignment horizontal="left" vertical="center" wrapText="1"/>
      <protection hidden="1"/>
    </xf>
    <xf numFmtId="0" fontId="53" fillId="3" borderId="12" xfId="0" applyFont="1" applyFill="1" applyBorder="1" applyAlignment="1" applyProtection="1">
      <alignment horizontal="center" vertical="center"/>
      <protection hidden="1"/>
    </xf>
    <xf numFmtId="0" fontId="53" fillId="3" borderId="4" xfId="0" applyFont="1" applyFill="1" applyBorder="1" applyAlignment="1" applyProtection="1">
      <alignment horizontal="center" vertical="center"/>
      <protection hidden="1"/>
    </xf>
    <xf numFmtId="0" fontId="94" fillId="0" borderId="0" xfId="0" applyFont="1" applyAlignment="1" applyProtection="1">
      <alignment horizontal="center" vertical="center" wrapText="1"/>
      <protection hidden="1"/>
    </xf>
    <xf numFmtId="0" fontId="70" fillId="6" borderId="6" xfId="0" applyFont="1" applyFill="1" applyBorder="1" applyAlignment="1" applyProtection="1">
      <alignment horizontal="center" vertical="center"/>
      <protection hidden="1"/>
    </xf>
    <xf numFmtId="0" fontId="24" fillId="3" borderId="12" xfId="0" applyFont="1" applyFill="1" applyBorder="1" applyAlignment="1" applyProtection="1">
      <alignment vertical="center" wrapText="1"/>
      <protection hidden="1"/>
    </xf>
    <xf numFmtId="0" fontId="24" fillId="3" borderId="28" xfId="0" applyFont="1" applyFill="1" applyBorder="1" applyAlignment="1" applyProtection="1">
      <alignment horizontal="center" vertical="center" wrapText="1"/>
      <protection hidden="1"/>
    </xf>
    <xf numFmtId="0" fontId="24" fillId="3" borderId="29" xfId="0" applyFont="1" applyFill="1" applyBorder="1" applyAlignment="1" applyProtection="1">
      <alignment horizontal="center" vertical="center" wrapText="1"/>
      <protection hidden="1"/>
    </xf>
    <xf numFmtId="0" fontId="24" fillId="3" borderId="13" xfId="0" applyFont="1" applyFill="1" applyBorder="1" applyAlignment="1" applyProtection="1">
      <alignment horizontal="center" vertical="center" wrapText="1"/>
      <protection hidden="1"/>
    </xf>
    <xf numFmtId="0" fontId="3" fillId="0" borderId="28" xfId="0" applyFont="1" applyBorder="1" applyAlignment="1" applyProtection="1">
      <alignment horizontal="left" vertical="center" wrapText="1"/>
      <protection locked="0" hidden="1"/>
    </xf>
    <xf numFmtId="0" fontId="3" fillId="0" borderId="29" xfId="0" applyFont="1" applyBorder="1" applyAlignment="1" applyProtection="1">
      <alignment horizontal="left" vertical="center" wrapText="1"/>
      <protection locked="0" hidden="1"/>
    </xf>
    <xf numFmtId="0" fontId="3" fillId="0" borderId="13" xfId="0" applyFont="1" applyBorder="1" applyAlignment="1" applyProtection="1">
      <alignment horizontal="left" vertical="center" wrapText="1"/>
      <protection locked="0" hidden="1"/>
    </xf>
    <xf numFmtId="0" fontId="3" fillId="3" borderId="3" xfId="9" applyFont="1" applyFill="1" applyAlignment="1" applyProtection="1">
      <alignment horizontal="left" vertical="center" wrapText="1"/>
      <protection hidden="1"/>
    </xf>
    <xf numFmtId="0" fontId="24" fillId="3" borderId="12" xfId="9" applyFont="1" applyFill="1" applyBorder="1" applyAlignment="1" applyProtection="1">
      <alignment vertical="center" wrapText="1"/>
      <protection hidden="1"/>
    </xf>
    <xf numFmtId="0" fontId="3" fillId="3" borderId="3" xfId="0" applyFont="1" applyFill="1" applyBorder="1" applyAlignment="1" applyProtection="1">
      <alignment horizontal="left" vertical="center" wrapText="1"/>
      <protection hidden="1"/>
    </xf>
    <xf numFmtId="0" fontId="3" fillId="3" borderId="7" xfId="0" applyFont="1" applyFill="1" applyBorder="1" applyAlignment="1" applyProtection="1">
      <alignment horizontal="center" vertical="center"/>
      <protection hidden="1"/>
    </xf>
    <xf numFmtId="0" fontId="3" fillId="3" borderId="24"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24" fillId="3" borderId="12" xfId="0" applyFont="1" applyFill="1" applyBorder="1" applyAlignment="1" applyProtection="1">
      <alignment vertical="center"/>
      <protection hidden="1"/>
    </xf>
    <xf numFmtId="0" fontId="3" fillId="3" borderId="3" xfId="0" applyFont="1" applyFill="1" applyBorder="1" applyAlignment="1" applyProtection="1">
      <alignment vertical="center" wrapText="1"/>
      <protection hidden="1"/>
    </xf>
    <xf numFmtId="0" fontId="24" fillId="3" borderId="25" xfId="0" applyFont="1" applyFill="1" applyBorder="1" applyAlignment="1" applyProtection="1">
      <alignment horizontal="left" vertical="center"/>
      <protection hidden="1"/>
    </xf>
    <xf numFmtId="0" fontId="24" fillId="3" borderId="26" xfId="0" applyFont="1" applyFill="1" applyBorder="1" applyAlignment="1" applyProtection="1">
      <alignment horizontal="left" vertical="center"/>
      <protection hidden="1"/>
    </xf>
    <xf numFmtId="0" fontId="24" fillId="3" borderId="27" xfId="0" applyFont="1" applyFill="1" applyBorder="1" applyAlignment="1" applyProtection="1">
      <alignment horizontal="left" vertical="center"/>
      <protection hidden="1"/>
    </xf>
    <xf numFmtId="0" fontId="24" fillId="3" borderId="25" xfId="0" applyFont="1" applyFill="1" applyBorder="1" applyAlignment="1" applyProtection="1">
      <alignment horizontal="left" vertical="center" wrapText="1"/>
      <protection hidden="1"/>
    </xf>
    <xf numFmtId="0" fontId="24" fillId="3" borderId="26" xfId="0" applyFont="1" applyFill="1" applyBorder="1" applyAlignment="1" applyProtection="1">
      <alignment horizontal="left" vertical="center" wrapText="1"/>
      <protection hidden="1"/>
    </xf>
    <xf numFmtId="0" fontId="24" fillId="3" borderId="27" xfId="0" applyFont="1" applyFill="1" applyBorder="1" applyAlignment="1" applyProtection="1">
      <alignment horizontal="left" vertical="center" wrapText="1"/>
      <protection hidden="1"/>
    </xf>
    <xf numFmtId="0" fontId="24" fillId="3" borderId="12" xfId="0" applyFont="1" applyFill="1" applyBorder="1" applyAlignment="1" applyProtection="1">
      <alignment horizontal="left" vertical="center" wrapText="1"/>
      <protection hidden="1"/>
    </xf>
    <xf numFmtId="0" fontId="3" fillId="3" borderId="5" xfId="0" applyFont="1" applyFill="1" applyBorder="1" applyAlignment="1" applyProtection="1">
      <alignment horizontal="left" vertical="center" wrapText="1"/>
      <protection hidden="1"/>
    </xf>
    <xf numFmtId="0" fontId="3" fillId="3" borderId="0" xfId="0" applyFont="1" applyFill="1" applyAlignment="1" applyProtection="1">
      <alignment horizontal="left" vertical="center" wrapText="1"/>
      <protection hidden="1"/>
    </xf>
    <xf numFmtId="0" fontId="3" fillId="3" borderId="6" xfId="0" applyFont="1" applyFill="1" applyBorder="1" applyAlignment="1" applyProtection="1">
      <alignment horizontal="left" vertical="center" wrapText="1"/>
      <protection hidden="1"/>
    </xf>
    <xf numFmtId="0" fontId="20" fillId="0" borderId="0" xfId="0" applyFont="1" applyAlignment="1" applyProtection="1">
      <alignment horizontal="center" vertical="center" wrapText="1"/>
      <protection hidden="1"/>
    </xf>
    <xf numFmtId="49" fontId="78" fillId="0" borderId="5" xfId="0" applyNumberFormat="1" applyFont="1" applyBorder="1" applyAlignment="1">
      <alignment horizontal="left" vertical="center" wrapText="1"/>
    </xf>
    <xf numFmtId="0" fontId="77" fillId="2" borderId="26" xfId="0" applyFont="1" applyFill="1" applyBorder="1" applyAlignment="1">
      <alignment horizontal="left" vertical="center" wrapText="1"/>
    </xf>
    <xf numFmtId="0" fontId="77" fillId="2" borderId="0" xfId="0" applyFont="1" applyFill="1" applyAlignment="1">
      <alignment horizontal="left" vertical="center" wrapText="1"/>
    </xf>
    <xf numFmtId="0" fontId="77" fillId="2" borderId="24" xfId="0" applyFont="1" applyFill="1" applyBorder="1" applyAlignment="1">
      <alignment horizontal="left" vertical="center" wrapText="1"/>
    </xf>
    <xf numFmtId="0" fontId="77" fillId="2" borderId="27" xfId="0" applyFont="1" applyFill="1" applyBorder="1" applyAlignment="1">
      <alignment horizontal="left" vertical="center" wrapText="1"/>
    </xf>
    <xf numFmtId="0" fontId="77" fillId="2" borderId="6" xfId="0" applyFont="1" applyFill="1" applyBorder="1" applyAlignment="1">
      <alignment horizontal="left" vertical="center" wrapText="1"/>
    </xf>
    <xf numFmtId="0" fontId="77" fillId="2" borderId="8" xfId="0" applyFont="1" applyFill="1" applyBorder="1" applyAlignment="1">
      <alignment horizontal="left" vertical="center" wrapText="1"/>
    </xf>
    <xf numFmtId="49" fontId="78" fillId="0" borderId="0" xfId="0" applyNumberFormat="1" applyFont="1" applyAlignment="1">
      <alignment vertical="center" wrapText="1"/>
    </xf>
    <xf numFmtId="0" fontId="50" fillId="0" borderId="0" xfId="0" applyFont="1" applyAlignment="1" applyProtection="1">
      <alignment horizontal="left" wrapText="1"/>
      <protection hidden="1"/>
    </xf>
    <xf numFmtId="0" fontId="51" fillId="0" borderId="0" xfId="0" applyFont="1" applyAlignment="1" applyProtection="1">
      <alignment horizontal="left" wrapText="1"/>
      <protection hidden="1"/>
    </xf>
    <xf numFmtId="0" fontId="24" fillId="3" borderId="14" xfId="0" applyFont="1" applyFill="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locked="0" hidden="1"/>
    </xf>
    <xf numFmtId="0" fontId="22" fillId="3" borderId="10" xfId="9" quotePrefix="1" applyFont="1" applyFill="1" applyBorder="1" applyAlignment="1" applyProtection="1">
      <alignment horizontal="left" vertical="center" wrapText="1"/>
      <protection hidden="1"/>
    </xf>
    <xf numFmtId="0" fontId="22" fillId="3" borderId="11" xfId="9" applyFont="1" applyFill="1" applyBorder="1" applyAlignment="1" applyProtection="1">
      <alignment horizontal="left" vertical="center" wrapText="1"/>
      <protection hidden="1"/>
    </xf>
    <xf numFmtId="0" fontId="85" fillId="47" borderId="1" xfId="0" applyFont="1" applyFill="1" applyBorder="1" applyAlignment="1">
      <alignment horizontal="center" vertical="center" wrapText="1"/>
    </xf>
    <xf numFmtId="0" fontId="85" fillId="43" borderId="2" xfId="0" applyFont="1" applyFill="1" applyBorder="1" applyAlignment="1">
      <alignment horizontal="center" vertical="center" wrapText="1"/>
    </xf>
    <xf numFmtId="0" fontId="85" fillId="45" borderId="1" xfId="0" applyFont="1" applyFill="1" applyBorder="1" applyAlignment="1">
      <alignment horizontal="center" vertical="center" wrapText="1"/>
    </xf>
    <xf numFmtId="0" fontId="85" fillId="3" borderId="1" xfId="0" applyFont="1" applyFill="1" applyBorder="1" applyAlignment="1">
      <alignment horizontal="center" vertical="center" wrapText="1"/>
    </xf>
    <xf numFmtId="0" fontId="28" fillId="0" borderId="0" xfId="0" applyFont="1" applyAlignment="1">
      <alignment horizontal="center"/>
    </xf>
    <xf numFmtId="164" fontId="28" fillId="0" borderId="0" xfId="248" applyFont="1" applyAlignment="1">
      <alignment horizontal="center"/>
    </xf>
    <xf numFmtId="165" fontId="63" fillId="44" borderId="61" xfId="8" applyFont="1" applyFill="1" applyBorder="1" applyAlignment="1" applyProtection="1">
      <alignment horizontal="left" vertical="center"/>
      <protection hidden="1"/>
    </xf>
    <xf numFmtId="165" fontId="58" fillId="44" borderId="60" xfId="8" applyFont="1" applyFill="1" applyBorder="1" applyAlignment="1" applyProtection="1">
      <alignment vertical="center"/>
      <protection hidden="1"/>
    </xf>
    <xf numFmtId="165" fontId="58" fillId="44" borderId="61" xfId="8" applyFont="1" applyFill="1" applyBorder="1" applyAlignment="1" applyProtection="1">
      <alignment vertical="center"/>
      <protection hidden="1"/>
    </xf>
    <xf numFmtId="165" fontId="58" fillId="44" borderId="62" xfId="8" applyFont="1" applyFill="1" applyBorder="1" applyAlignment="1" applyProtection="1">
      <alignment vertical="center"/>
      <protection hidden="1"/>
    </xf>
    <xf numFmtId="0" fontId="79" fillId="0" borderId="9" xfId="0" applyFont="1" applyBorder="1" applyAlignment="1">
      <alignment vertical="center" wrapText="1"/>
    </xf>
    <xf numFmtId="0" fontId="79" fillId="0" borderId="10" xfId="0" applyFont="1" applyBorder="1" applyAlignment="1">
      <alignment vertical="center" wrapText="1"/>
    </xf>
    <xf numFmtId="0" fontId="79" fillId="0" borderId="11" xfId="0" applyFont="1" applyBorder="1" applyAlignment="1">
      <alignment vertical="center" wrapText="1"/>
    </xf>
    <xf numFmtId="165" fontId="58" fillId="44" borderId="10" xfId="8" applyFont="1" applyFill="1" applyBorder="1" applyAlignment="1" applyProtection="1">
      <alignment horizontal="left" vertical="center"/>
      <protection hidden="1"/>
    </xf>
    <xf numFmtId="0" fontId="65" fillId="3" borderId="69" xfId="2" applyFont="1" applyFill="1" applyBorder="1" applyAlignment="1">
      <alignment horizontal="center" vertical="center" wrapText="1"/>
    </xf>
    <xf numFmtId="0" fontId="65" fillId="3" borderId="69" xfId="2" applyFont="1" applyFill="1" applyBorder="1" applyAlignment="1">
      <alignment vertical="center" wrapText="1"/>
    </xf>
    <xf numFmtId="3" fontId="55" fillId="4" borderId="69" xfId="2" applyNumberFormat="1" applyFont="1" applyFill="1" applyBorder="1" applyAlignment="1">
      <alignment vertical="center" wrapText="1"/>
    </xf>
    <xf numFmtId="0" fontId="55" fillId="4" borderId="70" xfId="0" applyFont="1" applyFill="1" applyBorder="1" applyAlignment="1">
      <alignment horizontal="left" vertical="center"/>
    </xf>
    <xf numFmtId="0" fontId="55" fillId="4" borderId="70" xfId="5" applyNumberFormat="1" applyFont="1" applyFill="1" applyBorder="1" applyAlignment="1" applyProtection="1">
      <alignment vertical="center" wrapText="1"/>
      <protection hidden="1"/>
    </xf>
    <xf numFmtId="0" fontId="65" fillId="0" borderId="70" xfId="0" applyFont="1" applyBorder="1" applyAlignment="1" applyProtection="1">
      <alignment horizontal="left" vertical="center"/>
      <protection hidden="1"/>
    </xf>
    <xf numFmtId="0" fontId="67" fillId="0" borderId="69" xfId="0" applyFont="1" applyBorder="1" applyAlignment="1" applyProtection="1">
      <alignment horizontal="left" vertical="center"/>
      <protection hidden="1"/>
    </xf>
    <xf numFmtId="0" fontId="65" fillId="0" borderId="69" xfId="0" applyFont="1" applyBorder="1" applyAlignment="1" applyProtection="1">
      <alignment horizontal="left" vertical="center"/>
      <protection hidden="1"/>
    </xf>
    <xf numFmtId="0" fontId="1" fillId="24" borderId="69" xfId="0" applyFont="1" applyFill="1" applyBorder="1" applyAlignment="1" applyProtection="1">
      <alignment vertical="center"/>
      <protection locked="0" hidden="1"/>
    </xf>
    <xf numFmtId="0" fontId="10" fillId="24" borderId="31" xfId="0" applyFont="1" applyFill="1" applyBorder="1" applyAlignment="1" applyProtection="1">
      <alignment horizontal="left" vertical="center"/>
      <protection locked="0"/>
    </xf>
    <xf numFmtId="0" fontId="1" fillId="42" borderId="69" xfId="0" applyFont="1" applyFill="1" applyBorder="1" applyAlignment="1" applyProtection="1">
      <alignment vertical="center"/>
      <protection locked="0" hidden="1"/>
    </xf>
    <xf numFmtId="0" fontId="3" fillId="0" borderId="31" xfId="0" applyFont="1" applyBorder="1" applyAlignment="1" applyProtection="1">
      <alignment horizontal="left" vertical="center" wrapText="1"/>
      <protection locked="0"/>
    </xf>
    <xf numFmtId="0" fontId="54" fillId="0" borderId="69" xfId="0" applyFont="1" applyBorder="1" applyAlignment="1" applyProtection="1">
      <alignment horizontal="center" vertical="center"/>
      <protection hidden="1"/>
    </xf>
    <xf numFmtId="0" fontId="1" fillId="43" borderId="69" xfId="0" applyFont="1" applyFill="1" applyBorder="1" applyAlignment="1" applyProtection="1">
      <alignment vertical="center"/>
      <protection locked="0" hidden="1"/>
    </xf>
    <xf numFmtId="0" fontId="21" fillId="3" borderId="60" xfId="9" applyFont="1" applyFill="1" applyBorder="1" applyAlignment="1" applyProtection="1">
      <alignment horizontal="left" vertical="center" wrapText="1"/>
      <protection hidden="1"/>
    </xf>
    <xf numFmtId="1" fontId="22" fillId="3" borderId="61" xfId="9" applyNumberFormat="1" applyFont="1" applyFill="1" applyBorder="1" applyAlignment="1" applyProtection="1">
      <alignment horizontal="left" vertical="center" wrapText="1"/>
      <protection hidden="1"/>
    </xf>
    <xf numFmtId="0" fontId="22" fillId="3" borderId="62" xfId="9" applyFont="1" applyFill="1" applyBorder="1" applyAlignment="1" applyProtection="1">
      <alignment horizontal="left" vertical="center" wrapText="1"/>
      <protection hidden="1"/>
    </xf>
    <xf numFmtId="0" fontId="24" fillId="0" borderId="1" xfId="0" applyFont="1" applyBorder="1" applyAlignment="1" applyProtection="1">
      <alignment wrapText="1"/>
      <protection locked="0" hidden="1"/>
    </xf>
    <xf numFmtId="0" fontId="24" fillId="0" borderId="69" xfId="0" applyFont="1" applyBorder="1" applyProtection="1">
      <protection locked="0" hidden="1"/>
    </xf>
    <xf numFmtId="0" fontId="24" fillId="0" borderId="1" xfId="0" applyFont="1" applyBorder="1" applyProtection="1">
      <protection locked="0" hidden="1"/>
    </xf>
    <xf numFmtId="0" fontId="3" fillId="0" borderId="1" xfId="0" applyFont="1" applyBorder="1" applyAlignment="1" applyProtection="1">
      <alignment wrapText="1"/>
      <protection locked="0" hidden="1"/>
    </xf>
    <xf numFmtId="0" fontId="3" fillId="0" borderId="69" xfId="0" applyFont="1" applyBorder="1" applyProtection="1">
      <protection locked="0" hidden="1"/>
    </xf>
    <xf numFmtId="0" fontId="81" fillId="45" borderId="69" xfId="9" applyFont="1" applyFill="1" applyBorder="1" applyAlignment="1" applyProtection="1">
      <alignment horizontal="center" vertical="center" wrapText="1"/>
    </xf>
    <xf numFmtId="0" fontId="81" fillId="45" borderId="31" xfId="9" applyFont="1" applyFill="1" applyBorder="1" applyAlignment="1" applyProtection="1">
      <alignment horizontal="center" vertical="center" wrapText="1"/>
    </xf>
    <xf numFmtId="0" fontId="79" fillId="45" borderId="69" xfId="9" applyFont="1" applyFill="1" applyBorder="1" applyAlignment="1" applyProtection="1">
      <alignment vertical="center" wrapText="1"/>
    </xf>
    <xf numFmtId="0" fontId="81" fillId="46" borderId="69" xfId="9" applyFont="1" applyFill="1" applyBorder="1" applyAlignment="1" applyProtection="1">
      <alignment horizontal="center" vertical="center" wrapText="1"/>
    </xf>
    <xf numFmtId="0" fontId="81" fillId="46" borderId="31" xfId="9" applyFont="1" applyFill="1" applyBorder="1" applyAlignment="1" applyProtection="1">
      <alignment horizontal="center" vertical="center" wrapText="1"/>
    </xf>
    <xf numFmtId="0" fontId="79" fillId="46" borderId="69" xfId="9" applyFont="1" applyFill="1" applyBorder="1" applyAlignment="1" applyProtection="1">
      <alignment vertical="center" wrapText="1"/>
    </xf>
    <xf numFmtId="165" fontId="63" fillId="44" borderId="60" xfId="8" applyFont="1" applyFill="1" applyBorder="1" applyAlignment="1" applyProtection="1">
      <alignment horizontal="left" vertical="center"/>
      <protection hidden="1"/>
    </xf>
    <xf numFmtId="0" fontId="85" fillId="43" borderId="69" xfId="0" applyFont="1" applyFill="1" applyBorder="1" applyAlignment="1">
      <alignment horizontal="center" vertical="center" wrapText="1"/>
    </xf>
    <xf numFmtId="0" fontId="85" fillId="45" borderId="69" xfId="0" applyFont="1" applyFill="1" applyBorder="1" applyAlignment="1">
      <alignment horizontal="center" vertical="center" wrapText="1"/>
    </xf>
    <xf numFmtId="0" fontId="85" fillId="45" borderId="34" xfId="0" applyFont="1" applyFill="1" applyBorder="1" applyAlignment="1">
      <alignment horizontal="center" vertical="center" wrapText="1"/>
    </xf>
    <xf numFmtId="0" fontId="85" fillId="45" borderId="31" xfId="0" applyFont="1" applyFill="1" applyBorder="1" applyAlignment="1">
      <alignment horizontal="center" vertical="center" wrapText="1"/>
    </xf>
    <xf numFmtId="0" fontId="85" fillId="43" borderId="70" xfId="0" applyFont="1" applyFill="1" applyBorder="1" applyAlignment="1">
      <alignment horizontal="center" vertical="center" wrapText="1"/>
    </xf>
    <xf numFmtId="0" fontId="85" fillId="47" borderId="69" xfId="0" applyFont="1" applyFill="1" applyBorder="1" applyAlignment="1">
      <alignment horizontal="center" vertical="center" wrapText="1"/>
    </xf>
    <xf numFmtId="0" fontId="85" fillId="47" borderId="34" xfId="0" applyFont="1" applyFill="1" applyBorder="1" applyAlignment="1">
      <alignment horizontal="center" vertical="center" wrapText="1"/>
    </xf>
    <xf numFmtId="0" fontId="85" fillId="47" borderId="31" xfId="0" applyFont="1" applyFill="1" applyBorder="1" applyAlignment="1">
      <alignment horizontal="center" vertical="center" wrapText="1"/>
    </xf>
  </cellXfs>
  <cellStyles count="249">
    <cellStyle name="20% - Accent1 2" xfId="9" xr:uid="{00000000-0005-0000-0000-000000000000}"/>
    <cellStyle name="20% - Accent1 2 2" xfId="12" xr:uid="{00000000-0005-0000-0000-000001000000}"/>
    <cellStyle name="20% - Accent1 2 3" xfId="13" xr:uid="{00000000-0005-0000-0000-000002000000}"/>
    <cellStyle name="20% - Accent1 2 4" xfId="14" xr:uid="{00000000-0005-0000-0000-000003000000}"/>
    <cellStyle name="20% - Accent1 2 5" xfId="15" xr:uid="{00000000-0005-0000-0000-000004000000}"/>
    <cellStyle name="20% - Accent2 2" xfId="16" xr:uid="{00000000-0005-0000-0000-000005000000}"/>
    <cellStyle name="20% - Accent2 2 2" xfId="17" xr:uid="{00000000-0005-0000-0000-000006000000}"/>
    <cellStyle name="20% - Accent2 2 3" xfId="18" xr:uid="{00000000-0005-0000-0000-000007000000}"/>
    <cellStyle name="20% - Accent2 2 4" xfId="19" xr:uid="{00000000-0005-0000-0000-000008000000}"/>
    <cellStyle name="20% - Accent2 2 5" xfId="20" xr:uid="{00000000-0005-0000-0000-000009000000}"/>
    <cellStyle name="20% - Accent3 2" xfId="21" xr:uid="{00000000-0005-0000-0000-00000A000000}"/>
    <cellStyle name="20% - Accent3 2 2" xfId="22" xr:uid="{00000000-0005-0000-0000-00000B000000}"/>
    <cellStyle name="20% - Accent3 2 3" xfId="23" xr:uid="{00000000-0005-0000-0000-00000C000000}"/>
    <cellStyle name="20% - Accent3 2 4" xfId="24" xr:uid="{00000000-0005-0000-0000-00000D000000}"/>
    <cellStyle name="20% - Accent3 2 5" xfId="25" xr:uid="{00000000-0005-0000-0000-00000E000000}"/>
    <cellStyle name="20% - Accent4 2" xfId="26" xr:uid="{00000000-0005-0000-0000-00000F000000}"/>
    <cellStyle name="20% - Accent4 2 2" xfId="27" xr:uid="{00000000-0005-0000-0000-000010000000}"/>
    <cellStyle name="20% - Accent4 2 3" xfId="28" xr:uid="{00000000-0005-0000-0000-000011000000}"/>
    <cellStyle name="20% - Accent4 2 4" xfId="29" xr:uid="{00000000-0005-0000-0000-000012000000}"/>
    <cellStyle name="20% - Accent4 2 5" xfId="30" xr:uid="{00000000-0005-0000-0000-000013000000}"/>
    <cellStyle name="20% - Accent5 2" xfId="31" xr:uid="{00000000-0005-0000-0000-000014000000}"/>
    <cellStyle name="20% - Accent5 2 2" xfId="32" xr:uid="{00000000-0005-0000-0000-000015000000}"/>
    <cellStyle name="20% - Accent5 2 3" xfId="33" xr:uid="{00000000-0005-0000-0000-000016000000}"/>
    <cellStyle name="20% - Accent5 2 4" xfId="34" xr:uid="{00000000-0005-0000-0000-000017000000}"/>
    <cellStyle name="20% - Accent5 2 5" xfId="35" xr:uid="{00000000-0005-0000-0000-000018000000}"/>
    <cellStyle name="20% - Accent6 2" xfId="36" xr:uid="{00000000-0005-0000-0000-000019000000}"/>
    <cellStyle name="20% - Accent6 2 2" xfId="37" xr:uid="{00000000-0005-0000-0000-00001A000000}"/>
    <cellStyle name="20% - Accent6 2 3" xfId="38" xr:uid="{00000000-0005-0000-0000-00001B000000}"/>
    <cellStyle name="20% - Accent6 2 4" xfId="39" xr:uid="{00000000-0005-0000-0000-00001C000000}"/>
    <cellStyle name="20% - Accent6 2 5" xfId="40" xr:uid="{00000000-0005-0000-0000-00001D000000}"/>
    <cellStyle name="40% - Accent1 2" xfId="41" xr:uid="{00000000-0005-0000-0000-00001E000000}"/>
    <cellStyle name="40% - Accent1 2 2" xfId="42" xr:uid="{00000000-0005-0000-0000-00001F000000}"/>
    <cellStyle name="40% - Accent1 2 3" xfId="43" xr:uid="{00000000-0005-0000-0000-000020000000}"/>
    <cellStyle name="40% - Accent1 2 4" xfId="44" xr:uid="{00000000-0005-0000-0000-000021000000}"/>
    <cellStyle name="40% - Accent1 2 5" xfId="45" xr:uid="{00000000-0005-0000-0000-000022000000}"/>
    <cellStyle name="40% - Accent2 2" xfId="46" xr:uid="{00000000-0005-0000-0000-000023000000}"/>
    <cellStyle name="40% - Accent2 2 2" xfId="47" xr:uid="{00000000-0005-0000-0000-000024000000}"/>
    <cellStyle name="40% - Accent2 2 3" xfId="48" xr:uid="{00000000-0005-0000-0000-000025000000}"/>
    <cellStyle name="40% - Accent2 2 4" xfId="49" xr:uid="{00000000-0005-0000-0000-000026000000}"/>
    <cellStyle name="40% - Accent2 2 5" xfId="50" xr:uid="{00000000-0005-0000-0000-000027000000}"/>
    <cellStyle name="40% - Accent3 2" xfId="51" xr:uid="{00000000-0005-0000-0000-000028000000}"/>
    <cellStyle name="40% - Accent3 2 2" xfId="52" xr:uid="{00000000-0005-0000-0000-000029000000}"/>
    <cellStyle name="40% - Accent3 2 3" xfId="53" xr:uid="{00000000-0005-0000-0000-00002A000000}"/>
    <cellStyle name="40% - Accent3 2 4" xfId="54" xr:uid="{00000000-0005-0000-0000-00002B000000}"/>
    <cellStyle name="40% - Accent3 2 5" xfId="55" xr:uid="{00000000-0005-0000-0000-00002C000000}"/>
    <cellStyle name="40% - Accent4 2" xfId="56" xr:uid="{00000000-0005-0000-0000-00002D000000}"/>
    <cellStyle name="40% - Accent4 2 2" xfId="57" xr:uid="{00000000-0005-0000-0000-00002E000000}"/>
    <cellStyle name="40% - Accent4 2 3" xfId="58" xr:uid="{00000000-0005-0000-0000-00002F000000}"/>
    <cellStyle name="40% - Accent4 2 4" xfId="59" xr:uid="{00000000-0005-0000-0000-000030000000}"/>
    <cellStyle name="40% - Accent4 2 5" xfId="60" xr:uid="{00000000-0005-0000-0000-000031000000}"/>
    <cellStyle name="40% - Accent5 2" xfId="61" xr:uid="{00000000-0005-0000-0000-000032000000}"/>
    <cellStyle name="40% - Accent5 2 2" xfId="62" xr:uid="{00000000-0005-0000-0000-000033000000}"/>
    <cellStyle name="40% - Accent5 2 3" xfId="63" xr:uid="{00000000-0005-0000-0000-000034000000}"/>
    <cellStyle name="40% - Accent5 2 4" xfId="64" xr:uid="{00000000-0005-0000-0000-000035000000}"/>
    <cellStyle name="40% - Accent5 2 5" xfId="65" xr:uid="{00000000-0005-0000-0000-000036000000}"/>
    <cellStyle name="40% - Accent6 2" xfId="66" xr:uid="{00000000-0005-0000-0000-000037000000}"/>
    <cellStyle name="40% - Accent6 2 2" xfId="67" xr:uid="{00000000-0005-0000-0000-000038000000}"/>
    <cellStyle name="40% - Accent6 2 3" xfId="68" xr:uid="{00000000-0005-0000-0000-000039000000}"/>
    <cellStyle name="40% - Accent6 2 4" xfId="69" xr:uid="{00000000-0005-0000-0000-00003A000000}"/>
    <cellStyle name="40% - Accent6 2 5" xfId="70" xr:uid="{00000000-0005-0000-0000-00003B000000}"/>
    <cellStyle name="60% - Accent1 2" xfId="71" xr:uid="{00000000-0005-0000-0000-00003C000000}"/>
    <cellStyle name="60% - Accent1 2 2" xfId="72" xr:uid="{00000000-0005-0000-0000-00003D000000}"/>
    <cellStyle name="60% - Accent1 2 3" xfId="73" xr:uid="{00000000-0005-0000-0000-00003E000000}"/>
    <cellStyle name="60% - Accent1 2 4" xfId="74" xr:uid="{00000000-0005-0000-0000-00003F000000}"/>
    <cellStyle name="60% - Accent1 2 5" xfId="75" xr:uid="{00000000-0005-0000-0000-000040000000}"/>
    <cellStyle name="60% - Accent2 2" xfId="76" xr:uid="{00000000-0005-0000-0000-000041000000}"/>
    <cellStyle name="60% - Accent2 2 2" xfId="77" xr:uid="{00000000-0005-0000-0000-000042000000}"/>
    <cellStyle name="60% - Accent2 2 3" xfId="78" xr:uid="{00000000-0005-0000-0000-000043000000}"/>
    <cellStyle name="60% - Accent2 2 4" xfId="79" xr:uid="{00000000-0005-0000-0000-000044000000}"/>
    <cellStyle name="60% - Accent2 2 5" xfId="80" xr:uid="{00000000-0005-0000-0000-000045000000}"/>
    <cellStyle name="60% - Accent3 2" xfId="81" xr:uid="{00000000-0005-0000-0000-000046000000}"/>
    <cellStyle name="60% - Accent3 2 2" xfId="82" xr:uid="{00000000-0005-0000-0000-000047000000}"/>
    <cellStyle name="60% - Accent3 2 3" xfId="83" xr:uid="{00000000-0005-0000-0000-000048000000}"/>
    <cellStyle name="60% - Accent3 2 4" xfId="84" xr:uid="{00000000-0005-0000-0000-000049000000}"/>
    <cellStyle name="60% - Accent3 2 5" xfId="85" xr:uid="{00000000-0005-0000-0000-00004A000000}"/>
    <cellStyle name="60% - Accent4 2" xfId="86" xr:uid="{00000000-0005-0000-0000-00004B000000}"/>
    <cellStyle name="60% - Accent4 2 2" xfId="87" xr:uid="{00000000-0005-0000-0000-00004C000000}"/>
    <cellStyle name="60% - Accent4 2 3" xfId="88" xr:uid="{00000000-0005-0000-0000-00004D000000}"/>
    <cellStyle name="60% - Accent4 2 4" xfId="89" xr:uid="{00000000-0005-0000-0000-00004E000000}"/>
    <cellStyle name="60% - Accent4 2 5" xfId="90" xr:uid="{00000000-0005-0000-0000-00004F000000}"/>
    <cellStyle name="60% - Accent5 2" xfId="91" xr:uid="{00000000-0005-0000-0000-000050000000}"/>
    <cellStyle name="60% - Accent5 2 2" xfId="92" xr:uid="{00000000-0005-0000-0000-000051000000}"/>
    <cellStyle name="60% - Accent5 2 3" xfId="93" xr:uid="{00000000-0005-0000-0000-000052000000}"/>
    <cellStyle name="60% - Accent5 2 4" xfId="94" xr:uid="{00000000-0005-0000-0000-000053000000}"/>
    <cellStyle name="60% - Accent5 2 5" xfId="95" xr:uid="{00000000-0005-0000-0000-000054000000}"/>
    <cellStyle name="60% - Accent6 2" xfId="96" xr:uid="{00000000-0005-0000-0000-000055000000}"/>
    <cellStyle name="60% - Accent6 2 2" xfId="97" xr:uid="{00000000-0005-0000-0000-000056000000}"/>
    <cellStyle name="60% - Accent6 2 3" xfId="98" xr:uid="{00000000-0005-0000-0000-000057000000}"/>
    <cellStyle name="60% - Accent6 2 4" xfId="99" xr:uid="{00000000-0005-0000-0000-000058000000}"/>
    <cellStyle name="60% - Accent6 2 5" xfId="100" xr:uid="{00000000-0005-0000-0000-000059000000}"/>
    <cellStyle name="Accent1 2" xfId="101" xr:uid="{00000000-0005-0000-0000-00005A000000}"/>
    <cellStyle name="Accent1 2 2" xfId="102" xr:uid="{00000000-0005-0000-0000-00005B000000}"/>
    <cellStyle name="Accent1 2 3" xfId="103" xr:uid="{00000000-0005-0000-0000-00005C000000}"/>
    <cellStyle name="Accent1 2 4" xfId="104" xr:uid="{00000000-0005-0000-0000-00005D000000}"/>
    <cellStyle name="Accent1 2 5" xfId="105" xr:uid="{00000000-0005-0000-0000-00005E000000}"/>
    <cellStyle name="Accent2 2" xfId="106" xr:uid="{00000000-0005-0000-0000-00005F000000}"/>
    <cellStyle name="Accent2 2 2" xfId="107" xr:uid="{00000000-0005-0000-0000-000060000000}"/>
    <cellStyle name="Accent2 2 3" xfId="108" xr:uid="{00000000-0005-0000-0000-000061000000}"/>
    <cellStyle name="Accent2 2 4" xfId="109" xr:uid="{00000000-0005-0000-0000-000062000000}"/>
    <cellStyle name="Accent2 2 5" xfId="110" xr:uid="{00000000-0005-0000-0000-000063000000}"/>
    <cellStyle name="Accent3 2" xfId="111" xr:uid="{00000000-0005-0000-0000-000064000000}"/>
    <cellStyle name="Accent3 2 2" xfId="112" xr:uid="{00000000-0005-0000-0000-000065000000}"/>
    <cellStyle name="Accent3 2 3" xfId="113" xr:uid="{00000000-0005-0000-0000-000066000000}"/>
    <cellStyle name="Accent3 2 4" xfId="114" xr:uid="{00000000-0005-0000-0000-000067000000}"/>
    <cellStyle name="Accent3 2 5" xfId="115" xr:uid="{00000000-0005-0000-0000-000068000000}"/>
    <cellStyle name="Accent4 2" xfId="116" xr:uid="{00000000-0005-0000-0000-000069000000}"/>
    <cellStyle name="Accent4 2 2" xfId="117" xr:uid="{00000000-0005-0000-0000-00006A000000}"/>
    <cellStyle name="Accent4 2 3" xfId="118" xr:uid="{00000000-0005-0000-0000-00006B000000}"/>
    <cellStyle name="Accent4 2 4" xfId="119" xr:uid="{00000000-0005-0000-0000-00006C000000}"/>
    <cellStyle name="Accent4 2 5" xfId="120" xr:uid="{00000000-0005-0000-0000-00006D000000}"/>
    <cellStyle name="Accent5 2" xfId="121" xr:uid="{00000000-0005-0000-0000-00006E000000}"/>
    <cellStyle name="Accent5 2 2" xfId="122" xr:uid="{00000000-0005-0000-0000-00006F000000}"/>
    <cellStyle name="Accent5 2 3" xfId="123" xr:uid="{00000000-0005-0000-0000-000070000000}"/>
    <cellStyle name="Accent5 2 4" xfId="124" xr:uid="{00000000-0005-0000-0000-000071000000}"/>
    <cellStyle name="Accent5 2 5" xfId="125" xr:uid="{00000000-0005-0000-0000-000072000000}"/>
    <cellStyle name="Accent6 2" xfId="126" xr:uid="{00000000-0005-0000-0000-000073000000}"/>
    <cellStyle name="Accent6 2 2" xfId="127" xr:uid="{00000000-0005-0000-0000-000074000000}"/>
    <cellStyle name="Accent6 2 3" xfId="128" xr:uid="{00000000-0005-0000-0000-000075000000}"/>
    <cellStyle name="Accent6 2 4" xfId="129" xr:uid="{00000000-0005-0000-0000-000076000000}"/>
    <cellStyle name="Accent6 2 5" xfId="130" xr:uid="{00000000-0005-0000-0000-000077000000}"/>
    <cellStyle name="Bad 2" xfId="131" xr:uid="{00000000-0005-0000-0000-000078000000}"/>
    <cellStyle name="Bad 2 2" xfId="132" xr:uid="{00000000-0005-0000-0000-000079000000}"/>
    <cellStyle name="Bad 2 3" xfId="133" xr:uid="{00000000-0005-0000-0000-00007A000000}"/>
    <cellStyle name="Bad 2 4" xfId="134" xr:uid="{00000000-0005-0000-0000-00007B000000}"/>
    <cellStyle name="Bad 2 5" xfId="135" xr:uid="{00000000-0005-0000-0000-00007C000000}"/>
    <cellStyle name="Black fill" xfId="11" xr:uid="{00000000-0005-0000-0000-00007D000000}"/>
    <cellStyle name="Calculation 2" xfId="136" xr:uid="{00000000-0005-0000-0000-00007E000000}"/>
    <cellStyle name="Calculation 2 2" xfId="137" xr:uid="{00000000-0005-0000-0000-00007F000000}"/>
    <cellStyle name="Calculation 2 2 2" xfId="224" xr:uid="{00000000-0005-0000-0000-000080000000}"/>
    <cellStyle name="Calculation 2 3" xfId="138" xr:uid="{00000000-0005-0000-0000-000081000000}"/>
    <cellStyle name="Calculation 2 3 2" xfId="225" xr:uid="{00000000-0005-0000-0000-000082000000}"/>
    <cellStyle name="Calculation 2 4" xfId="139" xr:uid="{00000000-0005-0000-0000-000083000000}"/>
    <cellStyle name="Calculation 2 4 2" xfId="226" xr:uid="{00000000-0005-0000-0000-000084000000}"/>
    <cellStyle name="Calculation 2 5" xfId="140" xr:uid="{00000000-0005-0000-0000-000085000000}"/>
    <cellStyle name="Calculation 2 5 2" xfId="227" xr:uid="{00000000-0005-0000-0000-000086000000}"/>
    <cellStyle name="Calculation 2 6" xfId="223" xr:uid="{00000000-0005-0000-0000-000087000000}"/>
    <cellStyle name="Check Cell 2" xfId="141" xr:uid="{00000000-0005-0000-0000-000088000000}"/>
    <cellStyle name="Check Cell 2 2" xfId="142" xr:uid="{00000000-0005-0000-0000-000089000000}"/>
    <cellStyle name="Check Cell 2 3" xfId="143" xr:uid="{00000000-0005-0000-0000-00008A000000}"/>
    <cellStyle name="Check Cell 2 4" xfId="144" xr:uid="{00000000-0005-0000-0000-00008B000000}"/>
    <cellStyle name="Check Cell 2 5" xfId="145" xr:uid="{00000000-0005-0000-0000-00008C000000}"/>
    <cellStyle name="Comma" xfId="248" builtinId="3"/>
    <cellStyle name="Explanatory Text 2" xfId="146" xr:uid="{00000000-0005-0000-0000-00008E000000}"/>
    <cellStyle name="Explanatory Text 2 2" xfId="147" xr:uid="{00000000-0005-0000-0000-00008F000000}"/>
    <cellStyle name="Explanatory Text 2 3" xfId="148" xr:uid="{00000000-0005-0000-0000-000090000000}"/>
    <cellStyle name="Explanatory Text 2 4" xfId="149" xr:uid="{00000000-0005-0000-0000-000091000000}"/>
    <cellStyle name="Explanatory Text 2 5" xfId="150" xr:uid="{00000000-0005-0000-0000-000092000000}"/>
    <cellStyle name="Fade out" xfId="10" xr:uid="{00000000-0005-0000-0000-000093000000}"/>
    <cellStyle name="Good 2" xfId="151" xr:uid="{00000000-0005-0000-0000-000094000000}"/>
    <cellStyle name="Good 2 2" xfId="152" xr:uid="{00000000-0005-0000-0000-000095000000}"/>
    <cellStyle name="Good 2 3" xfId="153" xr:uid="{00000000-0005-0000-0000-000096000000}"/>
    <cellStyle name="Good 2 4" xfId="154" xr:uid="{00000000-0005-0000-0000-000097000000}"/>
    <cellStyle name="Good 2 5" xfId="155" xr:uid="{00000000-0005-0000-0000-000098000000}"/>
    <cellStyle name="Heading 1 2" xfId="156" xr:uid="{00000000-0005-0000-0000-000099000000}"/>
    <cellStyle name="Heading 1 2 2" xfId="157" xr:uid="{00000000-0005-0000-0000-00009A000000}"/>
    <cellStyle name="Heading 1 2 3" xfId="158" xr:uid="{00000000-0005-0000-0000-00009B000000}"/>
    <cellStyle name="Heading 1 2 4" xfId="159" xr:uid="{00000000-0005-0000-0000-00009C000000}"/>
    <cellStyle name="Heading 1 2 5" xfId="160" xr:uid="{00000000-0005-0000-0000-00009D000000}"/>
    <cellStyle name="Heading 2 2" xfId="161" xr:uid="{00000000-0005-0000-0000-00009E000000}"/>
    <cellStyle name="Heading 2 2 2" xfId="162" xr:uid="{00000000-0005-0000-0000-00009F000000}"/>
    <cellStyle name="Heading 2 2 3" xfId="163" xr:uid="{00000000-0005-0000-0000-0000A0000000}"/>
    <cellStyle name="Heading 2 2 4" xfId="164" xr:uid="{00000000-0005-0000-0000-0000A1000000}"/>
    <cellStyle name="Heading 2 2 5" xfId="165" xr:uid="{00000000-0005-0000-0000-0000A2000000}"/>
    <cellStyle name="Heading 3 2" xfId="166" xr:uid="{00000000-0005-0000-0000-0000A3000000}"/>
    <cellStyle name="Heading 3 2 2" xfId="167" xr:uid="{00000000-0005-0000-0000-0000A4000000}"/>
    <cellStyle name="Heading 3 2 3" xfId="168" xr:uid="{00000000-0005-0000-0000-0000A5000000}"/>
    <cellStyle name="Heading 3 2 4" xfId="169" xr:uid="{00000000-0005-0000-0000-0000A6000000}"/>
    <cellStyle name="Heading 3 2 5" xfId="170" xr:uid="{00000000-0005-0000-0000-0000A7000000}"/>
    <cellStyle name="Heading 4 2" xfId="171" xr:uid="{00000000-0005-0000-0000-0000A8000000}"/>
    <cellStyle name="Heading 4 2 2" xfId="172" xr:uid="{00000000-0005-0000-0000-0000A9000000}"/>
    <cellStyle name="Heading 4 2 3" xfId="173" xr:uid="{00000000-0005-0000-0000-0000AA000000}"/>
    <cellStyle name="Heading 4 2 4" xfId="174" xr:uid="{00000000-0005-0000-0000-0000AB000000}"/>
    <cellStyle name="Heading 4 2 5" xfId="175" xr:uid="{00000000-0005-0000-0000-0000AC000000}"/>
    <cellStyle name="Input 2" xfId="176" xr:uid="{00000000-0005-0000-0000-0000AD000000}"/>
    <cellStyle name="Input 2 2" xfId="177" xr:uid="{00000000-0005-0000-0000-0000AE000000}"/>
    <cellStyle name="Input 2 2 2" xfId="229" xr:uid="{00000000-0005-0000-0000-0000AF000000}"/>
    <cellStyle name="Input 2 3" xfId="178" xr:uid="{00000000-0005-0000-0000-0000B0000000}"/>
    <cellStyle name="Input 2 3 2" xfId="230" xr:uid="{00000000-0005-0000-0000-0000B1000000}"/>
    <cellStyle name="Input 2 4" xfId="179" xr:uid="{00000000-0005-0000-0000-0000B2000000}"/>
    <cellStyle name="Input 2 4 2" xfId="231" xr:uid="{00000000-0005-0000-0000-0000B3000000}"/>
    <cellStyle name="Input 2 5" xfId="180" xr:uid="{00000000-0005-0000-0000-0000B4000000}"/>
    <cellStyle name="Input 2 5 2" xfId="232" xr:uid="{00000000-0005-0000-0000-0000B5000000}"/>
    <cellStyle name="Input 2 6" xfId="228" xr:uid="{00000000-0005-0000-0000-0000B6000000}"/>
    <cellStyle name="Linked Cell 2" xfId="181" xr:uid="{00000000-0005-0000-0000-0000B7000000}"/>
    <cellStyle name="Linked Cell 2 2" xfId="182" xr:uid="{00000000-0005-0000-0000-0000B8000000}"/>
    <cellStyle name="Linked Cell 2 3" xfId="183" xr:uid="{00000000-0005-0000-0000-0000B9000000}"/>
    <cellStyle name="Linked Cell 2 4" xfId="184" xr:uid="{00000000-0005-0000-0000-0000BA000000}"/>
    <cellStyle name="Linked Cell 2 5" xfId="185" xr:uid="{00000000-0005-0000-0000-0000BB000000}"/>
    <cellStyle name="Neutral 2" xfId="186" xr:uid="{00000000-0005-0000-0000-0000BC000000}"/>
    <cellStyle name="Neutral 2 2" xfId="187" xr:uid="{00000000-0005-0000-0000-0000BD000000}"/>
    <cellStyle name="Neutral 2 3" xfId="188" xr:uid="{00000000-0005-0000-0000-0000BE000000}"/>
    <cellStyle name="Neutral 2 4" xfId="189" xr:uid="{00000000-0005-0000-0000-0000BF000000}"/>
    <cellStyle name="Neutral 2 5" xfId="190" xr:uid="{00000000-0005-0000-0000-0000C0000000}"/>
    <cellStyle name="Normal" xfId="0" builtinId="0"/>
    <cellStyle name="Normal 2" xfId="7" xr:uid="{00000000-0005-0000-0000-0000C2000000}"/>
    <cellStyle name="Normal 2 2" xfId="191" xr:uid="{00000000-0005-0000-0000-0000C3000000}"/>
    <cellStyle name="Normal 2 3" xfId="192" xr:uid="{00000000-0005-0000-0000-0000C4000000}"/>
    <cellStyle name="Normal 26 2" xfId="222" xr:uid="{00000000-0005-0000-0000-0000C5000000}"/>
    <cellStyle name="Normal 3" xfId="6" xr:uid="{00000000-0005-0000-0000-0000C6000000}"/>
    <cellStyle name="Normal 3 2" xfId="193" xr:uid="{00000000-0005-0000-0000-0000C7000000}"/>
    <cellStyle name="Normal 4" xfId="194" xr:uid="{00000000-0005-0000-0000-0000C8000000}"/>
    <cellStyle name="Normal 5" xfId="4" xr:uid="{00000000-0005-0000-0000-0000C9000000}"/>
    <cellStyle name="Normal 7" xfId="195" xr:uid="{00000000-0005-0000-0000-0000CA000000}"/>
    <cellStyle name="Normal_healthcare edit.xls" xfId="2" xr:uid="{00000000-0005-0000-0000-0000CB000000}"/>
    <cellStyle name="Normal_office as built edit.xls" xfId="5" xr:uid="{00000000-0005-0000-0000-0000CC000000}"/>
    <cellStyle name="Normal_office interiors edit.xls 2" xfId="3" xr:uid="{00000000-0005-0000-0000-0000CD000000}"/>
    <cellStyle name="Normal_shopping centre design edit.xls" xfId="8" xr:uid="{00000000-0005-0000-0000-0000CE000000}"/>
    <cellStyle name="Note 2" xfId="196" xr:uid="{00000000-0005-0000-0000-0000CF000000}"/>
    <cellStyle name="Note 2 2" xfId="197" xr:uid="{00000000-0005-0000-0000-0000D0000000}"/>
    <cellStyle name="Note 2 2 2" xfId="234" xr:uid="{00000000-0005-0000-0000-0000D1000000}"/>
    <cellStyle name="Note 2 3" xfId="198" xr:uid="{00000000-0005-0000-0000-0000D2000000}"/>
    <cellStyle name="Note 2 3 2" xfId="235" xr:uid="{00000000-0005-0000-0000-0000D3000000}"/>
    <cellStyle name="Note 2 4" xfId="199" xr:uid="{00000000-0005-0000-0000-0000D4000000}"/>
    <cellStyle name="Note 2 4 2" xfId="236" xr:uid="{00000000-0005-0000-0000-0000D5000000}"/>
    <cellStyle name="Note 2 5" xfId="200" xr:uid="{00000000-0005-0000-0000-0000D6000000}"/>
    <cellStyle name="Note 2 5 2" xfId="237" xr:uid="{00000000-0005-0000-0000-0000D7000000}"/>
    <cellStyle name="Note 2 6" xfId="233" xr:uid="{00000000-0005-0000-0000-0000D8000000}"/>
    <cellStyle name="Output 2" xfId="201" xr:uid="{00000000-0005-0000-0000-0000D9000000}"/>
    <cellStyle name="Output 2 2" xfId="202" xr:uid="{00000000-0005-0000-0000-0000DA000000}"/>
    <cellStyle name="Output 2 2 2" xfId="239" xr:uid="{00000000-0005-0000-0000-0000DB000000}"/>
    <cellStyle name="Output 2 3" xfId="203" xr:uid="{00000000-0005-0000-0000-0000DC000000}"/>
    <cellStyle name="Output 2 3 2" xfId="240" xr:uid="{00000000-0005-0000-0000-0000DD000000}"/>
    <cellStyle name="Output 2 4" xfId="204" xr:uid="{00000000-0005-0000-0000-0000DE000000}"/>
    <cellStyle name="Output 2 4 2" xfId="241" xr:uid="{00000000-0005-0000-0000-0000DF000000}"/>
    <cellStyle name="Output 2 5" xfId="205" xr:uid="{00000000-0005-0000-0000-0000E0000000}"/>
    <cellStyle name="Output 2 5 2" xfId="242" xr:uid="{00000000-0005-0000-0000-0000E1000000}"/>
    <cellStyle name="Output 2 6" xfId="238" xr:uid="{00000000-0005-0000-0000-0000E2000000}"/>
    <cellStyle name="Per cent" xfId="1" builtinId="5"/>
    <cellStyle name="Percent 2" xfId="206" xr:uid="{00000000-0005-0000-0000-0000E4000000}"/>
    <cellStyle name="Title 2" xfId="207" xr:uid="{00000000-0005-0000-0000-0000E5000000}"/>
    <cellStyle name="Title 2 2" xfId="208" xr:uid="{00000000-0005-0000-0000-0000E6000000}"/>
    <cellStyle name="Title 2 3" xfId="209" xr:uid="{00000000-0005-0000-0000-0000E7000000}"/>
    <cellStyle name="Title 2 4" xfId="210" xr:uid="{00000000-0005-0000-0000-0000E8000000}"/>
    <cellStyle name="Title 2 5" xfId="211" xr:uid="{00000000-0005-0000-0000-0000E9000000}"/>
    <cellStyle name="Total 2" xfId="212" xr:uid="{00000000-0005-0000-0000-0000EA000000}"/>
    <cellStyle name="Total 2 2" xfId="213" xr:uid="{00000000-0005-0000-0000-0000EB000000}"/>
    <cellStyle name="Total 2 2 2" xfId="244" xr:uid="{00000000-0005-0000-0000-0000EC000000}"/>
    <cellStyle name="Total 2 3" xfId="214" xr:uid="{00000000-0005-0000-0000-0000ED000000}"/>
    <cellStyle name="Total 2 3 2" xfId="245" xr:uid="{00000000-0005-0000-0000-0000EE000000}"/>
    <cellStyle name="Total 2 4" xfId="215" xr:uid="{00000000-0005-0000-0000-0000EF000000}"/>
    <cellStyle name="Total 2 4 2" xfId="246" xr:uid="{00000000-0005-0000-0000-0000F0000000}"/>
    <cellStyle name="Total 2 5" xfId="216" xr:uid="{00000000-0005-0000-0000-0000F1000000}"/>
    <cellStyle name="Total 2 5 2" xfId="247" xr:uid="{00000000-0005-0000-0000-0000F2000000}"/>
    <cellStyle name="Total 2 6" xfId="243" xr:uid="{00000000-0005-0000-0000-0000F3000000}"/>
    <cellStyle name="Warning Text 2" xfId="217" xr:uid="{00000000-0005-0000-0000-0000F4000000}"/>
    <cellStyle name="Warning Text 2 2" xfId="218" xr:uid="{00000000-0005-0000-0000-0000F5000000}"/>
    <cellStyle name="Warning Text 2 3" xfId="219" xr:uid="{00000000-0005-0000-0000-0000F6000000}"/>
    <cellStyle name="Warning Text 2 4" xfId="220" xr:uid="{00000000-0005-0000-0000-0000F7000000}"/>
    <cellStyle name="Warning Text 2 5" xfId="221" xr:uid="{00000000-0005-0000-0000-0000F8000000}"/>
  </cellStyles>
  <dxfs count="121">
    <dxf>
      <fill>
        <patternFill>
          <bgColor rgb="FFFF9966"/>
        </patternFill>
      </fill>
    </dxf>
    <dxf>
      <fill>
        <patternFill>
          <bgColor rgb="FFFF9966"/>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0" tint="-0.24994659260841701"/>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59996337778862885"/>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ill>
        <patternFill>
          <bgColor rgb="FF00FF99"/>
        </patternFill>
      </fill>
    </dxf>
    <dxf>
      <fill>
        <patternFill>
          <bgColor theme="0"/>
        </patternFill>
      </fill>
    </dxf>
    <dxf>
      <fill>
        <patternFill>
          <bgColor rgb="FFFFDD4B"/>
        </patternFill>
      </fill>
    </dxf>
    <dxf>
      <fill>
        <patternFill>
          <bgColor rgb="FFFF9966"/>
        </patternFill>
      </fill>
    </dxf>
    <dxf>
      <fill>
        <patternFill>
          <bgColor theme="0"/>
        </patternFill>
      </fill>
    </dxf>
    <dxf>
      <fill>
        <patternFill>
          <bgColor rgb="FFFF9966"/>
        </patternFill>
      </fill>
    </dxf>
    <dxf>
      <fill>
        <patternFill>
          <bgColor theme="0"/>
        </patternFill>
      </fill>
    </dxf>
    <dxf>
      <fill>
        <patternFill>
          <bgColor rgb="FFFF9966"/>
        </patternFill>
      </fill>
    </dxf>
    <dxf>
      <font>
        <color theme="1"/>
      </font>
      <fill>
        <patternFill>
          <bgColor theme="7"/>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rgb="FFFF0000"/>
      </font>
    </dxf>
    <dxf>
      <font>
        <color theme="9" tint="0.39994506668294322"/>
      </font>
      <fill>
        <patternFill>
          <bgColor theme="9" tint="0.79998168889431442"/>
        </patternFill>
      </fill>
    </dxf>
    <dxf>
      <fill>
        <patternFill>
          <bgColor rgb="FF00FF99"/>
        </patternFill>
      </fill>
    </dxf>
    <dxf>
      <fill>
        <patternFill>
          <bgColor theme="0"/>
        </patternFill>
      </fill>
    </dxf>
    <dxf>
      <fill>
        <patternFill>
          <bgColor rgb="FFFFDD4B"/>
        </patternFill>
      </fill>
    </dxf>
    <dxf>
      <fill>
        <patternFill>
          <bgColor rgb="FFFF9966"/>
        </patternFill>
      </fill>
    </dxf>
    <dxf>
      <fill>
        <patternFill>
          <bgColor theme="0"/>
        </patternFill>
      </fill>
    </dxf>
    <dxf>
      <fill>
        <patternFill>
          <bgColor rgb="FFFF9966"/>
        </patternFill>
      </fill>
    </dxf>
    <dxf>
      <fill>
        <patternFill>
          <bgColor theme="0"/>
        </patternFill>
      </fill>
    </dxf>
    <dxf>
      <fill>
        <patternFill>
          <bgColor rgb="FFFF9966"/>
        </patternFill>
      </fill>
    </dxf>
    <dxf>
      <font>
        <color theme="1"/>
      </font>
      <fill>
        <patternFill>
          <bgColor theme="7"/>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rgb="FFFF0000"/>
      </font>
    </dxf>
    <dxf>
      <font>
        <color theme="9" tint="0.39994506668294322"/>
      </font>
      <fill>
        <patternFill>
          <bgColor theme="9" tint="0.79998168889431442"/>
        </patternFill>
      </fill>
    </dxf>
    <dxf>
      <fill>
        <patternFill>
          <bgColor theme="0"/>
        </patternFill>
      </fill>
    </dxf>
    <dxf>
      <fill>
        <patternFill>
          <bgColor rgb="FFFFDD4B"/>
        </patternFill>
      </fill>
    </dxf>
    <dxf>
      <fill>
        <patternFill>
          <bgColor rgb="FFFF9966"/>
        </patternFill>
      </fill>
    </dxf>
    <dxf>
      <fill>
        <patternFill>
          <bgColor theme="0"/>
        </patternFill>
      </fill>
    </dxf>
    <dxf>
      <fill>
        <patternFill>
          <bgColor rgb="FFFF9966"/>
        </patternFill>
      </fill>
    </dxf>
    <dxf>
      <fill>
        <patternFill>
          <bgColor theme="0"/>
        </patternFill>
      </fill>
    </dxf>
    <dxf>
      <fill>
        <patternFill>
          <bgColor rgb="FFFF9966"/>
        </patternFill>
      </fill>
    </dxf>
    <dxf>
      <font>
        <color theme="1"/>
      </font>
      <fill>
        <patternFill>
          <bgColor theme="7"/>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theme="9" tint="0.39994506668294322"/>
      </font>
      <fill>
        <patternFill>
          <bgColor theme="9" tint="0.79998168889431442"/>
        </patternFill>
      </fill>
    </dxf>
    <dxf>
      <font>
        <color rgb="FFFF0000"/>
      </font>
    </dxf>
    <dxf>
      <font>
        <color theme="9" tint="0.39994506668294322"/>
      </font>
      <fill>
        <patternFill>
          <bgColor theme="9" tint="0.79998168889431442"/>
        </patternFill>
      </fill>
    </dxf>
    <dxf>
      <fill>
        <patternFill>
          <bgColor rgb="FFFF0000"/>
        </patternFill>
      </fill>
      <border>
        <top style="thin">
          <color rgb="FFFF0000"/>
        </top>
        <bottom style="thin">
          <color rgb="FFFF0000"/>
        </bottom>
      </border>
    </dxf>
    <dxf>
      <font>
        <color rgb="FFFF9900"/>
      </font>
      <fill>
        <patternFill>
          <bgColor rgb="FFFF9900"/>
        </patternFill>
      </fill>
    </dxf>
    <dxf>
      <font>
        <color rgb="FFFFCC66"/>
      </font>
      <fill>
        <patternFill patternType="lightUp">
          <fgColor theme="0"/>
        </patternFill>
      </fill>
    </dxf>
    <dxf>
      <font>
        <color rgb="FFFFCC66"/>
      </font>
      <fill>
        <patternFill>
          <bgColor rgb="FFFFCC66"/>
        </patternFill>
      </fill>
    </dxf>
    <dxf>
      <font>
        <color rgb="FFFFCC99"/>
      </font>
      <fill>
        <patternFill patternType="darkUp">
          <fgColor theme="0"/>
        </patternFill>
      </fill>
    </dxf>
    <dxf>
      <font>
        <color rgb="FFFFCC99"/>
      </font>
      <fill>
        <patternFill>
          <bgColor rgb="FFFFCC99"/>
        </patternFill>
      </fill>
    </dxf>
    <dxf>
      <font>
        <color rgb="FF00CC66"/>
      </font>
      <fill>
        <patternFill>
          <bgColor rgb="FF00CC66"/>
        </patternFill>
      </fill>
    </dxf>
    <dxf>
      <font>
        <color rgb="FF00CC99"/>
      </font>
      <fill>
        <patternFill patternType="darkUp">
          <fgColor theme="0"/>
        </patternFill>
      </fill>
    </dxf>
    <dxf>
      <font>
        <color rgb="FF00CC99"/>
      </font>
      <fill>
        <patternFill>
          <bgColor rgb="FF00CC99"/>
        </patternFill>
      </fill>
    </dxf>
    <dxf>
      <font>
        <color rgb="FF00FFCC"/>
      </font>
      <fill>
        <patternFill patternType="darkUp">
          <fgColor theme="0"/>
        </patternFill>
      </fill>
    </dxf>
    <dxf>
      <font>
        <color rgb="FF00FFCC"/>
      </font>
      <fill>
        <patternFill>
          <bgColor rgb="FF00FFCC"/>
        </patternFill>
      </fill>
    </dxf>
    <dxf>
      <fill>
        <patternFill patternType="gray125">
          <fgColor theme="7" tint="-0.499984740745262"/>
        </patternFill>
      </fill>
      <border>
        <top style="thin">
          <color rgb="FFFF0000"/>
        </top>
        <bottom style="thin">
          <color rgb="FFFF0000"/>
        </bottom>
      </border>
    </dxf>
    <dxf>
      <fill>
        <patternFill patternType="gray125">
          <fgColor theme="7" tint="-0.499984740745262"/>
        </patternFill>
      </fill>
      <border>
        <top style="thin">
          <color rgb="FFFF0000"/>
        </top>
        <bottom style="thin">
          <color rgb="FFFF0000"/>
        </bottom>
      </border>
    </dxf>
    <dxf>
      <fill>
        <patternFill patternType="gray125">
          <fgColor theme="7" tint="-0.499984740745262"/>
        </patternFill>
      </fill>
      <border>
        <top style="thin">
          <color rgb="FFFF0000"/>
        </top>
        <bottom style="thin">
          <color rgb="FFFF0000"/>
        </bottom>
      </border>
    </dxf>
    <dxf>
      <font>
        <color theme="9" tint="0.39994506668294322"/>
      </font>
      <fill>
        <patternFill patternType="solid">
          <fgColor auto="1"/>
          <bgColor theme="9" tint="0.39994506668294322"/>
        </patternFill>
      </fill>
    </dxf>
    <dxf>
      <font>
        <color theme="9" tint="0.59996337778862885"/>
      </font>
      <fill>
        <patternFill patternType="solid">
          <fgColor theme="0"/>
          <bgColor theme="9" tint="0.59996337778862885"/>
        </patternFill>
      </fill>
    </dxf>
    <dxf>
      <font>
        <color theme="9" tint="0.79998168889431442"/>
      </font>
      <fill>
        <patternFill patternType="solid">
          <fgColor theme="0"/>
          <bgColor theme="9" tint="0.79998168889431442"/>
        </patternFill>
      </fill>
    </dxf>
    <dxf>
      <border>
        <left style="thin">
          <color theme="7" tint="-0.499984740745262"/>
        </left>
        <vertical/>
        <horizontal/>
      </border>
    </dxf>
    <dxf>
      <font>
        <color theme="7" tint="-0.499984740745262"/>
      </font>
      <fill>
        <patternFill>
          <bgColor theme="7" tint="-0.499984740745262"/>
        </patternFill>
      </fill>
    </dxf>
    <dxf>
      <font>
        <color theme="7" tint="-0.24994659260841701"/>
      </font>
      <fill>
        <patternFill>
          <bgColor theme="7" tint="-0.24994659260841701"/>
        </patternFill>
      </fill>
    </dxf>
    <dxf>
      <font>
        <color theme="7"/>
      </font>
      <fill>
        <patternFill patternType="solid">
          <fgColor auto="1"/>
          <bgColor theme="7"/>
        </patternFill>
      </fill>
    </dxf>
    <dxf>
      <font>
        <color theme="0"/>
      </font>
      <fill>
        <patternFill>
          <bgColor theme="0"/>
        </patternFill>
      </fill>
    </dxf>
  </dxfs>
  <tableStyles count="0" defaultTableStyle="TableStyleMedium9" defaultPivotStyle="PivotStyleLight16"/>
  <colors>
    <mruColors>
      <color rgb="FFFF9966"/>
      <color rgb="FF00FF99"/>
      <color rgb="FF56B3D0"/>
      <color rgb="FF000000"/>
      <color rgb="FFFFDD4B"/>
      <color rgb="FFFFCC00"/>
      <color rgb="FFFF6600"/>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33" lockText="1" noThreeD="1"/>
</file>

<file path=xl/ctrlProps/ctrlProp10.xml><?xml version="1.0" encoding="utf-8"?>
<formControlPr xmlns="http://schemas.microsoft.com/office/spreadsheetml/2009/9/main" objectType="CheckBox" fmlaLink="$C$34" lockText="1" noThreeD="1"/>
</file>

<file path=xl/ctrlProps/ctrlProp11.xml><?xml version="1.0" encoding="utf-8"?>
<formControlPr xmlns="http://schemas.microsoft.com/office/spreadsheetml/2009/9/main" objectType="CheckBox" checked="Checked" fmlaLink="$C$72" lockText="1" noThreeD="1"/>
</file>

<file path=xl/ctrlProps/ctrlProp12.xml><?xml version="1.0" encoding="utf-8"?>
<formControlPr xmlns="http://schemas.microsoft.com/office/spreadsheetml/2009/9/main" objectType="CheckBox" fmlaLink="$C$83" lockText="1" noThreeD="1"/>
</file>

<file path=xl/ctrlProps/ctrlProp13.xml><?xml version="1.0" encoding="utf-8"?>
<formControlPr xmlns="http://schemas.microsoft.com/office/spreadsheetml/2009/9/main" objectType="CheckBox" fmlaLink="$C$90" lockText="1" noThreeD="1"/>
</file>

<file path=xl/ctrlProps/ctrlProp14.xml><?xml version="1.0" encoding="utf-8"?>
<formControlPr xmlns="http://schemas.microsoft.com/office/spreadsheetml/2009/9/main" objectType="CheckBox" fmlaLink="$C$98" lockText="1" noThreeD="1"/>
</file>

<file path=xl/ctrlProps/ctrlProp15.xml><?xml version="1.0" encoding="utf-8"?>
<formControlPr xmlns="http://schemas.microsoft.com/office/spreadsheetml/2009/9/main" objectType="CheckBox" fmlaLink="$C$82" lockText="1" noThreeD="1"/>
</file>

<file path=xl/ctrlProps/ctrlProp16.xml><?xml version="1.0" encoding="utf-8"?>
<formControlPr xmlns="http://schemas.microsoft.com/office/spreadsheetml/2009/9/main" objectType="CheckBox" fmlaLink="$C$79" lockText="1" noThreeD="1"/>
</file>

<file path=xl/ctrlProps/ctrlProp17.xml><?xml version="1.0" encoding="utf-8"?>
<formControlPr xmlns="http://schemas.microsoft.com/office/spreadsheetml/2009/9/main" objectType="CheckBox" fmlaLink="$C$33" lockText="1" noThreeD="1"/>
</file>

<file path=xl/ctrlProps/ctrlProp18.xml><?xml version="1.0" encoding="utf-8"?>
<formControlPr xmlns="http://schemas.microsoft.com/office/spreadsheetml/2009/9/main" objectType="CheckBox" fmlaLink="$C$34" lockText="1" noThreeD="1"/>
</file>

<file path=xl/ctrlProps/ctrlProp19.xml><?xml version="1.0" encoding="utf-8"?>
<formControlPr xmlns="http://schemas.microsoft.com/office/spreadsheetml/2009/9/main" objectType="CheckBox" checked="Checked" fmlaLink="$C$72" lockText="1" noThreeD="1"/>
</file>

<file path=xl/ctrlProps/ctrlProp2.xml><?xml version="1.0" encoding="utf-8"?>
<formControlPr xmlns="http://schemas.microsoft.com/office/spreadsheetml/2009/9/main" objectType="CheckBox" fmlaLink="$C$34" lockText="1" noThreeD="1"/>
</file>

<file path=xl/ctrlProps/ctrlProp20.xml><?xml version="1.0" encoding="utf-8"?>
<formControlPr xmlns="http://schemas.microsoft.com/office/spreadsheetml/2009/9/main" objectType="CheckBox" fmlaLink="$C$83" lockText="1" noThreeD="1"/>
</file>

<file path=xl/ctrlProps/ctrlProp21.xml><?xml version="1.0" encoding="utf-8"?>
<formControlPr xmlns="http://schemas.microsoft.com/office/spreadsheetml/2009/9/main" objectType="CheckBox" fmlaLink="$C$90" lockText="1" noThreeD="1"/>
</file>

<file path=xl/ctrlProps/ctrlProp22.xml><?xml version="1.0" encoding="utf-8"?>
<formControlPr xmlns="http://schemas.microsoft.com/office/spreadsheetml/2009/9/main" objectType="CheckBox" fmlaLink="$C$98" lockText="1" noThreeD="1"/>
</file>

<file path=xl/ctrlProps/ctrlProp23.xml><?xml version="1.0" encoding="utf-8"?>
<formControlPr xmlns="http://schemas.microsoft.com/office/spreadsheetml/2009/9/main" objectType="CheckBox" fmlaLink="$C$82" lockText="1" noThreeD="1"/>
</file>

<file path=xl/ctrlProps/ctrlProp24.xml><?xml version="1.0" encoding="utf-8"?>
<formControlPr xmlns="http://schemas.microsoft.com/office/spreadsheetml/2009/9/main" objectType="CheckBox" fmlaLink="$C$79" lockText="1" noThreeD="1"/>
</file>

<file path=xl/ctrlProps/ctrlProp25.xml><?xml version="1.0" encoding="utf-8"?>
<formControlPr xmlns="http://schemas.microsoft.com/office/spreadsheetml/2009/9/main" objectType="CheckBox" fmlaLink="$C$33" lockText="1" noThreeD="1"/>
</file>

<file path=xl/ctrlProps/ctrlProp26.xml><?xml version="1.0" encoding="utf-8"?>
<formControlPr xmlns="http://schemas.microsoft.com/office/spreadsheetml/2009/9/main" objectType="CheckBox" fmlaLink="$C$34" lockText="1" noThreeD="1"/>
</file>

<file path=xl/ctrlProps/ctrlProp27.xml><?xml version="1.0" encoding="utf-8"?>
<formControlPr xmlns="http://schemas.microsoft.com/office/spreadsheetml/2009/9/main" objectType="CheckBox" checked="Checked" fmlaLink="$C$72" lockText="1" noThreeD="1"/>
</file>

<file path=xl/ctrlProps/ctrlProp28.xml><?xml version="1.0" encoding="utf-8"?>
<formControlPr xmlns="http://schemas.microsoft.com/office/spreadsheetml/2009/9/main" objectType="CheckBox" fmlaLink="$C$83" lockText="1" noThreeD="1"/>
</file>

<file path=xl/ctrlProps/ctrlProp29.xml><?xml version="1.0" encoding="utf-8"?>
<formControlPr xmlns="http://schemas.microsoft.com/office/spreadsheetml/2009/9/main" objectType="CheckBox" fmlaLink="$C$90" lockText="1" noThreeD="1"/>
</file>

<file path=xl/ctrlProps/ctrlProp3.xml><?xml version="1.0" encoding="utf-8"?>
<formControlPr xmlns="http://schemas.microsoft.com/office/spreadsheetml/2009/9/main" objectType="CheckBox" checked="Checked" fmlaLink="$C$72" lockText="1" noThreeD="1"/>
</file>

<file path=xl/ctrlProps/ctrlProp30.xml><?xml version="1.0" encoding="utf-8"?>
<formControlPr xmlns="http://schemas.microsoft.com/office/spreadsheetml/2009/9/main" objectType="CheckBox" fmlaLink="$C$98" lockText="1" noThreeD="1"/>
</file>

<file path=xl/ctrlProps/ctrlProp31.xml><?xml version="1.0" encoding="utf-8"?>
<formControlPr xmlns="http://schemas.microsoft.com/office/spreadsheetml/2009/9/main" objectType="CheckBox" fmlaLink="$C$82" lockText="1" noThreeD="1"/>
</file>

<file path=xl/ctrlProps/ctrlProp32.xml><?xml version="1.0" encoding="utf-8"?>
<formControlPr xmlns="http://schemas.microsoft.com/office/spreadsheetml/2009/9/main" objectType="CheckBox" fmlaLink="$C$79" lockText="1" noThreeD="1"/>
</file>

<file path=xl/ctrlProps/ctrlProp33.xml><?xml version="1.0" encoding="utf-8"?>
<formControlPr xmlns="http://schemas.microsoft.com/office/spreadsheetml/2009/9/main" objectType="CheckBox" fmlaLink="$C$33" lockText="1" noThreeD="1"/>
</file>

<file path=xl/ctrlProps/ctrlProp34.xml><?xml version="1.0" encoding="utf-8"?>
<formControlPr xmlns="http://schemas.microsoft.com/office/spreadsheetml/2009/9/main" objectType="CheckBox" fmlaLink="$C$34" lockText="1" noThreeD="1"/>
</file>

<file path=xl/ctrlProps/ctrlProp35.xml><?xml version="1.0" encoding="utf-8"?>
<formControlPr xmlns="http://schemas.microsoft.com/office/spreadsheetml/2009/9/main" objectType="CheckBox" checked="Checked" fmlaLink="$C$72" lockText="1" noThreeD="1"/>
</file>

<file path=xl/ctrlProps/ctrlProp36.xml><?xml version="1.0" encoding="utf-8"?>
<formControlPr xmlns="http://schemas.microsoft.com/office/spreadsheetml/2009/9/main" objectType="CheckBox" fmlaLink="$C$83" lockText="1" noThreeD="1"/>
</file>

<file path=xl/ctrlProps/ctrlProp37.xml><?xml version="1.0" encoding="utf-8"?>
<formControlPr xmlns="http://schemas.microsoft.com/office/spreadsheetml/2009/9/main" objectType="CheckBox" fmlaLink="$C$90" lockText="1" noThreeD="1"/>
</file>

<file path=xl/ctrlProps/ctrlProp38.xml><?xml version="1.0" encoding="utf-8"?>
<formControlPr xmlns="http://schemas.microsoft.com/office/spreadsheetml/2009/9/main" objectType="CheckBox" fmlaLink="$C$98" lockText="1" noThreeD="1"/>
</file>

<file path=xl/ctrlProps/ctrlProp39.xml><?xml version="1.0" encoding="utf-8"?>
<formControlPr xmlns="http://schemas.microsoft.com/office/spreadsheetml/2009/9/main" objectType="CheckBox" fmlaLink="$C$82" lockText="1" noThreeD="1"/>
</file>

<file path=xl/ctrlProps/ctrlProp4.xml><?xml version="1.0" encoding="utf-8"?>
<formControlPr xmlns="http://schemas.microsoft.com/office/spreadsheetml/2009/9/main" objectType="CheckBox" fmlaLink="$C$83" lockText="1" noThreeD="1"/>
</file>

<file path=xl/ctrlProps/ctrlProp40.xml><?xml version="1.0" encoding="utf-8"?>
<formControlPr xmlns="http://schemas.microsoft.com/office/spreadsheetml/2009/9/main" objectType="CheckBox" fmlaLink="$C$79" lockText="1" noThreeD="1"/>
</file>

<file path=xl/ctrlProps/ctrlProp41.xml><?xml version="1.0" encoding="utf-8"?>
<formControlPr xmlns="http://schemas.microsoft.com/office/spreadsheetml/2009/9/main" objectType="CheckBox" fmlaLink="$C$33" lockText="1" noThreeD="1"/>
</file>

<file path=xl/ctrlProps/ctrlProp42.xml><?xml version="1.0" encoding="utf-8"?>
<formControlPr xmlns="http://schemas.microsoft.com/office/spreadsheetml/2009/9/main" objectType="CheckBox" fmlaLink="$C$34" lockText="1" noThreeD="1"/>
</file>

<file path=xl/ctrlProps/ctrlProp43.xml><?xml version="1.0" encoding="utf-8"?>
<formControlPr xmlns="http://schemas.microsoft.com/office/spreadsheetml/2009/9/main" objectType="CheckBox" checked="Checked" fmlaLink="$C$72" lockText="1" noThreeD="1"/>
</file>

<file path=xl/ctrlProps/ctrlProp44.xml><?xml version="1.0" encoding="utf-8"?>
<formControlPr xmlns="http://schemas.microsoft.com/office/spreadsheetml/2009/9/main" objectType="CheckBox" fmlaLink="$C$83" lockText="1" noThreeD="1"/>
</file>

<file path=xl/ctrlProps/ctrlProp45.xml><?xml version="1.0" encoding="utf-8"?>
<formControlPr xmlns="http://schemas.microsoft.com/office/spreadsheetml/2009/9/main" objectType="CheckBox" fmlaLink="$C$90" lockText="1" noThreeD="1"/>
</file>

<file path=xl/ctrlProps/ctrlProp46.xml><?xml version="1.0" encoding="utf-8"?>
<formControlPr xmlns="http://schemas.microsoft.com/office/spreadsheetml/2009/9/main" objectType="CheckBox" fmlaLink="$C$98" lockText="1" noThreeD="1"/>
</file>

<file path=xl/ctrlProps/ctrlProp47.xml><?xml version="1.0" encoding="utf-8"?>
<formControlPr xmlns="http://schemas.microsoft.com/office/spreadsheetml/2009/9/main" objectType="CheckBox" fmlaLink="$C$82" lockText="1" noThreeD="1"/>
</file>

<file path=xl/ctrlProps/ctrlProp48.xml><?xml version="1.0" encoding="utf-8"?>
<formControlPr xmlns="http://schemas.microsoft.com/office/spreadsheetml/2009/9/main" objectType="CheckBox" fmlaLink="$C$79" lockText="1" noThreeD="1"/>
</file>

<file path=xl/ctrlProps/ctrlProp49.xml><?xml version="1.0" encoding="utf-8"?>
<formControlPr xmlns="http://schemas.microsoft.com/office/spreadsheetml/2009/9/main" objectType="CheckBox" fmlaLink="$C$30" lockText="1" noThreeD="1"/>
</file>

<file path=xl/ctrlProps/ctrlProp5.xml><?xml version="1.0" encoding="utf-8"?>
<formControlPr xmlns="http://schemas.microsoft.com/office/spreadsheetml/2009/9/main" objectType="CheckBox" fmlaLink="$C$90" lockText="1" noThreeD="1"/>
</file>

<file path=xl/ctrlProps/ctrlProp50.xml><?xml version="1.0" encoding="utf-8"?>
<formControlPr xmlns="http://schemas.microsoft.com/office/spreadsheetml/2009/9/main" objectType="CheckBox" fmlaLink="$C$31" lockText="1" noThreeD="1"/>
</file>

<file path=xl/ctrlProps/ctrlProp51.xml><?xml version="1.0" encoding="utf-8"?>
<formControlPr xmlns="http://schemas.microsoft.com/office/spreadsheetml/2009/9/main" objectType="CheckBox" checked="Checked" fmlaLink="$C$69" lockText="1" noThreeD="1"/>
</file>

<file path=xl/ctrlProps/ctrlProp52.xml><?xml version="1.0" encoding="utf-8"?>
<formControlPr xmlns="http://schemas.microsoft.com/office/spreadsheetml/2009/9/main" objectType="CheckBox" fmlaLink="$C$80" lockText="1" noThreeD="1"/>
</file>

<file path=xl/ctrlProps/ctrlProp53.xml><?xml version="1.0" encoding="utf-8"?>
<formControlPr xmlns="http://schemas.microsoft.com/office/spreadsheetml/2009/9/main" objectType="CheckBox" fmlaLink="$C$87" lockText="1" noThreeD="1"/>
</file>

<file path=xl/ctrlProps/ctrlProp54.xml><?xml version="1.0" encoding="utf-8"?>
<formControlPr xmlns="http://schemas.microsoft.com/office/spreadsheetml/2009/9/main" objectType="CheckBox" fmlaLink="$C$95" lockText="1" noThreeD="1"/>
</file>

<file path=xl/ctrlProps/ctrlProp55.xml><?xml version="1.0" encoding="utf-8"?>
<formControlPr xmlns="http://schemas.microsoft.com/office/spreadsheetml/2009/9/main" objectType="CheckBox" fmlaLink="$C$79" lockText="1" noThreeD="1"/>
</file>

<file path=xl/ctrlProps/ctrlProp56.xml><?xml version="1.0" encoding="utf-8"?>
<formControlPr xmlns="http://schemas.microsoft.com/office/spreadsheetml/2009/9/main" objectType="CheckBox" fmlaLink="$C$76" lockText="1" noThreeD="1"/>
</file>

<file path=xl/ctrlProps/ctrlProp6.xml><?xml version="1.0" encoding="utf-8"?>
<formControlPr xmlns="http://schemas.microsoft.com/office/spreadsheetml/2009/9/main" objectType="CheckBox" fmlaLink="$C$98" lockText="1" noThreeD="1"/>
</file>

<file path=xl/ctrlProps/ctrlProp7.xml><?xml version="1.0" encoding="utf-8"?>
<formControlPr xmlns="http://schemas.microsoft.com/office/spreadsheetml/2009/9/main" objectType="CheckBox" fmlaLink="$C$82" lockText="1" noThreeD="1"/>
</file>

<file path=xl/ctrlProps/ctrlProp8.xml><?xml version="1.0" encoding="utf-8"?>
<formControlPr xmlns="http://schemas.microsoft.com/office/spreadsheetml/2009/9/main" objectType="CheckBox" fmlaLink="$C$79" lockText="1" noThreeD="1"/>
</file>

<file path=xl/ctrlProps/ctrlProp9.xml><?xml version="1.0" encoding="utf-8"?>
<formControlPr xmlns="http://schemas.microsoft.com/office/spreadsheetml/2009/9/main" objectType="CheckBox" fmlaLink="$C$3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9527</xdr:colOff>
      <xdr:row>0</xdr:row>
      <xdr:rowOff>0</xdr:rowOff>
    </xdr:from>
    <xdr:to>
      <xdr:col>1</xdr:col>
      <xdr:colOff>7820023</xdr:colOff>
      <xdr:row>1</xdr:row>
      <xdr:rowOff>1733549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7" y="0"/>
          <a:ext cx="7810496" cy="1952624"/>
        </a:xfrm>
        <a:prstGeom prst="rect">
          <a:avLst/>
        </a:prstGeom>
      </xdr:spPr>
    </xdr:pic>
    <xdr:clientData/>
  </xdr:twoCellAnchor>
  <xdr:twoCellAnchor>
    <xdr:from>
      <xdr:col>0</xdr:col>
      <xdr:colOff>133350</xdr:colOff>
      <xdr:row>3</xdr:row>
      <xdr:rowOff>180975</xdr:rowOff>
    </xdr:from>
    <xdr:to>
      <xdr:col>1</xdr:col>
      <xdr:colOff>7719332</xdr:colOff>
      <xdr:row>44</xdr:row>
      <xdr:rowOff>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33350" y="2514600"/>
          <a:ext cx="7814582" cy="7458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ysClr val="windowText" lastClr="000000"/>
              </a:solidFill>
              <a:effectLst/>
              <a:latin typeface="+mn-lt"/>
              <a:ea typeface="+mn-ea"/>
              <a:cs typeface="+mn-cs"/>
            </a:rPr>
            <a:t>The Green Star sustainable rating system for buildings (“Green Star”) and the Green Star – Performance rating tool (“Green Star – Performance ”) have been developed by the Green Building Council of Australia (“GBCA”).  Green Star – Performance evaluates the operational performance of all types of existing buildings (with the exception of single-detached dwellings). As with all Green Star rating tools, Green Star – Performance  may be subject to further development in the future. </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Green Star and Green Star – Performance have been developed with the assistance and participation of representatives from many organisations. The GBCA authorises you to view and use Green Star – Performance for your individual use only. In exchange for this authorisation, you agree that the GBCA retains all copyright and other proprietary rights contained in and in relation to Green Star – Performance and agree not to sell, modify, or use for another purpose all or any part of the tool or to reproduce, display or distribute the tool in any way for any public or commercial purpose, including display on a website or in a networked environment. Unauthorised use of Green Star and/or Green Star – Performance will violate copyright and other laws, and is prohibited. All text, graphics, layout and other elements of content contained in Green Star and its rating tools are owned by the GBCA and are protected by copyright, trade mark and other laws.</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To the maximum extent permitted by law, the GBCA does not accept responsibility, including without limitation for negligence, for any inaccuracy within Green Star and/or its rating tools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Green Star and/or Green Star – Performance, or for any injuries, losses or damages (including, without limitation, equitable relief and economic loss) arising out of such use or reliance.</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Green Star and Green Star – Performance are no substitute for professional advice.  You should seek your own professional and other appropriate advice on the matters addressed by them.</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As a condition of use, you covenant not to sue, and agree to waive and release the GBCA, its officers, agents, employees and its members from any and all claims, demands and causes of action for any injury, loss, destruction or damage (including, without limitation, equitable relief and economic loss) that you may now or hereafter have a right to assert against such parties as a result of your use of, or reliance on, Green Star and/or Green Star – Performance.</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The GBCA does not endorse any self-assessed Green Star rating achieved by the use of Green Star – Performance. The GBCA offers a formal certification process for 1 Star ratings and above; this service provides for independent third-party review of points claimed to ensure all points can be demonstrated to be achieved by the provision of the necessary documentary evidence.  The use of Green Star – Performance without formal certification by the GBCA does not entitle the user or any other party to promote the Green Star rating achieved.</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The application of Green Star – Performance to the operational performance of all types of existing buildings (with the exception of single-detached dwellings) is encouraged to assess and improve their environmental performance attributes. However, formal recognition of the Green Star rating – and the right to promote the same – requires undertaking the formal certification process offered by the GBCA.</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You are only authorised to proceed to use Green Star and Green Star – Performance on this basis.</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All rights reserved.</a:t>
          </a:r>
        </a:p>
        <a:p>
          <a:endParaRPr lang="en-AU" sz="1100">
            <a:solidFill>
              <a:sysClr val="windowText" lastClr="000000"/>
            </a:solidFill>
            <a:effectLst/>
            <a:latin typeface="+mn-lt"/>
            <a:ea typeface="+mn-ea"/>
            <a:cs typeface="+mn-cs"/>
          </a:endParaRPr>
        </a:p>
        <a:p>
          <a:r>
            <a:rPr lang="en-AU" sz="1100">
              <a:solidFill>
                <a:sysClr val="windowText" lastClr="000000"/>
              </a:solidFill>
              <a:effectLst/>
              <a:latin typeface="+mn-lt"/>
              <a:ea typeface="+mn-ea"/>
              <a:cs typeface="+mn-cs"/>
            </a:rPr>
            <a:t> </a:t>
          </a:r>
        </a:p>
        <a:p>
          <a:endParaRPr lang="en-AU"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19051</xdr:colOff>
      <xdr:row>0</xdr:row>
      <xdr:rowOff>9525</xdr:rowOff>
    </xdr:from>
    <xdr:to>
      <xdr:col>7</xdr:col>
      <xdr:colOff>952500</xdr:colOff>
      <xdr:row>0</xdr:row>
      <xdr:rowOff>1716881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6" y="9525"/>
          <a:ext cx="6829424" cy="17073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19051</xdr:colOff>
      <xdr:row>0</xdr:row>
      <xdr:rowOff>0</xdr:rowOff>
    </xdr:from>
    <xdr:to>
      <xdr:col>1</xdr:col>
      <xdr:colOff>7683500</xdr:colOff>
      <xdr:row>1</xdr:row>
      <xdr:rowOff>169076</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2468" y="0"/>
          <a:ext cx="7664449" cy="1915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179386</xdr:colOff>
      <xdr:row>1</xdr:row>
      <xdr:rowOff>0</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0"/>
          <a:ext cx="5905499" cy="1476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xdr:colOff>
          <xdr:row>32</xdr:row>
          <xdr:rowOff>160020</xdr:rowOff>
        </xdr:from>
        <xdr:to>
          <xdr:col>5</xdr:col>
          <xdr:colOff>533400</xdr:colOff>
          <xdr:row>32</xdr:row>
          <xdr:rowOff>373380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4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160020</xdr:rowOff>
        </xdr:from>
        <xdr:to>
          <xdr:col>5</xdr:col>
          <xdr:colOff>533400</xdr:colOff>
          <xdr:row>33</xdr:row>
          <xdr:rowOff>373380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4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71</xdr:row>
          <xdr:rowOff>464820</xdr:rowOff>
        </xdr:from>
        <xdr:to>
          <xdr:col>5</xdr:col>
          <xdr:colOff>533400</xdr:colOff>
          <xdr:row>72</xdr:row>
          <xdr:rowOff>106680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4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82</xdr:row>
          <xdr:rowOff>160020</xdr:rowOff>
        </xdr:from>
        <xdr:to>
          <xdr:col>5</xdr:col>
          <xdr:colOff>533400</xdr:colOff>
          <xdr:row>82</xdr:row>
          <xdr:rowOff>373380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4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89</xdr:row>
          <xdr:rowOff>160020</xdr:rowOff>
        </xdr:from>
        <xdr:to>
          <xdr:col>5</xdr:col>
          <xdr:colOff>533400</xdr:colOff>
          <xdr:row>89</xdr:row>
          <xdr:rowOff>373380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4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97</xdr:row>
          <xdr:rowOff>160020</xdr:rowOff>
        </xdr:from>
        <xdr:to>
          <xdr:col>5</xdr:col>
          <xdr:colOff>533400</xdr:colOff>
          <xdr:row>97</xdr:row>
          <xdr:rowOff>373380</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4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81</xdr:row>
          <xdr:rowOff>160020</xdr:rowOff>
        </xdr:from>
        <xdr:to>
          <xdr:col>5</xdr:col>
          <xdr:colOff>533400</xdr:colOff>
          <xdr:row>81</xdr:row>
          <xdr:rowOff>373380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4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403860</xdr:rowOff>
        </xdr:from>
        <xdr:to>
          <xdr:col>5</xdr:col>
          <xdr:colOff>1104900</xdr:colOff>
          <xdr:row>79</xdr:row>
          <xdr:rowOff>160020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4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xdr:colOff>
          <xdr:row>32</xdr:row>
          <xdr:rowOff>160020</xdr:rowOff>
        </xdr:from>
        <xdr:to>
          <xdr:col>5</xdr:col>
          <xdr:colOff>533400</xdr:colOff>
          <xdr:row>32</xdr:row>
          <xdr:rowOff>373380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5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160020</xdr:rowOff>
        </xdr:from>
        <xdr:to>
          <xdr:col>5</xdr:col>
          <xdr:colOff>533400</xdr:colOff>
          <xdr:row>33</xdr:row>
          <xdr:rowOff>373380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5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71</xdr:row>
          <xdr:rowOff>464820</xdr:rowOff>
        </xdr:from>
        <xdr:to>
          <xdr:col>5</xdr:col>
          <xdr:colOff>533400</xdr:colOff>
          <xdr:row>72</xdr:row>
          <xdr:rowOff>106680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5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82</xdr:row>
          <xdr:rowOff>160020</xdr:rowOff>
        </xdr:from>
        <xdr:to>
          <xdr:col>5</xdr:col>
          <xdr:colOff>533400</xdr:colOff>
          <xdr:row>82</xdr:row>
          <xdr:rowOff>373380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5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89</xdr:row>
          <xdr:rowOff>160020</xdr:rowOff>
        </xdr:from>
        <xdr:to>
          <xdr:col>5</xdr:col>
          <xdr:colOff>533400</xdr:colOff>
          <xdr:row>89</xdr:row>
          <xdr:rowOff>373380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5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97</xdr:row>
          <xdr:rowOff>160020</xdr:rowOff>
        </xdr:from>
        <xdr:to>
          <xdr:col>5</xdr:col>
          <xdr:colOff>533400</xdr:colOff>
          <xdr:row>97</xdr:row>
          <xdr:rowOff>373380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5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81</xdr:row>
          <xdr:rowOff>160020</xdr:rowOff>
        </xdr:from>
        <xdr:to>
          <xdr:col>5</xdr:col>
          <xdr:colOff>533400</xdr:colOff>
          <xdr:row>81</xdr:row>
          <xdr:rowOff>373380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5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403860</xdr:rowOff>
        </xdr:from>
        <xdr:to>
          <xdr:col>5</xdr:col>
          <xdr:colOff>1104900</xdr:colOff>
          <xdr:row>79</xdr:row>
          <xdr:rowOff>160020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5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32</xdr:row>
          <xdr:rowOff>160020</xdr:rowOff>
        </xdr:from>
        <xdr:to>
          <xdr:col>5</xdr:col>
          <xdr:colOff>533400</xdr:colOff>
          <xdr:row>32</xdr:row>
          <xdr:rowOff>373380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5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160020</xdr:rowOff>
        </xdr:from>
        <xdr:to>
          <xdr:col>5</xdr:col>
          <xdr:colOff>533400</xdr:colOff>
          <xdr:row>33</xdr:row>
          <xdr:rowOff>373380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5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71</xdr:row>
          <xdr:rowOff>464820</xdr:rowOff>
        </xdr:from>
        <xdr:to>
          <xdr:col>5</xdr:col>
          <xdr:colOff>533400</xdr:colOff>
          <xdr:row>72</xdr:row>
          <xdr:rowOff>106680</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500-00001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82</xdr:row>
          <xdr:rowOff>160020</xdr:rowOff>
        </xdr:from>
        <xdr:to>
          <xdr:col>5</xdr:col>
          <xdr:colOff>533400</xdr:colOff>
          <xdr:row>82</xdr:row>
          <xdr:rowOff>373380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5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89</xdr:row>
          <xdr:rowOff>160020</xdr:rowOff>
        </xdr:from>
        <xdr:to>
          <xdr:col>5</xdr:col>
          <xdr:colOff>533400</xdr:colOff>
          <xdr:row>89</xdr:row>
          <xdr:rowOff>373380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5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97</xdr:row>
          <xdr:rowOff>160020</xdr:rowOff>
        </xdr:from>
        <xdr:to>
          <xdr:col>5</xdr:col>
          <xdr:colOff>533400</xdr:colOff>
          <xdr:row>97</xdr:row>
          <xdr:rowOff>373380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5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81</xdr:row>
          <xdr:rowOff>160020</xdr:rowOff>
        </xdr:from>
        <xdr:to>
          <xdr:col>5</xdr:col>
          <xdr:colOff>533400</xdr:colOff>
          <xdr:row>81</xdr:row>
          <xdr:rowOff>373380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5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403860</xdr:rowOff>
        </xdr:from>
        <xdr:to>
          <xdr:col>5</xdr:col>
          <xdr:colOff>1104900</xdr:colOff>
          <xdr:row>79</xdr:row>
          <xdr:rowOff>160020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5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32</xdr:row>
          <xdr:rowOff>160020</xdr:rowOff>
        </xdr:from>
        <xdr:to>
          <xdr:col>5</xdr:col>
          <xdr:colOff>533400</xdr:colOff>
          <xdr:row>32</xdr:row>
          <xdr:rowOff>373380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5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160020</xdr:rowOff>
        </xdr:from>
        <xdr:to>
          <xdr:col>5</xdr:col>
          <xdr:colOff>533400</xdr:colOff>
          <xdr:row>33</xdr:row>
          <xdr:rowOff>373380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5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71</xdr:row>
          <xdr:rowOff>464820</xdr:rowOff>
        </xdr:from>
        <xdr:to>
          <xdr:col>5</xdr:col>
          <xdr:colOff>533400</xdr:colOff>
          <xdr:row>72</xdr:row>
          <xdr:rowOff>106680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5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82</xdr:row>
          <xdr:rowOff>160020</xdr:rowOff>
        </xdr:from>
        <xdr:to>
          <xdr:col>5</xdr:col>
          <xdr:colOff>533400</xdr:colOff>
          <xdr:row>82</xdr:row>
          <xdr:rowOff>373380</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500-00001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89</xdr:row>
          <xdr:rowOff>160020</xdr:rowOff>
        </xdr:from>
        <xdr:to>
          <xdr:col>5</xdr:col>
          <xdr:colOff>533400</xdr:colOff>
          <xdr:row>89</xdr:row>
          <xdr:rowOff>373380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5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97</xdr:row>
          <xdr:rowOff>160020</xdr:rowOff>
        </xdr:from>
        <xdr:to>
          <xdr:col>5</xdr:col>
          <xdr:colOff>533400</xdr:colOff>
          <xdr:row>97</xdr:row>
          <xdr:rowOff>373380</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500-00001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81</xdr:row>
          <xdr:rowOff>160020</xdr:rowOff>
        </xdr:from>
        <xdr:to>
          <xdr:col>5</xdr:col>
          <xdr:colOff>533400</xdr:colOff>
          <xdr:row>81</xdr:row>
          <xdr:rowOff>373380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5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403860</xdr:rowOff>
        </xdr:from>
        <xdr:to>
          <xdr:col>5</xdr:col>
          <xdr:colOff>1104900</xdr:colOff>
          <xdr:row>79</xdr:row>
          <xdr:rowOff>160020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500-00001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xdr:colOff>
          <xdr:row>32</xdr:row>
          <xdr:rowOff>160020</xdr:rowOff>
        </xdr:from>
        <xdr:to>
          <xdr:col>5</xdr:col>
          <xdr:colOff>533400</xdr:colOff>
          <xdr:row>32</xdr:row>
          <xdr:rowOff>373380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6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160020</xdr:rowOff>
        </xdr:from>
        <xdr:to>
          <xdr:col>5</xdr:col>
          <xdr:colOff>533400</xdr:colOff>
          <xdr:row>33</xdr:row>
          <xdr:rowOff>373380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6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71</xdr:row>
          <xdr:rowOff>464820</xdr:rowOff>
        </xdr:from>
        <xdr:to>
          <xdr:col>5</xdr:col>
          <xdr:colOff>533400</xdr:colOff>
          <xdr:row>72</xdr:row>
          <xdr:rowOff>106680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6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82</xdr:row>
          <xdr:rowOff>160020</xdr:rowOff>
        </xdr:from>
        <xdr:to>
          <xdr:col>5</xdr:col>
          <xdr:colOff>533400</xdr:colOff>
          <xdr:row>82</xdr:row>
          <xdr:rowOff>373380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6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89</xdr:row>
          <xdr:rowOff>160020</xdr:rowOff>
        </xdr:from>
        <xdr:to>
          <xdr:col>5</xdr:col>
          <xdr:colOff>533400</xdr:colOff>
          <xdr:row>89</xdr:row>
          <xdr:rowOff>373380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6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97</xdr:row>
          <xdr:rowOff>160020</xdr:rowOff>
        </xdr:from>
        <xdr:to>
          <xdr:col>5</xdr:col>
          <xdr:colOff>533400</xdr:colOff>
          <xdr:row>97</xdr:row>
          <xdr:rowOff>373380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6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81</xdr:row>
          <xdr:rowOff>160020</xdr:rowOff>
        </xdr:from>
        <xdr:to>
          <xdr:col>5</xdr:col>
          <xdr:colOff>533400</xdr:colOff>
          <xdr:row>81</xdr:row>
          <xdr:rowOff>373380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6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403860</xdr:rowOff>
        </xdr:from>
        <xdr:to>
          <xdr:col>5</xdr:col>
          <xdr:colOff>1104900</xdr:colOff>
          <xdr:row>79</xdr:row>
          <xdr:rowOff>160020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6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32</xdr:row>
          <xdr:rowOff>160020</xdr:rowOff>
        </xdr:from>
        <xdr:to>
          <xdr:col>5</xdr:col>
          <xdr:colOff>533400</xdr:colOff>
          <xdr:row>32</xdr:row>
          <xdr:rowOff>373380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6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160020</xdr:rowOff>
        </xdr:from>
        <xdr:to>
          <xdr:col>5</xdr:col>
          <xdr:colOff>533400</xdr:colOff>
          <xdr:row>33</xdr:row>
          <xdr:rowOff>373380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6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71</xdr:row>
          <xdr:rowOff>464820</xdr:rowOff>
        </xdr:from>
        <xdr:to>
          <xdr:col>5</xdr:col>
          <xdr:colOff>533400</xdr:colOff>
          <xdr:row>72</xdr:row>
          <xdr:rowOff>106680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6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82</xdr:row>
          <xdr:rowOff>160020</xdr:rowOff>
        </xdr:from>
        <xdr:to>
          <xdr:col>5</xdr:col>
          <xdr:colOff>533400</xdr:colOff>
          <xdr:row>82</xdr:row>
          <xdr:rowOff>373380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6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89</xdr:row>
          <xdr:rowOff>160020</xdr:rowOff>
        </xdr:from>
        <xdr:to>
          <xdr:col>5</xdr:col>
          <xdr:colOff>533400</xdr:colOff>
          <xdr:row>89</xdr:row>
          <xdr:rowOff>373380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6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97</xdr:row>
          <xdr:rowOff>160020</xdr:rowOff>
        </xdr:from>
        <xdr:to>
          <xdr:col>5</xdr:col>
          <xdr:colOff>533400</xdr:colOff>
          <xdr:row>97</xdr:row>
          <xdr:rowOff>373380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6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81</xdr:row>
          <xdr:rowOff>160020</xdr:rowOff>
        </xdr:from>
        <xdr:to>
          <xdr:col>5</xdr:col>
          <xdr:colOff>533400</xdr:colOff>
          <xdr:row>81</xdr:row>
          <xdr:rowOff>373380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6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77</xdr:row>
          <xdr:rowOff>403860</xdr:rowOff>
        </xdr:from>
        <xdr:to>
          <xdr:col>5</xdr:col>
          <xdr:colOff>1104900</xdr:colOff>
          <xdr:row>79</xdr:row>
          <xdr:rowOff>160020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6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60960</xdr:colOff>
          <xdr:row>29</xdr:row>
          <xdr:rowOff>160020</xdr:rowOff>
        </xdr:from>
        <xdr:to>
          <xdr:col>5</xdr:col>
          <xdr:colOff>533400</xdr:colOff>
          <xdr:row>29</xdr:row>
          <xdr:rowOff>373380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7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30</xdr:row>
          <xdr:rowOff>160020</xdr:rowOff>
        </xdr:from>
        <xdr:to>
          <xdr:col>5</xdr:col>
          <xdr:colOff>533400</xdr:colOff>
          <xdr:row>30</xdr:row>
          <xdr:rowOff>373380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7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68</xdr:row>
          <xdr:rowOff>464820</xdr:rowOff>
        </xdr:from>
        <xdr:to>
          <xdr:col>5</xdr:col>
          <xdr:colOff>533400</xdr:colOff>
          <xdr:row>69</xdr:row>
          <xdr:rowOff>106680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7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79</xdr:row>
          <xdr:rowOff>160020</xdr:rowOff>
        </xdr:from>
        <xdr:to>
          <xdr:col>5</xdr:col>
          <xdr:colOff>533400</xdr:colOff>
          <xdr:row>79</xdr:row>
          <xdr:rowOff>373380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7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86</xdr:row>
          <xdr:rowOff>160020</xdr:rowOff>
        </xdr:from>
        <xdr:to>
          <xdr:col>5</xdr:col>
          <xdr:colOff>533400</xdr:colOff>
          <xdr:row>86</xdr:row>
          <xdr:rowOff>373380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7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94</xdr:row>
          <xdr:rowOff>160020</xdr:rowOff>
        </xdr:from>
        <xdr:to>
          <xdr:col>5</xdr:col>
          <xdr:colOff>533400</xdr:colOff>
          <xdr:row>94</xdr:row>
          <xdr:rowOff>373380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7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78</xdr:row>
          <xdr:rowOff>160020</xdr:rowOff>
        </xdr:from>
        <xdr:to>
          <xdr:col>5</xdr:col>
          <xdr:colOff>533400</xdr:colOff>
          <xdr:row>78</xdr:row>
          <xdr:rowOff>373380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7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75</xdr:row>
          <xdr:rowOff>274320</xdr:rowOff>
        </xdr:from>
        <xdr:to>
          <xdr:col>5</xdr:col>
          <xdr:colOff>579120</xdr:colOff>
          <xdr:row>75</xdr:row>
          <xdr:rowOff>480060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7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data\greenstar\jchapa\Desktop\Green%20Star-%20Multi%20Unit%20Residential%20v1%20(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d-data\greenstar\GS%20Custom\03%20Pilot\01%20Tool%20Development\05%20Excel\Excel%20-%20Calculators\Green%20Star%20-%20Calculators%20Mixed%20use%20unlocked%20revis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d-data\greenstar\Green%20Star%20Rating%20System\Green%20Star%20-%20Office%20As%20Built\Version%202\Excel%20Tool\Green%20Star%20-%20Office%20As%20Built%20v2%20WI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Ene-Con Calculator"/>
      <sheetName val="GHG Emissions Calculator"/>
      <sheetName val="Transport"/>
      <sheetName val="Mass Transport Calculator"/>
      <sheetName val="Water"/>
      <sheetName val="Potable Water Calculator"/>
      <sheetName val="Materials"/>
      <sheetName val="Flooring Calculator"/>
      <sheetName val="Joinery Calculator"/>
      <sheetName val="Internal Walls Calculator"/>
      <sheetName val="Land Use &amp; Ecology"/>
      <sheetName val="Ecology Calculator"/>
      <sheetName val="Emissions"/>
      <sheetName val="Sewage Calculator"/>
      <sheetName val="Innovation"/>
      <sheetName val="Credit Summary"/>
      <sheetName val="Graphical Summary"/>
      <sheetName val="Changelog"/>
      <sheetName val="Changelog_internal"/>
      <sheetName val="Calculation hidden"/>
      <sheetName val="Green Star- Multi Unit Resident"/>
      <sheetName val="Sheet1"/>
      <sheetName val="hidd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Disclaimer"/>
      <sheetName val="Building Input"/>
      <sheetName val="Summary"/>
      <sheetName val="Residential Ene-Con Calculator"/>
      <sheetName val="Residential Ene-1 Calculator"/>
      <sheetName val="GHG Emissions Calculator"/>
      <sheetName val="Potable Water Calculator"/>
      <sheetName val="Mass Transport Calculator"/>
      <sheetName val="Sewage Calculator"/>
      <sheetName val="Flooring Calculator"/>
      <sheetName val="Assemblies Calculator"/>
      <sheetName val="Furniture Calculator"/>
      <sheetName val="Ecology Calculator"/>
      <sheetName val="Calculation hidden"/>
      <sheetName val="Impact Categories Calculator"/>
      <sheetName val="hidden"/>
      <sheetName val="Changelo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Performance">
      <a:dk1>
        <a:srgbClr val="3F4450"/>
      </a:dk1>
      <a:lt1>
        <a:srgbClr val="FFFFFF"/>
      </a:lt1>
      <a:dk2>
        <a:srgbClr val="56B3D0"/>
      </a:dk2>
      <a:lt2>
        <a:srgbClr val="FFFFFF"/>
      </a:lt2>
      <a:accent1>
        <a:srgbClr val="56B3D0"/>
      </a:accent1>
      <a:accent2>
        <a:srgbClr val="78C2D9"/>
      </a:accent2>
      <a:accent3>
        <a:srgbClr val="AAD9E7"/>
      </a:accent3>
      <a:accent4>
        <a:srgbClr val="CCE8F1"/>
      </a:accent4>
      <a:accent5>
        <a:srgbClr val="3F4450"/>
      </a:accent5>
      <a:accent6>
        <a:srgbClr val="9FA2A7"/>
      </a:accent6>
      <a:hlink>
        <a:srgbClr val="56B3D0"/>
      </a:hlink>
      <a:folHlink>
        <a:srgbClr val="C5C7CA"/>
      </a:folHlink>
    </a:clrScheme>
    <a:fontScheme name="Green Star Corporat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5.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5.xml"/><Relationship Id="rId9" Type="http://schemas.openxmlformats.org/officeDocument/2006/relationships/ctrlProp" Target="../ctrlProps/ctrlProp4.xml"/><Relationship Id="rId1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 Type="http://schemas.openxmlformats.org/officeDocument/2006/relationships/drawing" Target="../drawings/drawing6.xml"/><Relationship Id="rId21" Type="http://schemas.openxmlformats.org/officeDocument/2006/relationships/ctrlProp" Target="../ctrlProps/ctrlProp25.x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2" Type="http://schemas.openxmlformats.org/officeDocument/2006/relationships/printerSettings" Target="../printerSettings/printerSettings17.bin"/><Relationship Id="rId16" Type="http://schemas.openxmlformats.org/officeDocument/2006/relationships/ctrlProp" Target="../ctrlProps/ctrlProp20.xml"/><Relationship Id="rId20" Type="http://schemas.openxmlformats.org/officeDocument/2006/relationships/ctrlProp" Target="../ctrlProps/ctrlProp24.xml"/><Relationship Id="rId29" Type="http://schemas.openxmlformats.org/officeDocument/2006/relationships/comments" Target="../comments2.xml"/><Relationship Id="rId1" Type="http://schemas.openxmlformats.org/officeDocument/2006/relationships/printerSettings" Target="../printerSettings/printerSettings16.bin"/><Relationship Id="rId6" Type="http://schemas.openxmlformats.org/officeDocument/2006/relationships/ctrlProp" Target="../ctrlProps/ctrlProp10.xml"/><Relationship Id="rId11" Type="http://schemas.openxmlformats.org/officeDocument/2006/relationships/ctrlProp" Target="../ctrlProps/ctrlProp15.xml"/><Relationship Id="rId24" Type="http://schemas.openxmlformats.org/officeDocument/2006/relationships/ctrlProp" Target="../ctrlProps/ctrlProp28.xml"/><Relationship Id="rId5" Type="http://schemas.openxmlformats.org/officeDocument/2006/relationships/ctrlProp" Target="../ctrlProps/ctrlProp9.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vmlDrawing" Target="../drawings/vmlDrawing2.v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3" Type="http://schemas.openxmlformats.org/officeDocument/2006/relationships/drawing" Target="../drawings/drawing7.xml"/><Relationship Id="rId21" Type="http://schemas.openxmlformats.org/officeDocument/2006/relationships/comments" Target="../comments3.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 Type="http://schemas.openxmlformats.org/officeDocument/2006/relationships/printerSettings" Target="../printerSettings/printerSettings19.bin"/><Relationship Id="rId16" Type="http://schemas.openxmlformats.org/officeDocument/2006/relationships/ctrlProp" Target="../ctrlProps/ctrlProp44.xml"/><Relationship Id="rId20" Type="http://schemas.openxmlformats.org/officeDocument/2006/relationships/ctrlProp" Target="../ctrlProps/ctrlProp48.xml"/><Relationship Id="rId1" Type="http://schemas.openxmlformats.org/officeDocument/2006/relationships/printerSettings" Target="../printerSettings/printerSettings18.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5" Type="http://schemas.openxmlformats.org/officeDocument/2006/relationships/ctrlProp" Target="../ctrlProps/ctrlProp43.xml"/><Relationship Id="rId10" Type="http://schemas.openxmlformats.org/officeDocument/2006/relationships/ctrlProp" Target="../ctrlProps/ctrlProp38.xml"/><Relationship Id="rId19" Type="http://schemas.openxmlformats.org/officeDocument/2006/relationships/ctrlProp" Target="../ctrlProps/ctrlProp47.xml"/><Relationship Id="rId4" Type="http://schemas.openxmlformats.org/officeDocument/2006/relationships/vmlDrawing" Target="../drawings/vmlDrawing3.vml"/><Relationship Id="rId9" Type="http://schemas.openxmlformats.org/officeDocument/2006/relationships/ctrlProp" Target="../ctrlProps/ctrlProp37.xml"/><Relationship Id="rId14" Type="http://schemas.openxmlformats.org/officeDocument/2006/relationships/ctrlProp" Target="../ctrlProps/ctrlProp4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printerSettings" Target="../printerSettings/printerSettings22.bin"/><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vmlDrawing" Target="../drawings/vmlDrawing4.vml"/><Relationship Id="rId10" Type="http://schemas.openxmlformats.org/officeDocument/2006/relationships/ctrlProp" Target="../ctrlProps/ctrlProp53.xml"/><Relationship Id="rId4" Type="http://schemas.openxmlformats.org/officeDocument/2006/relationships/drawing" Target="../drawings/drawing8.xml"/><Relationship Id="rId9" Type="http://schemas.openxmlformats.org/officeDocument/2006/relationships/ctrlProp" Target="../ctrlProps/ctrlProp52.xml"/><Relationship Id="rId1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34"/>
  <sheetViews>
    <sheetView showGridLines="0" showRowColHeaders="0" zoomScaleNormal="100" workbookViewId="0">
      <selection activeCell="E8" sqref="E8"/>
    </sheetView>
  </sheetViews>
  <sheetFormatPr defaultColWidth="7.875" defaultRowHeight="13.15"/>
  <cols>
    <col min="1" max="1" width="3" style="2" customWidth="1"/>
    <col min="2" max="2" width="102.625" style="2" customWidth="1"/>
    <col min="3" max="16384" width="7.875" style="2"/>
  </cols>
  <sheetData>
    <row r="1" spans="2:2" ht="17.25" customHeight="1"/>
    <row r="2" spans="2:2" ht="144" customHeight="1"/>
    <row r="3" spans="2:2" ht="22.5" customHeight="1">
      <c r="B3" s="3" t="s">
        <v>0</v>
      </c>
    </row>
    <row r="4" spans="2:2" ht="14.45">
      <c r="B4" s="4"/>
    </row>
    <row r="5" spans="2:2" ht="14.45">
      <c r="B5" s="5"/>
    </row>
    <row r="6" spans="2:2" ht="13.9">
      <c r="B6" s="6"/>
    </row>
    <row r="7" spans="2:2" ht="13.9">
      <c r="B7" s="6"/>
    </row>
    <row r="8" spans="2:2" ht="13.9">
      <c r="B8" s="7"/>
    </row>
    <row r="9" spans="2:2" ht="13.9">
      <c r="B9" s="7"/>
    </row>
    <row r="10" spans="2:2" ht="13.9">
      <c r="B10" s="7"/>
    </row>
    <row r="11" spans="2:2" ht="13.9">
      <c r="B11" s="7"/>
    </row>
    <row r="12" spans="2:2" ht="13.9">
      <c r="B12" s="7"/>
    </row>
    <row r="13" spans="2:2" ht="13.9">
      <c r="B13" s="7"/>
    </row>
    <row r="14" spans="2:2" ht="13.9">
      <c r="B14" s="7"/>
    </row>
    <row r="15" spans="2:2" ht="13.9">
      <c r="B15" s="7"/>
    </row>
    <row r="16" spans="2:2" ht="13.9">
      <c r="B16" s="7"/>
    </row>
    <row r="17" spans="2:2" ht="13.9">
      <c r="B17" s="7"/>
    </row>
    <row r="18" spans="2:2" ht="13.9">
      <c r="B18" s="7"/>
    </row>
    <row r="19" spans="2:2" ht="13.9">
      <c r="B19" s="8"/>
    </row>
    <row r="20" spans="2:2" ht="13.9">
      <c r="B20" s="7"/>
    </row>
    <row r="21" spans="2:2" ht="13.9">
      <c r="B21" s="8"/>
    </row>
    <row r="22" spans="2:2" ht="13.9">
      <c r="B22" s="7"/>
    </row>
    <row r="23" spans="2:2" ht="13.9">
      <c r="B23" s="8"/>
    </row>
    <row r="24" spans="2:2" ht="13.9">
      <c r="B24" s="8"/>
    </row>
    <row r="25" spans="2:2" ht="13.9">
      <c r="B25" s="8"/>
    </row>
    <row r="26" spans="2:2" ht="13.9">
      <c r="B26" s="8"/>
    </row>
    <row r="27" spans="2:2">
      <c r="B27" s="9"/>
    </row>
    <row r="28" spans="2:2">
      <c r="B28" s="9"/>
    </row>
    <row r="29" spans="2:2">
      <c r="B29" s="9"/>
    </row>
    <row r="34" spans="3:3">
      <c r="C34" s="10"/>
    </row>
  </sheetData>
  <sheetProtection algorithmName="SHA-512" hashValue="4l2ajFAaIp/+xtdFR8fYdG3GXS4M1nDH9pdOcUfKzrH6vSGE/43YMfonniDf/h0tidaN6hedbbP+1TRd6QAxdg==" saltValue="ZzCr4RDJLUWM5jYz3CDbow==" spinCount="100000" sheet="1" objects="1" scenarios="1" selectLockedCells="1" selectUnlockedCells="1"/>
  <customSheetViews>
    <customSheetView guid="{E345A537-ABE6-4DCD-97C2-C197481B2A31}" showGridLines="0" showRowCol="0" fitToPage="1">
      <selection activeCell="E8" sqref="E8"/>
      <pageMargins left="0" right="0" top="0" bottom="0" header="0" footer="0"/>
      <pageSetup paperSize="9" scale="78" orientation="portrait" horizontalDpi="1200" verticalDpi="1200" r:id="rId1"/>
    </customSheetView>
    <customSheetView guid="{3F24B786-6082-4FC5-9BB6-BFF2D0E27157}" showGridLines="0" showRowCol="0" fitToPage="1">
      <selection activeCell="E8" sqref="E8"/>
      <pageMargins left="0" right="0" top="0" bottom="0" header="0" footer="0"/>
      <pageSetup paperSize="9" scale="75" orientation="portrait" horizontalDpi="1200" verticalDpi="1200" r:id="rId2"/>
    </customSheetView>
  </customSheetViews>
  <pageMargins left="0.70866141732283472" right="0.70866141732283472" top="0.74803149606299213" bottom="0.74803149606299213" header="0.31496062992125984" footer="0.31496062992125984"/>
  <pageSetup paperSize="9" scale="78"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2"/>
  <sheetViews>
    <sheetView showGridLines="0" showRowColHeaders="0" zoomScaleNormal="100" workbookViewId="0">
      <selection activeCell="D7" sqref="D7:H7"/>
    </sheetView>
  </sheetViews>
  <sheetFormatPr defaultColWidth="7.875" defaultRowHeight="13.15"/>
  <cols>
    <col min="1" max="1" width="3.375" style="208" customWidth="1"/>
    <col min="2" max="2" width="22.75" style="208" customWidth="1"/>
    <col min="3" max="3" width="17.875" style="208" bestFit="1" customWidth="1"/>
    <col min="4" max="4" width="5.625" style="227" bestFit="1" customWidth="1"/>
    <col min="5" max="5" width="7.5" style="227" bestFit="1" customWidth="1"/>
    <col min="6" max="6" width="7.375" style="227" bestFit="1" customWidth="1"/>
    <col min="7" max="7" width="16.25" style="227" bestFit="1" customWidth="1"/>
    <col min="8" max="8" width="22.125" style="227" customWidth="1"/>
    <col min="9" max="11" width="50.625" style="227" customWidth="1"/>
    <col min="12" max="13" width="7.875" style="227"/>
    <col min="14" max="14" width="8.25" style="227" bestFit="1" customWidth="1"/>
    <col min="15" max="16384" width="7.875" style="227"/>
  </cols>
  <sheetData>
    <row r="1" spans="2:14" s="208" customFormat="1" ht="148.5" customHeight="1">
      <c r="B1" s="364"/>
      <c r="C1" s="365"/>
      <c r="D1" s="365"/>
      <c r="M1" s="227"/>
      <c r="N1" s="227"/>
    </row>
    <row r="2" spans="2:14" s="208" customFormat="1" ht="84" customHeight="1">
      <c r="B2" s="368" t="s">
        <v>1</v>
      </c>
      <c r="C2" s="368"/>
      <c r="D2" s="368"/>
      <c r="E2" s="368"/>
      <c r="F2" s="368"/>
      <c r="G2" s="368"/>
      <c r="H2" s="368"/>
      <c r="I2" s="209"/>
      <c r="M2" s="227"/>
      <c r="N2" s="227"/>
    </row>
    <row r="3" spans="2:14" s="210" customFormat="1">
      <c r="B3" s="208"/>
      <c r="C3" s="208"/>
      <c r="D3" s="208"/>
      <c r="E3" s="208"/>
      <c r="F3" s="208"/>
      <c r="G3" s="208"/>
      <c r="H3" s="208"/>
      <c r="I3" s="208"/>
      <c r="M3" s="308"/>
      <c r="N3" s="308"/>
    </row>
    <row r="4" spans="2:14" s="210" customFormat="1" ht="30" customHeight="1">
      <c r="B4" s="211" t="s">
        <v>2</v>
      </c>
      <c r="C4" s="211"/>
      <c r="D4" s="211"/>
      <c r="E4" s="211"/>
      <c r="F4" s="211"/>
      <c r="G4" s="211"/>
      <c r="H4" s="211"/>
      <c r="I4" s="212"/>
      <c r="M4" s="308"/>
      <c r="N4" s="308"/>
    </row>
    <row r="5" spans="2:14" s="208" customFormat="1" ht="22.5" customHeight="1">
      <c r="B5" s="213"/>
      <c r="C5" s="214"/>
      <c r="D5" s="214"/>
      <c r="E5" s="215"/>
      <c r="F5" s="215"/>
      <c r="G5" s="210"/>
      <c r="H5" s="210"/>
      <c r="I5" s="212"/>
      <c r="M5" s="227"/>
      <c r="N5" s="227"/>
    </row>
    <row r="6" spans="2:14" s="208" customFormat="1" ht="30" customHeight="1">
      <c r="B6" s="216"/>
      <c r="C6" s="433" t="s">
        <v>3</v>
      </c>
      <c r="D6" s="434" t="s">
        <v>4</v>
      </c>
      <c r="E6" s="371"/>
      <c r="F6" s="371"/>
      <c r="G6" s="371"/>
      <c r="H6" s="372"/>
      <c r="I6" s="356"/>
      <c r="M6" s="227"/>
      <c r="N6" s="227"/>
    </row>
    <row r="7" spans="2:14" s="208" customFormat="1" ht="88.5" customHeight="1">
      <c r="B7" s="373" t="s">
        <v>5</v>
      </c>
      <c r="C7" s="217" t="s">
        <v>6</v>
      </c>
      <c r="D7" s="435" t="s">
        <v>7</v>
      </c>
      <c r="E7" s="369"/>
      <c r="F7" s="369"/>
      <c r="G7" s="369"/>
      <c r="H7" s="370"/>
      <c r="I7" s="212"/>
      <c r="M7" s="227"/>
      <c r="N7" s="227"/>
    </row>
    <row r="8" spans="2:14" s="208" customFormat="1" ht="105" customHeight="1">
      <c r="B8" s="366"/>
      <c r="C8" s="217" t="s">
        <v>8</v>
      </c>
      <c r="D8" s="435" t="s">
        <v>9</v>
      </c>
      <c r="E8" s="369"/>
      <c r="F8" s="369"/>
      <c r="G8" s="369"/>
      <c r="H8" s="370"/>
      <c r="I8" s="212"/>
      <c r="M8" s="227"/>
      <c r="N8" s="227"/>
    </row>
    <row r="9" spans="2:14" s="208" customFormat="1" ht="27.6" customHeight="1">
      <c r="B9" s="366"/>
      <c r="C9" s="217" t="s">
        <v>10</v>
      </c>
      <c r="D9" s="435" t="s">
        <v>11</v>
      </c>
      <c r="E9" s="369"/>
      <c r="F9" s="369"/>
      <c r="G9" s="369"/>
      <c r="H9" s="370"/>
      <c r="I9" s="212"/>
      <c r="M9" s="227"/>
      <c r="N9" s="227"/>
    </row>
    <row r="10" spans="2:14" s="208" customFormat="1" ht="50.1" customHeight="1">
      <c r="B10" s="366"/>
      <c r="C10" s="217" t="s">
        <v>12</v>
      </c>
      <c r="D10" s="435" t="s">
        <v>13</v>
      </c>
      <c r="E10" s="369"/>
      <c r="F10" s="369"/>
      <c r="G10" s="369"/>
      <c r="H10" s="370"/>
      <c r="I10" s="212"/>
      <c r="M10" s="227"/>
      <c r="N10" s="227"/>
    </row>
    <row r="11" spans="2:14" s="208" customFormat="1" ht="39.950000000000003" customHeight="1">
      <c r="B11" s="367"/>
      <c r="C11" s="217" t="s">
        <v>14</v>
      </c>
      <c r="D11" s="435" t="s">
        <v>15</v>
      </c>
      <c r="E11" s="369"/>
      <c r="F11" s="369"/>
      <c r="G11" s="369"/>
      <c r="H11" s="370"/>
      <c r="I11" s="212"/>
      <c r="M11" s="227"/>
      <c r="N11" s="227"/>
    </row>
    <row r="12" spans="2:14" s="208" customFormat="1" ht="30" customHeight="1">
      <c r="B12" s="218" t="s">
        <v>16</v>
      </c>
      <c r="C12" s="217" t="s">
        <v>17</v>
      </c>
      <c r="D12" s="435" t="s">
        <v>18</v>
      </c>
      <c r="E12" s="369"/>
      <c r="F12" s="369"/>
      <c r="G12" s="369"/>
      <c r="H12" s="370"/>
      <c r="I12" s="212"/>
      <c r="M12" s="227"/>
      <c r="N12" s="227"/>
    </row>
    <row r="13" spans="2:14" s="208" customFormat="1" ht="30" customHeight="1">
      <c r="B13" s="373" t="s">
        <v>19</v>
      </c>
      <c r="C13" s="217" t="s">
        <v>20</v>
      </c>
      <c r="D13" s="435" t="s">
        <v>21</v>
      </c>
      <c r="E13" s="369"/>
      <c r="F13" s="369"/>
      <c r="G13" s="369"/>
      <c r="H13" s="370"/>
      <c r="I13" s="212"/>
      <c r="M13" s="227"/>
      <c r="N13" s="227"/>
    </row>
    <row r="14" spans="2:14" s="208" customFormat="1" ht="30" customHeight="1">
      <c r="B14" s="366"/>
      <c r="C14" s="217" t="s">
        <v>22</v>
      </c>
      <c r="D14" s="435" t="s">
        <v>23</v>
      </c>
      <c r="E14" s="369"/>
      <c r="F14" s="369"/>
      <c r="G14" s="369"/>
      <c r="H14" s="370"/>
      <c r="I14" s="212"/>
      <c r="M14" s="227"/>
      <c r="N14" s="227"/>
    </row>
    <row r="15" spans="2:14" s="208" customFormat="1" ht="140.1" customHeight="1">
      <c r="B15" s="366"/>
      <c r="C15" s="217" t="s">
        <v>24</v>
      </c>
      <c r="D15" s="435" t="s">
        <v>25</v>
      </c>
      <c r="E15" s="369"/>
      <c r="F15" s="369"/>
      <c r="G15" s="369"/>
      <c r="H15" s="370"/>
      <c r="I15" s="212"/>
      <c r="M15" s="227"/>
      <c r="N15" s="227"/>
    </row>
    <row r="16" spans="2:14" s="208" customFormat="1" ht="22.5" customHeight="1">
      <c r="B16" s="367"/>
      <c r="C16" s="217" t="s">
        <v>26</v>
      </c>
      <c r="D16" s="435" t="s">
        <v>27</v>
      </c>
      <c r="E16" s="369"/>
      <c r="F16" s="369"/>
      <c r="G16" s="369"/>
      <c r="H16" s="370"/>
      <c r="I16" s="212"/>
      <c r="M16" s="227"/>
      <c r="N16" s="227"/>
    </row>
    <row r="17" spans="1:14" s="208" customFormat="1" ht="13.9">
      <c r="I17" s="212"/>
      <c r="M17" s="227"/>
      <c r="N17" s="227"/>
    </row>
    <row r="18" spans="1:14" s="208" customFormat="1" ht="13.9">
      <c r="I18" s="212"/>
      <c r="M18" s="227"/>
      <c r="N18" s="227"/>
    </row>
    <row r="19" spans="1:14" s="208" customFormat="1" ht="13.9">
      <c r="I19" s="212"/>
      <c r="M19" s="227"/>
      <c r="N19" s="227"/>
    </row>
    <row r="20" spans="1:14" s="222" customFormat="1" ht="21" hidden="1">
      <c r="A20" s="219" t="s">
        <v>28</v>
      </c>
      <c r="B20" s="220" t="s">
        <v>29</v>
      </c>
      <c r="C20" s="220"/>
      <c r="D20" s="220"/>
      <c r="E20" s="220"/>
      <c r="F20" s="220"/>
      <c r="G20" s="220"/>
      <c r="H20" s="220"/>
      <c r="I20" s="220"/>
      <c r="J20" s="221"/>
      <c r="K20" s="221"/>
      <c r="M20" s="309"/>
      <c r="N20" s="309"/>
    </row>
    <row r="21" spans="1:14" s="222" customFormat="1" hidden="1">
      <c r="A21" s="219" t="s">
        <v>28</v>
      </c>
      <c r="B21" s="338" t="s">
        <v>30</v>
      </c>
      <c r="C21" s="339" t="s">
        <v>31</v>
      </c>
      <c r="D21" s="339" t="s">
        <v>32</v>
      </c>
      <c r="E21" s="339" t="s">
        <v>33</v>
      </c>
      <c r="F21" s="339" t="s">
        <v>34</v>
      </c>
      <c r="G21" s="339" t="s">
        <v>35</v>
      </c>
      <c r="H21" s="339" t="s">
        <v>36</v>
      </c>
      <c r="I21" s="338" t="s">
        <v>37</v>
      </c>
      <c r="J21" s="338" t="s">
        <v>38</v>
      </c>
      <c r="K21" s="338" t="s">
        <v>39</v>
      </c>
      <c r="M21" s="309"/>
      <c r="N21" s="309"/>
    </row>
    <row r="22" spans="1:14" s="222" customFormat="1" hidden="1">
      <c r="A22" s="219" t="s">
        <v>28</v>
      </c>
      <c r="B22" s="340" t="s">
        <v>40</v>
      </c>
      <c r="C22" s="341">
        <v>43066</v>
      </c>
      <c r="D22" s="340" t="s">
        <v>41</v>
      </c>
      <c r="E22" s="340" t="s">
        <v>42</v>
      </c>
      <c r="F22" s="340" t="s">
        <v>41</v>
      </c>
      <c r="G22" s="342" t="s">
        <v>43</v>
      </c>
      <c r="H22" s="342" t="s">
        <v>44</v>
      </c>
      <c r="I22" s="343" t="s">
        <v>45</v>
      </c>
      <c r="J22" s="343" t="s">
        <v>46</v>
      </c>
      <c r="K22" s="344" t="s">
        <v>47</v>
      </c>
      <c r="M22" s="309"/>
      <c r="N22" s="309"/>
    </row>
    <row r="23" spans="1:14" s="222" customFormat="1" hidden="1">
      <c r="A23" s="219" t="s">
        <v>28</v>
      </c>
      <c r="B23" s="340" t="s">
        <v>40</v>
      </c>
      <c r="C23" s="341">
        <v>43066</v>
      </c>
      <c r="D23" s="340" t="s">
        <v>41</v>
      </c>
      <c r="E23" s="340" t="s">
        <v>42</v>
      </c>
      <c r="F23" s="340" t="s">
        <v>41</v>
      </c>
      <c r="G23" s="342" t="s">
        <v>43</v>
      </c>
      <c r="H23" s="342" t="s">
        <v>48</v>
      </c>
      <c r="I23" s="343" t="s">
        <v>49</v>
      </c>
      <c r="J23" s="343" t="s">
        <v>46</v>
      </c>
      <c r="K23" s="344" t="s">
        <v>50</v>
      </c>
      <c r="M23" s="309"/>
      <c r="N23" s="309"/>
    </row>
    <row r="24" spans="1:14" s="208" customFormat="1" hidden="1">
      <c r="A24" s="219" t="s">
        <v>28</v>
      </c>
      <c r="B24" s="340" t="s">
        <v>40</v>
      </c>
      <c r="C24" s="341">
        <v>43066</v>
      </c>
      <c r="D24" s="340" t="s">
        <v>41</v>
      </c>
      <c r="E24" s="340" t="s">
        <v>42</v>
      </c>
      <c r="F24" s="340" t="s">
        <v>41</v>
      </c>
      <c r="G24" s="342" t="s">
        <v>51</v>
      </c>
      <c r="H24" s="342" t="s">
        <v>52</v>
      </c>
      <c r="I24" s="343" t="s">
        <v>53</v>
      </c>
      <c r="J24" s="343" t="s">
        <v>46</v>
      </c>
      <c r="K24" s="344" t="s">
        <v>54</v>
      </c>
      <c r="M24" s="227"/>
      <c r="N24" s="227"/>
    </row>
    <row r="25" spans="1:14" s="208" customFormat="1" hidden="1">
      <c r="A25" s="219" t="s">
        <v>28</v>
      </c>
      <c r="B25" s="340" t="s">
        <v>40</v>
      </c>
      <c r="C25" s="341">
        <v>43066</v>
      </c>
      <c r="D25" s="340" t="s">
        <v>41</v>
      </c>
      <c r="E25" s="340" t="s">
        <v>42</v>
      </c>
      <c r="F25" s="340" t="s">
        <v>41</v>
      </c>
      <c r="G25" s="342" t="s">
        <v>51</v>
      </c>
      <c r="H25" s="342" t="s">
        <v>55</v>
      </c>
      <c r="I25" s="343" t="s">
        <v>56</v>
      </c>
      <c r="J25" s="343" t="s">
        <v>46</v>
      </c>
      <c r="K25" s="344" t="s">
        <v>54</v>
      </c>
      <c r="M25" s="227"/>
      <c r="N25" s="227"/>
    </row>
    <row r="26" spans="1:14" s="208" customFormat="1" hidden="1">
      <c r="A26" s="219" t="s">
        <v>28</v>
      </c>
      <c r="B26" s="340" t="s">
        <v>40</v>
      </c>
      <c r="C26" s="341">
        <v>43066</v>
      </c>
      <c r="D26" s="340" t="s">
        <v>41</v>
      </c>
      <c r="E26" s="340" t="s">
        <v>42</v>
      </c>
      <c r="F26" s="340" t="s">
        <v>41</v>
      </c>
      <c r="G26" s="342" t="s">
        <v>51</v>
      </c>
      <c r="H26" s="342" t="s">
        <v>57</v>
      </c>
      <c r="I26" s="343" t="s">
        <v>58</v>
      </c>
      <c r="J26" s="343" t="s">
        <v>46</v>
      </c>
      <c r="K26" s="344" t="s">
        <v>54</v>
      </c>
      <c r="M26" s="227"/>
      <c r="N26" s="227"/>
    </row>
    <row r="27" spans="1:14" s="208" customFormat="1" hidden="1">
      <c r="A27" s="219" t="s">
        <v>28</v>
      </c>
      <c r="B27" s="340" t="s">
        <v>40</v>
      </c>
      <c r="C27" s="341">
        <v>43066</v>
      </c>
      <c r="D27" s="340" t="s">
        <v>41</v>
      </c>
      <c r="E27" s="340" t="s">
        <v>42</v>
      </c>
      <c r="F27" s="340" t="s">
        <v>41</v>
      </c>
      <c r="G27" s="342" t="s">
        <v>51</v>
      </c>
      <c r="H27" s="342" t="s">
        <v>59</v>
      </c>
      <c r="I27" s="343" t="s">
        <v>60</v>
      </c>
      <c r="J27" s="343" t="s">
        <v>46</v>
      </c>
      <c r="K27" s="344" t="s">
        <v>54</v>
      </c>
      <c r="M27" s="227"/>
      <c r="N27" s="227"/>
    </row>
    <row r="28" spans="1:14" s="208" customFormat="1" hidden="1">
      <c r="A28" s="219" t="s">
        <v>28</v>
      </c>
      <c r="B28" s="340" t="s">
        <v>40</v>
      </c>
      <c r="C28" s="341">
        <v>43066</v>
      </c>
      <c r="D28" s="340" t="s">
        <v>41</v>
      </c>
      <c r="E28" s="340" t="s">
        <v>42</v>
      </c>
      <c r="F28" s="340" t="s">
        <v>41</v>
      </c>
      <c r="G28" s="342" t="s">
        <v>51</v>
      </c>
      <c r="H28" s="342" t="s">
        <v>61</v>
      </c>
      <c r="I28" s="345" t="s">
        <v>62</v>
      </c>
      <c r="J28" s="343" t="s">
        <v>46</v>
      </c>
      <c r="K28" s="344" t="s">
        <v>54</v>
      </c>
      <c r="M28" s="227"/>
      <c r="N28" s="227"/>
    </row>
    <row r="29" spans="1:14" s="208" customFormat="1" hidden="1">
      <c r="A29" s="219" t="s">
        <v>28</v>
      </c>
      <c r="B29" s="340" t="s">
        <v>40</v>
      </c>
      <c r="C29" s="341">
        <v>43066</v>
      </c>
      <c r="D29" s="340" t="s">
        <v>41</v>
      </c>
      <c r="E29" s="340" t="s">
        <v>42</v>
      </c>
      <c r="F29" s="340" t="s">
        <v>41</v>
      </c>
      <c r="G29" s="342" t="s">
        <v>63</v>
      </c>
      <c r="H29" s="342" t="s">
        <v>64</v>
      </c>
      <c r="I29" s="343" t="s">
        <v>53</v>
      </c>
      <c r="J29" s="343" t="s">
        <v>46</v>
      </c>
      <c r="K29" s="344" t="s">
        <v>54</v>
      </c>
      <c r="M29" s="227"/>
      <c r="N29" s="227"/>
    </row>
    <row r="30" spans="1:14" s="208" customFormat="1" hidden="1">
      <c r="A30" s="219" t="s">
        <v>28</v>
      </c>
      <c r="B30" s="340" t="s">
        <v>40</v>
      </c>
      <c r="C30" s="341">
        <v>43066</v>
      </c>
      <c r="D30" s="340" t="s">
        <v>41</v>
      </c>
      <c r="E30" s="340" t="s">
        <v>42</v>
      </c>
      <c r="F30" s="340" t="s">
        <v>41</v>
      </c>
      <c r="G30" s="342" t="s">
        <v>63</v>
      </c>
      <c r="H30" s="342" t="s">
        <v>65</v>
      </c>
      <c r="I30" s="343" t="s">
        <v>56</v>
      </c>
      <c r="J30" s="343" t="s">
        <v>46</v>
      </c>
      <c r="K30" s="344" t="s">
        <v>54</v>
      </c>
      <c r="M30" s="227"/>
      <c r="N30" s="227"/>
    </row>
    <row r="31" spans="1:14" s="208" customFormat="1" hidden="1">
      <c r="A31" s="219" t="s">
        <v>28</v>
      </c>
      <c r="B31" s="340" t="s">
        <v>40</v>
      </c>
      <c r="C31" s="341">
        <v>43066</v>
      </c>
      <c r="D31" s="340" t="s">
        <v>41</v>
      </c>
      <c r="E31" s="340" t="s">
        <v>42</v>
      </c>
      <c r="F31" s="340" t="s">
        <v>41</v>
      </c>
      <c r="G31" s="342" t="s">
        <v>63</v>
      </c>
      <c r="H31" s="342" t="s">
        <v>66</v>
      </c>
      <c r="I31" s="343" t="s">
        <v>58</v>
      </c>
      <c r="J31" s="343" t="s">
        <v>46</v>
      </c>
      <c r="K31" s="344" t="s">
        <v>54</v>
      </c>
      <c r="M31" s="227"/>
      <c r="N31" s="227"/>
    </row>
    <row r="32" spans="1:14" s="208" customFormat="1" hidden="1">
      <c r="A32" s="219" t="s">
        <v>28</v>
      </c>
      <c r="B32" s="340" t="s">
        <v>40</v>
      </c>
      <c r="C32" s="341">
        <v>43066</v>
      </c>
      <c r="D32" s="340" t="s">
        <v>41</v>
      </c>
      <c r="E32" s="340" t="s">
        <v>42</v>
      </c>
      <c r="F32" s="340" t="s">
        <v>41</v>
      </c>
      <c r="G32" s="342" t="s">
        <v>63</v>
      </c>
      <c r="H32" s="342" t="s">
        <v>67</v>
      </c>
      <c r="I32" s="343" t="s">
        <v>68</v>
      </c>
      <c r="J32" s="343" t="s">
        <v>46</v>
      </c>
      <c r="K32" s="344" t="s">
        <v>54</v>
      </c>
      <c r="M32" s="227"/>
      <c r="N32" s="227"/>
    </row>
    <row r="33" spans="1:14" s="208" customFormat="1" hidden="1">
      <c r="A33" s="219" t="s">
        <v>28</v>
      </c>
      <c r="B33" s="340" t="s">
        <v>40</v>
      </c>
      <c r="C33" s="341">
        <v>43066</v>
      </c>
      <c r="D33" s="340" t="s">
        <v>41</v>
      </c>
      <c r="E33" s="340" t="s">
        <v>42</v>
      </c>
      <c r="F33" s="340" t="s">
        <v>41</v>
      </c>
      <c r="G33" s="342" t="s">
        <v>63</v>
      </c>
      <c r="H33" s="342" t="s">
        <v>69</v>
      </c>
      <c r="I33" s="343" t="s">
        <v>70</v>
      </c>
      <c r="J33" s="343" t="s">
        <v>46</v>
      </c>
      <c r="K33" s="344" t="s">
        <v>54</v>
      </c>
      <c r="M33" s="227"/>
      <c r="N33" s="227"/>
    </row>
    <row r="34" spans="1:14" s="208" customFormat="1" hidden="1">
      <c r="A34" s="219" t="s">
        <v>28</v>
      </c>
      <c r="B34" s="340" t="s">
        <v>40</v>
      </c>
      <c r="C34" s="341">
        <v>43066</v>
      </c>
      <c r="D34" s="340" t="s">
        <v>41</v>
      </c>
      <c r="E34" s="340" t="s">
        <v>42</v>
      </c>
      <c r="F34" s="340" t="s">
        <v>41</v>
      </c>
      <c r="G34" s="342" t="s">
        <v>63</v>
      </c>
      <c r="H34" s="342" t="s">
        <v>71</v>
      </c>
      <c r="I34" s="343" t="s">
        <v>72</v>
      </c>
      <c r="J34" s="343" t="s">
        <v>46</v>
      </c>
      <c r="K34" s="344" t="s">
        <v>54</v>
      </c>
      <c r="M34" s="227"/>
      <c r="N34" s="227"/>
    </row>
    <row r="35" spans="1:14" s="208" customFormat="1" hidden="1">
      <c r="A35" s="219" t="s">
        <v>28</v>
      </c>
      <c r="B35" s="340" t="s">
        <v>73</v>
      </c>
      <c r="C35" s="341">
        <v>43245</v>
      </c>
      <c r="D35" s="346" t="s">
        <v>41</v>
      </c>
      <c r="E35" s="346" t="s">
        <v>74</v>
      </c>
      <c r="F35" s="346" t="s">
        <v>75</v>
      </c>
      <c r="G35" s="342" t="s">
        <v>63</v>
      </c>
      <c r="H35" s="342" t="s">
        <v>76</v>
      </c>
      <c r="I35" s="343">
        <v>1</v>
      </c>
      <c r="J35" s="343" t="s">
        <v>46</v>
      </c>
      <c r="K35" s="347" t="s">
        <v>77</v>
      </c>
      <c r="M35" s="227"/>
      <c r="N35" s="227"/>
    </row>
    <row r="36" spans="1:14" s="208" customFormat="1" hidden="1">
      <c r="A36" s="219" t="s">
        <v>28</v>
      </c>
      <c r="B36" s="340" t="s">
        <v>73</v>
      </c>
      <c r="C36" s="341">
        <v>43245</v>
      </c>
      <c r="D36" s="346" t="s">
        <v>41</v>
      </c>
      <c r="E36" s="346" t="s">
        <v>74</v>
      </c>
      <c r="F36" s="346" t="s">
        <v>75</v>
      </c>
      <c r="G36" s="342" t="s">
        <v>63</v>
      </c>
      <c r="H36" s="342" t="s">
        <v>78</v>
      </c>
      <c r="I36" s="343" t="s">
        <v>79</v>
      </c>
      <c r="J36" s="343" t="s">
        <v>46</v>
      </c>
      <c r="K36" s="347" t="s">
        <v>77</v>
      </c>
      <c r="M36" s="227"/>
      <c r="N36" s="227"/>
    </row>
    <row r="37" spans="1:14" s="222" customFormat="1" hidden="1">
      <c r="A37" s="219" t="s">
        <v>28</v>
      </c>
      <c r="B37" s="340" t="s">
        <v>73</v>
      </c>
      <c r="C37" s="341">
        <v>43245</v>
      </c>
      <c r="D37" s="346" t="s">
        <v>41</v>
      </c>
      <c r="E37" s="348" t="s">
        <v>74</v>
      </c>
      <c r="F37" s="346" t="s">
        <v>75</v>
      </c>
      <c r="G37" s="342" t="s">
        <v>63</v>
      </c>
      <c r="H37" s="342" t="s">
        <v>80</v>
      </c>
      <c r="I37" s="343" t="s">
        <v>81</v>
      </c>
      <c r="J37" s="343">
        <v>1</v>
      </c>
      <c r="K37" s="347" t="s">
        <v>77</v>
      </c>
      <c r="M37" s="309"/>
      <c r="N37" s="309"/>
    </row>
    <row r="38" spans="1:14" s="208" customFormat="1" hidden="1">
      <c r="A38" s="219" t="s">
        <v>28</v>
      </c>
      <c r="B38" s="340" t="s">
        <v>73</v>
      </c>
      <c r="C38" s="341">
        <v>43245</v>
      </c>
      <c r="D38" s="346" t="s">
        <v>41</v>
      </c>
      <c r="E38" s="346" t="s">
        <v>74</v>
      </c>
      <c r="F38" s="346" t="s">
        <v>75</v>
      </c>
      <c r="G38" s="342" t="s">
        <v>51</v>
      </c>
      <c r="H38" s="342" t="s">
        <v>82</v>
      </c>
      <c r="I38" s="343">
        <v>1</v>
      </c>
      <c r="J38" s="343" t="s">
        <v>46</v>
      </c>
      <c r="K38" s="347" t="s">
        <v>77</v>
      </c>
      <c r="M38" s="227"/>
      <c r="N38" s="227"/>
    </row>
    <row r="39" spans="1:14" s="208" customFormat="1" hidden="1">
      <c r="A39" s="219" t="s">
        <v>28</v>
      </c>
      <c r="B39" s="340" t="s">
        <v>73</v>
      </c>
      <c r="C39" s="341">
        <v>43245</v>
      </c>
      <c r="D39" s="346" t="s">
        <v>41</v>
      </c>
      <c r="E39" s="346" t="s">
        <v>74</v>
      </c>
      <c r="F39" s="346" t="s">
        <v>75</v>
      </c>
      <c r="G39" s="342" t="s">
        <v>51</v>
      </c>
      <c r="H39" s="342" t="s">
        <v>83</v>
      </c>
      <c r="I39" s="345" t="s">
        <v>84</v>
      </c>
      <c r="J39" s="343" t="s">
        <v>46</v>
      </c>
      <c r="K39" s="347" t="s">
        <v>77</v>
      </c>
      <c r="M39" s="227"/>
      <c r="N39" s="227"/>
    </row>
    <row r="40" spans="1:14" s="208" customFormat="1" hidden="1">
      <c r="A40" s="219" t="s">
        <v>28</v>
      </c>
      <c r="B40" s="340" t="s">
        <v>73</v>
      </c>
      <c r="C40" s="341">
        <v>43245</v>
      </c>
      <c r="D40" s="346" t="s">
        <v>41</v>
      </c>
      <c r="E40" s="346" t="s">
        <v>74</v>
      </c>
      <c r="F40" s="346" t="s">
        <v>75</v>
      </c>
      <c r="G40" s="342" t="s">
        <v>51</v>
      </c>
      <c r="H40" s="342" t="s">
        <v>85</v>
      </c>
      <c r="I40" s="343" t="s">
        <v>86</v>
      </c>
      <c r="J40" s="343">
        <v>1</v>
      </c>
      <c r="K40" s="347" t="s">
        <v>77</v>
      </c>
      <c r="M40" s="227"/>
      <c r="N40" s="227"/>
    </row>
    <row r="41" spans="1:14" s="208" customFormat="1" hidden="1">
      <c r="A41" s="219" t="s">
        <v>28</v>
      </c>
      <c r="B41" s="340" t="s">
        <v>73</v>
      </c>
      <c r="C41" s="341">
        <v>43245</v>
      </c>
      <c r="D41" s="346" t="s">
        <v>41</v>
      </c>
      <c r="E41" s="346" t="s">
        <v>74</v>
      </c>
      <c r="F41" s="346" t="s">
        <v>75</v>
      </c>
      <c r="G41" s="342" t="s">
        <v>51</v>
      </c>
      <c r="H41" s="342" t="s">
        <v>87</v>
      </c>
      <c r="I41" s="343">
        <v>0</v>
      </c>
      <c r="J41" s="343" t="s">
        <v>46</v>
      </c>
      <c r="K41" s="347" t="s">
        <v>77</v>
      </c>
      <c r="M41" s="227"/>
      <c r="N41" s="227"/>
    </row>
    <row r="42" spans="1:14" s="208" customFormat="1" hidden="1">
      <c r="A42" s="219" t="s">
        <v>28</v>
      </c>
      <c r="B42" s="340" t="s">
        <v>73</v>
      </c>
      <c r="C42" s="341">
        <v>43279</v>
      </c>
      <c r="D42" s="346" t="s">
        <v>41</v>
      </c>
      <c r="E42" s="346" t="s">
        <v>74</v>
      </c>
      <c r="F42" s="346" t="s">
        <v>75</v>
      </c>
      <c r="G42" s="342" t="s">
        <v>63</v>
      </c>
      <c r="H42" s="342" t="s">
        <v>88</v>
      </c>
      <c r="I42" s="343" t="s">
        <v>89</v>
      </c>
      <c r="J42" s="343" t="s">
        <v>90</v>
      </c>
      <c r="K42" s="347" t="s">
        <v>91</v>
      </c>
      <c r="M42" s="227"/>
      <c r="N42" s="227"/>
    </row>
    <row r="43" spans="1:14" s="208" customFormat="1" hidden="1">
      <c r="A43" s="219" t="s">
        <v>28</v>
      </c>
      <c r="B43" s="436" t="s">
        <v>92</v>
      </c>
      <c r="C43" s="341">
        <v>43901</v>
      </c>
      <c r="D43" s="346" t="s">
        <v>93</v>
      </c>
      <c r="E43" s="346" t="s">
        <v>94</v>
      </c>
      <c r="F43" s="346" t="s">
        <v>94</v>
      </c>
      <c r="G43" s="342" t="s">
        <v>95</v>
      </c>
      <c r="H43" s="342" t="s">
        <v>96</v>
      </c>
      <c r="I43" s="343" t="s">
        <v>97</v>
      </c>
      <c r="J43" s="343" t="s">
        <v>98</v>
      </c>
      <c r="K43" s="347" t="s">
        <v>99</v>
      </c>
      <c r="M43" s="227"/>
      <c r="N43" s="227"/>
    </row>
    <row r="44" spans="1:14" s="208" customFormat="1" hidden="1">
      <c r="A44" s="219" t="s">
        <v>28</v>
      </c>
      <c r="B44" s="436" t="s">
        <v>100</v>
      </c>
      <c r="C44" s="349">
        <v>43612</v>
      </c>
      <c r="D44" s="346" t="s">
        <v>93</v>
      </c>
      <c r="E44" s="346" t="s">
        <v>74</v>
      </c>
      <c r="F44" s="346" t="s">
        <v>41</v>
      </c>
      <c r="G44" s="346" t="s">
        <v>101</v>
      </c>
      <c r="H44" s="346" t="s">
        <v>102</v>
      </c>
      <c r="I44" s="347" t="s">
        <v>103</v>
      </c>
      <c r="J44" s="347"/>
      <c r="K44" s="347" t="s">
        <v>104</v>
      </c>
      <c r="M44" s="227"/>
      <c r="N44" s="227"/>
    </row>
    <row r="45" spans="1:14" s="208" customFormat="1" hidden="1">
      <c r="A45" s="219" t="s">
        <v>28</v>
      </c>
      <c r="B45" s="436" t="s">
        <v>100</v>
      </c>
      <c r="C45" s="349">
        <v>43612</v>
      </c>
      <c r="D45" s="346" t="s">
        <v>93</v>
      </c>
      <c r="E45" s="346" t="s">
        <v>74</v>
      </c>
      <c r="F45" s="346" t="s">
        <v>41</v>
      </c>
      <c r="G45" s="346" t="s">
        <v>101</v>
      </c>
      <c r="H45" s="347" t="s">
        <v>105</v>
      </c>
      <c r="I45" s="347" t="s">
        <v>106</v>
      </c>
      <c r="J45" s="347" t="s">
        <v>107</v>
      </c>
      <c r="K45" s="347" t="s">
        <v>108</v>
      </c>
      <c r="M45" s="227"/>
      <c r="N45" s="227"/>
    </row>
    <row r="46" spans="1:14" s="208" customFormat="1" hidden="1">
      <c r="A46" s="219" t="s">
        <v>28</v>
      </c>
      <c r="B46" s="436" t="s">
        <v>100</v>
      </c>
      <c r="C46" s="349">
        <v>43612</v>
      </c>
      <c r="D46" s="346" t="s">
        <v>93</v>
      </c>
      <c r="E46" s="346" t="s">
        <v>74</v>
      </c>
      <c r="F46" s="346" t="s">
        <v>41</v>
      </c>
      <c r="G46" s="346" t="s">
        <v>101</v>
      </c>
      <c r="H46" s="347" t="s">
        <v>109</v>
      </c>
      <c r="I46" s="347" t="s">
        <v>110</v>
      </c>
      <c r="J46" s="347" t="s">
        <v>46</v>
      </c>
      <c r="K46" s="347" t="s">
        <v>108</v>
      </c>
      <c r="M46" s="227"/>
      <c r="N46" s="227"/>
    </row>
    <row r="47" spans="1:14" s="208" customFormat="1" ht="26.45" hidden="1">
      <c r="A47" s="219" t="s">
        <v>28</v>
      </c>
      <c r="B47" s="436" t="s">
        <v>100</v>
      </c>
      <c r="C47" s="349">
        <v>43612</v>
      </c>
      <c r="D47" s="346" t="s">
        <v>93</v>
      </c>
      <c r="E47" s="346" t="s">
        <v>74</v>
      </c>
      <c r="F47" s="346" t="s">
        <v>41</v>
      </c>
      <c r="G47" s="346" t="s">
        <v>101</v>
      </c>
      <c r="H47" s="347" t="s">
        <v>111</v>
      </c>
      <c r="I47" s="347" t="s">
        <v>112</v>
      </c>
      <c r="J47" s="347" t="s">
        <v>46</v>
      </c>
      <c r="K47" s="363" t="s">
        <v>113</v>
      </c>
      <c r="M47" s="227"/>
      <c r="N47" s="227"/>
    </row>
    <row r="48" spans="1:14" s="208" customFormat="1" ht="26.45" hidden="1">
      <c r="A48" s="219" t="s">
        <v>28</v>
      </c>
      <c r="B48" s="436" t="s">
        <v>100</v>
      </c>
      <c r="C48" s="349">
        <v>43612</v>
      </c>
      <c r="D48" s="346" t="s">
        <v>93</v>
      </c>
      <c r="E48" s="346" t="s">
        <v>74</v>
      </c>
      <c r="F48" s="346" t="s">
        <v>41</v>
      </c>
      <c r="G48" s="346" t="s">
        <v>101</v>
      </c>
      <c r="H48" s="347" t="s">
        <v>114</v>
      </c>
      <c r="I48" s="347" t="s">
        <v>115</v>
      </c>
      <c r="J48" s="347" t="s">
        <v>46</v>
      </c>
      <c r="K48" s="361"/>
      <c r="M48" s="227"/>
      <c r="N48" s="227"/>
    </row>
    <row r="49" spans="1:14" s="208" customFormat="1" ht="26.45" hidden="1">
      <c r="A49" s="219" t="s">
        <v>28</v>
      </c>
      <c r="B49" s="436" t="s">
        <v>100</v>
      </c>
      <c r="C49" s="349">
        <v>43612</v>
      </c>
      <c r="D49" s="346" t="s">
        <v>93</v>
      </c>
      <c r="E49" s="346" t="s">
        <v>74</v>
      </c>
      <c r="F49" s="346" t="s">
        <v>41</v>
      </c>
      <c r="G49" s="346" t="s">
        <v>101</v>
      </c>
      <c r="H49" s="347" t="s">
        <v>116</v>
      </c>
      <c r="I49" s="347" t="s">
        <v>117</v>
      </c>
      <c r="J49" s="347" t="s">
        <v>46</v>
      </c>
      <c r="K49" s="361"/>
      <c r="M49" s="227"/>
      <c r="N49" s="227"/>
    </row>
    <row r="50" spans="1:14" s="208" customFormat="1" ht="26.45" hidden="1">
      <c r="A50" s="219" t="s">
        <v>28</v>
      </c>
      <c r="B50" s="436" t="s">
        <v>100</v>
      </c>
      <c r="C50" s="349">
        <v>43612</v>
      </c>
      <c r="D50" s="346" t="s">
        <v>93</v>
      </c>
      <c r="E50" s="346" t="s">
        <v>74</v>
      </c>
      <c r="F50" s="346" t="s">
        <v>41</v>
      </c>
      <c r="G50" s="346" t="s">
        <v>101</v>
      </c>
      <c r="H50" s="347" t="s">
        <v>118</v>
      </c>
      <c r="I50" s="347" t="s">
        <v>119</v>
      </c>
      <c r="J50" s="347" t="s">
        <v>46</v>
      </c>
      <c r="K50" s="361"/>
      <c r="M50" s="227"/>
      <c r="N50" s="227"/>
    </row>
    <row r="51" spans="1:14" s="208" customFormat="1" ht="26.45" hidden="1">
      <c r="A51" s="219" t="s">
        <v>28</v>
      </c>
      <c r="B51" s="436" t="s">
        <v>100</v>
      </c>
      <c r="C51" s="349">
        <v>43612</v>
      </c>
      <c r="D51" s="346" t="s">
        <v>93</v>
      </c>
      <c r="E51" s="346" t="s">
        <v>74</v>
      </c>
      <c r="F51" s="346" t="s">
        <v>41</v>
      </c>
      <c r="G51" s="346" t="s">
        <v>101</v>
      </c>
      <c r="H51" s="347" t="s">
        <v>120</v>
      </c>
      <c r="I51" s="347" t="s">
        <v>121</v>
      </c>
      <c r="J51" s="347" t="s">
        <v>46</v>
      </c>
      <c r="K51" s="361"/>
      <c r="M51" s="227"/>
      <c r="N51" s="227"/>
    </row>
    <row r="52" spans="1:14" s="208" customFormat="1" ht="26.45" hidden="1">
      <c r="A52" s="219" t="s">
        <v>28</v>
      </c>
      <c r="B52" s="436" t="s">
        <v>100</v>
      </c>
      <c r="C52" s="349">
        <v>43612</v>
      </c>
      <c r="D52" s="346" t="s">
        <v>93</v>
      </c>
      <c r="E52" s="346" t="s">
        <v>74</v>
      </c>
      <c r="F52" s="346" t="s">
        <v>41</v>
      </c>
      <c r="G52" s="346" t="s">
        <v>101</v>
      </c>
      <c r="H52" s="347" t="s">
        <v>122</v>
      </c>
      <c r="I52" s="347" t="s">
        <v>123</v>
      </c>
      <c r="J52" s="347" t="s">
        <v>46</v>
      </c>
      <c r="K52" s="361"/>
      <c r="M52" s="227"/>
      <c r="N52" s="227"/>
    </row>
    <row r="53" spans="1:14" s="208" customFormat="1" ht="26.45" hidden="1">
      <c r="A53" s="219" t="s">
        <v>28</v>
      </c>
      <c r="B53" s="436" t="s">
        <v>100</v>
      </c>
      <c r="C53" s="349">
        <v>43612</v>
      </c>
      <c r="D53" s="346" t="s">
        <v>93</v>
      </c>
      <c r="E53" s="346" t="s">
        <v>74</v>
      </c>
      <c r="F53" s="346" t="s">
        <v>41</v>
      </c>
      <c r="G53" s="346" t="s">
        <v>101</v>
      </c>
      <c r="H53" s="347" t="s">
        <v>124</v>
      </c>
      <c r="I53" s="347" t="s">
        <v>125</v>
      </c>
      <c r="J53" s="347" t="s">
        <v>46</v>
      </c>
      <c r="K53" s="361"/>
      <c r="M53" s="227"/>
      <c r="N53" s="227"/>
    </row>
    <row r="54" spans="1:14" s="208" customFormat="1" ht="26.45" hidden="1">
      <c r="A54" s="219" t="s">
        <v>28</v>
      </c>
      <c r="B54" s="436" t="s">
        <v>100</v>
      </c>
      <c r="C54" s="349">
        <v>43612</v>
      </c>
      <c r="D54" s="346" t="s">
        <v>93</v>
      </c>
      <c r="E54" s="346" t="s">
        <v>74</v>
      </c>
      <c r="F54" s="346" t="s">
        <v>41</v>
      </c>
      <c r="G54" s="346" t="s">
        <v>101</v>
      </c>
      <c r="H54" s="347" t="s">
        <v>126</v>
      </c>
      <c r="I54" s="347" t="s">
        <v>127</v>
      </c>
      <c r="J54" s="347" t="s">
        <v>46</v>
      </c>
      <c r="K54" s="361"/>
      <c r="M54" s="227"/>
      <c r="N54" s="227" t="e">
        <f ca="1">'Change Log'!J44SUM(N47:N52)</f>
        <v>#NAME?</v>
      </c>
    </row>
    <row r="55" spans="1:14" s="208" customFormat="1" ht="26.45" hidden="1">
      <c r="A55" s="219" t="s">
        <v>28</v>
      </c>
      <c r="B55" s="436" t="s">
        <v>100</v>
      </c>
      <c r="C55" s="349">
        <v>43612</v>
      </c>
      <c r="D55" s="346" t="s">
        <v>93</v>
      </c>
      <c r="E55" s="346" t="s">
        <v>74</v>
      </c>
      <c r="F55" s="346" t="s">
        <v>41</v>
      </c>
      <c r="G55" s="346" t="s">
        <v>101</v>
      </c>
      <c r="H55" s="347" t="s">
        <v>128</v>
      </c>
      <c r="I55" s="347" t="s">
        <v>129</v>
      </c>
      <c r="J55" s="347" t="s">
        <v>46</v>
      </c>
      <c r="K55" s="361"/>
      <c r="M55" s="227"/>
      <c r="N55" s="227"/>
    </row>
    <row r="56" spans="1:14" s="208" customFormat="1" ht="26.45" hidden="1">
      <c r="A56" s="219" t="s">
        <v>28</v>
      </c>
      <c r="B56" s="436" t="s">
        <v>100</v>
      </c>
      <c r="C56" s="349">
        <v>43612</v>
      </c>
      <c r="D56" s="346" t="s">
        <v>93</v>
      </c>
      <c r="E56" s="346" t="s">
        <v>74</v>
      </c>
      <c r="F56" s="346" t="s">
        <v>41</v>
      </c>
      <c r="G56" s="346" t="s">
        <v>101</v>
      </c>
      <c r="H56" s="347" t="s">
        <v>130</v>
      </c>
      <c r="I56" s="347" t="s">
        <v>131</v>
      </c>
      <c r="J56" s="347" t="s">
        <v>46</v>
      </c>
      <c r="K56" s="361"/>
      <c r="M56" s="227"/>
      <c r="N56" s="227"/>
    </row>
    <row r="57" spans="1:14" s="208" customFormat="1" ht="26.45" hidden="1">
      <c r="A57" s="219" t="s">
        <v>28</v>
      </c>
      <c r="B57" s="436" t="s">
        <v>100</v>
      </c>
      <c r="C57" s="349">
        <v>43612</v>
      </c>
      <c r="D57" s="346" t="s">
        <v>93</v>
      </c>
      <c r="E57" s="346" t="s">
        <v>74</v>
      </c>
      <c r="F57" s="346" t="s">
        <v>41</v>
      </c>
      <c r="G57" s="346" t="s">
        <v>101</v>
      </c>
      <c r="H57" s="347" t="s">
        <v>132</v>
      </c>
      <c r="I57" s="347" t="s">
        <v>133</v>
      </c>
      <c r="J57" s="347" t="s">
        <v>46</v>
      </c>
      <c r="K57" s="361"/>
      <c r="M57" s="227"/>
      <c r="N57" s="227"/>
    </row>
    <row r="58" spans="1:14" s="208" customFormat="1" ht="26.45" hidden="1">
      <c r="A58" s="219" t="s">
        <v>28</v>
      </c>
      <c r="B58" s="436" t="s">
        <v>100</v>
      </c>
      <c r="C58" s="349">
        <v>43612</v>
      </c>
      <c r="D58" s="346" t="s">
        <v>93</v>
      </c>
      <c r="E58" s="346" t="s">
        <v>74</v>
      </c>
      <c r="F58" s="346" t="s">
        <v>41</v>
      </c>
      <c r="G58" s="346" t="s">
        <v>101</v>
      </c>
      <c r="H58" s="347" t="s">
        <v>134</v>
      </c>
      <c r="I58" s="347" t="s">
        <v>135</v>
      </c>
      <c r="J58" s="347" t="s">
        <v>46</v>
      </c>
      <c r="K58" s="361"/>
      <c r="M58" s="227"/>
      <c r="N58" s="227"/>
    </row>
    <row r="59" spans="1:14" s="208" customFormat="1" ht="26.45" hidden="1">
      <c r="A59" s="219" t="s">
        <v>28</v>
      </c>
      <c r="B59" s="436" t="s">
        <v>100</v>
      </c>
      <c r="C59" s="349">
        <v>43612</v>
      </c>
      <c r="D59" s="346" t="s">
        <v>93</v>
      </c>
      <c r="E59" s="346" t="s">
        <v>74</v>
      </c>
      <c r="F59" s="346" t="s">
        <v>41</v>
      </c>
      <c r="G59" s="346" t="s">
        <v>101</v>
      </c>
      <c r="H59" s="347" t="s">
        <v>136</v>
      </c>
      <c r="I59" s="347" t="s">
        <v>137</v>
      </c>
      <c r="J59" s="347" t="s">
        <v>46</v>
      </c>
      <c r="K59" s="361"/>
      <c r="M59" s="227"/>
      <c r="N59" s="227"/>
    </row>
    <row r="60" spans="1:14" s="208" customFormat="1" ht="26.45" hidden="1">
      <c r="A60" s="219" t="s">
        <v>28</v>
      </c>
      <c r="B60" s="436" t="s">
        <v>100</v>
      </c>
      <c r="C60" s="349">
        <v>43612</v>
      </c>
      <c r="D60" s="346" t="s">
        <v>93</v>
      </c>
      <c r="E60" s="346" t="s">
        <v>74</v>
      </c>
      <c r="F60" s="346" t="s">
        <v>41</v>
      </c>
      <c r="G60" s="346" t="s">
        <v>101</v>
      </c>
      <c r="H60" s="347" t="s">
        <v>138</v>
      </c>
      <c r="I60" s="347" t="s">
        <v>139</v>
      </c>
      <c r="J60" s="347" t="s">
        <v>46</v>
      </c>
      <c r="K60" s="361"/>
      <c r="M60" s="227"/>
      <c r="N60" s="227"/>
    </row>
    <row r="61" spans="1:14" s="208" customFormat="1" ht="26.45" hidden="1">
      <c r="A61" s="219" t="s">
        <v>28</v>
      </c>
      <c r="B61" s="436" t="s">
        <v>100</v>
      </c>
      <c r="C61" s="349">
        <v>43612</v>
      </c>
      <c r="D61" s="346" t="s">
        <v>93</v>
      </c>
      <c r="E61" s="346" t="s">
        <v>74</v>
      </c>
      <c r="F61" s="346" t="s">
        <v>41</v>
      </c>
      <c r="G61" s="346" t="s">
        <v>101</v>
      </c>
      <c r="H61" s="347" t="s">
        <v>140</v>
      </c>
      <c r="I61" s="347" t="s">
        <v>141</v>
      </c>
      <c r="J61" s="347" t="s">
        <v>46</v>
      </c>
      <c r="K61" s="361"/>
      <c r="M61" s="227"/>
      <c r="N61" s="227"/>
    </row>
    <row r="62" spans="1:14" s="208" customFormat="1" ht="26.45" hidden="1">
      <c r="A62" s="219" t="s">
        <v>28</v>
      </c>
      <c r="B62" s="436" t="s">
        <v>100</v>
      </c>
      <c r="C62" s="349">
        <v>43612</v>
      </c>
      <c r="D62" s="346" t="s">
        <v>93</v>
      </c>
      <c r="E62" s="346" t="s">
        <v>74</v>
      </c>
      <c r="F62" s="346" t="s">
        <v>41</v>
      </c>
      <c r="G62" s="346" t="s">
        <v>101</v>
      </c>
      <c r="H62" s="347" t="s">
        <v>142</v>
      </c>
      <c r="I62" s="347" t="s">
        <v>143</v>
      </c>
      <c r="J62" s="347" t="s">
        <v>46</v>
      </c>
      <c r="K62" s="361"/>
      <c r="M62" s="227"/>
      <c r="N62" s="227"/>
    </row>
    <row r="63" spans="1:14" s="208" customFormat="1" ht="26.45" hidden="1">
      <c r="A63" s="219" t="s">
        <v>28</v>
      </c>
      <c r="B63" s="436" t="s">
        <v>100</v>
      </c>
      <c r="C63" s="349">
        <v>43612</v>
      </c>
      <c r="D63" s="346" t="s">
        <v>93</v>
      </c>
      <c r="E63" s="346" t="s">
        <v>74</v>
      </c>
      <c r="F63" s="346" t="s">
        <v>41</v>
      </c>
      <c r="G63" s="346" t="s">
        <v>101</v>
      </c>
      <c r="H63" s="347" t="s">
        <v>144</v>
      </c>
      <c r="I63" s="347" t="s">
        <v>145</v>
      </c>
      <c r="J63" s="347" t="s">
        <v>46</v>
      </c>
      <c r="K63" s="361"/>
      <c r="M63" s="227"/>
      <c r="N63" s="227"/>
    </row>
    <row r="64" spans="1:14" s="208" customFormat="1" ht="26.45" hidden="1">
      <c r="A64" s="219" t="s">
        <v>28</v>
      </c>
      <c r="B64" s="436" t="s">
        <v>100</v>
      </c>
      <c r="C64" s="349">
        <v>43612</v>
      </c>
      <c r="D64" s="346" t="s">
        <v>93</v>
      </c>
      <c r="E64" s="346" t="s">
        <v>74</v>
      </c>
      <c r="F64" s="346" t="s">
        <v>41</v>
      </c>
      <c r="G64" s="346" t="s">
        <v>101</v>
      </c>
      <c r="H64" s="347" t="s">
        <v>146</v>
      </c>
      <c r="I64" s="347" t="s">
        <v>147</v>
      </c>
      <c r="J64" s="347" t="s">
        <v>46</v>
      </c>
      <c r="K64" s="361"/>
      <c r="M64" s="227"/>
      <c r="N64" s="227"/>
    </row>
    <row r="65" spans="1:14" s="208" customFormat="1" ht="26.45" hidden="1">
      <c r="A65" s="219" t="s">
        <v>28</v>
      </c>
      <c r="B65" s="436" t="s">
        <v>100</v>
      </c>
      <c r="C65" s="349">
        <v>43612</v>
      </c>
      <c r="D65" s="346" t="s">
        <v>93</v>
      </c>
      <c r="E65" s="346" t="s">
        <v>74</v>
      </c>
      <c r="F65" s="346" t="s">
        <v>41</v>
      </c>
      <c r="G65" s="346" t="s">
        <v>101</v>
      </c>
      <c r="H65" s="347" t="s">
        <v>148</v>
      </c>
      <c r="I65" s="347" t="s">
        <v>149</v>
      </c>
      <c r="J65" s="347" t="s">
        <v>46</v>
      </c>
      <c r="K65" s="361"/>
      <c r="M65" s="227"/>
      <c r="N65" s="227"/>
    </row>
    <row r="66" spans="1:14" s="208" customFormat="1" ht="26.45" hidden="1">
      <c r="A66" s="219" t="s">
        <v>28</v>
      </c>
      <c r="B66" s="436" t="s">
        <v>100</v>
      </c>
      <c r="C66" s="349">
        <v>43612</v>
      </c>
      <c r="D66" s="346" t="s">
        <v>93</v>
      </c>
      <c r="E66" s="346" t="s">
        <v>74</v>
      </c>
      <c r="F66" s="346" t="s">
        <v>41</v>
      </c>
      <c r="G66" s="346" t="s">
        <v>101</v>
      </c>
      <c r="H66" s="347" t="s">
        <v>150</v>
      </c>
      <c r="I66" s="347" t="s">
        <v>151</v>
      </c>
      <c r="J66" s="347" t="s">
        <v>46</v>
      </c>
      <c r="K66" s="361"/>
      <c r="M66" s="227"/>
      <c r="N66" s="227"/>
    </row>
    <row r="67" spans="1:14" s="208" customFormat="1" ht="26.45" hidden="1">
      <c r="A67" s="219" t="s">
        <v>28</v>
      </c>
      <c r="B67" s="436" t="s">
        <v>100</v>
      </c>
      <c r="C67" s="349">
        <v>43612</v>
      </c>
      <c r="D67" s="346" t="s">
        <v>93</v>
      </c>
      <c r="E67" s="346" t="s">
        <v>74</v>
      </c>
      <c r="F67" s="346" t="s">
        <v>41</v>
      </c>
      <c r="G67" s="346" t="s">
        <v>101</v>
      </c>
      <c r="H67" s="347" t="s">
        <v>152</v>
      </c>
      <c r="I67" s="347" t="s">
        <v>153</v>
      </c>
      <c r="J67" s="347" t="s">
        <v>46</v>
      </c>
      <c r="K67" s="361"/>
      <c r="M67" s="227"/>
      <c r="N67" s="227"/>
    </row>
    <row r="68" spans="1:14" s="208" customFormat="1" ht="26.45" hidden="1">
      <c r="A68" s="219" t="s">
        <v>28</v>
      </c>
      <c r="B68" s="436" t="s">
        <v>100</v>
      </c>
      <c r="C68" s="349">
        <v>43612</v>
      </c>
      <c r="D68" s="346" t="s">
        <v>93</v>
      </c>
      <c r="E68" s="346" t="s">
        <v>74</v>
      </c>
      <c r="F68" s="346" t="s">
        <v>41</v>
      </c>
      <c r="G68" s="346" t="s">
        <v>101</v>
      </c>
      <c r="H68" s="347" t="s">
        <v>154</v>
      </c>
      <c r="I68" s="347" t="s">
        <v>155</v>
      </c>
      <c r="J68" s="347" t="s">
        <v>46</v>
      </c>
      <c r="K68" s="361"/>
      <c r="M68" s="227"/>
      <c r="N68" s="227"/>
    </row>
    <row r="69" spans="1:14" s="208" customFormat="1" ht="26.45" hidden="1">
      <c r="A69" s="219" t="s">
        <v>28</v>
      </c>
      <c r="B69" s="436" t="s">
        <v>100</v>
      </c>
      <c r="C69" s="349">
        <v>43612</v>
      </c>
      <c r="D69" s="346" t="s">
        <v>93</v>
      </c>
      <c r="E69" s="346" t="s">
        <v>74</v>
      </c>
      <c r="F69" s="346" t="s">
        <v>41</v>
      </c>
      <c r="G69" s="346" t="s">
        <v>101</v>
      </c>
      <c r="H69" s="347" t="s">
        <v>156</v>
      </c>
      <c r="I69" s="347" t="s">
        <v>157</v>
      </c>
      <c r="J69" s="347" t="s">
        <v>46</v>
      </c>
      <c r="K69" s="361"/>
      <c r="M69" s="227"/>
      <c r="N69" s="227"/>
    </row>
    <row r="70" spans="1:14" s="208" customFormat="1" ht="26.45" hidden="1">
      <c r="A70" s="219" t="s">
        <v>28</v>
      </c>
      <c r="B70" s="436" t="s">
        <v>100</v>
      </c>
      <c r="C70" s="349">
        <v>43612</v>
      </c>
      <c r="D70" s="346" t="s">
        <v>93</v>
      </c>
      <c r="E70" s="346" t="s">
        <v>74</v>
      </c>
      <c r="F70" s="346" t="s">
        <v>41</v>
      </c>
      <c r="G70" s="346" t="s">
        <v>101</v>
      </c>
      <c r="H70" s="347" t="s">
        <v>158</v>
      </c>
      <c r="I70" s="347" t="s">
        <v>159</v>
      </c>
      <c r="J70" s="347" t="s">
        <v>46</v>
      </c>
      <c r="K70" s="361"/>
      <c r="M70" s="227"/>
      <c r="N70" s="227"/>
    </row>
    <row r="71" spans="1:14" s="208" customFormat="1" ht="26.45" hidden="1">
      <c r="A71" s="219" t="s">
        <v>28</v>
      </c>
      <c r="B71" s="436" t="s">
        <v>100</v>
      </c>
      <c r="C71" s="349">
        <v>43612</v>
      </c>
      <c r="D71" s="346" t="s">
        <v>93</v>
      </c>
      <c r="E71" s="346" t="s">
        <v>74</v>
      </c>
      <c r="F71" s="346" t="s">
        <v>41</v>
      </c>
      <c r="G71" s="346" t="s">
        <v>101</v>
      </c>
      <c r="H71" s="347" t="s">
        <v>160</v>
      </c>
      <c r="I71" s="347" t="s">
        <v>161</v>
      </c>
      <c r="J71" s="347" t="s">
        <v>46</v>
      </c>
      <c r="K71" s="361"/>
      <c r="M71" s="227"/>
      <c r="N71" s="227"/>
    </row>
    <row r="72" spans="1:14" s="208" customFormat="1" ht="26.45" hidden="1">
      <c r="A72" s="219" t="s">
        <v>28</v>
      </c>
      <c r="B72" s="436" t="s">
        <v>100</v>
      </c>
      <c r="C72" s="349">
        <v>43612</v>
      </c>
      <c r="D72" s="346" t="s">
        <v>93</v>
      </c>
      <c r="E72" s="346" t="s">
        <v>74</v>
      </c>
      <c r="F72" s="346" t="s">
        <v>41</v>
      </c>
      <c r="G72" s="346" t="s">
        <v>101</v>
      </c>
      <c r="H72" s="347" t="s">
        <v>162</v>
      </c>
      <c r="I72" s="347" t="s">
        <v>163</v>
      </c>
      <c r="J72" s="347" t="s">
        <v>46</v>
      </c>
      <c r="K72" s="361"/>
      <c r="M72" s="227"/>
      <c r="N72" s="227"/>
    </row>
    <row r="73" spans="1:14" s="208" customFormat="1" ht="26.45" hidden="1">
      <c r="A73" s="219" t="s">
        <v>28</v>
      </c>
      <c r="B73" s="436" t="s">
        <v>100</v>
      </c>
      <c r="C73" s="349">
        <v>43612</v>
      </c>
      <c r="D73" s="346" t="s">
        <v>93</v>
      </c>
      <c r="E73" s="346" t="s">
        <v>74</v>
      </c>
      <c r="F73" s="346" t="s">
        <v>41</v>
      </c>
      <c r="G73" s="346" t="s">
        <v>101</v>
      </c>
      <c r="H73" s="347" t="s">
        <v>164</v>
      </c>
      <c r="I73" s="347" t="s">
        <v>165</v>
      </c>
      <c r="J73" s="347" t="s">
        <v>46</v>
      </c>
      <c r="K73" s="361"/>
      <c r="M73" s="227"/>
      <c r="N73" s="227"/>
    </row>
    <row r="74" spans="1:14" s="208" customFormat="1" ht="26.45" hidden="1">
      <c r="A74" s="219" t="s">
        <v>28</v>
      </c>
      <c r="B74" s="436" t="s">
        <v>100</v>
      </c>
      <c r="C74" s="349">
        <v>43612</v>
      </c>
      <c r="D74" s="346" t="s">
        <v>93</v>
      </c>
      <c r="E74" s="346" t="s">
        <v>74</v>
      </c>
      <c r="F74" s="346" t="s">
        <v>41</v>
      </c>
      <c r="G74" s="346" t="s">
        <v>101</v>
      </c>
      <c r="H74" s="347" t="s">
        <v>166</v>
      </c>
      <c r="I74" s="347" t="s">
        <v>167</v>
      </c>
      <c r="J74" s="347" t="s">
        <v>46</v>
      </c>
      <c r="K74" s="361"/>
      <c r="M74" s="227"/>
      <c r="N74" s="227"/>
    </row>
    <row r="75" spans="1:14" s="208" customFormat="1" ht="26.45" hidden="1">
      <c r="A75" s="219" t="s">
        <v>28</v>
      </c>
      <c r="B75" s="436" t="s">
        <v>100</v>
      </c>
      <c r="C75" s="349">
        <v>43612</v>
      </c>
      <c r="D75" s="346" t="s">
        <v>93</v>
      </c>
      <c r="E75" s="346" t="s">
        <v>74</v>
      </c>
      <c r="F75" s="346" t="s">
        <v>41</v>
      </c>
      <c r="G75" s="346" t="s">
        <v>101</v>
      </c>
      <c r="H75" s="347" t="s">
        <v>168</v>
      </c>
      <c r="I75" s="347" t="s">
        <v>169</v>
      </c>
      <c r="J75" s="347" t="s">
        <v>46</v>
      </c>
      <c r="K75" s="361"/>
      <c r="M75" s="227"/>
      <c r="N75" s="227"/>
    </row>
    <row r="76" spans="1:14" s="208" customFormat="1" ht="26.45" hidden="1">
      <c r="A76" s="219" t="s">
        <v>28</v>
      </c>
      <c r="B76" s="436" t="s">
        <v>100</v>
      </c>
      <c r="C76" s="349">
        <v>43612</v>
      </c>
      <c r="D76" s="346" t="s">
        <v>93</v>
      </c>
      <c r="E76" s="346" t="s">
        <v>74</v>
      </c>
      <c r="F76" s="346" t="s">
        <v>41</v>
      </c>
      <c r="G76" s="346" t="s">
        <v>101</v>
      </c>
      <c r="H76" s="347" t="s">
        <v>170</v>
      </c>
      <c r="I76" s="347" t="s">
        <v>171</v>
      </c>
      <c r="J76" s="347" t="s">
        <v>46</v>
      </c>
      <c r="K76" s="361"/>
      <c r="M76" s="227"/>
      <c r="N76" s="227"/>
    </row>
    <row r="77" spans="1:14" s="208" customFormat="1" ht="26.45" hidden="1">
      <c r="A77" s="219" t="s">
        <v>28</v>
      </c>
      <c r="B77" s="436" t="s">
        <v>100</v>
      </c>
      <c r="C77" s="349">
        <v>43612</v>
      </c>
      <c r="D77" s="346" t="s">
        <v>93</v>
      </c>
      <c r="E77" s="346" t="s">
        <v>74</v>
      </c>
      <c r="F77" s="346" t="s">
        <v>41</v>
      </c>
      <c r="G77" s="346" t="s">
        <v>101</v>
      </c>
      <c r="H77" s="347" t="s">
        <v>172</v>
      </c>
      <c r="I77" s="347" t="s">
        <v>173</v>
      </c>
      <c r="J77" s="347" t="s">
        <v>46</v>
      </c>
      <c r="K77" s="361"/>
      <c r="M77" s="227"/>
      <c r="N77" s="227"/>
    </row>
    <row r="78" spans="1:14" s="208" customFormat="1" ht="26.45" hidden="1">
      <c r="A78" s="219" t="s">
        <v>28</v>
      </c>
      <c r="B78" s="436" t="s">
        <v>100</v>
      </c>
      <c r="C78" s="349">
        <v>43612</v>
      </c>
      <c r="D78" s="346" t="s">
        <v>93</v>
      </c>
      <c r="E78" s="346" t="s">
        <v>74</v>
      </c>
      <c r="F78" s="346" t="s">
        <v>41</v>
      </c>
      <c r="G78" s="346" t="s">
        <v>101</v>
      </c>
      <c r="H78" s="347" t="s">
        <v>174</v>
      </c>
      <c r="I78" s="347" t="s">
        <v>175</v>
      </c>
      <c r="J78" s="347" t="s">
        <v>46</v>
      </c>
      <c r="K78" s="362"/>
      <c r="M78" s="227"/>
      <c r="N78" s="227"/>
    </row>
    <row r="79" spans="1:14" s="208" customFormat="1" hidden="1">
      <c r="A79" s="219" t="s">
        <v>28</v>
      </c>
      <c r="B79" s="436" t="s">
        <v>100</v>
      </c>
      <c r="C79" s="349">
        <v>43612</v>
      </c>
      <c r="D79" s="346" t="s">
        <v>93</v>
      </c>
      <c r="E79" s="346" t="s">
        <v>74</v>
      </c>
      <c r="F79" s="346" t="s">
        <v>41</v>
      </c>
      <c r="G79" s="346" t="s">
        <v>101</v>
      </c>
      <c r="H79" s="347" t="s">
        <v>176</v>
      </c>
      <c r="I79" s="347" t="s">
        <v>177</v>
      </c>
      <c r="J79" s="347" t="s">
        <v>46</v>
      </c>
      <c r="K79" s="363" t="s">
        <v>178</v>
      </c>
      <c r="M79" s="227"/>
      <c r="N79" s="227"/>
    </row>
    <row r="80" spans="1:14" s="208" customFormat="1" ht="14.25" hidden="1" customHeight="1">
      <c r="A80" s="219" t="s">
        <v>28</v>
      </c>
      <c r="B80" s="436" t="s">
        <v>100</v>
      </c>
      <c r="C80" s="349">
        <v>43612</v>
      </c>
      <c r="D80" s="346" t="s">
        <v>93</v>
      </c>
      <c r="E80" s="346" t="s">
        <v>74</v>
      </c>
      <c r="F80" s="346" t="s">
        <v>41</v>
      </c>
      <c r="G80" s="346" t="s">
        <v>101</v>
      </c>
      <c r="H80" s="347" t="s">
        <v>179</v>
      </c>
      <c r="I80" s="347" t="s">
        <v>180</v>
      </c>
      <c r="J80" s="347" t="s">
        <v>46</v>
      </c>
      <c r="K80" s="361"/>
      <c r="M80" s="227"/>
      <c r="N80" s="227"/>
    </row>
    <row r="81" spans="1:14" s="208" customFormat="1" hidden="1">
      <c r="A81" s="219" t="s">
        <v>28</v>
      </c>
      <c r="B81" s="436" t="s">
        <v>100</v>
      </c>
      <c r="C81" s="349">
        <v>43612</v>
      </c>
      <c r="D81" s="346" t="s">
        <v>93</v>
      </c>
      <c r="E81" s="346" t="s">
        <v>74</v>
      </c>
      <c r="F81" s="346" t="s">
        <v>41</v>
      </c>
      <c r="G81" s="346" t="s">
        <v>101</v>
      </c>
      <c r="H81" s="347" t="s">
        <v>181</v>
      </c>
      <c r="I81" s="347" t="s">
        <v>182</v>
      </c>
      <c r="J81" s="347" t="s">
        <v>46</v>
      </c>
      <c r="K81" s="361"/>
      <c r="M81" s="227"/>
      <c r="N81" s="227"/>
    </row>
    <row r="82" spans="1:14" s="208" customFormat="1" hidden="1">
      <c r="A82" s="219" t="s">
        <v>28</v>
      </c>
      <c r="B82" s="436" t="s">
        <v>100</v>
      </c>
      <c r="C82" s="349">
        <v>43612</v>
      </c>
      <c r="D82" s="346" t="s">
        <v>93</v>
      </c>
      <c r="E82" s="346" t="s">
        <v>74</v>
      </c>
      <c r="F82" s="346" t="s">
        <v>41</v>
      </c>
      <c r="G82" s="346" t="s">
        <v>101</v>
      </c>
      <c r="H82" s="347" t="s">
        <v>183</v>
      </c>
      <c r="I82" s="347" t="s">
        <v>184</v>
      </c>
      <c r="J82" s="347" t="s">
        <v>46</v>
      </c>
      <c r="K82" s="361"/>
      <c r="M82" s="227"/>
      <c r="N82" s="227"/>
    </row>
    <row r="83" spans="1:14" s="208" customFormat="1" hidden="1">
      <c r="A83" s="219" t="s">
        <v>28</v>
      </c>
      <c r="B83" s="436" t="s">
        <v>100</v>
      </c>
      <c r="C83" s="349">
        <v>43612</v>
      </c>
      <c r="D83" s="346" t="s">
        <v>93</v>
      </c>
      <c r="E83" s="346" t="s">
        <v>74</v>
      </c>
      <c r="F83" s="346" t="s">
        <v>41</v>
      </c>
      <c r="G83" s="346" t="s">
        <v>101</v>
      </c>
      <c r="H83" s="347" t="s">
        <v>185</v>
      </c>
      <c r="I83" s="347" t="s">
        <v>186</v>
      </c>
      <c r="J83" s="347" t="s">
        <v>46</v>
      </c>
      <c r="K83" s="361"/>
      <c r="M83" s="227"/>
      <c r="N83" s="227"/>
    </row>
    <row r="84" spans="1:14" s="208" customFormat="1" hidden="1">
      <c r="A84" s="219" t="s">
        <v>28</v>
      </c>
      <c r="B84" s="436" t="s">
        <v>100</v>
      </c>
      <c r="C84" s="349">
        <v>43612</v>
      </c>
      <c r="D84" s="346" t="s">
        <v>93</v>
      </c>
      <c r="E84" s="346" t="s">
        <v>74</v>
      </c>
      <c r="F84" s="346" t="s">
        <v>41</v>
      </c>
      <c r="G84" s="346" t="s">
        <v>101</v>
      </c>
      <c r="H84" s="347" t="s">
        <v>187</v>
      </c>
      <c r="I84" s="347" t="s">
        <v>188</v>
      </c>
      <c r="J84" s="347" t="s">
        <v>46</v>
      </c>
      <c r="K84" s="361"/>
      <c r="M84" s="227"/>
      <c r="N84" s="227"/>
    </row>
    <row r="85" spans="1:14" s="208" customFormat="1" hidden="1">
      <c r="A85" s="219" t="s">
        <v>28</v>
      </c>
      <c r="B85" s="436" t="s">
        <v>100</v>
      </c>
      <c r="C85" s="349">
        <v>43612</v>
      </c>
      <c r="D85" s="346" t="s">
        <v>93</v>
      </c>
      <c r="E85" s="346" t="s">
        <v>74</v>
      </c>
      <c r="F85" s="346" t="s">
        <v>41</v>
      </c>
      <c r="G85" s="346" t="s">
        <v>101</v>
      </c>
      <c r="H85" s="347" t="s">
        <v>189</v>
      </c>
      <c r="I85" s="347" t="s">
        <v>190</v>
      </c>
      <c r="J85" s="347" t="s">
        <v>46</v>
      </c>
      <c r="K85" s="362"/>
      <c r="M85" s="227"/>
      <c r="N85" s="227"/>
    </row>
    <row r="86" spans="1:14" s="208" customFormat="1" ht="26.45" hidden="1">
      <c r="A86" s="219" t="s">
        <v>28</v>
      </c>
      <c r="B86" s="436" t="s">
        <v>100</v>
      </c>
      <c r="C86" s="349">
        <v>43612</v>
      </c>
      <c r="D86" s="346" t="s">
        <v>93</v>
      </c>
      <c r="E86" s="346" t="s">
        <v>74</v>
      </c>
      <c r="F86" s="346" t="s">
        <v>41</v>
      </c>
      <c r="G86" s="346" t="s">
        <v>101</v>
      </c>
      <c r="H86" s="347" t="s">
        <v>191</v>
      </c>
      <c r="I86" s="347" t="s">
        <v>192</v>
      </c>
      <c r="J86" s="347" t="s">
        <v>46</v>
      </c>
      <c r="K86" s="363" t="s">
        <v>113</v>
      </c>
      <c r="M86" s="227"/>
      <c r="N86" s="227"/>
    </row>
    <row r="87" spans="1:14" s="208" customFormat="1" ht="26.45" hidden="1">
      <c r="A87" s="219" t="s">
        <v>28</v>
      </c>
      <c r="B87" s="436" t="s">
        <v>100</v>
      </c>
      <c r="C87" s="349">
        <v>43612</v>
      </c>
      <c r="D87" s="346" t="s">
        <v>93</v>
      </c>
      <c r="E87" s="346" t="s">
        <v>74</v>
      </c>
      <c r="F87" s="346" t="s">
        <v>41</v>
      </c>
      <c r="G87" s="346" t="s">
        <v>101</v>
      </c>
      <c r="H87" s="347" t="s">
        <v>193</v>
      </c>
      <c r="I87" s="347" t="s">
        <v>194</v>
      </c>
      <c r="J87" s="347" t="s">
        <v>46</v>
      </c>
      <c r="K87" s="361"/>
      <c r="M87" s="227"/>
      <c r="N87" s="227"/>
    </row>
    <row r="88" spans="1:14" s="208" customFormat="1" ht="26.45" hidden="1">
      <c r="A88" s="219" t="s">
        <v>28</v>
      </c>
      <c r="B88" s="436" t="s">
        <v>100</v>
      </c>
      <c r="C88" s="349">
        <v>43612</v>
      </c>
      <c r="D88" s="346" t="s">
        <v>93</v>
      </c>
      <c r="E88" s="346" t="s">
        <v>74</v>
      </c>
      <c r="F88" s="346" t="s">
        <v>41</v>
      </c>
      <c r="G88" s="346" t="s">
        <v>101</v>
      </c>
      <c r="H88" s="347" t="s">
        <v>195</v>
      </c>
      <c r="I88" s="347" t="s">
        <v>196</v>
      </c>
      <c r="J88" s="347" t="s">
        <v>46</v>
      </c>
      <c r="K88" s="361"/>
      <c r="M88" s="227"/>
      <c r="N88" s="227"/>
    </row>
    <row r="89" spans="1:14" s="208" customFormat="1" ht="26.45" hidden="1">
      <c r="A89" s="219" t="s">
        <v>28</v>
      </c>
      <c r="B89" s="436" t="s">
        <v>100</v>
      </c>
      <c r="C89" s="349">
        <v>43612</v>
      </c>
      <c r="D89" s="346" t="s">
        <v>93</v>
      </c>
      <c r="E89" s="346" t="s">
        <v>74</v>
      </c>
      <c r="F89" s="346" t="s">
        <v>41</v>
      </c>
      <c r="G89" s="346" t="s">
        <v>101</v>
      </c>
      <c r="H89" s="347" t="s">
        <v>197</v>
      </c>
      <c r="I89" s="347" t="s">
        <v>198</v>
      </c>
      <c r="J89" s="347" t="s">
        <v>46</v>
      </c>
      <c r="K89" s="361"/>
      <c r="M89" s="227"/>
      <c r="N89" s="227"/>
    </row>
    <row r="90" spans="1:14" s="208" customFormat="1" ht="26.45" hidden="1">
      <c r="A90" s="219" t="s">
        <v>28</v>
      </c>
      <c r="B90" s="436" t="s">
        <v>100</v>
      </c>
      <c r="C90" s="349">
        <v>43612</v>
      </c>
      <c r="D90" s="346" t="s">
        <v>93</v>
      </c>
      <c r="E90" s="346" t="s">
        <v>74</v>
      </c>
      <c r="F90" s="346" t="s">
        <v>41</v>
      </c>
      <c r="G90" s="346" t="s">
        <v>101</v>
      </c>
      <c r="H90" s="347" t="s">
        <v>199</v>
      </c>
      <c r="I90" s="347" t="s">
        <v>200</v>
      </c>
      <c r="J90" s="347" t="s">
        <v>46</v>
      </c>
      <c r="K90" s="361"/>
      <c r="M90" s="227"/>
      <c r="N90" s="227"/>
    </row>
    <row r="91" spans="1:14" s="208" customFormat="1" ht="26.45" hidden="1">
      <c r="A91" s="219" t="s">
        <v>28</v>
      </c>
      <c r="B91" s="436" t="s">
        <v>100</v>
      </c>
      <c r="C91" s="349">
        <v>43612</v>
      </c>
      <c r="D91" s="346" t="s">
        <v>93</v>
      </c>
      <c r="E91" s="346" t="s">
        <v>74</v>
      </c>
      <c r="F91" s="346" t="s">
        <v>41</v>
      </c>
      <c r="G91" s="346" t="s">
        <v>101</v>
      </c>
      <c r="H91" s="347" t="s">
        <v>201</v>
      </c>
      <c r="I91" s="347" t="s">
        <v>202</v>
      </c>
      <c r="J91" s="347" t="s">
        <v>46</v>
      </c>
      <c r="K91" s="361"/>
      <c r="M91" s="227"/>
      <c r="N91" s="227"/>
    </row>
    <row r="92" spans="1:14" s="208" customFormat="1" ht="26.45" hidden="1">
      <c r="A92" s="219" t="s">
        <v>28</v>
      </c>
      <c r="B92" s="436" t="s">
        <v>100</v>
      </c>
      <c r="C92" s="349">
        <v>43612</v>
      </c>
      <c r="D92" s="346" t="s">
        <v>93</v>
      </c>
      <c r="E92" s="346" t="s">
        <v>74</v>
      </c>
      <c r="F92" s="346" t="s">
        <v>41</v>
      </c>
      <c r="G92" s="346" t="s">
        <v>101</v>
      </c>
      <c r="H92" s="347" t="s">
        <v>203</v>
      </c>
      <c r="I92" s="347" t="s">
        <v>204</v>
      </c>
      <c r="J92" s="347" t="s">
        <v>46</v>
      </c>
      <c r="K92" s="361"/>
      <c r="M92" s="227"/>
      <c r="N92" s="227"/>
    </row>
    <row r="93" spans="1:14" s="208" customFormat="1" ht="26.45" hidden="1">
      <c r="A93" s="219" t="s">
        <v>28</v>
      </c>
      <c r="B93" s="436" t="s">
        <v>100</v>
      </c>
      <c r="C93" s="349">
        <v>43612</v>
      </c>
      <c r="D93" s="346" t="s">
        <v>93</v>
      </c>
      <c r="E93" s="346" t="s">
        <v>74</v>
      </c>
      <c r="F93" s="346" t="s">
        <v>41</v>
      </c>
      <c r="G93" s="346" t="s">
        <v>101</v>
      </c>
      <c r="H93" s="347" t="s">
        <v>205</v>
      </c>
      <c r="I93" s="347" t="s">
        <v>206</v>
      </c>
      <c r="J93" s="347" t="s">
        <v>46</v>
      </c>
      <c r="K93" s="361"/>
      <c r="M93" s="227"/>
      <c r="N93" s="227"/>
    </row>
    <row r="94" spans="1:14" s="208" customFormat="1" ht="26.45" hidden="1">
      <c r="A94" s="219" t="s">
        <v>28</v>
      </c>
      <c r="B94" s="436" t="s">
        <v>100</v>
      </c>
      <c r="C94" s="349">
        <v>43612</v>
      </c>
      <c r="D94" s="346" t="s">
        <v>93</v>
      </c>
      <c r="E94" s="346" t="s">
        <v>74</v>
      </c>
      <c r="F94" s="346" t="s">
        <v>41</v>
      </c>
      <c r="G94" s="346" t="s">
        <v>101</v>
      </c>
      <c r="H94" s="347" t="s">
        <v>207</v>
      </c>
      <c r="I94" s="347" t="s">
        <v>208</v>
      </c>
      <c r="J94" s="347" t="s">
        <v>46</v>
      </c>
      <c r="K94" s="361"/>
      <c r="M94" s="227"/>
      <c r="N94" s="227"/>
    </row>
    <row r="95" spans="1:14" s="208" customFormat="1" ht="26.45" hidden="1">
      <c r="A95" s="219" t="s">
        <v>28</v>
      </c>
      <c r="B95" s="436" t="s">
        <v>100</v>
      </c>
      <c r="C95" s="349">
        <v>43612</v>
      </c>
      <c r="D95" s="346" t="s">
        <v>93</v>
      </c>
      <c r="E95" s="346" t="s">
        <v>74</v>
      </c>
      <c r="F95" s="346" t="s">
        <v>41</v>
      </c>
      <c r="G95" s="346" t="s">
        <v>101</v>
      </c>
      <c r="H95" s="347" t="s">
        <v>209</v>
      </c>
      <c r="I95" s="347" t="s">
        <v>210</v>
      </c>
      <c r="J95" s="347" t="s">
        <v>46</v>
      </c>
      <c r="K95" s="361"/>
      <c r="M95" s="227"/>
      <c r="N95" s="227"/>
    </row>
    <row r="96" spans="1:14" s="208" customFormat="1" ht="26.45" hidden="1">
      <c r="A96" s="219" t="s">
        <v>28</v>
      </c>
      <c r="B96" s="436" t="s">
        <v>100</v>
      </c>
      <c r="C96" s="349">
        <v>43612</v>
      </c>
      <c r="D96" s="346" t="s">
        <v>93</v>
      </c>
      <c r="E96" s="346" t="s">
        <v>74</v>
      </c>
      <c r="F96" s="346" t="s">
        <v>41</v>
      </c>
      <c r="G96" s="346" t="s">
        <v>101</v>
      </c>
      <c r="H96" s="347" t="s">
        <v>211</v>
      </c>
      <c r="I96" s="347" t="s">
        <v>212</v>
      </c>
      <c r="J96" s="347" t="s">
        <v>46</v>
      </c>
      <c r="K96" s="361"/>
      <c r="M96" s="227"/>
      <c r="N96" s="227"/>
    </row>
    <row r="97" spans="1:14" s="208" customFormat="1" ht="26.45" hidden="1">
      <c r="A97" s="219" t="s">
        <v>28</v>
      </c>
      <c r="B97" s="436" t="s">
        <v>100</v>
      </c>
      <c r="C97" s="349">
        <v>43612</v>
      </c>
      <c r="D97" s="346" t="s">
        <v>93</v>
      </c>
      <c r="E97" s="346" t="s">
        <v>74</v>
      </c>
      <c r="F97" s="346" t="s">
        <v>41</v>
      </c>
      <c r="G97" s="346" t="s">
        <v>101</v>
      </c>
      <c r="H97" s="347" t="s">
        <v>213</v>
      </c>
      <c r="I97" s="347" t="s">
        <v>214</v>
      </c>
      <c r="J97" s="347" t="s">
        <v>46</v>
      </c>
      <c r="K97" s="361"/>
      <c r="M97" s="227"/>
      <c r="N97" s="227"/>
    </row>
    <row r="98" spans="1:14" s="208" customFormat="1" ht="26.45" hidden="1">
      <c r="A98" s="219" t="s">
        <v>28</v>
      </c>
      <c r="B98" s="436" t="s">
        <v>100</v>
      </c>
      <c r="C98" s="349">
        <v>43612</v>
      </c>
      <c r="D98" s="346" t="s">
        <v>93</v>
      </c>
      <c r="E98" s="346" t="s">
        <v>74</v>
      </c>
      <c r="F98" s="346" t="s">
        <v>41</v>
      </c>
      <c r="G98" s="346" t="s">
        <v>101</v>
      </c>
      <c r="H98" s="347" t="s">
        <v>215</v>
      </c>
      <c r="I98" s="347" t="s">
        <v>216</v>
      </c>
      <c r="J98" s="347" t="s">
        <v>46</v>
      </c>
      <c r="K98" s="361"/>
      <c r="M98" s="227"/>
      <c r="N98" s="227"/>
    </row>
    <row r="99" spans="1:14" s="208" customFormat="1" ht="26.45" hidden="1">
      <c r="A99" s="219" t="s">
        <v>28</v>
      </c>
      <c r="B99" s="436" t="s">
        <v>100</v>
      </c>
      <c r="C99" s="349">
        <v>43612</v>
      </c>
      <c r="D99" s="346" t="s">
        <v>93</v>
      </c>
      <c r="E99" s="346" t="s">
        <v>74</v>
      </c>
      <c r="F99" s="346" t="s">
        <v>41</v>
      </c>
      <c r="G99" s="346" t="s">
        <v>101</v>
      </c>
      <c r="H99" s="347" t="s">
        <v>217</v>
      </c>
      <c r="I99" s="347" t="s">
        <v>218</v>
      </c>
      <c r="J99" s="347" t="s">
        <v>46</v>
      </c>
      <c r="K99" s="361"/>
      <c r="M99" s="227"/>
      <c r="N99" s="227"/>
    </row>
    <row r="100" spans="1:14" s="208" customFormat="1" ht="26.45" hidden="1">
      <c r="A100" s="219" t="s">
        <v>28</v>
      </c>
      <c r="B100" s="436" t="s">
        <v>100</v>
      </c>
      <c r="C100" s="349">
        <v>43612</v>
      </c>
      <c r="D100" s="346" t="s">
        <v>93</v>
      </c>
      <c r="E100" s="346" t="s">
        <v>74</v>
      </c>
      <c r="F100" s="346" t="s">
        <v>41</v>
      </c>
      <c r="G100" s="346" t="s">
        <v>101</v>
      </c>
      <c r="H100" s="347" t="s">
        <v>219</v>
      </c>
      <c r="I100" s="347" t="s">
        <v>220</v>
      </c>
      <c r="J100" s="347" t="s">
        <v>46</v>
      </c>
      <c r="K100" s="361"/>
      <c r="M100" s="227"/>
      <c r="N100" s="227"/>
    </row>
    <row r="101" spans="1:14" s="208" customFormat="1" ht="26.45" hidden="1">
      <c r="A101" s="219" t="s">
        <v>28</v>
      </c>
      <c r="B101" s="436" t="s">
        <v>100</v>
      </c>
      <c r="C101" s="349">
        <v>43612</v>
      </c>
      <c r="D101" s="346" t="s">
        <v>93</v>
      </c>
      <c r="E101" s="346" t="s">
        <v>74</v>
      </c>
      <c r="F101" s="346" t="s">
        <v>41</v>
      </c>
      <c r="G101" s="346" t="s">
        <v>101</v>
      </c>
      <c r="H101" s="347" t="s">
        <v>221</v>
      </c>
      <c r="I101" s="347" t="s">
        <v>222</v>
      </c>
      <c r="J101" s="347" t="s">
        <v>46</v>
      </c>
      <c r="K101" s="361"/>
      <c r="M101" s="227"/>
      <c r="N101" s="227"/>
    </row>
    <row r="102" spans="1:14" s="208" customFormat="1" ht="26.45" hidden="1">
      <c r="A102" s="219" t="s">
        <v>28</v>
      </c>
      <c r="B102" s="436" t="s">
        <v>100</v>
      </c>
      <c r="C102" s="349">
        <v>43612</v>
      </c>
      <c r="D102" s="346" t="s">
        <v>93</v>
      </c>
      <c r="E102" s="346" t="s">
        <v>74</v>
      </c>
      <c r="F102" s="346" t="s">
        <v>41</v>
      </c>
      <c r="G102" s="346" t="s">
        <v>101</v>
      </c>
      <c r="H102" s="347" t="s">
        <v>223</v>
      </c>
      <c r="I102" s="347" t="s">
        <v>224</v>
      </c>
      <c r="J102" s="347" t="s">
        <v>46</v>
      </c>
      <c r="K102" s="361"/>
      <c r="M102" s="227"/>
      <c r="N102" s="227"/>
    </row>
    <row r="103" spans="1:14" s="208" customFormat="1" ht="26.45" hidden="1">
      <c r="A103" s="219" t="s">
        <v>28</v>
      </c>
      <c r="B103" s="436" t="s">
        <v>100</v>
      </c>
      <c r="C103" s="349">
        <v>43612</v>
      </c>
      <c r="D103" s="346" t="s">
        <v>93</v>
      </c>
      <c r="E103" s="346" t="s">
        <v>74</v>
      </c>
      <c r="F103" s="346" t="s">
        <v>41</v>
      </c>
      <c r="G103" s="346" t="s">
        <v>101</v>
      </c>
      <c r="H103" s="347" t="s">
        <v>225</v>
      </c>
      <c r="I103" s="347" t="s">
        <v>226</v>
      </c>
      <c r="J103" s="347" t="s">
        <v>46</v>
      </c>
      <c r="K103" s="361"/>
      <c r="M103" s="227"/>
      <c r="N103" s="227"/>
    </row>
    <row r="104" spans="1:14" s="208" customFormat="1" ht="26.45" hidden="1">
      <c r="A104" s="219" t="s">
        <v>28</v>
      </c>
      <c r="B104" s="436" t="s">
        <v>100</v>
      </c>
      <c r="C104" s="349">
        <v>43612</v>
      </c>
      <c r="D104" s="346" t="s">
        <v>93</v>
      </c>
      <c r="E104" s="346" t="s">
        <v>74</v>
      </c>
      <c r="F104" s="346" t="s">
        <v>41</v>
      </c>
      <c r="G104" s="346" t="s">
        <v>101</v>
      </c>
      <c r="H104" s="347" t="s">
        <v>227</v>
      </c>
      <c r="I104" s="347" t="s">
        <v>228</v>
      </c>
      <c r="J104" s="347" t="s">
        <v>46</v>
      </c>
      <c r="K104" s="362"/>
      <c r="M104" s="227"/>
      <c r="N104" s="227"/>
    </row>
    <row r="105" spans="1:14" s="208" customFormat="1" hidden="1">
      <c r="A105" s="219" t="s">
        <v>28</v>
      </c>
      <c r="B105" s="436" t="s">
        <v>100</v>
      </c>
      <c r="C105" s="349">
        <v>43612</v>
      </c>
      <c r="D105" s="346" t="s">
        <v>93</v>
      </c>
      <c r="E105" s="346" t="s">
        <v>74</v>
      </c>
      <c r="F105" s="346" t="s">
        <v>41</v>
      </c>
      <c r="G105" s="346" t="s">
        <v>101</v>
      </c>
      <c r="H105" s="347" t="s">
        <v>229</v>
      </c>
      <c r="I105" s="347" t="s">
        <v>230</v>
      </c>
      <c r="J105" s="347" t="s">
        <v>46</v>
      </c>
      <c r="K105" s="363" t="s">
        <v>231</v>
      </c>
      <c r="M105" s="227"/>
      <c r="N105" s="227"/>
    </row>
    <row r="106" spans="1:14" s="208" customFormat="1" hidden="1">
      <c r="A106" s="219" t="s">
        <v>28</v>
      </c>
      <c r="B106" s="436" t="s">
        <v>100</v>
      </c>
      <c r="C106" s="349">
        <v>43612</v>
      </c>
      <c r="D106" s="346" t="s">
        <v>93</v>
      </c>
      <c r="E106" s="346" t="s">
        <v>74</v>
      </c>
      <c r="F106" s="346" t="s">
        <v>41</v>
      </c>
      <c r="G106" s="346" t="s">
        <v>101</v>
      </c>
      <c r="H106" s="347" t="s">
        <v>232</v>
      </c>
      <c r="I106" s="347" t="s">
        <v>233</v>
      </c>
      <c r="J106" s="347" t="s">
        <v>46</v>
      </c>
      <c r="K106" s="361"/>
      <c r="M106" s="227"/>
      <c r="N106" s="227"/>
    </row>
    <row r="107" spans="1:14" s="208" customFormat="1" hidden="1">
      <c r="A107" s="219" t="s">
        <v>28</v>
      </c>
      <c r="B107" s="436" t="s">
        <v>100</v>
      </c>
      <c r="C107" s="349">
        <v>43612</v>
      </c>
      <c r="D107" s="346" t="s">
        <v>93</v>
      </c>
      <c r="E107" s="346" t="s">
        <v>74</v>
      </c>
      <c r="F107" s="346" t="s">
        <v>41</v>
      </c>
      <c r="G107" s="346" t="s">
        <v>101</v>
      </c>
      <c r="H107" s="347" t="s">
        <v>234</v>
      </c>
      <c r="I107" s="347" t="s">
        <v>235</v>
      </c>
      <c r="J107" s="347" t="s">
        <v>46</v>
      </c>
      <c r="K107" s="361"/>
      <c r="M107" s="227"/>
      <c r="N107" s="227"/>
    </row>
    <row r="108" spans="1:14" s="208" customFormat="1" hidden="1">
      <c r="A108" s="219" t="s">
        <v>28</v>
      </c>
      <c r="B108" s="436" t="s">
        <v>100</v>
      </c>
      <c r="C108" s="349">
        <v>43612</v>
      </c>
      <c r="D108" s="346" t="s">
        <v>93</v>
      </c>
      <c r="E108" s="346" t="s">
        <v>74</v>
      </c>
      <c r="F108" s="346" t="s">
        <v>41</v>
      </c>
      <c r="G108" s="346" t="s">
        <v>101</v>
      </c>
      <c r="H108" s="347" t="s">
        <v>236</v>
      </c>
      <c r="I108" s="347" t="s">
        <v>237</v>
      </c>
      <c r="J108" s="347" t="s">
        <v>46</v>
      </c>
      <c r="K108" s="361"/>
      <c r="M108" s="227"/>
      <c r="N108" s="227"/>
    </row>
    <row r="109" spans="1:14" s="208" customFormat="1" hidden="1">
      <c r="A109" s="219" t="s">
        <v>28</v>
      </c>
      <c r="B109" s="436" t="s">
        <v>100</v>
      </c>
      <c r="C109" s="349">
        <v>43612</v>
      </c>
      <c r="D109" s="346" t="s">
        <v>93</v>
      </c>
      <c r="E109" s="346" t="s">
        <v>74</v>
      </c>
      <c r="F109" s="346" t="s">
        <v>41</v>
      </c>
      <c r="G109" s="346" t="s">
        <v>101</v>
      </c>
      <c r="H109" s="347" t="s">
        <v>238</v>
      </c>
      <c r="I109" s="347" t="s">
        <v>239</v>
      </c>
      <c r="J109" s="347" t="s">
        <v>46</v>
      </c>
      <c r="K109" s="362"/>
      <c r="M109" s="227"/>
      <c r="N109" s="227"/>
    </row>
    <row r="110" spans="1:14" s="208" customFormat="1" ht="26.45" hidden="1">
      <c r="A110" s="219" t="s">
        <v>28</v>
      </c>
      <c r="B110" s="436" t="s">
        <v>100</v>
      </c>
      <c r="C110" s="349">
        <v>43612</v>
      </c>
      <c r="D110" s="346" t="s">
        <v>93</v>
      </c>
      <c r="E110" s="346" t="s">
        <v>74</v>
      </c>
      <c r="F110" s="346" t="s">
        <v>41</v>
      </c>
      <c r="G110" s="346" t="s">
        <v>101</v>
      </c>
      <c r="H110" s="347" t="s">
        <v>240</v>
      </c>
      <c r="I110" s="350" t="s">
        <v>241</v>
      </c>
      <c r="J110" s="347" t="s">
        <v>46</v>
      </c>
      <c r="K110" s="363" t="s">
        <v>113</v>
      </c>
      <c r="M110" s="227"/>
      <c r="N110" s="227"/>
    </row>
    <row r="111" spans="1:14" s="208" customFormat="1" ht="26.45" hidden="1">
      <c r="A111" s="219" t="s">
        <v>28</v>
      </c>
      <c r="B111" s="436" t="s">
        <v>100</v>
      </c>
      <c r="C111" s="349">
        <v>43612</v>
      </c>
      <c r="D111" s="346" t="s">
        <v>93</v>
      </c>
      <c r="E111" s="346" t="s">
        <v>74</v>
      </c>
      <c r="F111" s="346" t="s">
        <v>41</v>
      </c>
      <c r="G111" s="346" t="s">
        <v>101</v>
      </c>
      <c r="H111" s="347" t="s">
        <v>242</v>
      </c>
      <c r="I111" s="347" t="s">
        <v>243</v>
      </c>
      <c r="J111" s="347" t="s">
        <v>46</v>
      </c>
      <c r="K111" s="361"/>
      <c r="M111" s="227"/>
      <c r="N111" s="227"/>
    </row>
    <row r="112" spans="1:14" s="208" customFormat="1" ht="26.45" hidden="1">
      <c r="A112" s="219" t="s">
        <v>28</v>
      </c>
      <c r="B112" s="436" t="s">
        <v>100</v>
      </c>
      <c r="C112" s="349">
        <v>43612</v>
      </c>
      <c r="D112" s="346" t="s">
        <v>93</v>
      </c>
      <c r="E112" s="346" t="s">
        <v>74</v>
      </c>
      <c r="F112" s="346" t="s">
        <v>41</v>
      </c>
      <c r="G112" s="346" t="s">
        <v>101</v>
      </c>
      <c r="H112" s="347" t="s">
        <v>244</v>
      </c>
      <c r="I112" s="347" t="s">
        <v>245</v>
      </c>
      <c r="J112" s="347" t="s">
        <v>46</v>
      </c>
      <c r="K112" s="361"/>
      <c r="M112" s="227"/>
      <c r="N112" s="227"/>
    </row>
    <row r="113" spans="1:16" s="208" customFormat="1" ht="26.45" hidden="1">
      <c r="A113" s="219" t="s">
        <v>28</v>
      </c>
      <c r="B113" s="436" t="s">
        <v>100</v>
      </c>
      <c r="C113" s="349">
        <v>43612</v>
      </c>
      <c r="D113" s="346" t="s">
        <v>93</v>
      </c>
      <c r="E113" s="346" t="s">
        <v>74</v>
      </c>
      <c r="F113" s="346" t="s">
        <v>41</v>
      </c>
      <c r="G113" s="346" t="s">
        <v>101</v>
      </c>
      <c r="H113" s="347" t="s">
        <v>246</v>
      </c>
      <c r="I113" s="347" t="s">
        <v>247</v>
      </c>
      <c r="J113" s="347" t="s">
        <v>46</v>
      </c>
      <c r="K113" s="361"/>
      <c r="M113" s="227"/>
      <c r="N113" s="227"/>
    </row>
    <row r="114" spans="1:16" s="208" customFormat="1" ht="26.45" hidden="1">
      <c r="A114" s="219" t="s">
        <v>28</v>
      </c>
      <c r="B114" s="436" t="s">
        <v>100</v>
      </c>
      <c r="C114" s="349">
        <v>43612</v>
      </c>
      <c r="D114" s="346" t="s">
        <v>93</v>
      </c>
      <c r="E114" s="346" t="s">
        <v>74</v>
      </c>
      <c r="F114" s="346" t="s">
        <v>41</v>
      </c>
      <c r="G114" s="346" t="s">
        <v>101</v>
      </c>
      <c r="H114" s="347" t="s">
        <v>248</v>
      </c>
      <c r="I114" s="347" t="s">
        <v>249</v>
      </c>
      <c r="J114" s="347" t="s">
        <v>46</v>
      </c>
      <c r="K114" s="361"/>
      <c r="M114" s="227"/>
      <c r="N114" s="227"/>
    </row>
    <row r="115" spans="1:16" s="208" customFormat="1" ht="26.45" hidden="1">
      <c r="A115" s="219" t="s">
        <v>28</v>
      </c>
      <c r="B115" s="436" t="s">
        <v>100</v>
      </c>
      <c r="C115" s="349">
        <v>43612</v>
      </c>
      <c r="D115" s="346" t="s">
        <v>93</v>
      </c>
      <c r="E115" s="346" t="s">
        <v>74</v>
      </c>
      <c r="F115" s="346" t="s">
        <v>41</v>
      </c>
      <c r="G115" s="346" t="s">
        <v>101</v>
      </c>
      <c r="H115" s="347" t="s">
        <v>250</v>
      </c>
      <c r="I115" s="347" t="s">
        <v>251</v>
      </c>
      <c r="J115" s="347" t="s">
        <v>46</v>
      </c>
      <c r="K115" s="362"/>
      <c r="M115" s="227"/>
      <c r="N115" s="227"/>
    </row>
    <row r="116" spans="1:16" s="208" customFormat="1" hidden="1">
      <c r="A116" s="219" t="s">
        <v>28</v>
      </c>
      <c r="B116" s="436" t="s">
        <v>100</v>
      </c>
      <c r="C116" s="349">
        <v>43612</v>
      </c>
      <c r="D116" s="346" t="s">
        <v>93</v>
      </c>
      <c r="E116" s="346" t="s">
        <v>74</v>
      </c>
      <c r="F116" s="346" t="s">
        <v>41</v>
      </c>
      <c r="G116" s="346" t="s">
        <v>101</v>
      </c>
      <c r="H116" s="347" t="s">
        <v>252</v>
      </c>
      <c r="I116" s="347" t="s">
        <v>253</v>
      </c>
      <c r="J116" s="347" t="s">
        <v>46</v>
      </c>
      <c r="K116" s="363" t="s">
        <v>254</v>
      </c>
      <c r="M116" s="227"/>
      <c r="N116" s="227"/>
    </row>
    <row r="117" spans="1:16" s="208" customFormat="1" hidden="1">
      <c r="A117" s="219" t="s">
        <v>28</v>
      </c>
      <c r="B117" s="436" t="s">
        <v>100</v>
      </c>
      <c r="C117" s="349">
        <v>43612</v>
      </c>
      <c r="D117" s="346" t="s">
        <v>93</v>
      </c>
      <c r="E117" s="346" t="s">
        <v>74</v>
      </c>
      <c r="F117" s="346" t="s">
        <v>41</v>
      </c>
      <c r="G117" s="346" t="s">
        <v>101</v>
      </c>
      <c r="H117" s="347" t="s">
        <v>255</v>
      </c>
      <c r="I117" s="347" t="s">
        <v>256</v>
      </c>
      <c r="J117" s="347" t="s">
        <v>46</v>
      </c>
      <c r="K117" s="361"/>
      <c r="M117" s="227"/>
      <c r="N117" s="227"/>
    </row>
    <row r="118" spans="1:16" s="208" customFormat="1" hidden="1">
      <c r="A118" s="219" t="s">
        <v>28</v>
      </c>
      <c r="B118" s="436" t="s">
        <v>100</v>
      </c>
      <c r="C118" s="349">
        <v>43612</v>
      </c>
      <c r="D118" s="346" t="s">
        <v>93</v>
      </c>
      <c r="E118" s="346" t="s">
        <v>74</v>
      </c>
      <c r="F118" s="346" t="s">
        <v>41</v>
      </c>
      <c r="G118" s="346" t="s">
        <v>101</v>
      </c>
      <c r="H118" s="347" t="s">
        <v>257</v>
      </c>
      <c r="I118" s="347" t="s">
        <v>258</v>
      </c>
      <c r="J118" s="347" t="s">
        <v>46</v>
      </c>
      <c r="K118" s="361"/>
      <c r="M118" s="227"/>
      <c r="N118" s="227"/>
    </row>
    <row r="119" spans="1:16" s="208" customFormat="1" hidden="1">
      <c r="A119" s="219" t="s">
        <v>28</v>
      </c>
      <c r="B119" s="436" t="s">
        <v>100</v>
      </c>
      <c r="C119" s="349">
        <v>43612</v>
      </c>
      <c r="D119" s="346" t="s">
        <v>93</v>
      </c>
      <c r="E119" s="346" t="s">
        <v>74</v>
      </c>
      <c r="F119" s="346" t="s">
        <v>41</v>
      </c>
      <c r="G119" s="346" t="s">
        <v>101</v>
      </c>
      <c r="H119" s="347" t="s">
        <v>259</v>
      </c>
      <c r="I119" s="347" t="s">
        <v>260</v>
      </c>
      <c r="J119" s="347" t="s">
        <v>46</v>
      </c>
      <c r="K119" s="361"/>
      <c r="M119" s="227"/>
      <c r="N119" s="227"/>
    </row>
    <row r="120" spans="1:16" s="208" customFormat="1" hidden="1">
      <c r="A120" s="219" t="s">
        <v>28</v>
      </c>
      <c r="B120" s="436" t="s">
        <v>100</v>
      </c>
      <c r="C120" s="349">
        <v>43612</v>
      </c>
      <c r="D120" s="346" t="s">
        <v>93</v>
      </c>
      <c r="E120" s="346" t="s">
        <v>74</v>
      </c>
      <c r="F120" s="346" t="s">
        <v>41</v>
      </c>
      <c r="G120" s="346" t="s">
        <v>101</v>
      </c>
      <c r="H120" s="347" t="s">
        <v>261</v>
      </c>
      <c r="I120" s="347" t="s">
        <v>262</v>
      </c>
      <c r="J120" s="347" t="s">
        <v>46</v>
      </c>
      <c r="K120" s="362"/>
      <c r="M120" s="227"/>
      <c r="N120" s="227"/>
    </row>
    <row r="121" spans="1:16" s="208" customFormat="1" ht="26.45" hidden="1">
      <c r="A121" s="219" t="s">
        <v>28</v>
      </c>
      <c r="B121" s="436" t="s">
        <v>100</v>
      </c>
      <c r="C121" s="349">
        <v>43612</v>
      </c>
      <c r="D121" s="346" t="s">
        <v>93</v>
      </c>
      <c r="E121" s="346" t="s">
        <v>74</v>
      </c>
      <c r="F121" s="346" t="s">
        <v>41</v>
      </c>
      <c r="G121" s="346" t="s">
        <v>101</v>
      </c>
      <c r="H121" s="347" t="s">
        <v>263</v>
      </c>
      <c r="I121" s="347" t="s">
        <v>264</v>
      </c>
      <c r="J121" s="347" t="s">
        <v>46</v>
      </c>
      <c r="K121" s="347" t="s">
        <v>265</v>
      </c>
      <c r="M121" s="227"/>
      <c r="N121" s="227"/>
    </row>
    <row r="122" spans="1:16" s="208" customFormat="1" ht="26.45" hidden="1">
      <c r="A122" s="219" t="s">
        <v>28</v>
      </c>
      <c r="B122" s="436" t="s">
        <v>100</v>
      </c>
      <c r="C122" s="349">
        <v>43612</v>
      </c>
      <c r="D122" s="346" t="s">
        <v>93</v>
      </c>
      <c r="E122" s="346" t="s">
        <v>74</v>
      </c>
      <c r="F122" s="346" t="s">
        <v>41</v>
      </c>
      <c r="G122" s="346" t="s">
        <v>101</v>
      </c>
      <c r="H122" s="347" t="s">
        <v>266</v>
      </c>
      <c r="I122" s="347" t="s">
        <v>267</v>
      </c>
      <c r="J122" s="347" t="s">
        <v>46</v>
      </c>
      <c r="K122" s="363" t="s">
        <v>268</v>
      </c>
      <c r="M122" s="227"/>
      <c r="N122" s="227"/>
      <c r="O122" s="227"/>
      <c r="P122" s="227"/>
    </row>
    <row r="123" spans="1:16" s="208" customFormat="1" ht="26.45" hidden="1">
      <c r="A123" s="219" t="s">
        <v>28</v>
      </c>
      <c r="B123" s="436" t="s">
        <v>100</v>
      </c>
      <c r="C123" s="349">
        <v>43612</v>
      </c>
      <c r="D123" s="346" t="s">
        <v>93</v>
      </c>
      <c r="E123" s="346" t="s">
        <v>74</v>
      </c>
      <c r="F123" s="346" t="s">
        <v>41</v>
      </c>
      <c r="G123" s="346" t="s">
        <v>101</v>
      </c>
      <c r="H123" s="347" t="s">
        <v>269</v>
      </c>
      <c r="I123" s="347" t="s">
        <v>270</v>
      </c>
      <c r="J123" s="347" t="s">
        <v>46</v>
      </c>
      <c r="K123" s="361"/>
      <c r="M123" s="227"/>
      <c r="N123" s="227"/>
      <c r="O123" s="227"/>
      <c r="P123" s="227"/>
    </row>
    <row r="124" spans="1:16" s="208" customFormat="1" ht="26.45" hidden="1">
      <c r="A124" s="219" t="s">
        <v>28</v>
      </c>
      <c r="B124" s="436" t="s">
        <v>100</v>
      </c>
      <c r="C124" s="349">
        <v>43612</v>
      </c>
      <c r="D124" s="346" t="s">
        <v>93</v>
      </c>
      <c r="E124" s="346" t="s">
        <v>74</v>
      </c>
      <c r="F124" s="346" t="s">
        <v>41</v>
      </c>
      <c r="G124" s="346" t="s">
        <v>101</v>
      </c>
      <c r="H124" s="347" t="s">
        <v>271</v>
      </c>
      <c r="I124" s="347" t="s">
        <v>272</v>
      </c>
      <c r="J124" s="347" t="s">
        <v>46</v>
      </c>
      <c r="K124" s="361"/>
      <c r="M124" s="227"/>
      <c r="N124" s="227"/>
      <c r="O124" s="227"/>
      <c r="P124" s="227"/>
    </row>
    <row r="125" spans="1:16" s="208" customFormat="1" ht="26.45" hidden="1">
      <c r="A125" s="219" t="s">
        <v>28</v>
      </c>
      <c r="B125" s="436" t="s">
        <v>100</v>
      </c>
      <c r="C125" s="349">
        <v>43612</v>
      </c>
      <c r="D125" s="346" t="s">
        <v>93</v>
      </c>
      <c r="E125" s="346" t="s">
        <v>74</v>
      </c>
      <c r="F125" s="346" t="s">
        <v>41</v>
      </c>
      <c r="G125" s="346" t="s">
        <v>101</v>
      </c>
      <c r="H125" s="347" t="s">
        <v>273</v>
      </c>
      <c r="I125" s="347" t="s">
        <v>274</v>
      </c>
      <c r="J125" s="347" t="s">
        <v>46</v>
      </c>
      <c r="K125" s="361"/>
      <c r="M125" s="227"/>
      <c r="N125" s="227"/>
      <c r="O125" s="227"/>
      <c r="P125" s="227"/>
    </row>
    <row r="126" spans="1:16" s="208" customFormat="1" ht="26.45" hidden="1">
      <c r="A126" s="219" t="s">
        <v>28</v>
      </c>
      <c r="B126" s="436" t="s">
        <v>100</v>
      </c>
      <c r="C126" s="349">
        <v>43612</v>
      </c>
      <c r="D126" s="346" t="s">
        <v>93</v>
      </c>
      <c r="E126" s="346" t="s">
        <v>74</v>
      </c>
      <c r="F126" s="346" t="s">
        <v>41</v>
      </c>
      <c r="G126" s="346" t="s">
        <v>101</v>
      </c>
      <c r="H126" s="347" t="s">
        <v>275</v>
      </c>
      <c r="I126" s="350" t="s">
        <v>276</v>
      </c>
      <c r="J126" s="347" t="s">
        <v>46</v>
      </c>
      <c r="K126" s="361"/>
      <c r="M126" s="227"/>
      <c r="N126" s="227"/>
      <c r="O126" s="227"/>
      <c r="P126" s="227"/>
    </row>
    <row r="127" spans="1:16" s="208" customFormat="1" ht="26.45" hidden="1">
      <c r="A127" s="219" t="s">
        <v>28</v>
      </c>
      <c r="B127" s="436" t="s">
        <v>100</v>
      </c>
      <c r="C127" s="349">
        <v>43612</v>
      </c>
      <c r="D127" s="346" t="s">
        <v>93</v>
      </c>
      <c r="E127" s="346" t="s">
        <v>74</v>
      </c>
      <c r="F127" s="346" t="s">
        <v>41</v>
      </c>
      <c r="G127" s="346" t="s">
        <v>101</v>
      </c>
      <c r="H127" s="347" t="s">
        <v>277</v>
      </c>
      <c r="I127" s="347" t="s">
        <v>278</v>
      </c>
      <c r="J127" s="347" t="s">
        <v>46</v>
      </c>
      <c r="K127" s="361"/>
      <c r="M127" s="227"/>
      <c r="N127" s="227"/>
      <c r="O127" s="227"/>
      <c r="P127" s="227"/>
    </row>
    <row r="128" spans="1:16" s="208" customFormat="1" ht="26.45" hidden="1">
      <c r="A128" s="219" t="s">
        <v>28</v>
      </c>
      <c r="B128" s="436" t="s">
        <v>100</v>
      </c>
      <c r="C128" s="349">
        <v>43612</v>
      </c>
      <c r="D128" s="346" t="s">
        <v>93</v>
      </c>
      <c r="E128" s="346" t="s">
        <v>74</v>
      </c>
      <c r="F128" s="346" t="s">
        <v>41</v>
      </c>
      <c r="G128" s="346" t="s">
        <v>101</v>
      </c>
      <c r="H128" s="347" t="s">
        <v>279</v>
      </c>
      <c r="I128" s="347" t="s">
        <v>280</v>
      </c>
      <c r="J128" s="347" t="s">
        <v>46</v>
      </c>
      <c r="K128" s="361"/>
      <c r="M128" s="227"/>
      <c r="N128" s="227"/>
      <c r="O128" s="227"/>
      <c r="P128" s="227"/>
    </row>
    <row r="129" spans="1:14" s="208" customFormat="1" ht="26.45" hidden="1">
      <c r="A129" s="219" t="s">
        <v>28</v>
      </c>
      <c r="B129" s="436" t="s">
        <v>100</v>
      </c>
      <c r="C129" s="349">
        <v>43612</v>
      </c>
      <c r="D129" s="346" t="s">
        <v>93</v>
      </c>
      <c r="E129" s="346" t="s">
        <v>74</v>
      </c>
      <c r="F129" s="346" t="s">
        <v>41</v>
      </c>
      <c r="G129" s="346" t="s">
        <v>101</v>
      </c>
      <c r="H129" s="347" t="s">
        <v>281</v>
      </c>
      <c r="I129" s="347" t="s">
        <v>282</v>
      </c>
      <c r="J129" s="347" t="s">
        <v>46</v>
      </c>
      <c r="K129" s="361"/>
      <c r="M129" s="227"/>
      <c r="N129" s="227"/>
    </row>
    <row r="130" spans="1:14" s="208" customFormat="1" ht="26.45" hidden="1">
      <c r="A130" s="219" t="s">
        <v>28</v>
      </c>
      <c r="B130" s="436" t="s">
        <v>100</v>
      </c>
      <c r="C130" s="349">
        <v>43612</v>
      </c>
      <c r="D130" s="346" t="s">
        <v>93</v>
      </c>
      <c r="E130" s="346" t="s">
        <v>74</v>
      </c>
      <c r="F130" s="346" t="s">
        <v>41</v>
      </c>
      <c r="G130" s="346" t="s">
        <v>101</v>
      </c>
      <c r="H130" s="347" t="s">
        <v>283</v>
      </c>
      <c r="I130" s="347" t="s">
        <v>284</v>
      </c>
      <c r="J130" s="347" t="s">
        <v>46</v>
      </c>
      <c r="K130" s="361"/>
      <c r="M130" s="227"/>
      <c r="N130" s="227"/>
    </row>
    <row r="131" spans="1:14" s="208" customFormat="1" ht="26.45" hidden="1">
      <c r="A131" s="219" t="s">
        <v>28</v>
      </c>
      <c r="B131" s="436" t="s">
        <v>100</v>
      </c>
      <c r="C131" s="349">
        <v>43612</v>
      </c>
      <c r="D131" s="346" t="s">
        <v>93</v>
      </c>
      <c r="E131" s="346" t="s">
        <v>74</v>
      </c>
      <c r="F131" s="346" t="s">
        <v>41</v>
      </c>
      <c r="G131" s="346" t="s">
        <v>101</v>
      </c>
      <c r="H131" s="347" t="s">
        <v>285</v>
      </c>
      <c r="I131" s="347" t="s">
        <v>286</v>
      </c>
      <c r="J131" s="347" t="s">
        <v>46</v>
      </c>
      <c r="K131" s="361"/>
      <c r="M131" s="227"/>
      <c r="N131" s="227"/>
    </row>
    <row r="132" spans="1:14" s="208" customFormat="1" ht="26.45" hidden="1">
      <c r="A132" s="219" t="s">
        <v>28</v>
      </c>
      <c r="B132" s="436" t="s">
        <v>100</v>
      </c>
      <c r="C132" s="349">
        <v>43612</v>
      </c>
      <c r="D132" s="346" t="s">
        <v>93</v>
      </c>
      <c r="E132" s="346" t="s">
        <v>74</v>
      </c>
      <c r="F132" s="346" t="s">
        <v>41</v>
      </c>
      <c r="G132" s="346" t="s">
        <v>101</v>
      </c>
      <c r="H132" s="347" t="s">
        <v>287</v>
      </c>
      <c r="I132" s="347" t="s">
        <v>288</v>
      </c>
      <c r="J132" s="347" t="s">
        <v>46</v>
      </c>
      <c r="K132" s="361"/>
      <c r="M132" s="227"/>
      <c r="N132" s="227"/>
    </row>
    <row r="133" spans="1:14" s="208" customFormat="1" ht="26.45" hidden="1">
      <c r="A133" s="219" t="s">
        <v>28</v>
      </c>
      <c r="B133" s="436" t="s">
        <v>100</v>
      </c>
      <c r="C133" s="349">
        <v>43612</v>
      </c>
      <c r="D133" s="346" t="s">
        <v>93</v>
      </c>
      <c r="E133" s="346" t="s">
        <v>74</v>
      </c>
      <c r="F133" s="346" t="s">
        <v>41</v>
      </c>
      <c r="G133" s="346" t="s">
        <v>101</v>
      </c>
      <c r="H133" s="347" t="s">
        <v>289</v>
      </c>
      <c r="I133" s="347" t="s">
        <v>290</v>
      </c>
      <c r="J133" s="347" t="s">
        <v>46</v>
      </c>
      <c r="K133" s="361"/>
      <c r="M133" s="227"/>
      <c r="N133" s="227"/>
    </row>
    <row r="134" spans="1:14" s="208" customFormat="1" ht="26.45" hidden="1">
      <c r="A134" s="219" t="s">
        <v>28</v>
      </c>
      <c r="B134" s="436" t="s">
        <v>100</v>
      </c>
      <c r="C134" s="349">
        <v>43612</v>
      </c>
      <c r="D134" s="346" t="s">
        <v>93</v>
      </c>
      <c r="E134" s="346" t="s">
        <v>74</v>
      </c>
      <c r="F134" s="346" t="s">
        <v>41</v>
      </c>
      <c r="G134" s="346" t="s">
        <v>101</v>
      </c>
      <c r="H134" s="347" t="s">
        <v>291</v>
      </c>
      <c r="I134" s="347" t="s">
        <v>292</v>
      </c>
      <c r="J134" s="347" t="s">
        <v>46</v>
      </c>
      <c r="K134" s="361"/>
      <c r="M134" s="227"/>
      <c r="N134" s="227"/>
    </row>
    <row r="135" spans="1:14" s="208" customFormat="1" ht="26.45" hidden="1">
      <c r="A135" s="219" t="s">
        <v>28</v>
      </c>
      <c r="B135" s="436" t="s">
        <v>100</v>
      </c>
      <c r="C135" s="349">
        <v>43612</v>
      </c>
      <c r="D135" s="346" t="s">
        <v>93</v>
      </c>
      <c r="E135" s="346" t="s">
        <v>74</v>
      </c>
      <c r="F135" s="346" t="s">
        <v>41</v>
      </c>
      <c r="G135" s="346" t="s">
        <v>101</v>
      </c>
      <c r="H135" s="347" t="s">
        <v>293</v>
      </c>
      <c r="I135" s="347" t="s">
        <v>294</v>
      </c>
      <c r="J135" s="347" t="s">
        <v>46</v>
      </c>
      <c r="K135" s="361"/>
      <c r="M135" s="227"/>
      <c r="N135" s="227"/>
    </row>
    <row r="136" spans="1:14" s="208" customFormat="1" ht="26.45" hidden="1">
      <c r="A136" s="219" t="s">
        <v>28</v>
      </c>
      <c r="B136" s="436" t="s">
        <v>100</v>
      </c>
      <c r="C136" s="351">
        <v>43612</v>
      </c>
      <c r="D136" s="352" t="s">
        <v>93</v>
      </c>
      <c r="E136" s="346" t="s">
        <v>74</v>
      </c>
      <c r="F136" s="346" t="s">
        <v>41</v>
      </c>
      <c r="G136" s="346" t="s">
        <v>101</v>
      </c>
      <c r="H136" s="347" t="s">
        <v>295</v>
      </c>
      <c r="I136" s="347" t="s">
        <v>296</v>
      </c>
      <c r="J136" s="347" t="s">
        <v>46</v>
      </c>
      <c r="K136" s="361"/>
      <c r="M136" s="227"/>
      <c r="N136" s="227"/>
    </row>
    <row r="137" spans="1:14" s="208" customFormat="1" ht="26.45" hidden="1">
      <c r="A137" s="219" t="s">
        <v>28</v>
      </c>
      <c r="B137" s="436" t="s">
        <v>100</v>
      </c>
      <c r="C137" s="351">
        <v>43612</v>
      </c>
      <c r="D137" s="352" t="s">
        <v>93</v>
      </c>
      <c r="E137" s="346" t="s">
        <v>74</v>
      </c>
      <c r="F137" s="346" t="s">
        <v>41</v>
      </c>
      <c r="G137" s="346" t="s">
        <v>101</v>
      </c>
      <c r="H137" s="347" t="s">
        <v>297</v>
      </c>
      <c r="I137" s="347" t="s">
        <v>298</v>
      </c>
      <c r="J137" s="347" t="s">
        <v>46</v>
      </c>
      <c r="K137" s="362"/>
      <c r="M137" s="227"/>
      <c r="N137" s="227"/>
    </row>
    <row r="138" spans="1:14" s="208" customFormat="1" ht="26.45" hidden="1">
      <c r="A138" s="219" t="s">
        <v>28</v>
      </c>
      <c r="B138" s="436" t="s">
        <v>100</v>
      </c>
      <c r="C138" s="351">
        <v>43612</v>
      </c>
      <c r="D138" s="352" t="s">
        <v>93</v>
      </c>
      <c r="E138" s="346" t="s">
        <v>74</v>
      </c>
      <c r="F138" s="346" t="s">
        <v>41</v>
      </c>
      <c r="G138" s="346" t="s">
        <v>101</v>
      </c>
      <c r="H138" s="347" t="s">
        <v>299</v>
      </c>
      <c r="I138" s="347" t="s">
        <v>300</v>
      </c>
      <c r="J138" s="347" t="s">
        <v>46</v>
      </c>
      <c r="K138" s="347" t="s">
        <v>301</v>
      </c>
      <c r="M138" s="227"/>
      <c r="N138" s="227"/>
    </row>
    <row r="139" spans="1:14" s="208" customFormat="1" ht="26.45" hidden="1">
      <c r="A139" s="219" t="s">
        <v>28</v>
      </c>
      <c r="B139" s="436" t="s">
        <v>100</v>
      </c>
      <c r="C139" s="351">
        <v>43612</v>
      </c>
      <c r="D139" s="352" t="s">
        <v>93</v>
      </c>
      <c r="E139" s="346" t="s">
        <v>74</v>
      </c>
      <c r="F139" s="346" t="s">
        <v>41</v>
      </c>
      <c r="G139" s="346" t="s">
        <v>101</v>
      </c>
      <c r="H139" s="347" t="s">
        <v>302</v>
      </c>
      <c r="I139" s="350" t="s">
        <v>303</v>
      </c>
      <c r="J139" s="347" t="s">
        <v>46</v>
      </c>
      <c r="K139" s="363" t="s">
        <v>268</v>
      </c>
      <c r="M139" s="227"/>
      <c r="N139" s="227"/>
    </row>
    <row r="140" spans="1:14" s="208" customFormat="1" ht="26.45" hidden="1">
      <c r="A140" s="219" t="s">
        <v>28</v>
      </c>
      <c r="B140" s="436" t="s">
        <v>100</v>
      </c>
      <c r="C140" s="351">
        <v>43612</v>
      </c>
      <c r="D140" s="352" t="s">
        <v>93</v>
      </c>
      <c r="E140" s="346" t="s">
        <v>74</v>
      </c>
      <c r="F140" s="346" t="s">
        <v>41</v>
      </c>
      <c r="G140" s="346" t="s">
        <v>101</v>
      </c>
      <c r="H140" s="347" t="s">
        <v>304</v>
      </c>
      <c r="I140" s="347" t="s">
        <v>305</v>
      </c>
      <c r="J140" s="347" t="s">
        <v>46</v>
      </c>
      <c r="K140" s="361"/>
      <c r="M140" s="227"/>
      <c r="N140" s="227"/>
    </row>
    <row r="141" spans="1:14" s="208" customFormat="1" ht="26.45" hidden="1">
      <c r="A141" s="219" t="s">
        <v>28</v>
      </c>
      <c r="B141" s="436" t="s">
        <v>100</v>
      </c>
      <c r="C141" s="351">
        <v>43612</v>
      </c>
      <c r="D141" s="352" t="s">
        <v>93</v>
      </c>
      <c r="E141" s="346" t="s">
        <v>74</v>
      </c>
      <c r="F141" s="346" t="s">
        <v>41</v>
      </c>
      <c r="G141" s="346" t="s">
        <v>101</v>
      </c>
      <c r="H141" s="347" t="s">
        <v>306</v>
      </c>
      <c r="I141" s="347" t="s">
        <v>307</v>
      </c>
      <c r="J141" s="347" t="s">
        <v>46</v>
      </c>
      <c r="K141" s="361"/>
      <c r="M141" s="227"/>
      <c r="N141" s="227"/>
    </row>
    <row r="142" spans="1:14" s="208" customFormat="1" ht="26.45" hidden="1">
      <c r="A142" s="219" t="s">
        <v>28</v>
      </c>
      <c r="B142" s="436" t="s">
        <v>100</v>
      </c>
      <c r="C142" s="351">
        <v>43612</v>
      </c>
      <c r="D142" s="352" t="s">
        <v>93</v>
      </c>
      <c r="E142" s="346" t="s">
        <v>74</v>
      </c>
      <c r="F142" s="346" t="s">
        <v>41</v>
      </c>
      <c r="G142" s="346" t="s">
        <v>101</v>
      </c>
      <c r="H142" s="347" t="s">
        <v>308</v>
      </c>
      <c r="I142" s="347" t="s">
        <v>309</v>
      </c>
      <c r="J142" s="347" t="s">
        <v>46</v>
      </c>
      <c r="K142" s="361"/>
      <c r="M142" s="227"/>
      <c r="N142" s="227"/>
    </row>
    <row r="143" spans="1:14" s="208" customFormat="1" ht="26.45" hidden="1">
      <c r="A143" s="219" t="s">
        <v>28</v>
      </c>
      <c r="B143" s="436" t="s">
        <v>100</v>
      </c>
      <c r="C143" s="351">
        <v>43612</v>
      </c>
      <c r="D143" s="352" t="s">
        <v>93</v>
      </c>
      <c r="E143" s="346" t="s">
        <v>74</v>
      </c>
      <c r="F143" s="346" t="s">
        <v>41</v>
      </c>
      <c r="G143" s="346" t="s">
        <v>101</v>
      </c>
      <c r="H143" s="347" t="s">
        <v>310</v>
      </c>
      <c r="I143" s="347" t="s">
        <v>311</v>
      </c>
      <c r="J143" s="347" t="s">
        <v>46</v>
      </c>
      <c r="K143" s="361"/>
      <c r="M143" s="227"/>
      <c r="N143" s="227"/>
    </row>
    <row r="144" spans="1:14" s="208" customFormat="1" ht="26.45" hidden="1">
      <c r="A144" s="219" t="s">
        <v>28</v>
      </c>
      <c r="B144" s="436" t="s">
        <v>100</v>
      </c>
      <c r="C144" s="351">
        <v>43612</v>
      </c>
      <c r="D144" s="352" t="s">
        <v>93</v>
      </c>
      <c r="E144" s="346" t="s">
        <v>74</v>
      </c>
      <c r="F144" s="346" t="s">
        <v>41</v>
      </c>
      <c r="G144" s="346" t="s">
        <v>101</v>
      </c>
      <c r="H144" s="347" t="s">
        <v>312</v>
      </c>
      <c r="I144" s="347" t="s">
        <v>313</v>
      </c>
      <c r="J144" s="347" t="s">
        <v>46</v>
      </c>
      <c r="K144" s="361"/>
      <c r="M144" s="227"/>
      <c r="N144" s="227"/>
    </row>
    <row r="145" spans="1:14" s="208" customFormat="1" ht="26.45" hidden="1">
      <c r="A145" s="219" t="s">
        <v>28</v>
      </c>
      <c r="B145" s="436" t="s">
        <v>100</v>
      </c>
      <c r="C145" s="351">
        <v>43612</v>
      </c>
      <c r="D145" s="352" t="s">
        <v>93</v>
      </c>
      <c r="E145" s="346" t="s">
        <v>74</v>
      </c>
      <c r="F145" s="346" t="s">
        <v>41</v>
      </c>
      <c r="G145" s="346" t="s">
        <v>101</v>
      </c>
      <c r="H145" s="347" t="s">
        <v>314</v>
      </c>
      <c r="I145" s="347" t="s">
        <v>315</v>
      </c>
      <c r="J145" s="347" t="s">
        <v>46</v>
      </c>
      <c r="K145" s="361"/>
      <c r="M145" s="227"/>
      <c r="N145" s="227"/>
    </row>
    <row r="146" spans="1:14" s="208" customFormat="1" ht="26.45" hidden="1">
      <c r="A146" s="219" t="s">
        <v>28</v>
      </c>
      <c r="B146" s="436" t="s">
        <v>100</v>
      </c>
      <c r="C146" s="351">
        <v>43612</v>
      </c>
      <c r="D146" s="352" t="s">
        <v>93</v>
      </c>
      <c r="E146" s="346" t="s">
        <v>74</v>
      </c>
      <c r="F146" s="346" t="s">
        <v>41</v>
      </c>
      <c r="G146" s="346" t="s">
        <v>101</v>
      </c>
      <c r="H146" s="347" t="s">
        <v>316</v>
      </c>
      <c r="I146" s="347" t="s">
        <v>317</v>
      </c>
      <c r="J146" s="347" t="s">
        <v>46</v>
      </c>
      <c r="K146" s="361"/>
      <c r="M146" s="227"/>
      <c r="N146" s="227"/>
    </row>
    <row r="147" spans="1:14" s="208" customFormat="1" ht="26.45" hidden="1">
      <c r="A147" s="219" t="s">
        <v>28</v>
      </c>
      <c r="B147" s="436" t="s">
        <v>100</v>
      </c>
      <c r="C147" s="351">
        <v>43612</v>
      </c>
      <c r="D147" s="352" t="s">
        <v>93</v>
      </c>
      <c r="E147" s="346" t="s">
        <v>74</v>
      </c>
      <c r="F147" s="346" t="s">
        <v>41</v>
      </c>
      <c r="G147" s="346" t="s">
        <v>101</v>
      </c>
      <c r="H147" s="347" t="s">
        <v>318</v>
      </c>
      <c r="I147" s="347" t="s">
        <v>319</v>
      </c>
      <c r="J147" s="347" t="s">
        <v>46</v>
      </c>
      <c r="K147" s="361"/>
      <c r="M147" s="227"/>
      <c r="N147" s="227"/>
    </row>
    <row r="148" spans="1:14" s="208" customFormat="1" ht="26.45" hidden="1">
      <c r="A148" s="219" t="s">
        <v>28</v>
      </c>
      <c r="B148" s="436" t="s">
        <v>100</v>
      </c>
      <c r="C148" s="351">
        <v>43612</v>
      </c>
      <c r="D148" s="352" t="s">
        <v>93</v>
      </c>
      <c r="E148" s="346" t="s">
        <v>74</v>
      </c>
      <c r="F148" s="346" t="s">
        <v>41</v>
      </c>
      <c r="G148" s="346" t="s">
        <v>101</v>
      </c>
      <c r="H148" s="347" t="s">
        <v>320</v>
      </c>
      <c r="I148" s="347" t="s">
        <v>321</v>
      </c>
      <c r="J148" s="347" t="s">
        <v>46</v>
      </c>
      <c r="K148" s="361"/>
      <c r="M148" s="227"/>
      <c r="N148" s="227"/>
    </row>
    <row r="149" spans="1:14" s="208" customFormat="1" ht="26.45" hidden="1">
      <c r="A149" s="219" t="s">
        <v>28</v>
      </c>
      <c r="B149" s="436" t="s">
        <v>100</v>
      </c>
      <c r="C149" s="351">
        <v>43612</v>
      </c>
      <c r="D149" s="352" t="s">
        <v>93</v>
      </c>
      <c r="E149" s="346" t="s">
        <v>74</v>
      </c>
      <c r="F149" s="346" t="s">
        <v>41</v>
      </c>
      <c r="G149" s="346" t="s">
        <v>101</v>
      </c>
      <c r="H149" s="347" t="s">
        <v>322</v>
      </c>
      <c r="I149" s="347" t="s">
        <v>323</v>
      </c>
      <c r="J149" s="347" t="s">
        <v>46</v>
      </c>
      <c r="K149" s="361"/>
      <c r="M149" s="227"/>
      <c r="N149" s="227"/>
    </row>
    <row r="150" spans="1:14" s="208" customFormat="1" ht="26.45" hidden="1">
      <c r="A150" s="219" t="s">
        <v>28</v>
      </c>
      <c r="B150" s="436" t="s">
        <v>100</v>
      </c>
      <c r="C150" s="351">
        <v>43612</v>
      </c>
      <c r="D150" s="352" t="s">
        <v>93</v>
      </c>
      <c r="E150" s="346" t="s">
        <v>74</v>
      </c>
      <c r="F150" s="346" t="s">
        <v>41</v>
      </c>
      <c r="G150" s="346" t="s">
        <v>101</v>
      </c>
      <c r="H150" s="347" t="s">
        <v>324</v>
      </c>
      <c r="I150" s="347" t="s">
        <v>325</v>
      </c>
      <c r="J150" s="347" t="s">
        <v>46</v>
      </c>
      <c r="K150" s="361"/>
      <c r="M150" s="227"/>
      <c r="N150" s="227"/>
    </row>
    <row r="151" spans="1:14" s="208" customFormat="1" ht="26.45" hidden="1">
      <c r="A151" s="219" t="s">
        <v>28</v>
      </c>
      <c r="B151" s="436" t="s">
        <v>100</v>
      </c>
      <c r="C151" s="351">
        <v>43612</v>
      </c>
      <c r="D151" s="352" t="s">
        <v>93</v>
      </c>
      <c r="E151" s="346" t="s">
        <v>74</v>
      </c>
      <c r="F151" s="346" t="s">
        <v>41</v>
      </c>
      <c r="G151" s="346" t="s">
        <v>101</v>
      </c>
      <c r="H151" s="347" t="s">
        <v>326</v>
      </c>
      <c r="I151" s="347" t="s">
        <v>327</v>
      </c>
      <c r="J151" s="347" t="s">
        <v>46</v>
      </c>
      <c r="K151" s="361"/>
      <c r="M151" s="227"/>
      <c r="N151" s="227"/>
    </row>
    <row r="152" spans="1:14" s="208" customFormat="1" ht="26.45" hidden="1">
      <c r="A152" s="219" t="s">
        <v>28</v>
      </c>
      <c r="B152" s="436" t="s">
        <v>100</v>
      </c>
      <c r="C152" s="351">
        <v>43612</v>
      </c>
      <c r="D152" s="352" t="s">
        <v>93</v>
      </c>
      <c r="E152" s="346" t="s">
        <v>74</v>
      </c>
      <c r="F152" s="346" t="s">
        <v>41</v>
      </c>
      <c r="G152" s="346" t="s">
        <v>101</v>
      </c>
      <c r="H152" s="347" t="s">
        <v>328</v>
      </c>
      <c r="I152" s="350" t="s">
        <v>329</v>
      </c>
      <c r="J152" s="347" t="s">
        <v>46</v>
      </c>
      <c r="K152" s="361"/>
      <c r="M152" s="227"/>
      <c r="N152" s="227"/>
    </row>
    <row r="153" spans="1:14" s="208" customFormat="1" ht="26.45" hidden="1">
      <c r="A153" s="219" t="s">
        <v>28</v>
      </c>
      <c r="B153" s="436" t="s">
        <v>100</v>
      </c>
      <c r="C153" s="351">
        <v>43612</v>
      </c>
      <c r="D153" s="352" t="s">
        <v>93</v>
      </c>
      <c r="E153" s="346" t="s">
        <v>74</v>
      </c>
      <c r="F153" s="346" t="s">
        <v>41</v>
      </c>
      <c r="G153" s="346" t="s">
        <v>101</v>
      </c>
      <c r="H153" s="347" t="s">
        <v>330</v>
      </c>
      <c r="I153" s="347" t="s">
        <v>331</v>
      </c>
      <c r="J153" s="347" t="s">
        <v>46</v>
      </c>
      <c r="K153" s="361"/>
      <c r="M153" s="227"/>
      <c r="N153" s="227"/>
    </row>
    <row r="154" spans="1:14" s="208" customFormat="1" ht="26.45" hidden="1">
      <c r="A154" s="219" t="s">
        <v>28</v>
      </c>
      <c r="B154" s="436" t="s">
        <v>100</v>
      </c>
      <c r="C154" s="351">
        <v>43612</v>
      </c>
      <c r="D154" s="352" t="s">
        <v>93</v>
      </c>
      <c r="E154" s="346" t="s">
        <v>74</v>
      </c>
      <c r="F154" s="346" t="s">
        <v>41</v>
      </c>
      <c r="G154" s="346" t="s">
        <v>101</v>
      </c>
      <c r="H154" s="347" t="s">
        <v>332</v>
      </c>
      <c r="I154" s="347" t="s">
        <v>333</v>
      </c>
      <c r="J154" s="347" t="s">
        <v>46</v>
      </c>
      <c r="K154" s="362"/>
      <c r="M154" s="227"/>
      <c r="N154" s="227"/>
    </row>
    <row r="155" spans="1:14" s="208" customFormat="1" ht="26.45" hidden="1">
      <c r="A155" s="219" t="s">
        <v>28</v>
      </c>
      <c r="B155" s="436" t="s">
        <v>100</v>
      </c>
      <c r="C155" s="351">
        <v>43612</v>
      </c>
      <c r="D155" s="352" t="s">
        <v>93</v>
      </c>
      <c r="E155" s="346" t="s">
        <v>74</v>
      </c>
      <c r="F155" s="346" t="s">
        <v>41</v>
      </c>
      <c r="G155" s="346" t="s">
        <v>101</v>
      </c>
      <c r="H155" s="347" t="s">
        <v>334</v>
      </c>
      <c r="I155" s="347" t="s">
        <v>335</v>
      </c>
      <c r="J155" s="347" t="s">
        <v>46</v>
      </c>
      <c r="K155" s="347" t="s">
        <v>336</v>
      </c>
      <c r="M155" s="227"/>
      <c r="N155" s="227"/>
    </row>
    <row r="156" spans="1:14" s="208" customFormat="1" ht="26.45" hidden="1">
      <c r="A156" s="219" t="s">
        <v>28</v>
      </c>
      <c r="B156" s="436" t="s">
        <v>100</v>
      </c>
      <c r="C156" s="351">
        <v>43612</v>
      </c>
      <c r="D156" s="352" t="s">
        <v>93</v>
      </c>
      <c r="E156" s="346" t="s">
        <v>74</v>
      </c>
      <c r="F156" s="346" t="s">
        <v>41</v>
      </c>
      <c r="G156" s="346" t="s">
        <v>101</v>
      </c>
      <c r="H156" s="347" t="s">
        <v>337</v>
      </c>
      <c r="I156" s="347" t="s">
        <v>338</v>
      </c>
      <c r="J156" s="347" t="s">
        <v>46</v>
      </c>
      <c r="K156" s="363" t="s">
        <v>268</v>
      </c>
      <c r="M156" s="227"/>
      <c r="N156" s="227"/>
    </row>
    <row r="157" spans="1:14" s="208" customFormat="1" ht="26.45" hidden="1">
      <c r="A157" s="219" t="s">
        <v>28</v>
      </c>
      <c r="B157" s="436" t="s">
        <v>100</v>
      </c>
      <c r="C157" s="351">
        <v>43612</v>
      </c>
      <c r="D157" s="352" t="s">
        <v>93</v>
      </c>
      <c r="E157" s="346" t="s">
        <v>74</v>
      </c>
      <c r="F157" s="346" t="s">
        <v>41</v>
      </c>
      <c r="G157" s="346" t="s">
        <v>101</v>
      </c>
      <c r="H157" s="347" t="s">
        <v>339</v>
      </c>
      <c r="I157" s="347" t="s">
        <v>340</v>
      </c>
      <c r="J157" s="347" t="s">
        <v>46</v>
      </c>
      <c r="K157" s="361"/>
      <c r="M157" s="227"/>
      <c r="N157" s="227"/>
    </row>
    <row r="158" spans="1:14" s="208" customFormat="1" ht="26.45" hidden="1">
      <c r="A158" s="219" t="s">
        <v>28</v>
      </c>
      <c r="B158" s="436" t="s">
        <v>100</v>
      </c>
      <c r="C158" s="351">
        <v>43612</v>
      </c>
      <c r="D158" s="352" t="s">
        <v>93</v>
      </c>
      <c r="E158" s="346" t="s">
        <v>74</v>
      </c>
      <c r="F158" s="346" t="s">
        <v>41</v>
      </c>
      <c r="G158" s="346" t="s">
        <v>101</v>
      </c>
      <c r="H158" s="347" t="s">
        <v>341</v>
      </c>
      <c r="I158" s="347" t="s">
        <v>342</v>
      </c>
      <c r="J158" s="347" t="s">
        <v>46</v>
      </c>
      <c r="K158" s="361"/>
      <c r="M158" s="227"/>
      <c r="N158" s="227"/>
    </row>
    <row r="159" spans="1:14" s="208" customFormat="1" ht="26.45" hidden="1">
      <c r="A159" s="219" t="s">
        <v>28</v>
      </c>
      <c r="B159" s="436" t="s">
        <v>100</v>
      </c>
      <c r="C159" s="351">
        <v>43612</v>
      </c>
      <c r="D159" s="352" t="s">
        <v>93</v>
      </c>
      <c r="E159" s="346" t="s">
        <v>74</v>
      </c>
      <c r="F159" s="346" t="s">
        <v>41</v>
      </c>
      <c r="G159" s="346" t="s">
        <v>101</v>
      </c>
      <c r="H159" s="347" t="s">
        <v>343</v>
      </c>
      <c r="I159" s="347" t="s">
        <v>344</v>
      </c>
      <c r="J159" s="347" t="s">
        <v>46</v>
      </c>
      <c r="K159" s="361"/>
      <c r="M159" s="227"/>
      <c r="N159" s="227"/>
    </row>
    <row r="160" spans="1:14" s="208" customFormat="1" ht="26.45" hidden="1">
      <c r="A160" s="219" t="s">
        <v>28</v>
      </c>
      <c r="B160" s="436" t="s">
        <v>100</v>
      </c>
      <c r="C160" s="351">
        <v>43612</v>
      </c>
      <c r="D160" s="352" t="s">
        <v>93</v>
      </c>
      <c r="E160" s="346" t="s">
        <v>74</v>
      </c>
      <c r="F160" s="346" t="s">
        <v>41</v>
      </c>
      <c r="G160" s="346" t="s">
        <v>101</v>
      </c>
      <c r="H160" s="347" t="s">
        <v>345</v>
      </c>
      <c r="I160" s="347" t="s">
        <v>346</v>
      </c>
      <c r="J160" s="347" t="s">
        <v>46</v>
      </c>
      <c r="K160" s="361"/>
      <c r="M160" s="227"/>
      <c r="N160" s="227"/>
    </row>
    <row r="161" spans="1:14" s="208" customFormat="1" ht="26.45" hidden="1">
      <c r="A161" s="219" t="s">
        <v>28</v>
      </c>
      <c r="B161" s="436" t="s">
        <v>100</v>
      </c>
      <c r="C161" s="351">
        <v>43612</v>
      </c>
      <c r="D161" s="352" t="s">
        <v>93</v>
      </c>
      <c r="E161" s="346" t="s">
        <v>74</v>
      </c>
      <c r="F161" s="346" t="s">
        <v>41</v>
      </c>
      <c r="G161" s="346" t="s">
        <v>101</v>
      </c>
      <c r="H161" s="347" t="s">
        <v>347</v>
      </c>
      <c r="I161" s="347" t="s">
        <v>348</v>
      </c>
      <c r="J161" s="347" t="s">
        <v>46</v>
      </c>
      <c r="K161" s="361"/>
      <c r="M161" s="227"/>
      <c r="N161" s="227"/>
    </row>
    <row r="162" spans="1:14" s="208" customFormat="1" ht="26.45" hidden="1">
      <c r="A162" s="219" t="s">
        <v>28</v>
      </c>
      <c r="B162" s="436" t="s">
        <v>100</v>
      </c>
      <c r="C162" s="351">
        <v>43612</v>
      </c>
      <c r="D162" s="352" t="s">
        <v>93</v>
      </c>
      <c r="E162" s="346" t="s">
        <v>74</v>
      </c>
      <c r="F162" s="346" t="s">
        <v>41</v>
      </c>
      <c r="G162" s="346" t="s">
        <v>101</v>
      </c>
      <c r="H162" s="347" t="s">
        <v>349</v>
      </c>
      <c r="I162" s="347" t="s">
        <v>350</v>
      </c>
      <c r="J162" s="347" t="s">
        <v>46</v>
      </c>
      <c r="K162" s="362"/>
      <c r="M162" s="227"/>
      <c r="N162" s="227"/>
    </row>
    <row r="163" spans="1:14" s="208" customFormat="1" ht="26.45" hidden="1">
      <c r="A163" s="219" t="s">
        <v>28</v>
      </c>
      <c r="B163" s="436" t="s">
        <v>100</v>
      </c>
      <c r="C163" s="351">
        <v>43612</v>
      </c>
      <c r="D163" s="352" t="s">
        <v>93</v>
      </c>
      <c r="E163" s="346" t="s">
        <v>74</v>
      </c>
      <c r="F163" s="346" t="s">
        <v>41</v>
      </c>
      <c r="G163" s="346" t="s">
        <v>101</v>
      </c>
      <c r="H163" s="347" t="s">
        <v>351</v>
      </c>
      <c r="I163" s="347" t="s">
        <v>352</v>
      </c>
      <c r="J163" s="347" t="s">
        <v>46</v>
      </c>
      <c r="K163" s="347" t="s">
        <v>353</v>
      </c>
      <c r="M163" s="227"/>
      <c r="N163" s="227"/>
    </row>
    <row r="164" spans="1:14" s="208" customFormat="1" ht="26.45" hidden="1">
      <c r="A164" s="219" t="s">
        <v>28</v>
      </c>
      <c r="B164" s="436" t="s">
        <v>100</v>
      </c>
      <c r="C164" s="351">
        <v>43612</v>
      </c>
      <c r="D164" s="352" t="s">
        <v>93</v>
      </c>
      <c r="E164" s="346" t="s">
        <v>74</v>
      </c>
      <c r="F164" s="346" t="s">
        <v>41</v>
      </c>
      <c r="G164" s="346" t="s">
        <v>101</v>
      </c>
      <c r="H164" s="347" t="s">
        <v>354</v>
      </c>
      <c r="I164" s="347" t="s">
        <v>355</v>
      </c>
      <c r="J164" s="347" t="s">
        <v>46</v>
      </c>
      <c r="K164" s="363" t="s">
        <v>268</v>
      </c>
      <c r="M164" s="227"/>
      <c r="N164" s="227"/>
    </row>
    <row r="165" spans="1:14" s="208" customFormat="1" ht="26.45" hidden="1">
      <c r="A165" s="219" t="s">
        <v>28</v>
      </c>
      <c r="B165" s="436" t="s">
        <v>100</v>
      </c>
      <c r="C165" s="351">
        <v>43612</v>
      </c>
      <c r="D165" s="352" t="s">
        <v>93</v>
      </c>
      <c r="E165" s="346" t="s">
        <v>74</v>
      </c>
      <c r="F165" s="346" t="s">
        <v>41</v>
      </c>
      <c r="G165" s="346" t="s">
        <v>101</v>
      </c>
      <c r="H165" s="347" t="s">
        <v>356</v>
      </c>
      <c r="I165" s="347" t="s">
        <v>357</v>
      </c>
      <c r="J165" s="347" t="s">
        <v>46</v>
      </c>
      <c r="K165" s="361"/>
      <c r="M165" s="227"/>
      <c r="N165" s="227"/>
    </row>
    <row r="166" spans="1:14" s="208" customFormat="1" ht="26.45" hidden="1">
      <c r="A166" s="219" t="s">
        <v>28</v>
      </c>
      <c r="B166" s="436" t="s">
        <v>100</v>
      </c>
      <c r="C166" s="351">
        <v>43612</v>
      </c>
      <c r="D166" s="352" t="s">
        <v>93</v>
      </c>
      <c r="E166" s="346" t="s">
        <v>74</v>
      </c>
      <c r="F166" s="346" t="s">
        <v>41</v>
      </c>
      <c r="G166" s="346" t="s">
        <v>101</v>
      </c>
      <c r="H166" s="347" t="s">
        <v>358</v>
      </c>
      <c r="I166" s="347" t="s">
        <v>359</v>
      </c>
      <c r="J166" s="347" t="s">
        <v>46</v>
      </c>
      <c r="K166" s="361"/>
      <c r="M166" s="227"/>
      <c r="N166" s="227"/>
    </row>
    <row r="167" spans="1:14" s="208" customFormat="1" ht="26.45" hidden="1">
      <c r="A167" s="219" t="s">
        <v>28</v>
      </c>
      <c r="B167" s="436" t="s">
        <v>100</v>
      </c>
      <c r="C167" s="351">
        <v>43612</v>
      </c>
      <c r="D167" s="352" t="s">
        <v>93</v>
      </c>
      <c r="E167" s="346" t="s">
        <v>74</v>
      </c>
      <c r="F167" s="346" t="s">
        <v>41</v>
      </c>
      <c r="G167" s="346" t="s">
        <v>101</v>
      </c>
      <c r="H167" s="347" t="s">
        <v>360</v>
      </c>
      <c r="I167" s="350" t="s">
        <v>361</v>
      </c>
      <c r="J167" s="347" t="s">
        <v>46</v>
      </c>
      <c r="K167" s="361"/>
      <c r="M167" s="227"/>
      <c r="N167" s="227"/>
    </row>
    <row r="168" spans="1:14" s="208" customFormat="1" ht="26.45" hidden="1">
      <c r="A168" s="219" t="s">
        <v>28</v>
      </c>
      <c r="B168" s="436" t="s">
        <v>100</v>
      </c>
      <c r="C168" s="351">
        <v>43612</v>
      </c>
      <c r="D168" s="352" t="s">
        <v>93</v>
      </c>
      <c r="E168" s="346" t="s">
        <v>74</v>
      </c>
      <c r="F168" s="346" t="s">
        <v>41</v>
      </c>
      <c r="G168" s="346" t="s">
        <v>101</v>
      </c>
      <c r="H168" s="347" t="s">
        <v>362</v>
      </c>
      <c r="I168" s="347" t="s">
        <v>363</v>
      </c>
      <c r="J168" s="347" t="s">
        <v>46</v>
      </c>
      <c r="K168" s="361"/>
      <c r="M168" s="227"/>
      <c r="N168" s="227"/>
    </row>
    <row r="169" spans="1:14" s="208" customFormat="1" ht="26.45" hidden="1">
      <c r="A169" s="219" t="s">
        <v>28</v>
      </c>
      <c r="B169" s="436" t="s">
        <v>100</v>
      </c>
      <c r="C169" s="351">
        <v>43612</v>
      </c>
      <c r="D169" s="352" t="s">
        <v>93</v>
      </c>
      <c r="E169" s="346" t="s">
        <v>74</v>
      </c>
      <c r="F169" s="346" t="s">
        <v>41</v>
      </c>
      <c r="G169" s="346" t="s">
        <v>101</v>
      </c>
      <c r="H169" s="347" t="s">
        <v>364</v>
      </c>
      <c r="I169" s="347" t="s">
        <v>365</v>
      </c>
      <c r="J169" s="347" t="s">
        <v>46</v>
      </c>
      <c r="K169" s="362"/>
      <c r="M169" s="227"/>
      <c r="N169" s="227"/>
    </row>
    <row r="170" spans="1:14" s="208" customFormat="1" ht="26.45" hidden="1">
      <c r="A170" s="219" t="s">
        <v>28</v>
      </c>
      <c r="B170" s="436" t="s">
        <v>100</v>
      </c>
      <c r="C170" s="351">
        <v>43612</v>
      </c>
      <c r="D170" s="352" t="s">
        <v>93</v>
      </c>
      <c r="E170" s="346" t="s">
        <v>74</v>
      </c>
      <c r="F170" s="346" t="s">
        <v>41</v>
      </c>
      <c r="G170" s="346" t="s">
        <v>101</v>
      </c>
      <c r="H170" s="347" t="s">
        <v>366</v>
      </c>
      <c r="I170" s="347" t="s">
        <v>367</v>
      </c>
      <c r="J170" s="347" t="s">
        <v>46</v>
      </c>
      <c r="K170" s="347" t="s">
        <v>368</v>
      </c>
      <c r="M170" s="227"/>
      <c r="N170" s="227"/>
    </row>
    <row r="171" spans="1:14" s="208" customFormat="1" ht="26.45" hidden="1">
      <c r="A171" s="219" t="s">
        <v>28</v>
      </c>
      <c r="B171" s="436" t="s">
        <v>100</v>
      </c>
      <c r="C171" s="351">
        <v>43612</v>
      </c>
      <c r="D171" s="352" t="s">
        <v>93</v>
      </c>
      <c r="E171" s="346" t="s">
        <v>74</v>
      </c>
      <c r="F171" s="346" t="s">
        <v>41</v>
      </c>
      <c r="G171" s="346" t="s">
        <v>101</v>
      </c>
      <c r="H171" s="347" t="s">
        <v>369</v>
      </c>
      <c r="I171" s="347" t="s">
        <v>370</v>
      </c>
      <c r="J171" s="347" t="s">
        <v>46</v>
      </c>
      <c r="K171" s="363" t="s">
        <v>268</v>
      </c>
      <c r="M171" s="227"/>
      <c r="N171" s="227"/>
    </row>
    <row r="172" spans="1:14" s="208" customFormat="1" ht="26.45" hidden="1">
      <c r="A172" s="219" t="s">
        <v>28</v>
      </c>
      <c r="B172" s="436" t="s">
        <v>100</v>
      </c>
      <c r="C172" s="351">
        <v>43612</v>
      </c>
      <c r="D172" s="352" t="s">
        <v>93</v>
      </c>
      <c r="E172" s="346" t="s">
        <v>74</v>
      </c>
      <c r="F172" s="346" t="s">
        <v>41</v>
      </c>
      <c r="G172" s="346" t="s">
        <v>101</v>
      </c>
      <c r="H172" s="347" t="s">
        <v>371</v>
      </c>
      <c r="I172" s="347" t="s">
        <v>372</v>
      </c>
      <c r="J172" s="347" t="s">
        <v>46</v>
      </c>
      <c r="K172" s="361"/>
      <c r="M172" s="227"/>
      <c r="N172" s="227"/>
    </row>
    <row r="173" spans="1:14" s="208" customFormat="1" ht="26.45" hidden="1">
      <c r="A173" s="219" t="s">
        <v>28</v>
      </c>
      <c r="B173" s="436" t="s">
        <v>100</v>
      </c>
      <c r="C173" s="351">
        <v>43612</v>
      </c>
      <c r="D173" s="352" t="s">
        <v>93</v>
      </c>
      <c r="E173" s="346" t="s">
        <v>74</v>
      </c>
      <c r="F173" s="346" t="s">
        <v>41</v>
      </c>
      <c r="G173" s="346" t="s">
        <v>101</v>
      </c>
      <c r="H173" s="347" t="s">
        <v>373</v>
      </c>
      <c r="I173" s="347" t="s">
        <v>374</v>
      </c>
      <c r="J173" s="347" t="s">
        <v>46</v>
      </c>
      <c r="K173" s="361"/>
      <c r="M173" s="227"/>
      <c r="N173" s="227"/>
    </row>
    <row r="174" spans="1:14" s="208" customFormat="1" ht="26.45" hidden="1">
      <c r="A174" s="219" t="s">
        <v>28</v>
      </c>
      <c r="B174" s="436" t="s">
        <v>100</v>
      </c>
      <c r="C174" s="351">
        <v>43612</v>
      </c>
      <c r="D174" s="352" t="s">
        <v>93</v>
      </c>
      <c r="E174" s="346" t="s">
        <v>74</v>
      </c>
      <c r="F174" s="346" t="s">
        <v>41</v>
      </c>
      <c r="G174" s="346" t="s">
        <v>101</v>
      </c>
      <c r="H174" s="347" t="s">
        <v>375</v>
      </c>
      <c r="I174" s="347" t="s">
        <v>376</v>
      </c>
      <c r="J174" s="347" t="s">
        <v>46</v>
      </c>
      <c r="K174" s="361"/>
      <c r="M174" s="227"/>
      <c r="N174" s="227"/>
    </row>
    <row r="175" spans="1:14" s="208" customFormat="1" ht="26.45" hidden="1">
      <c r="A175" s="219" t="s">
        <v>28</v>
      </c>
      <c r="B175" s="436" t="s">
        <v>100</v>
      </c>
      <c r="C175" s="351">
        <v>43612</v>
      </c>
      <c r="D175" s="352" t="s">
        <v>93</v>
      </c>
      <c r="E175" s="346" t="s">
        <v>74</v>
      </c>
      <c r="F175" s="346" t="s">
        <v>41</v>
      </c>
      <c r="G175" s="346" t="s">
        <v>101</v>
      </c>
      <c r="H175" s="347" t="s">
        <v>377</v>
      </c>
      <c r="I175" s="347" t="s">
        <v>378</v>
      </c>
      <c r="J175" s="347" t="s">
        <v>46</v>
      </c>
      <c r="K175" s="361"/>
      <c r="M175" s="227"/>
      <c r="N175" s="227"/>
    </row>
    <row r="176" spans="1:14" s="208" customFormat="1" ht="26.45" hidden="1">
      <c r="A176" s="219" t="s">
        <v>28</v>
      </c>
      <c r="B176" s="436" t="s">
        <v>100</v>
      </c>
      <c r="C176" s="351">
        <v>43612</v>
      </c>
      <c r="D176" s="352" t="s">
        <v>93</v>
      </c>
      <c r="E176" s="346" t="s">
        <v>74</v>
      </c>
      <c r="F176" s="346" t="s">
        <v>41</v>
      </c>
      <c r="G176" s="346" t="s">
        <v>101</v>
      </c>
      <c r="H176" s="347" t="s">
        <v>379</v>
      </c>
      <c r="I176" s="347" t="s">
        <v>380</v>
      </c>
      <c r="J176" s="347" t="s">
        <v>46</v>
      </c>
      <c r="K176" s="362"/>
      <c r="M176" s="227"/>
      <c r="N176" s="227"/>
    </row>
    <row r="177" spans="1:14" s="208" customFormat="1" ht="26.45" hidden="1">
      <c r="A177" s="219" t="s">
        <v>28</v>
      </c>
      <c r="B177" s="436" t="s">
        <v>100</v>
      </c>
      <c r="C177" s="351">
        <v>43612</v>
      </c>
      <c r="D177" s="352" t="s">
        <v>93</v>
      </c>
      <c r="E177" s="346" t="s">
        <v>74</v>
      </c>
      <c r="F177" s="346" t="s">
        <v>41</v>
      </c>
      <c r="G177" s="346" t="s">
        <v>101</v>
      </c>
      <c r="H177" s="347" t="s">
        <v>381</v>
      </c>
      <c r="I177" s="347" t="s">
        <v>382</v>
      </c>
      <c r="J177" s="347" t="s">
        <v>46</v>
      </c>
      <c r="K177" s="347" t="s">
        <v>383</v>
      </c>
      <c r="M177" s="227"/>
      <c r="N177" s="227"/>
    </row>
    <row r="178" spans="1:14" s="208" customFormat="1" ht="26.45" hidden="1">
      <c r="A178" s="219" t="s">
        <v>28</v>
      </c>
      <c r="B178" s="436" t="s">
        <v>100</v>
      </c>
      <c r="C178" s="351">
        <v>43612</v>
      </c>
      <c r="D178" s="352" t="s">
        <v>93</v>
      </c>
      <c r="E178" s="346" t="s">
        <v>74</v>
      </c>
      <c r="F178" s="346" t="s">
        <v>41</v>
      </c>
      <c r="G178" s="346" t="s">
        <v>101</v>
      </c>
      <c r="H178" s="347" t="s">
        <v>384</v>
      </c>
      <c r="I178" s="350" t="s">
        <v>385</v>
      </c>
      <c r="J178" s="347" t="s">
        <v>46</v>
      </c>
      <c r="K178" s="363" t="s">
        <v>268</v>
      </c>
      <c r="M178" s="227"/>
      <c r="N178" s="227"/>
    </row>
    <row r="179" spans="1:14" s="208" customFormat="1" ht="26.45" hidden="1">
      <c r="A179" s="219" t="s">
        <v>28</v>
      </c>
      <c r="B179" s="436" t="s">
        <v>100</v>
      </c>
      <c r="C179" s="351">
        <v>43612</v>
      </c>
      <c r="D179" s="352" t="s">
        <v>93</v>
      </c>
      <c r="E179" s="346" t="s">
        <v>74</v>
      </c>
      <c r="F179" s="346" t="s">
        <v>41</v>
      </c>
      <c r="G179" s="346" t="s">
        <v>101</v>
      </c>
      <c r="H179" s="347" t="s">
        <v>386</v>
      </c>
      <c r="I179" s="347" t="s">
        <v>387</v>
      </c>
      <c r="J179" s="347" t="s">
        <v>46</v>
      </c>
      <c r="K179" s="361"/>
      <c r="M179" s="227"/>
      <c r="N179" s="227"/>
    </row>
    <row r="180" spans="1:14" s="208" customFormat="1" ht="26.45" hidden="1">
      <c r="A180" s="219" t="s">
        <v>28</v>
      </c>
      <c r="B180" s="436" t="s">
        <v>100</v>
      </c>
      <c r="C180" s="351">
        <v>43612</v>
      </c>
      <c r="D180" s="352" t="s">
        <v>93</v>
      </c>
      <c r="E180" s="346" t="s">
        <v>74</v>
      </c>
      <c r="F180" s="346" t="s">
        <v>41</v>
      </c>
      <c r="G180" s="346" t="s">
        <v>101</v>
      </c>
      <c r="H180" s="347" t="s">
        <v>388</v>
      </c>
      <c r="I180" s="347" t="s">
        <v>389</v>
      </c>
      <c r="J180" s="347" t="s">
        <v>46</v>
      </c>
      <c r="K180" s="361"/>
      <c r="M180" s="227"/>
      <c r="N180" s="227"/>
    </row>
    <row r="181" spans="1:14" s="208" customFormat="1" ht="26.45" hidden="1">
      <c r="A181" s="219" t="s">
        <v>28</v>
      </c>
      <c r="B181" s="436" t="s">
        <v>100</v>
      </c>
      <c r="C181" s="351">
        <v>43612</v>
      </c>
      <c r="D181" s="352" t="s">
        <v>93</v>
      </c>
      <c r="E181" s="346" t="s">
        <v>74</v>
      </c>
      <c r="F181" s="346" t="s">
        <v>41</v>
      </c>
      <c r="G181" s="346" t="s">
        <v>101</v>
      </c>
      <c r="H181" s="347" t="s">
        <v>390</v>
      </c>
      <c r="I181" s="347" t="s">
        <v>391</v>
      </c>
      <c r="J181" s="347" t="s">
        <v>46</v>
      </c>
      <c r="K181" s="361"/>
      <c r="M181" s="227"/>
      <c r="N181" s="227"/>
    </row>
    <row r="182" spans="1:14" s="208" customFormat="1" ht="26.45" hidden="1">
      <c r="A182" s="219" t="s">
        <v>28</v>
      </c>
      <c r="B182" s="436" t="s">
        <v>100</v>
      </c>
      <c r="C182" s="351">
        <v>43612</v>
      </c>
      <c r="D182" s="352" t="s">
        <v>93</v>
      </c>
      <c r="E182" s="346" t="s">
        <v>74</v>
      </c>
      <c r="F182" s="346" t="s">
        <v>41</v>
      </c>
      <c r="G182" s="346" t="s">
        <v>101</v>
      </c>
      <c r="H182" s="347" t="s">
        <v>392</v>
      </c>
      <c r="I182" s="347" t="s">
        <v>393</v>
      </c>
      <c r="J182" s="347" t="s">
        <v>46</v>
      </c>
      <c r="K182" s="361"/>
      <c r="M182" s="227"/>
      <c r="N182" s="227"/>
    </row>
    <row r="183" spans="1:14" s="208" customFormat="1" ht="26.45" hidden="1">
      <c r="A183" s="219" t="s">
        <v>28</v>
      </c>
      <c r="B183" s="436" t="s">
        <v>100</v>
      </c>
      <c r="C183" s="351">
        <v>43612</v>
      </c>
      <c r="D183" s="352" t="s">
        <v>93</v>
      </c>
      <c r="E183" s="346" t="s">
        <v>74</v>
      </c>
      <c r="F183" s="346" t="s">
        <v>41</v>
      </c>
      <c r="G183" s="346" t="s">
        <v>101</v>
      </c>
      <c r="H183" s="347" t="s">
        <v>394</v>
      </c>
      <c r="I183" s="347" t="s">
        <v>395</v>
      </c>
      <c r="J183" s="347" t="s">
        <v>46</v>
      </c>
      <c r="K183" s="361"/>
      <c r="M183" s="227"/>
      <c r="N183" s="227"/>
    </row>
    <row r="184" spans="1:14" s="208" customFormat="1" ht="26.45" hidden="1">
      <c r="A184" s="219" t="s">
        <v>28</v>
      </c>
      <c r="B184" s="436" t="s">
        <v>100</v>
      </c>
      <c r="C184" s="351">
        <v>43612</v>
      </c>
      <c r="D184" s="352" t="s">
        <v>93</v>
      </c>
      <c r="E184" s="346" t="s">
        <v>74</v>
      </c>
      <c r="F184" s="346" t="s">
        <v>41</v>
      </c>
      <c r="G184" s="346" t="s">
        <v>101</v>
      </c>
      <c r="H184" s="347" t="s">
        <v>396</v>
      </c>
      <c r="I184" s="347" t="s">
        <v>397</v>
      </c>
      <c r="J184" s="347" t="s">
        <v>46</v>
      </c>
      <c r="K184" s="362"/>
      <c r="M184" s="227"/>
      <c r="N184" s="227"/>
    </row>
    <row r="185" spans="1:14" s="208" customFormat="1" ht="26.45" hidden="1">
      <c r="A185" s="219" t="s">
        <v>28</v>
      </c>
      <c r="B185" s="436" t="s">
        <v>100</v>
      </c>
      <c r="C185" s="351">
        <v>43612</v>
      </c>
      <c r="D185" s="352" t="s">
        <v>93</v>
      </c>
      <c r="E185" s="346" t="s">
        <v>74</v>
      </c>
      <c r="F185" s="346" t="s">
        <v>41</v>
      </c>
      <c r="G185" s="346" t="s">
        <v>101</v>
      </c>
      <c r="H185" s="347" t="s">
        <v>398</v>
      </c>
      <c r="I185" s="347" t="s">
        <v>399</v>
      </c>
      <c r="J185" s="347" t="s">
        <v>46</v>
      </c>
      <c r="K185" s="347" t="s">
        <v>400</v>
      </c>
      <c r="M185" s="227"/>
      <c r="N185" s="227"/>
    </row>
    <row r="186" spans="1:14" s="208" customFormat="1" ht="26.45" hidden="1">
      <c r="A186" s="219" t="s">
        <v>28</v>
      </c>
      <c r="B186" s="436" t="s">
        <v>100</v>
      </c>
      <c r="C186" s="351">
        <v>43612</v>
      </c>
      <c r="D186" s="352" t="s">
        <v>93</v>
      </c>
      <c r="E186" s="346" t="s">
        <v>74</v>
      </c>
      <c r="F186" s="346" t="s">
        <v>41</v>
      </c>
      <c r="G186" s="346" t="s">
        <v>101</v>
      </c>
      <c r="H186" s="347" t="s">
        <v>401</v>
      </c>
      <c r="I186" s="347" t="s">
        <v>402</v>
      </c>
      <c r="J186" s="347" t="s">
        <v>46</v>
      </c>
      <c r="K186" s="363" t="s">
        <v>268</v>
      </c>
      <c r="M186" s="227"/>
      <c r="N186" s="227"/>
    </row>
    <row r="187" spans="1:14" s="208" customFormat="1" ht="26.45" hidden="1">
      <c r="A187" s="219" t="s">
        <v>28</v>
      </c>
      <c r="B187" s="436" t="s">
        <v>100</v>
      </c>
      <c r="C187" s="351">
        <v>43612</v>
      </c>
      <c r="D187" s="352" t="s">
        <v>93</v>
      </c>
      <c r="E187" s="346" t="s">
        <v>74</v>
      </c>
      <c r="F187" s="346" t="s">
        <v>41</v>
      </c>
      <c r="G187" s="346" t="s">
        <v>101</v>
      </c>
      <c r="H187" s="347" t="s">
        <v>403</v>
      </c>
      <c r="I187" s="347" t="s">
        <v>404</v>
      </c>
      <c r="J187" s="347" t="s">
        <v>46</v>
      </c>
      <c r="K187" s="361"/>
      <c r="M187" s="227"/>
      <c r="N187" s="227"/>
    </row>
    <row r="188" spans="1:14" s="208" customFormat="1" ht="26.45" hidden="1">
      <c r="A188" s="219" t="s">
        <v>28</v>
      </c>
      <c r="B188" s="436" t="s">
        <v>100</v>
      </c>
      <c r="C188" s="351">
        <v>43612</v>
      </c>
      <c r="D188" s="352" t="s">
        <v>93</v>
      </c>
      <c r="E188" s="346" t="s">
        <v>74</v>
      </c>
      <c r="F188" s="346" t="s">
        <v>41</v>
      </c>
      <c r="G188" s="346" t="s">
        <v>101</v>
      </c>
      <c r="H188" s="347" t="s">
        <v>405</v>
      </c>
      <c r="I188" s="347" t="s">
        <v>406</v>
      </c>
      <c r="J188" s="347" t="s">
        <v>46</v>
      </c>
      <c r="K188" s="361"/>
      <c r="M188" s="227"/>
      <c r="N188" s="227"/>
    </row>
    <row r="189" spans="1:14" s="208" customFormat="1" ht="26.45" hidden="1">
      <c r="A189" s="219" t="s">
        <v>28</v>
      </c>
      <c r="B189" s="436" t="s">
        <v>100</v>
      </c>
      <c r="C189" s="351">
        <v>43612</v>
      </c>
      <c r="D189" s="352" t="s">
        <v>93</v>
      </c>
      <c r="E189" s="346" t="s">
        <v>74</v>
      </c>
      <c r="F189" s="346" t="s">
        <v>41</v>
      </c>
      <c r="G189" s="346" t="s">
        <v>101</v>
      </c>
      <c r="H189" s="347" t="s">
        <v>407</v>
      </c>
      <c r="I189" s="347" t="s">
        <v>408</v>
      </c>
      <c r="J189" s="347" t="s">
        <v>46</v>
      </c>
      <c r="K189" s="361"/>
      <c r="M189" s="227"/>
      <c r="N189" s="227"/>
    </row>
    <row r="190" spans="1:14" s="208" customFormat="1" ht="26.45" hidden="1">
      <c r="A190" s="219" t="s">
        <v>28</v>
      </c>
      <c r="B190" s="436" t="s">
        <v>100</v>
      </c>
      <c r="C190" s="351">
        <v>43612</v>
      </c>
      <c r="D190" s="352" t="s">
        <v>93</v>
      </c>
      <c r="E190" s="346" t="s">
        <v>74</v>
      </c>
      <c r="F190" s="346" t="s">
        <v>41</v>
      </c>
      <c r="G190" s="346" t="s">
        <v>101</v>
      </c>
      <c r="H190" s="347" t="s">
        <v>409</v>
      </c>
      <c r="I190" s="347" t="s">
        <v>410</v>
      </c>
      <c r="J190" s="347" t="s">
        <v>46</v>
      </c>
      <c r="K190" s="362"/>
      <c r="M190" s="227"/>
      <c r="N190" s="227"/>
    </row>
    <row r="191" spans="1:14" s="208" customFormat="1" ht="26.45" hidden="1">
      <c r="A191" s="219" t="s">
        <v>28</v>
      </c>
      <c r="B191" s="436" t="s">
        <v>100</v>
      </c>
      <c r="C191" s="351">
        <v>43612</v>
      </c>
      <c r="D191" s="352" t="s">
        <v>93</v>
      </c>
      <c r="E191" s="346" t="s">
        <v>74</v>
      </c>
      <c r="F191" s="346" t="s">
        <v>41</v>
      </c>
      <c r="G191" s="346" t="s">
        <v>101</v>
      </c>
      <c r="H191" s="347" t="s">
        <v>411</v>
      </c>
      <c r="I191" s="350" t="s">
        <v>412</v>
      </c>
      <c r="J191" s="347" t="s">
        <v>46</v>
      </c>
      <c r="K191" s="347" t="s">
        <v>413</v>
      </c>
      <c r="M191" s="227"/>
      <c r="N191" s="227"/>
    </row>
    <row r="192" spans="1:14" s="208" customFormat="1" ht="26.45" hidden="1">
      <c r="A192" s="219" t="s">
        <v>28</v>
      </c>
      <c r="B192" s="436" t="s">
        <v>100</v>
      </c>
      <c r="C192" s="351">
        <v>43612</v>
      </c>
      <c r="D192" s="352" t="s">
        <v>93</v>
      </c>
      <c r="E192" s="346" t="s">
        <v>74</v>
      </c>
      <c r="F192" s="346" t="s">
        <v>41</v>
      </c>
      <c r="G192" s="346" t="s">
        <v>101</v>
      </c>
      <c r="H192" s="347" t="s">
        <v>414</v>
      </c>
      <c r="I192" s="347" t="s">
        <v>415</v>
      </c>
      <c r="J192" s="347" t="s">
        <v>46</v>
      </c>
      <c r="K192" s="363" t="s">
        <v>268</v>
      </c>
      <c r="M192" s="227"/>
      <c r="N192" s="227"/>
    </row>
    <row r="193" spans="1:14" s="208" customFormat="1" ht="26.45" hidden="1">
      <c r="A193" s="219" t="s">
        <v>28</v>
      </c>
      <c r="B193" s="436" t="s">
        <v>100</v>
      </c>
      <c r="C193" s="351">
        <v>43612</v>
      </c>
      <c r="D193" s="352" t="s">
        <v>93</v>
      </c>
      <c r="E193" s="346" t="s">
        <v>74</v>
      </c>
      <c r="F193" s="346" t="s">
        <v>41</v>
      </c>
      <c r="G193" s="346" t="s">
        <v>101</v>
      </c>
      <c r="H193" s="347" t="s">
        <v>416</v>
      </c>
      <c r="I193" s="347" t="s">
        <v>417</v>
      </c>
      <c r="J193" s="347" t="s">
        <v>46</v>
      </c>
      <c r="K193" s="361"/>
      <c r="M193" s="227"/>
      <c r="N193" s="227"/>
    </row>
    <row r="194" spans="1:14" s="208" customFormat="1" ht="26.45" hidden="1">
      <c r="A194" s="219" t="s">
        <v>28</v>
      </c>
      <c r="B194" s="436" t="s">
        <v>100</v>
      </c>
      <c r="C194" s="351">
        <v>43612</v>
      </c>
      <c r="D194" s="352" t="s">
        <v>93</v>
      </c>
      <c r="E194" s="346" t="s">
        <v>74</v>
      </c>
      <c r="F194" s="346" t="s">
        <v>41</v>
      </c>
      <c r="G194" s="346" t="s">
        <v>101</v>
      </c>
      <c r="H194" s="347" t="s">
        <v>418</v>
      </c>
      <c r="I194" s="347" t="s">
        <v>419</v>
      </c>
      <c r="J194" s="347" t="s">
        <v>46</v>
      </c>
      <c r="K194" s="361"/>
      <c r="M194" s="227"/>
      <c r="N194" s="227"/>
    </row>
    <row r="195" spans="1:14" s="208" customFormat="1" ht="26.45" hidden="1">
      <c r="A195" s="219" t="s">
        <v>28</v>
      </c>
      <c r="B195" s="436" t="s">
        <v>100</v>
      </c>
      <c r="C195" s="351">
        <v>43612</v>
      </c>
      <c r="D195" s="352" t="s">
        <v>93</v>
      </c>
      <c r="E195" s="346" t="s">
        <v>74</v>
      </c>
      <c r="F195" s="346" t="s">
        <v>41</v>
      </c>
      <c r="G195" s="346" t="s">
        <v>101</v>
      </c>
      <c r="H195" s="347" t="s">
        <v>420</v>
      </c>
      <c r="I195" s="347" t="s">
        <v>421</v>
      </c>
      <c r="J195" s="347" t="s">
        <v>46</v>
      </c>
      <c r="K195" s="361"/>
      <c r="M195" s="227"/>
      <c r="N195" s="227"/>
    </row>
    <row r="196" spans="1:14" s="208" customFormat="1" ht="26.45" hidden="1">
      <c r="A196" s="219" t="s">
        <v>28</v>
      </c>
      <c r="B196" s="436" t="s">
        <v>100</v>
      </c>
      <c r="C196" s="351">
        <v>43612</v>
      </c>
      <c r="D196" s="352" t="s">
        <v>93</v>
      </c>
      <c r="E196" s="346" t="s">
        <v>74</v>
      </c>
      <c r="F196" s="346" t="s">
        <v>41</v>
      </c>
      <c r="G196" s="346" t="s">
        <v>101</v>
      </c>
      <c r="H196" s="347" t="s">
        <v>422</v>
      </c>
      <c r="I196" s="347" t="s">
        <v>423</v>
      </c>
      <c r="J196" s="347" t="s">
        <v>46</v>
      </c>
      <c r="K196" s="361"/>
      <c r="M196" s="227"/>
      <c r="N196" s="227"/>
    </row>
    <row r="197" spans="1:14" s="208" customFormat="1" ht="26.45" hidden="1">
      <c r="A197" s="219" t="s">
        <v>28</v>
      </c>
      <c r="B197" s="436" t="s">
        <v>100</v>
      </c>
      <c r="C197" s="351">
        <v>43612</v>
      </c>
      <c r="D197" s="352" t="s">
        <v>93</v>
      </c>
      <c r="E197" s="346" t="s">
        <v>74</v>
      </c>
      <c r="F197" s="346" t="s">
        <v>41</v>
      </c>
      <c r="G197" s="346" t="s">
        <v>101</v>
      </c>
      <c r="H197" s="347" t="s">
        <v>424</v>
      </c>
      <c r="I197" s="347" t="s">
        <v>425</v>
      </c>
      <c r="J197" s="347" t="s">
        <v>46</v>
      </c>
      <c r="K197" s="362"/>
      <c r="M197" s="227"/>
      <c r="N197" s="227"/>
    </row>
    <row r="198" spans="1:14" s="208" customFormat="1" ht="39.6" hidden="1">
      <c r="A198" s="219" t="s">
        <v>28</v>
      </c>
      <c r="B198" s="436" t="s">
        <v>100</v>
      </c>
      <c r="C198" s="351">
        <v>43612</v>
      </c>
      <c r="D198" s="352" t="s">
        <v>93</v>
      </c>
      <c r="E198" s="346" t="s">
        <v>74</v>
      </c>
      <c r="F198" s="346" t="s">
        <v>41</v>
      </c>
      <c r="G198" s="346" t="s">
        <v>101</v>
      </c>
      <c r="H198" s="347" t="s">
        <v>426</v>
      </c>
      <c r="I198" s="347" t="s">
        <v>427</v>
      </c>
      <c r="J198" s="347" t="s">
        <v>46</v>
      </c>
      <c r="K198" s="347" t="s">
        <v>428</v>
      </c>
      <c r="M198" s="227"/>
      <c r="N198" s="227"/>
    </row>
    <row r="199" spans="1:14" s="208" customFormat="1" ht="39.6" hidden="1">
      <c r="A199" s="219" t="s">
        <v>28</v>
      </c>
      <c r="B199" s="436" t="s">
        <v>100</v>
      </c>
      <c r="C199" s="351">
        <v>43612</v>
      </c>
      <c r="D199" s="352" t="s">
        <v>93</v>
      </c>
      <c r="E199" s="346" t="s">
        <v>74</v>
      </c>
      <c r="F199" s="346" t="s">
        <v>41</v>
      </c>
      <c r="G199" s="346" t="s">
        <v>101</v>
      </c>
      <c r="H199" s="347" t="s">
        <v>429</v>
      </c>
      <c r="I199" s="347" t="s">
        <v>430</v>
      </c>
      <c r="J199" s="347" t="s">
        <v>46</v>
      </c>
      <c r="K199" s="363" t="s">
        <v>268</v>
      </c>
      <c r="M199" s="227"/>
      <c r="N199" s="227"/>
    </row>
    <row r="200" spans="1:14" s="208" customFormat="1" ht="39.6" hidden="1">
      <c r="A200" s="219" t="s">
        <v>28</v>
      </c>
      <c r="B200" s="436" t="s">
        <v>100</v>
      </c>
      <c r="C200" s="351">
        <v>43612</v>
      </c>
      <c r="D200" s="352" t="s">
        <v>93</v>
      </c>
      <c r="E200" s="346" t="s">
        <v>74</v>
      </c>
      <c r="F200" s="346" t="s">
        <v>41</v>
      </c>
      <c r="G200" s="346" t="s">
        <v>101</v>
      </c>
      <c r="H200" s="347" t="s">
        <v>431</v>
      </c>
      <c r="I200" s="347" t="s">
        <v>432</v>
      </c>
      <c r="J200" s="347" t="s">
        <v>46</v>
      </c>
      <c r="K200" s="361"/>
      <c r="M200" s="227"/>
      <c r="N200" s="227"/>
    </row>
    <row r="201" spans="1:14" s="208" customFormat="1" ht="39.6" hidden="1">
      <c r="A201" s="219" t="s">
        <v>28</v>
      </c>
      <c r="B201" s="436" t="s">
        <v>100</v>
      </c>
      <c r="C201" s="351">
        <v>43612</v>
      </c>
      <c r="D201" s="352" t="s">
        <v>93</v>
      </c>
      <c r="E201" s="346" t="s">
        <v>74</v>
      </c>
      <c r="F201" s="346" t="s">
        <v>41</v>
      </c>
      <c r="G201" s="346" t="s">
        <v>101</v>
      </c>
      <c r="H201" s="347" t="s">
        <v>433</v>
      </c>
      <c r="I201" s="347" t="s">
        <v>434</v>
      </c>
      <c r="J201" s="347" t="s">
        <v>46</v>
      </c>
      <c r="K201" s="361"/>
      <c r="M201" s="227"/>
      <c r="N201" s="227"/>
    </row>
    <row r="202" spans="1:14" s="208" customFormat="1" ht="39.6" hidden="1">
      <c r="A202" s="219" t="s">
        <v>28</v>
      </c>
      <c r="B202" s="436" t="s">
        <v>100</v>
      </c>
      <c r="C202" s="351">
        <v>43612</v>
      </c>
      <c r="D202" s="352" t="s">
        <v>93</v>
      </c>
      <c r="E202" s="346" t="s">
        <v>74</v>
      </c>
      <c r="F202" s="346" t="s">
        <v>41</v>
      </c>
      <c r="G202" s="346" t="s">
        <v>101</v>
      </c>
      <c r="H202" s="347" t="s">
        <v>435</v>
      </c>
      <c r="I202" s="350" t="s">
        <v>436</v>
      </c>
      <c r="J202" s="347" t="s">
        <v>46</v>
      </c>
      <c r="K202" s="361"/>
      <c r="M202" s="227"/>
      <c r="N202" s="227"/>
    </row>
    <row r="203" spans="1:14" s="208" customFormat="1" ht="39.6" hidden="1">
      <c r="A203" s="219" t="s">
        <v>28</v>
      </c>
      <c r="B203" s="436" t="s">
        <v>100</v>
      </c>
      <c r="C203" s="351">
        <v>43612</v>
      </c>
      <c r="D203" s="352" t="s">
        <v>93</v>
      </c>
      <c r="E203" s="346" t="s">
        <v>74</v>
      </c>
      <c r="F203" s="346" t="s">
        <v>41</v>
      </c>
      <c r="G203" s="346" t="s">
        <v>101</v>
      </c>
      <c r="H203" s="347" t="s">
        <v>437</v>
      </c>
      <c r="I203" s="350" t="s">
        <v>438</v>
      </c>
      <c r="J203" s="347" t="s">
        <v>46</v>
      </c>
      <c r="K203" s="362"/>
      <c r="M203" s="227"/>
      <c r="N203" s="227"/>
    </row>
    <row r="204" spans="1:14" s="208" customFormat="1" hidden="1">
      <c r="A204" s="219" t="s">
        <v>28</v>
      </c>
      <c r="B204" s="436" t="s">
        <v>100</v>
      </c>
      <c r="C204" s="351">
        <v>43612</v>
      </c>
      <c r="D204" s="352" t="s">
        <v>93</v>
      </c>
      <c r="E204" s="346" t="s">
        <v>74</v>
      </c>
      <c r="F204" s="346" t="s">
        <v>41</v>
      </c>
      <c r="G204" s="346" t="s">
        <v>101</v>
      </c>
      <c r="H204" s="347" t="s">
        <v>439</v>
      </c>
      <c r="I204" s="347" t="s">
        <v>440</v>
      </c>
      <c r="J204" s="347" t="s">
        <v>46</v>
      </c>
      <c r="K204" s="347"/>
      <c r="M204" s="227"/>
      <c r="N204" s="227"/>
    </row>
    <row r="205" spans="1:14" s="208" customFormat="1" hidden="1">
      <c r="A205" s="219" t="s">
        <v>28</v>
      </c>
      <c r="B205" s="436" t="s">
        <v>100</v>
      </c>
      <c r="C205" s="351">
        <v>43612</v>
      </c>
      <c r="D205" s="352" t="s">
        <v>93</v>
      </c>
      <c r="E205" s="346" t="s">
        <v>74</v>
      </c>
      <c r="F205" s="346" t="s">
        <v>41</v>
      </c>
      <c r="G205" s="346" t="s">
        <v>101</v>
      </c>
      <c r="H205" s="347" t="s">
        <v>441</v>
      </c>
      <c r="I205" s="347" t="s">
        <v>442</v>
      </c>
      <c r="J205" s="347" t="s">
        <v>46</v>
      </c>
      <c r="K205" s="347"/>
      <c r="M205" s="227"/>
      <c r="N205" s="227"/>
    </row>
    <row r="206" spans="1:14" s="208" customFormat="1" hidden="1">
      <c r="A206" s="219" t="s">
        <v>28</v>
      </c>
      <c r="B206" s="436" t="s">
        <v>100</v>
      </c>
      <c r="C206" s="351">
        <v>43612</v>
      </c>
      <c r="D206" s="352" t="s">
        <v>93</v>
      </c>
      <c r="E206" s="346" t="s">
        <v>74</v>
      </c>
      <c r="F206" s="346" t="s">
        <v>41</v>
      </c>
      <c r="G206" s="346" t="s">
        <v>101</v>
      </c>
      <c r="H206" s="347" t="s">
        <v>443</v>
      </c>
      <c r="I206" s="347" t="s">
        <v>444</v>
      </c>
      <c r="J206" s="347" t="s">
        <v>46</v>
      </c>
      <c r="K206" s="347"/>
      <c r="M206" s="227"/>
      <c r="N206" s="227"/>
    </row>
    <row r="207" spans="1:14" s="208" customFormat="1" hidden="1">
      <c r="A207" s="219" t="s">
        <v>28</v>
      </c>
      <c r="B207" s="436" t="s">
        <v>100</v>
      </c>
      <c r="C207" s="351">
        <v>43612</v>
      </c>
      <c r="D207" s="352" t="s">
        <v>93</v>
      </c>
      <c r="E207" s="346" t="s">
        <v>74</v>
      </c>
      <c r="F207" s="346" t="s">
        <v>41</v>
      </c>
      <c r="G207" s="346" t="s">
        <v>101</v>
      </c>
      <c r="H207" s="347" t="s">
        <v>445</v>
      </c>
      <c r="I207" s="347" t="s">
        <v>446</v>
      </c>
      <c r="J207" s="347" t="s">
        <v>46</v>
      </c>
      <c r="K207" s="347"/>
      <c r="M207" s="227"/>
      <c r="N207" s="227"/>
    </row>
    <row r="208" spans="1:14" s="208" customFormat="1" hidden="1">
      <c r="A208" s="219" t="s">
        <v>28</v>
      </c>
      <c r="B208" s="436" t="s">
        <v>100</v>
      </c>
      <c r="C208" s="351">
        <v>43612</v>
      </c>
      <c r="D208" s="352" t="s">
        <v>93</v>
      </c>
      <c r="E208" s="346" t="s">
        <v>74</v>
      </c>
      <c r="F208" s="346" t="s">
        <v>41</v>
      </c>
      <c r="G208" s="346" t="s">
        <v>101</v>
      </c>
      <c r="H208" s="347" t="s">
        <v>447</v>
      </c>
      <c r="I208" s="350" t="s">
        <v>448</v>
      </c>
      <c r="J208" s="347" t="s">
        <v>46</v>
      </c>
      <c r="K208" s="347"/>
      <c r="M208" s="227"/>
      <c r="N208" s="227"/>
    </row>
    <row r="209" spans="1:14" s="208" customFormat="1" hidden="1">
      <c r="A209" s="219" t="s">
        <v>28</v>
      </c>
      <c r="B209" s="436" t="s">
        <v>100</v>
      </c>
      <c r="C209" s="351">
        <v>43612</v>
      </c>
      <c r="D209" s="352" t="s">
        <v>93</v>
      </c>
      <c r="E209" s="346" t="s">
        <v>74</v>
      </c>
      <c r="F209" s="346" t="s">
        <v>41</v>
      </c>
      <c r="G209" s="346" t="s">
        <v>101</v>
      </c>
      <c r="H209" s="347" t="s">
        <v>449</v>
      </c>
      <c r="I209" s="350" t="s">
        <v>450</v>
      </c>
      <c r="J209" s="347" t="s">
        <v>46</v>
      </c>
      <c r="K209" s="347"/>
      <c r="M209" s="227"/>
      <c r="N209" s="227"/>
    </row>
    <row r="210" spans="1:14" s="208" customFormat="1" hidden="1">
      <c r="A210" s="219" t="s">
        <v>28</v>
      </c>
      <c r="B210" s="436" t="s">
        <v>100</v>
      </c>
      <c r="C210" s="351">
        <v>43612</v>
      </c>
      <c r="D210" s="352" t="s">
        <v>93</v>
      </c>
      <c r="E210" s="346" t="s">
        <v>74</v>
      </c>
      <c r="F210" s="346" t="s">
        <v>41</v>
      </c>
      <c r="G210" s="346" t="s">
        <v>101</v>
      </c>
      <c r="H210" s="347" t="s">
        <v>451</v>
      </c>
      <c r="I210" s="347" t="s">
        <v>452</v>
      </c>
      <c r="J210" s="347" t="s">
        <v>46</v>
      </c>
      <c r="K210" s="347"/>
      <c r="M210" s="227"/>
      <c r="N210" s="227"/>
    </row>
    <row r="211" spans="1:14" s="208" customFormat="1" hidden="1">
      <c r="A211" s="219" t="s">
        <v>28</v>
      </c>
      <c r="B211" s="436" t="s">
        <v>100</v>
      </c>
      <c r="C211" s="351">
        <v>43612</v>
      </c>
      <c r="D211" s="352" t="s">
        <v>93</v>
      </c>
      <c r="E211" s="346" t="s">
        <v>74</v>
      </c>
      <c r="F211" s="346" t="s">
        <v>41</v>
      </c>
      <c r="G211" s="346" t="s">
        <v>101</v>
      </c>
      <c r="H211" s="347" t="s">
        <v>453</v>
      </c>
      <c r="I211" s="350" t="s">
        <v>454</v>
      </c>
      <c r="J211" s="347" t="s">
        <v>46</v>
      </c>
      <c r="K211" s="347"/>
      <c r="M211" s="227"/>
      <c r="N211" s="227"/>
    </row>
    <row r="212" spans="1:14" s="208" customFormat="1" hidden="1">
      <c r="A212" s="219" t="s">
        <v>28</v>
      </c>
      <c r="B212" s="436" t="s">
        <v>100</v>
      </c>
      <c r="C212" s="351">
        <v>43612</v>
      </c>
      <c r="D212" s="352" t="s">
        <v>93</v>
      </c>
      <c r="E212" s="346" t="s">
        <v>74</v>
      </c>
      <c r="F212" s="346" t="s">
        <v>41</v>
      </c>
      <c r="G212" s="346" t="s">
        <v>101</v>
      </c>
      <c r="H212" s="347" t="s">
        <v>455</v>
      </c>
      <c r="I212" s="350" t="s">
        <v>456</v>
      </c>
      <c r="J212" s="347" t="s">
        <v>46</v>
      </c>
      <c r="K212" s="347"/>
      <c r="M212" s="227"/>
      <c r="N212" s="227"/>
    </row>
    <row r="213" spans="1:14" s="208" customFormat="1" hidden="1">
      <c r="A213" s="219" t="s">
        <v>28</v>
      </c>
      <c r="B213" s="436" t="s">
        <v>100</v>
      </c>
      <c r="C213" s="351">
        <v>43612</v>
      </c>
      <c r="D213" s="352" t="s">
        <v>93</v>
      </c>
      <c r="E213" s="346" t="s">
        <v>74</v>
      </c>
      <c r="F213" s="346" t="s">
        <v>41</v>
      </c>
      <c r="G213" s="346" t="s">
        <v>101</v>
      </c>
      <c r="H213" s="347" t="s">
        <v>457</v>
      </c>
      <c r="I213" s="347" t="s">
        <v>458</v>
      </c>
      <c r="J213" s="347" t="s">
        <v>46</v>
      </c>
      <c r="K213" s="347"/>
      <c r="M213" s="227"/>
      <c r="N213" s="227"/>
    </row>
    <row r="214" spans="1:14" s="208" customFormat="1" hidden="1">
      <c r="A214" s="219" t="s">
        <v>28</v>
      </c>
      <c r="B214" s="436" t="s">
        <v>100</v>
      </c>
      <c r="C214" s="351">
        <v>43612</v>
      </c>
      <c r="D214" s="352" t="s">
        <v>93</v>
      </c>
      <c r="E214" s="346" t="s">
        <v>74</v>
      </c>
      <c r="F214" s="346" t="s">
        <v>41</v>
      </c>
      <c r="G214" s="346" t="s">
        <v>101</v>
      </c>
      <c r="H214" s="347" t="s">
        <v>459</v>
      </c>
      <c r="I214" s="350" t="s">
        <v>460</v>
      </c>
      <c r="J214" s="347" t="s">
        <v>46</v>
      </c>
      <c r="K214" s="347"/>
      <c r="M214" s="227"/>
      <c r="N214" s="227"/>
    </row>
    <row r="215" spans="1:14" s="208" customFormat="1" hidden="1">
      <c r="A215" s="219" t="s">
        <v>28</v>
      </c>
      <c r="B215" s="436" t="s">
        <v>100</v>
      </c>
      <c r="C215" s="351">
        <v>43612</v>
      </c>
      <c r="D215" s="352" t="s">
        <v>93</v>
      </c>
      <c r="E215" s="346" t="s">
        <v>74</v>
      </c>
      <c r="F215" s="346" t="s">
        <v>41</v>
      </c>
      <c r="G215" s="346" t="s">
        <v>101</v>
      </c>
      <c r="H215" s="347" t="s">
        <v>461</v>
      </c>
      <c r="I215" s="347" t="s">
        <v>462</v>
      </c>
      <c r="J215" s="347" t="s">
        <v>46</v>
      </c>
      <c r="K215" s="347"/>
      <c r="M215" s="227"/>
      <c r="N215" s="227"/>
    </row>
    <row r="216" spans="1:14" s="208" customFormat="1" ht="26.45" hidden="1">
      <c r="A216" s="219" t="s">
        <v>28</v>
      </c>
      <c r="B216" s="436" t="s">
        <v>100</v>
      </c>
      <c r="C216" s="351">
        <v>43612</v>
      </c>
      <c r="D216" s="352" t="s">
        <v>93</v>
      </c>
      <c r="E216" s="346" t="s">
        <v>74</v>
      </c>
      <c r="F216" s="346" t="s">
        <v>41</v>
      </c>
      <c r="G216" s="346" t="s">
        <v>101</v>
      </c>
      <c r="H216" s="347" t="s">
        <v>463</v>
      </c>
      <c r="I216" s="350" t="s">
        <v>464</v>
      </c>
      <c r="J216" s="347" t="s">
        <v>46</v>
      </c>
      <c r="K216" s="347"/>
      <c r="M216" s="227"/>
      <c r="N216" s="227"/>
    </row>
    <row r="217" spans="1:14" s="208" customFormat="1" hidden="1">
      <c r="A217" s="219" t="s">
        <v>28</v>
      </c>
      <c r="B217" s="436" t="s">
        <v>100</v>
      </c>
      <c r="C217" s="351">
        <v>43612</v>
      </c>
      <c r="D217" s="352" t="s">
        <v>93</v>
      </c>
      <c r="E217" s="346" t="s">
        <v>74</v>
      </c>
      <c r="F217" s="346" t="s">
        <v>41</v>
      </c>
      <c r="G217" s="346" t="s">
        <v>101</v>
      </c>
      <c r="H217" s="347" t="s">
        <v>465</v>
      </c>
      <c r="I217" s="347" t="s">
        <v>466</v>
      </c>
      <c r="J217" s="347" t="s">
        <v>46</v>
      </c>
      <c r="K217" s="347"/>
      <c r="M217" s="227"/>
      <c r="N217" s="227"/>
    </row>
    <row r="218" spans="1:14" s="208" customFormat="1" ht="26.45" hidden="1">
      <c r="A218" s="219" t="s">
        <v>28</v>
      </c>
      <c r="B218" s="436" t="s">
        <v>100</v>
      </c>
      <c r="C218" s="351">
        <v>43612</v>
      </c>
      <c r="D218" s="352" t="s">
        <v>93</v>
      </c>
      <c r="E218" s="346" t="s">
        <v>74</v>
      </c>
      <c r="F218" s="346" t="s">
        <v>41</v>
      </c>
      <c r="G218" s="346" t="s">
        <v>101</v>
      </c>
      <c r="H218" s="347" t="s">
        <v>467</v>
      </c>
      <c r="I218" s="350" t="s">
        <v>468</v>
      </c>
      <c r="J218" s="347" t="s">
        <v>469</v>
      </c>
      <c r="K218" s="347"/>
      <c r="M218" s="227"/>
      <c r="N218" s="227"/>
    </row>
    <row r="219" spans="1:14" s="208" customFormat="1" hidden="1">
      <c r="A219" s="219" t="s">
        <v>28</v>
      </c>
      <c r="B219" s="436" t="s">
        <v>100</v>
      </c>
      <c r="C219" s="351">
        <v>43612</v>
      </c>
      <c r="D219" s="352" t="s">
        <v>93</v>
      </c>
      <c r="E219" s="346" t="s">
        <v>74</v>
      </c>
      <c r="F219" s="346" t="s">
        <v>41</v>
      </c>
      <c r="G219" s="346" t="s">
        <v>101</v>
      </c>
      <c r="H219" s="347" t="s">
        <v>470</v>
      </c>
      <c r="I219" s="347" t="s">
        <v>471</v>
      </c>
      <c r="J219" s="347" t="s">
        <v>46</v>
      </c>
      <c r="K219" s="347"/>
      <c r="M219" s="227"/>
      <c r="N219" s="227"/>
    </row>
    <row r="220" spans="1:14" s="208" customFormat="1" ht="52.9" hidden="1">
      <c r="A220" s="219" t="s">
        <v>28</v>
      </c>
      <c r="B220" s="436" t="s">
        <v>100</v>
      </c>
      <c r="C220" s="351">
        <v>43612</v>
      </c>
      <c r="D220" s="352" t="s">
        <v>93</v>
      </c>
      <c r="E220" s="346" t="s">
        <v>74</v>
      </c>
      <c r="F220" s="346" t="s">
        <v>41</v>
      </c>
      <c r="G220" s="346" t="s">
        <v>101</v>
      </c>
      <c r="H220" s="347" t="s">
        <v>472</v>
      </c>
      <c r="I220" s="350" t="s">
        <v>473</v>
      </c>
      <c r="J220" s="347" t="s">
        <v>46</v>
      </c>
      <c r="K220" s="347"/>
      <c r="M220" s="227"/>
      <c r="N220" s="227"/>
    </row>
    <row r="221" spans="1:14" s="208" customFormat="1" hidden="1">
      <c r="A221" s="219" t="s">
        <v>28</v>
      </c>
      <c r="B221" s="436" t="s">
        <v>100</v>
      </c>
      <c r="C221" s="351">
        <v>43612</v>
      </c>
      <c r="D221" s="352" t="s">
        <v>93</v>
      </c>
      <c r="E221" s="346" t="s">
        <v>74</v>
      </c>
      <c r="F221" s="346" t="s">
        <v>41</v>
      </c>
      <c r="G221" s="346" t="s">
        <v>101</v>
      </c>
      <c r="H221" s="347" t="s">
        <v>474</v>
      </c>
      <c r="I221" s="347" t="s">
        <v>46</v>
      </c>
      <c r="J221" s="347" t="s">
        <v>475</v>
      </c>
      <c r="K221" s="347" t="s">
        <v>476</v>
      </c>
      <c r="M221" s="227"/>
      <c r="N221" s="227"/>
    </row>
    <row r="222" spans="1:14" s="208" customFormat="1" hidden="1">
      <c r="A222" s="219" t="s">
        <v>28</v>
      </c>
      <c r="B222" s="436" t="s">
        <v>100</v>
      </c>
      <c r="C222" s="351">
        <v>43612</v>
      </c>
      <c r="D222" s="352" t="s">
        <v>93</v>
      </c>
      <c r="E222" s="346" t="s">
        <v>74</v>
      </c>
      <c r="F222" s="346" t="s">
        <v>41</v>
      </c>
      <c r="G222" s="346" t="s">
        <v>101</v>
      </c>
      <c r="H222" s="347" t="s">
        <v>477</v>
      </c>
      <c r="I222" s="347" t="s">
        <v>46</v>
      </c>
      <c r="J222" s="347" t="s">
        <v>478</v>
      </c>
      <c r="K222" s="347" t="s">
        <v>476</v>
      </c>
      <c r="M222" s="227"/>
      <c r="N222" s="227"/>
    </row>
    <row r="223" spans="1:14" s="208" customFormat="1" hidden="1">
      <c r="A223" s="219" t="s">
        <v>28</v>
      </c>
      <c r="B223" s="436" t="s">
        <v>100</v>
      </c>
      <c r="C223" s="351">
        <v>43612</v>
      </c>
      <c r="D223" s="352" t="s">
        <v>93</v>
      </c>
      <c r="E223" s="346" t="s">
        <v>74</v>
      </c>
      <c r="F223" s="346" t="s">
        <v>41</v>
      </c>
      <c r="G223" s="346" t="s">
        <v>101</v>
      </c>
      <c r="H223" s="347" t="s">
        <v>479</v>
      </c>
      <c r="I223" s="347" t="s">
        <v>46</v>
      </c>
      <c r="J223" s="347" t="s">
        <v>480</v>
      </c>
      <c r="K223" s="347" t="s">
        <v>476</v>
      </c>
      <c r="M223" s="227"/>
      <c r="N223" s="227"/>
    </row>
    <row r="224" spans="1:14" s="208" customFormat="1" hidden="1">
      <c r="A224" s="219" t="s">
        <v>28</v>
      </c>
      <c r="B224" s="436" t="s">
        <v>100</v>
      </c>
      <c r="C224" s="351">
        <v>43612</v>
      </c>
      <c r="D224" s="352" t="s">
        <v>93</v>
      </c>
      <c r="E224" s="346" t="s">
        <v>74</v>
      </c>
      <c r="F224" s="346" t="s">
        <v>41</v>
      </c>
      <c r="G224" s="346" t="s">
        <v>101</v>
      </c>
      <c r="H224" s="347" t="s">
        <v>481</v>
      </c>
      <c r="I224" s="347" t="s">
        <v>46</v>
      </c>
      <c r="J224" s="347" t="s">
        <v>482</v>
      </c>
      <c r="K224" s="347" t="s">
        <v>476</v>
      </c>
      <c r="M224" s="227"/>
      <c r="N224" s="227"/>
    </row>
    <row r="225" spans="1:14" s="208" customFormat="1" hidden="1">
      <c r="A225" s="219" t="s">
        <v>28</v>
      </c>
      <c r="B225" s="436" t="s">
        <v>100</v>
      </c>
      <c r="C225" s="351">
        <v>43612</v>
      </c>
      <c r="D225" s="352" t="s">
        <v>93</v>
      </c>
      <c r="E225" s="346" t="s">
        <v>74</v>
      </c>
      <c r="F225" s="346" t="s">
        <v>41</v>
      </c>
      <c r="G225" s="346" t="s">
        <v>101</v>
      </c>
      <c r="H225" s="347" t="s">
        <v>483</v>
      </c>
      <c r="I225" s="347" t="s">
        <v>46</v>
      </c>
      <c r="J225" s="347" t="s">
        <v>484</v>
      </c>
      <c r="K225" s="347" t="s">
        <v>476</v>
      </c>
      <c r="M225" s="227"/>
      <c r="N225" s="227"/>
    </row>
    <row r="226" spans="1:14" s="208" customFormat="1" hidden="1">
      <c r="A226" s="219" t="s">
        <v>28</v>
      </c>
      <c r="B226" s="436" t="s">
        <v>100</v>
      </c>
      <c r="C226" s="351">
        <v>43612</v>
      </c>
      <c r="D226" s="352" t="s">
        <v>93</v>
      </c>
      <c r="E226" s="346" t="s">
        <v>74</v>
      </c>
      <c r="F226" s="346" t="s">
        <v>41</v>
      </c>
      <c r="G226" s="346" t="s">
        <v>101</v>
      </c>
      <c r="H226" s="347" t="s">
        <v>485</v>
      </c>
      <c r="I226" s="347" t="s">
        <v>46</v>
      </c>
      <c r="J226" s="347" t="s">
        <v>486</v>
      </c>
      <c r="K226" s="347" t="s">
        <v>476</v>
      </c>
      <c r="M226" s="227"/>
      <c r="N226" s="227"/>
    </row>
    <row r="227" spans="1:14" s="208" customFormat="1" hidden="1">
      <c r="A227" s="219" t="s">
        <v>28</v>
      </c>
      <c r="B227" s="436" t="s">
        <v>100</v>
      </c>
      <c r="C227" s="351">
        <v>43612</v>
      </c>
      <c r="D227" s="352" t="s">
        <v>93</v>
      </c>
      <c r="E227" s="346" t="s">
        <v>74</v>
      </c>
      <c r="F227" s="346" t="s">
        <v>41</v>
      </c>
      <c r="G227" s="346" t="s">
        <v>101</v>
      </c>
      <c r="H227" s="347" t="s">
        <v>472</v>
      </c>
      <c r="I227" s="347" t="s">
        <v>46</v>
      </c>
      <c r="J227" s="347" t="s">
        <v>487</v>
      </c>
      <c r="K227" s="347" t="s">
        <v>476</v>
      </c>
      <c r="M227" s="227"/>
      <c r="N227" s="227"/>
    </row>
    <row r="228" spans="1:14" s="208" customFormat="1" hidden="1">
      <c r="A228" s="219" t="s">
        <v>28</v>
      </c>
      <c r="B228" s="436" t="s">
        <v>100</v>
      </c>
      <c r="C228" s="351">
        <v>43612</v>
      </c>
      <c r="D228" s="352" t="s">
        <v>93</v>
      </c>
      <c r="E228" s="346" t="s">
        <v>74</v>
      </c>
      <c r="F228" s="346" t="s">
        <v>41</v>
      </c>
      <c r="G228" s="346" t="s">
        <v>101</v>
      </c>
      <c r="H228" s="347" t="s">
        <v>488</v>
      </c>
      <c r="I228" s="347" t="s">
        <v>46</v>
      </c>
      <c r="J228" s="347" t="s">
        <v>489</v>
      </c>
      <c r="K228" s="347" t="s">
        <v>476</v>
      </c>
      <c r="M228" s="227"/>
      <c r="N228" s="227"/>
    </row>
    <row r="229" spans="1:14" s="208" customFormat="1" hidden="1">
      <c r="A229" s="219" t="s">
        <v>28</v>
      </c>
      <c r="B229" s="436" t="s">
        <v>100</v>
      </c>
      <c r="C229" s="351">
        <v>43612</v>
      </c>
      <c r="D229" s="352" t="s">
        <v>93</v>
      </c>
      <c r="E229" s="346" t="s">
        <v>74</v>
      </c>
      <c r="F229" s="346" t="s">
        <v>41</v>
      </c>
      <c r="G229" s="346" t="s">
        <v>101</v>
      </c>
      <c r="H229" s="347" t="s">
        <v>490</v>
      </c>
      <c r="I229" s="347" t="s">
        <v>46</v>
      </c>
      <c r="J229" s="347" t="s">
        <v>491</v>
      </c>
      <c r="K229" s="347" t="s">
        <v>476</v>
      </c>
      <c r="M229" s="227"/>
      <c r="N229" s="227"/>
    </row>
    <row r="230" spans="1:14" s="208" customFormat="1" hidden="1">
      <c r="A230" s="219" t="s">
        <v>28</v>
      </c>
      <c r="B230" s="436" t="s">
        <v>100</v>
      </c>
      <c r="C230" s="351">
        <v>43612</v>
      </c>
      <c r="D230" s="352" t="s">
        <v>93</v>
      </c>
      <c r="E230" s="346" t="s">
        <v>74</v>
      </c>
      <c r="F230" s="346" t="s">
        <v>41</v>
      </c>
      <c r="G230" s="346" t="s">
        <v>101</v>
      </c>
      <c r="H230" s="347" t="s">
        <v>492</v>
      </c>
      <c r="I230" s="347" t="s">
        <v>46</v>
      </c>
      <c r="J230" s="347" t="s">
        <v>493</v>
      </c>
      <c r="K230" s="347" t="s">
        <v>476</v>
      </c>
      <c r="M230" s="227"/>
      <c r="N230" s="227"/>
    </row>
    <row r="231" spans="1:14" s="208" customFormat="1" hidden="1">
      <c r="A231" s="219" t="s">
        <v>28</v>
      </c>
      <c r="B231" s="436" t="s">
        <v>100</v>
      </c>
      <c r="C231" s="351">
        <v>43612</v>
      </c>
      <c r="D231" s="352" t="s">
        <v>93</v>
      </c>
      <c r="E231" s="346" t="s">
        <v>74</v>
      </c>
      <c r="F231" s="346" t="s">
        <v>41</v>
      </c>
      <c r="G231" s="346" t="s">
        <v>101</v>
      </c>
      <c r="H231" s="347" t="s">
        <v>494</v>
      </c>
      <c r="I231" s="347" t="s">
        <v>46</v>
      </c>
      <c r="J231" s="347" t="s">
        <v>495</v>
      </c>
      <c r="K231" s="347" t="s">
        <v>476</v>
      </c>
      <c r="M231" s="227"/>
      <c r="N231" s="227"/>
    </row>
    <row r="232" spans="1:14" s="208" customFormat="1" hidden="1">
      <c r="A232" s="219" t="s">
        <v>28</v>
      </c>
      <c r="B232" s="436" t="s">
        <v>100</v>
      </c>
      <c r="C232" s="351">
        <v>43612</v>
      </c>
      <c r="D232" s="352" t="s">
        <v>93</v>
      </c>
      <c r="E232" s="346" t="s">
        <v>74</v>
      </c>
      <c r="F232" s="346" t="s">
        <v>41</v>
      </c>
      <c r="G232" s="346" t="s">
        <v>101</v>
      </c>
      <c r="H232" s="347" t="s">
        <v>496</v>
      </c>
      <c r="I232" s="347" t="s">
        <v>46</v>
      </c>
      <c r="J232" s="347" t="s">
        <v>497</v>
      </c>
      <c r="K232" s="347" t="s">
        <v>476</v>
      </c>
      <c r="M232" s="227"/>
      <c r="N232" s="227"/>
    </row>
    <row r="233" spans="1:14" s="208" customFormat="1" hidden="1">
      <c r="A233" s="219" t="s">
        <v>28</v>
      </c>
      <c r="B233" s="436" t="s">
        <v>100</v>
      </c>
      <c r="C233" s="351">
        <v>43612</v>
      </c>
      <c r="D233" s="352" t="s">
        <v>93</v>
      </c>
      <c r="E233" s="346" t="s">
        <v>74</v>
      </c>
      <c r="F233" s="346" t="s">
        <v>41</v>
      </c>
      <c r="G233" s="346" t="s">
        <v>101</v>
      </c>
      <c r="H233" s="347" t="s">
        <v>498</v>
      </c>
      <c r="I233" s="347" t="s">
        <v>46</v>
      </c>
      <c r="J233" s="347" t="s">
        <v>499</v>
      </c>
      <c r="K233" s="347" t="s">
        <v>476</v>
      </c>
      <c r="M233" s="227"/>
      <c r="N233" s="227"/>
    </row>
    <row r="234" spans="1:14" s="208" customFormat="1" hidden="1">
      <c r="A234" s="219" t="s">
        <v>28</v>
      </c>
      <c r="B234" s="436" t="s">
        <v>100</v>
      </c>
      <c r="C234" s="351">
        <v>43612</v>
      </c>
      <c r="D234" s="352" t="s">
        <v>93</v>
      </c>
      <c r="E234" s="346" t="s">
        <v>74</v>
      </c>
      <c r="F234" s="346" t="s">
        <v>41</v>
      </c>
      <c r="G234" s="346" t="s">
        <v>101</v>
      </c>
      <c r="H234" s="347" t="s">
        <v>500</v>
      </c>
      <c r="I234" s="347" t="s">
        <v>46</v>
      </c>
      <c r="J234" s="347" t="s">
        <v>501</v>
      </c>
      <c r="K234" s="347" t="s">
        <v>476</v>
      </c>
      <c r="M234" s="227"/>
      <c r="N234" s="227"/>
    </row>
    <row r="235" spans="1:14" s="208" customFormat="1" ht="26.45" hidden="1">
      <c r="A235" s="219" t="s">
        <v>28</v>
      </c>
      <c r="B235" s="436" t="s">
        <v>100</v>
      </c>
      <c r="C235" s="351">
        <v>43612</v>
      </c>
      <c r="D235" s="352" t="s">
        <v>93</v>
      </c>
      <c r="E235" s="346" t="s">
        <v>74</v>
      </c>
      <c r="F235" s="346" t="s">
        <v>41</v>
      </c>
      <c r="G235" s="346" t="s">
        <v>101</v>
      </c>
      <c r="H235" s="347" t="s">
        <v>502</v>
      </c>
      <c r="I235" s="347" t="s">
        <v>46</v>
      </c>
      <c r="J235" s="347" t="s">
        <v>503</v>
      </c>
      <c r="K235" s="347" t="s">
        <v>476</v>
      </c>
      <c r="M235" s="227"/>
      <c r="N235" s="227"/>
    </row>
    <row r="236" spans="1:14" s="208" customFormat="1" ht="26.45" hidden="1">
      <c r="A236" s="219" t="s">
        <v>28</v>
      </c>
      <c r="B236" s="436" t="s">
        <v>100</v>
      </c>
      <c r="C236" s="351">
        <v>43612</v>
      </c>
      <c r="D236" s="352" t="s">
        <v>93</v>
      </c>
      <c r="E236" s="346" t="s">
        <v>74</v>
      </c>
      <c r="F236" s="346" t="s">
        <v>41</v>
      </c>
      <c r="G236" s="346" t="s">
        <v>101</v>
      </c>
      <c r="H236" s="347" t="s">
        <v>504</v>
      </c>
      <c r="I236" s="347" t="s">
        <v>46</v>
      </c>
      <c r="J236" s="347" t="s">
        <v>503</v>
      </c>
      <c r="K236" s="347" t="s">
        <v>476</v>
      </c>
      <c r="M236" s="227"/>
      <c r="N236" s="227"/>
    </row>
    <row r="237" spans="1:14" s="208" customFormat="1" hidden="1">
      <c r="A237" s="219" t="s">
        <v>28</v>
      </c>
      <c r="B237" s="436" t="s">
        <v>100</v>
      </c>
      <c r="C237" s="351">
        <v>43612</v>
      </c>
      <c r="D237" s="352" t="s">
        <v>93</v>
      </c>
      <c r="E237" s="346" t="s">
        <v>74</v>
      </c>
      <c r="F237" s="346" t="s">
        <v>41</v>
      </c>
      <c r="G237" s="346" t="s">
        <v>101</v>
      </c>
      <c r="H237" s="347" t="s">
        <v>505</v>
      </c>
      <c r="I237" s="347" t="s">
        <v>46</v>
      </c>
      <c r="J237" s="347" t="s">
        <v>506</v>
      </c>
      <c r="K237" s="347" t="s">
        <v>476</v>
      </c>
      <c r="M237" s="227"/>
      <c r="N237" s="227"/>
    </row>
    <row r="238" spans="1:14" s="208" customFormat="1" ht="26.45" hidden="1">
      <c r="A238" s="219" t="s">
        <v>28</v>
      </c>
      <c r="B238" s="436" t="s">
        <v>100</v>
      </c>
      <c r="C238" s="351">
        <v>43612</v>
      </c>
      <c r="D238" s="352" t="s">
        <v>93</v>
      </c>
      <c r="E238" s="346" t="s">
        <v>74</v>
      </c>
      <c r="F238" s="346" t="s">
        <v>41</v>
      </c>
      <c r="G238" s="346" t="s">
        <v>101</v>
      </c>
      <c r="H238" s="347" t="s">
        <v>507</v>
      </c>
      <c r="I238" s="347" t="s">
        <v>46</v>
      </c>
      <c r="J238" s="347" t="s">
        <v>503</v>
      </c>
      <c r="K238" s="347" t="s">
        <v>476</v>
      </c>
      <c r="M238" s="227"/>
      <c r="N238" s="227"/>
    </row>
    <row r="239" spans="1:14" s="208" customFormat="1" ht="39.6" hidden="1">
      <c r="A239" s="219" t="s">
        <v>28</v>
      </c>
      <c r="B239" s="436" t="s">
        <v>100</v>
      </c>
      <c r="C239" s="351">
        <v>43612</v>
      </c>
      <c r="D239" s="352" t="s">
        <v>93</v>
      </c>
      <c r="E239" s="346" t="s">
        <v>74</v>
      </c>
      <c r="F239" s="346" t="s">
        <v>41</v>
      </c>
      <c r="G239" s="346" t="s">
        <v>101</v>
      </c>
      <c r="H239" s="347" t="s">
        <v>508</v>
      </c>
      <c r="I239" s="347" t="s">
        <v>46</v>
      </c>
      <c r="J239" s="347" t="s">
        <v>509</v>
      </c>
      <c r="K239" s="347" t="s">
        <v>476</v>
      </c>
      <c r="M239" s="227"/>
      <c r="N239" s="227"/>
    </row>
    <row r="240" spans="1:14" s="208" customFormat="1" ht="26.45" hidden="1">
      <c r="A240" s="219" t="s">
        <v>28</v>
      </c>
      <c r="B240" s="436" t="s">
        <v>100</v>
      </c>
      <c r="C240" s="351">
        <v>43612</v>
      </c>
      <c r="D240" s="352" t="s">
        <v>93</v>
      </c>
      <c r="E240" s="346" t="s">
        <v>74</v>
      </c>
      <c r="F240" s="346" t="s">
        <v>41</v>
      </c>
      <c r="G240" s="346" t="s">
        <v>101</v>
      </c>
      <c r="H240" s="347" t="s">
        <v>510</v>
      </c>
      <c r="I240" s="347" t="s">
        <v>46</v>
      </c>
      <c r="J240" s="347" t="s">
        <v>503</v>
      </c>
      <c r="K240" s="347" t="s">
        <v>476</v>
      </c>
      <c r="M240" s="227"/>
      <c r="N240" s="227"/>
    </row>
    <row r="241" spans="1:14" s="208" customFormat="1" ht="52.9" hidden="1">
      <c r="A241" s="219" t="s">
        <v>28</v>
      </c>
      <c r="B241" s="436" t="s">
        <v>100</v>
      </c>
      <c r="C241" s="351">
        <v>43612</v>
      </c>
      <c r="D241" s="352" t="s">
        <v>93</v>
      </c>
      <c r="E241" s="346" t="s">
        <v>74</v>
      </c>
      <c r="F241" s="346" t="s">
        <v>41</v>
      </c>
      <c r="G241" s="346" t="s">
        <v>101</v>
      </c>
      <c r="H241" s="347" t="s">
        <v>511</v>
      </c>
      <c r="I241" s="347" t="s">
        <v>46</v>
      </c>
      <c r="J241" s="347" t="s">
        <v>512</v>
      </c>
      <c r="K241" s="347" t="s">
        <v>476</v>
      </c>
      <c r="M241" s="227"/>
      <c r="N241" s="227"/>
    </row>
    <row r="242" spans="1:14" s="208" customFormat="1" ht="26.45" hidden="1">
      <c r="A242" s="219" t="s">
        <v>28</v>
      </c>
      <c r="B242" s="340" t="s">
        <v>100</v>
      </c>
      <c r="C242" s="351">
        <v>43611</v>
      </c>
      <c r="D242" s="352" t="s">
        <v>93</v>
      </c>
      <c r="E242" s="346" t="s">
        <v>74</v>
      </c>
      <c r="F242" s="346" t="s">
        <v>41</v>
      </c>
      <c r="G242" s="346" t="s">
        <v>101</v>
      </c>
      <c r="H242" s="347" t="s">
        <v>513</v>
      </c>
      <c r="I242" s="347" t="s">
        <v>46</v>
      </c>
      <c r="J242" s="347" t="s">
        <v>514</v>
      </c>
      <c r="K242" s="347" t="s">
        <v>476</v>
      </c>
      <c r="M242" s="227"/>
      <c r="N242" s="227"/>
    </row>
    <row r="243" spans="1:14" s="208" customFormat="1" hidden="1">
      <c r="A243" s="219" t="s">
        <v>28</v>
      </c>
      <c r="B243" s="342" t="s">
        <v>100</v>
      </c>
      <c r="C243" s="351">
        <v>43977</v>
      </c>
      <c r="D243" s="352" t="s">
        <v>93</v>
      </c>
      <c r="E243" s="346" t="s">
        <v>74</v>
      </c>
      <c r="F243" s="346" t="s">
        <v>41</v>
      </c>
      <c r="G243" s="346" t="s">
        <v>43</v>
      </c>
      <c r="H243" s="347" t="s">
        <v>44</v>
      </c>
      <c r="I243" s="347" t="s">
        <v>515</v>
      </c>
      <c r="J243" s="347" t="s">
        <v>46</v>
      </c>
      <c r="K243" s="347" t="s">
        <v>516</v>
      </c>
      <c r="M243" s="227"/>
      <c r="N243" s="227"/>
    </row>
    <row r="244" spans="1:14" s="208" customFormat="1" hidden="1">
      <c r="A244" s="219" t="s">
        <v>28</v>
      </c>
      <c r="B244" s="342" t="s">
        <v>100</v>
      </c>
      <c r="C244" s="351">
        <v>43977</v>
      </c>
      <c r="D244" s="352" t="s">
        <v>93</v>
      </c>
      <c r="E244" s="346" t="s">
        <v>74</v>
      </c>
      <c r="F244" s="346" t="s">
        <v>41</v>
      </c>
      <c r="G244" s="346" t="s">
        <v>43</v>
      </c>
      <c r="H244" s="347" t="s">
        <v>48</v>
      </c>
      <c r="I244" s="347" t="s">
        <v>517</v>
      </c>
      <c r="J244" s="347" t="s">
        <v>45</v>
      </c>
      <c r="K244" s="347" t="s">
        <v>518</v>
      </c>
      <c r="M244" s="227"/>
      <c r="N244" s="227"/>
    </row>
    <row r="245" spans="1:14" s="208" customFormat="1" hidden="1">
      <c r="A245" s="219" t="s">
        <v>28</v>
      </c>
      <c r="B245" s="342" t="s">
        <v>100</v>
      </c>
      <c r="C245" s="351">
        <v>43977</v>
      </c>
      <c r="D245" s="352" t="s">
        <v>93</v>
      </c>
      <c r="E245" s="346" t="s">
        <v>74</v>
      </c>
      <c r="F245" s="346" t="s">
        <v>41</v>
      </c>
      <c r="G245" s="346" t="s">
        <v>43</v>
      </c>
      <c r="H245" s="347" t="s">
        <v>519</v>
      </c>
      <c r="I245" s="347" t="s">
        <v>520</v>
      </c>
      <c r="J245" s="347" t="s">
        <v>46</v>
      </c>
      <c r="K245" s="363" t="s">
        <v>521</v>
      </c>
      <c r="M245" s="227"/>
      <c r="N245" s="227"/>
    </row>
    <row r="246" spans="1:14" s="208" customFormat="1" hidden="1">
      <c r="A246" s="219" t="s">
        <v>28</v>
      </c>
      <c r="B246" s="342" t="s">
        <v>100</v>
      </c>
      <c r="C246" s="351">
        <v>43977</v>
      </c>
      <c r="D246" s="352" t="s">
        <v>93</v>
      </c>
      <c r="E246" s="346" t="s">
        <v>74</v>
      </c>
      <c r="F246" s="346" t="s">
        <v>41</v>
      </c>
      <c r="G246" s="346" t="s">
        <v>43</v>
      </c>
      <c r="H246" s="347" t="s">
        <v>522</v>
      </c>
      <c r="I246" s="347" t="s">
        <v>523</v>
      </c>
      <c r="J246" s="347" t="s">
        <v>46</v>
      </c>
      <c r="K246" s="362"/>
      <c r="M246" s="227"/>
      <c r="N246" s="227"/>
    </row>
    <row r="247" spans="1:14" s="208" customFormat="1" hidden="1">
      <c r="A247" s="219" t="s">
        <v>28</v>
      </c>
      <c r="B247" s="342" t="s">
        <v>100</v>
      </c>
      <c r="C247" s="351">
        <v>43977</v>
      </c>
      <c r="D247" s="352" t="s">
        <v>93</v>
      </c>
      <c r="E247" s="346" t="s">
        <v>74</v>
      </c>
      <c r="F247" s="346" t="s">
        <v>41</v>
      </c>
      <c r="G247" s="346" t="s">
        <v>43</v>
      </c>
      <c r="H247" s="347" t="s">
        <v>524</v>
      </c>
      <c r="I247" s="347" t="s">
        <v>525</v>
      </c>
      <c r="J247" s="347" t="s">
        <v>49</v>
      </c>
      <c r="K247" s="347" t="s">
        <v>526</v>
      </c>
      <c r="M247" s="227"/>
      <c r="N247" s="227"/>
    </row>
    <row r="248" spans="1:14" s="208" customFormat="1" ht="39.6" hidden="1">
      <c r="A248" s="219" t="s">
        <v>28</v>
      </c>
      <c r="B248" s="342" t="s">
        <v>100</v>
      </c>
      <c r="C248" s="351">
        <v>43977</v>
      </c>
      <c r="D248" s="352" t="s">
        <v>93</v>
      </c>
      <c r="E248" s="346" t="s">
        <v>74</v>
      </c>
      <c r="F248" s="346" t="s">
        <v>41</v>
      </c>
      <c r="G248" s="346" t="s">
        <v>43</v>
      </c>
      <c r="H248" s="347" t="s">
        <v>527</v>
      </c>
      <c r="I248" s="347" t="s">
        <v>528</v>
      </c>
      <c r="J248" s="347" t="s">
        <v>46</v>
      </c>
      <c r="K248" s="347" t="s">
        <v>529</v>
      </c>
      <c r="M248" s="227"/>
      <c r="N248" s="227"/>
    </row>
    <row r="249" spans="1:14" s="208" customFormat="1" ht="12.75" hidden="1" customHeight="1">
      <c r="A249" s="219" t="s">
        <v>28</v>
      </c>
      <c r="B249" s="342" t="s">
        <v>100</v>
      </c>
      <c r="C249" s="351">
        <v>43977</v>
      </c>
      <c r="D249" s="352" t="s">
        <v>93</v>
      </c>
      <c r="E249" s="346" t="s">
        <v>74</v>
      </c>
      <c r="F249" s="346" t="s">
        <v>41</v>
      </c>
      <c r="G249" s="346" t="s">
        <v>43</v>
      </c>
      <c r="H249" s="347" t="s">
        <v>530</v>
      </c>
      <c r="I249" s="347" t="s">
        <v>531</v>
      </c>
      <c r="J249" s="347" t="s">
        <v>46</v>
      </c>
      <c r="K249" s="437" t="s">
        <v>532</v>
      </c>
      <c r="M249" s="227"/>
      <c r="N249" s="227"/>
    </row>
    <row r="250" spans="1:14" s="208" customFormat="1" hidden="1">
      <c r="A250" s="219" t="s">
        <v>28</v>
      </c>
      <c r="B250" s="342" t="s">
        <v>100</v>
      </c>
      <c r="C250" s="351">
        <v>43977</v>
      </c>
      <c r="D250" s="352" t="s">
        <v>93</v>
      </c>
      <c r="E250" s="346" t="s">
        <v>74</v>
      </c>
      <c r="F250" s="346" t="s">
        <v>41</v>
      </c>
      <c r="G250" s="346" t="s">
        <v>43</v>
      </c>
      <c r="H250" s="347" t="s">
        <v>533</v>
      </c>
      <c r="I250" s="347" t="s">
        <v>534</v>
      </c>
      <c r="J250" s="347" t="s">
        <v>46</v>
      </c>
      <c r="K250" s="353" t="s">
        <v>535</v>
      </c>
      <c r="M250" s="227"/>
      <c r="N250" s="227"/>
    </row>
    <row r="251" spans="1:14" s="208" customFormat="1" hidden="1">
      <c r="A251" s="219" t="s">
        <v>28</v>
      </c>
      <c r="B251" s="342" t="s">
        <v>100</v>
      </c>
      <c r="C251" s="351">
        <v>43977</v>
      </c>
      <c r="D251" s="352" t="s">
        <v>93</v>
      </c>
      <c r="E251" s="346" t="s">
        <v>74</v>
      </c>
      <c r="F251" s="346" t="s">
        <v>41</v>
      </c>
      <c r="G251" s="346" t="s">
        <v>43</v>
      </c>
      <c r="H251" s="347" t="s">
        <v>536</v>
      </c>
      <c r="I251" s="347" t="s">
        <v>537</v>
      </c>
      <c r="J251" s="347" t="s">
        <v>46</v>
      </c>
      <c r="K251" s="363" t="s">
        <v>538</v>
      </c>
      <c r="M251" s="227"/>
      <c r="N251" s="227"/>
    </row>
    <row r="252" spans="1:14" s="208" customFormat="1" hidden="1">
      <c r="A252" s="219" t="s">
        <v>28</v>
      </c>
      <c r="B252" s="342" t="s">
        <v>100</v>
      </c>
      <c r="C252" s="351">
        <v>43977</v>
      </c>
      <c r="D252" s="352" t="s">
        <v>93</v>
      </c>
      <c r="E252" s="346" t="s">
        <v>74</v>
      </c>
      <c r="F252" s="346" t="s">
        <v>41</v>
      </c>
      <c r="G252" s="346" t="s">
        <v>43</v>
      </c>
      <c r="H252" s="347" t="s">
        <v>539</v>
      </c>
      <c r="I252" s="347" t="s">
        <v>540</v>
      </c>
      <c r="J252" s="347" t="s">
        <v>46</v>
      </c>
      <c r="K252" s="361"/>
      <c r="M252" s="227"/>
      <c r="N252" s="227"/>
    </row>
    <row r="253" spans="1:14" s="208" customFormat="1" hidden="1">
      <c r="A253" s="219" t="s">
        <v>28</v>
      </c>
      <c r="B253" s="342" t="s">
        <v>100</v>
      </c>
      <c r="C253" s="351">
        <v>43977</v>
      </c>
      <c r="D253" s="352" t="s">
        <v>93</v>
      </c>
      <c r="E253" s="346" t="s">
        <v>74</v>
      </c>
      <c r="F253" s="346" t="s">
        <v>41</v>
      </c>
      <c r="G253" s="346" t="s">
        <v>43</v>
      </c>
      <c r="H253" s="347" t="s">
        <v>541</v>
      </c>
      <c r="I253" s="347" t="s">
        <v>542</v>
      </c>
      <c r="J253" s="347" t="s">
        <v>46</v>
      </c>
      <c r="K253" s="361"/>
      <c r="M253" s="227"/>
      <c r="N253" s="227"/>
    </row>
    <row r="254" spans="1:14" s="208" customFormat="1" hidden="1">
      <c r="A254" s="219" t="s">
        <v>28</v>
      </c>
      <c r="B254" s="342" t="s">
        <v>100</v>
      </c>
      <c r="C254" s="351">
        <v>43977</v>
      </c>
      <c r="D254" s="352" t="s">
        <v>93</v>
      </c>
      <c r="E254" s="346" t="s">
        <v>74</v>
      </c>
      <c r="F254" s="346" t="s">
        <v>41</v>
      </c>
      <c r="G254" s="346" t="s">
        <v>43</v>
      </c>
      <c r="H254" s="347" t="s">
        <v>543</v>
      </c>
      <c r="I254" s="347" t="s">
        <v>544</v>
      </c>
      <c r="J254" s="347" t="s">
        <v>46</v>
      </c>
      <c r="K254" s="362"/>
      <c r="M254" s="227"/>
      <c r="N254" s="227"/>
    </row>
    <row r="255" spans="1:14" s="208" customFormat="1" hidden="1">
      <c r="A255" s="219" t="s">
        <v>28</v>
      </c>
      <c r="B255" s="342" t="s">
        <v>100</v>
      </c>
      <c r="C255" s="351">
        <v>43977</v>
      </c>
      <c r="D255" s="352" t="s">
        <v>93</v>
      </c>
      <c r="E255" s="346" t="s">
        <v>74</v>
      </c>
      <c r="F255" s="346" t="s">
        <v>41</v>
      </c>
      <c r="G255" s="346" t="s">
        <v>43</v>
      </c>
      <c r="H255" s="347" t="s">
        <v>69</v>
      </c>
      <c r="I255" s="347" t="s">
        <v>70</v>
      </c>
      <c r="J255" s="347" t="s">
        <v>46</v>
      </c>
      <c r="K255" s="347" t="s">
        <v>545</v>
      </c>
      <c r="M255" s="227"/>
      <c r="N255" s="227"/>
    </row>
    <row r="256" spans="1:14" s="208" customFormat="1" ht="39.6" hidden="1">
      <c r="A256" s="219" t="s">
        <v>28</v>
      </c>
      <c r="B256" s="342" t="s">
        <v>100</v>
      </c>
      <c r="C256" s="351">
        <v>43977</v>
      </c>
      <c r="D256" s="352" t="s">
        <v>93</v>
      </c>
      <c r="E256" s="346" t="s">
        <v>74</v>
      </c>
      <c r="F256" s="346" t="s">
        <v>41</v>
      </c>
      <c r="G256" s="346" t="s">
        <v>43</v>
      </c>
      <c r="H256" s="347" t="s">
        <v>71</v>
      </c>
      <c r="I256" s="350" t="s">
        <v>546</v>
      </c>
      <c r="J256" s="347" t="s">
        <v>46</v>
      </c>
      <c r="K256" s="363" t="s">
        <v>547</v>
      </c>
      <c r="M256" s="227"/>
      <c r="N256" s="227"/>
    </row>
    <row r="257" spans="1:14" s="208" customFormat="1" ht="39.6" hidden="1">
      <c r="A257" s="219" t="s">
        <v>28</v>
      </c>
      <c r="B257" s="342" t="s">
        <v>100</v>
      </c>
      <c r="C257" s="351">
        <v>43977</v>
      </c>
      <c r="D257" s="352" t="s">
        <v>93</v>
      </c>
      <c r="E257" s="346" t="s">
        <v>74</v>
      </c>
      <c r="F257" s="346" t="s">
        <v>41</v>
      </c>
      <c r="G257" s="346" t="s">
        <v>43</v>
      </c>
      <c r="H257" s="347" t="s">
        <v>548</v>
      </c>
      <c r="I257" s="350" t="s">
        <v>549</v>
      </c>
      <c r="J257" s="347" t="s">
        <v>46</v>
      </c>
      <c r="K257" s="361"/>
      <c r="M257" s="227"/>
      <c r="N257" s="227"/>
    </row>
    <row r="258" spans="1:14" s="208" customFormat="1" ht="39.6" hidden="1">
      <c r="A258" s="219" t="s">
        <v>28</v>
      </c>
      <c r="B258" s="342" t="s">
        <v>100</v>
      </c>
      <c r="C258" s="351">
        <v>43977</v>
      </c>
      <c r="D258" s="352" t="s">
        <v>93</v>
      </c>
      <c r="E258" s="346" t="s">
        <v>74</v>
      </c>
      <c r="F258" s="346" t="s">
        <v>41</v>
      </c>
      <c r="G258" s="346" t="s">
        <v>43</v>
      </c>
      <c r="H258" s="347" t="s">
        <v>550</v>
      </c>
      <c r="I258" s="350" t="s">
        <v>551</v>
      </c>
      <c r="J258" s="347" t="s">
        <v>46</v>
      </c>
      <c r="K258" s="361"/>
      <c r="M258" s="227"/>
      <c r="N258" s="227"/>
    </row>
    <row r="259" spans="1:14" s="208" customFormat="1" ht="39.6" hidden="1">
      <c r="A259" s="219" t="s">
        <v>28</v>
      </c>
      <c r="B259" s="342" t="s">
        <v>100</v>
      </c>
      <c r="C259" s="351">
        <v>43977</v>
      </c>
      <c r="D259" s="352" t="s">
        <v>93</v>
      </c>
      <c r="E259" s="346" t="s">
        <v>74</v>
      </c>
      <c r="F259" s="346" t="s">
        <v>41</v>
      </c>
      <c r="G259" s="346" t="s">
        <v>43</v>
      </c>
      <c r="H259" s="347" t="s">
        <v>552</v>
      </c>
      <c r="I259" s="350" t="s">
        <v>553</v>
      </c>
      <c r="J259" s="347" t="s">
        <v>46</v>
      </c>
      <c r="K259" s="362"/>
      <c r="M259" s="227"/>
      <c r="N259" s="227"/>
    </row>
    <row r="260" spans="1:14" s="208" customFormat="1" hidden="1">
      <c r="A260" s="219" t="s">
        <v>28</v>
      </c>
      <c r="B260" s="342" t="s">
        <v>100</v>
      </c>
      <c r="C260" s="351">
        <v>43977</v>
      </c>
      <c r="D260" s="352" t="s">
        <v>93</v>
      </c>
      <c r="E260" s="346" t="s">
        <v>74</v>
      </c>
      <c r="F260" s="346" t="s">
        <v>41</v>
      </c>
      <c r="G260" s="346" t="s">
        <v>43</v>
      </c>
      <c r="H260" s="347" t="s">
        <v>554</v>
      </c>
      <c r="I260" s="347" t="s">
        <v>555</v>
      </c>
      <c r="J260" s="347" t="s">
        <v>46</v>
      </c>
      <c r="K260" s="347" t="s">
        <v>556</v>
      </c>
      <c r="M260" s="227"/>
      <c r="N260" s="227"/>
    </row>
    <row r="261" spans="1:14" s="208" customFormat="1" ht="26.45" hidden="1">
      <c r="A261" s="219" t="s">
        <v>28</v>
      </c>
      <c r="B261" s="342" t="s">
        <v>100</v>
      </c>
      <c r="C261" s="351">
        <v>43977</v>
      </c>
      <c r="D261" s="352" t="s">
        <v>93</v>
      </c>
      <c r="E261" s="346" t="s">
        <v>74</v>
      </c>
      <c r="F261" s="346" t="s">
        <v>41</v>
      </c>
      <c r="G261" s="346" t="s">
        <v>43</v>
      </c>
      <c r="H261" s="347" t="s">
        <v>557</v>
      </c>
      <c r="I261" s="350" t="s">
        <v>558</v>
      </c>
      <c r="J261" s="347" t="s">
        <v>46</v>
      </c>
      <c r="K261" s="363" t="s">
        <v>559</v>
      </c>
      <c r="M261" s="227"/>
      <c r="N261" s="227"/>
    </row>
    <row r="262" spans="1:14" s="208" customFormat="1" ht="26.45" hidden="1">
      <c r="A262" s="219" t="s">
        <v>28</v>
      </c>
      <c r="B262" s="342" t="s">
        <v>100</v>
      </c>
      <c r="C262" s="351">
        <v>43977</v>
      </c>
      <c r="D262" s="352" t="s">
        <v>93</v>
      </c>
      <c r="E262" s="346" t="s">
        <v>74</v>
      </c>
      <c r="F262" s="346" t="s">
        <v>41</v>
      </c>
      <c r="G262" s="346" t="s">
        <v>43</v>
      </c>
      <c r="H262" s="347" t="s">
        <v>560</v>
      </c>
      <c r="I262" s="350" t="s">
        <v>561</v>
      </c>
      <c r="J262" s="347" t="s">
        <v>46</v>
      </c>
      <c r="K262" s="361"/>
      <c r="M262" s="227"/>
      <c r="N262" s="227"/>
    </row>
    <row r="263" spans="1:14" s="208" customFormat="1" ht="26.45" hidden="1">
      <c r="A263" s="219" t="s">
        <v>28</v>
      </c>
      <c r="B263" s="342" t="s">
        <v>100</v>
      </c>
      <c r="C263" s="351">
        <v>43977</v>
      </c>
      <c r="D263" s="352" t="s">
        <v>93</v>
      </c>
      <c r="E263" s="346" t="s">
        <v>74</v>
      </c>
      <c r="F263" s="346" t="s">
        <v>41</v>
      </c>
      <c r="G263" s="346" t="s">
        <v>43</v>
      </c>
      <c r="H263" s="347" t="s">
        <v>562</v>
      </c>
      <c r="I263" s="350" t="s">
        <v>563</v>
      </c>
      <c r="J263" s="347" t="s">
        <v>46</v>
      </c>
      <c r="K263" s="361"/>
      <c r="M263" s="227"/>
      <c r="N263" s="227"/>
    </row>
    <row r="264" spans="1:14" s="208" customFormat="1" ht="26.45" hidden="1">
      <c r="A264" s="219" t="s">
        <v>28</v>
      </c>
      <c r="B264" s="342" t="s">
        <v>100</v>
      </c>
      <c r="C264" s="351">
        <v>43977</v>
      </c>
      <c r="D264" s="352" t="s">
        <v>93</v>
      </c>
      <c r="E264" s="346" t="s">
        <v>74</v>
      </c>
      <c r="F264" s="346" t="s">
        <v>41</v>
      </c>
      <c r="G264" s="346" t="s">
        <v>43</v>
      </c>
      <c r="H264" s="347" t="s">
        <v>564</v>
      </c>
      <c r="I264" s="350" t="s">
        <v>565</v>
      </c>
      <c r="J264" s="347" t="s">
        <v>46</v>
      </c>
      <c r="K264" s="362"/>
      <c r="M264" s="227"/>
      <c r="N264" s="227"/>
    </row>
    <row r="265" spans="1:14" s="208" customFormat="1" hidden="1">
      <c r="A265" s="219" t="s">
        <v>28</v>
      </c>
      <c r="B265" s="342" t="s">
        <v>100</v>
      </c>
      <c r="C265" s="351">
        <v>43977</v>
      </c>
      <c r="D265" s="352" t="s">
        <v>93</v>
      </c>
      <c r="E265" s="346" t="s">
        <v>74</v>
      </c>
      <c r="F265" s="346" t="s">
        <v>41</v>
      </c>
      <c r="G265" s="346" t="s">
        <v>43</v>
      </c>
      <c r="H265" s="347" t="s">
        <v>566</v>
      </c>
      <c r="I265" s="347" t="s">
        <v>567</v>
      </c>
      <c r="J265" s="347" t="s">
        <v>46</v>
      </c>
      <c r="K265" s="347" t="s">
        <v>568</v>
      </c>
      <c r="M265" s="227"/>
      <c r="N265" s="227"/>
    </row>
    <row r="266" spans="1:14" s="208" customFormat="1" hidden="1">
      <c r="A266" s="219" t="s">
        <v>28</v>
      </c>
      <c r="B266" s="342" t="s">
        <v>100</v>
      </c>
      <c r="C266" s="351">
        <v>43977</v>
      </c>
      <c r="D266" s="352" t="s">
        <v>93</v>
      </c>
      <c r="E266" s="346" t="s">
        <v>74</v>
      </c>
      <c r="F266" s="346" t="s">
        <v>41</v>
      </c>
      <c r="G266" s="346" t="s">
        <v>43</v>
      </c>
      <c r="H266" s="347" t="s">
        <v>569</v>
      </c>
      <c r="I266" s="347" t="s">
        <v>70</v>
      </c>
      <c r="J266" s="347" t="s">
        <v>46</v>
      </c>
      <c r="K266" s="347" t="s">
        <v>570</v>
      </c>
      <c r="M266" s="227"/>
      <c r="N266" s="227"/>
    </row>
    <row r="267" spans="1:14" s="208" customFormat="1" hidden="1">
      <c r="A267" s="219" t="s">
        <v>28</v>
      </c>
      <c r="B267" s="342" t="s">
        <v>100</v>
      </c>
      <c r="C267" s="351">
        <v>43977</v>
      </c>
      <c r="D267" s="352" t="s">
        <v>93</v>
      </c>
      <c r="E267" s="346" t="s">
        <v>74</v>
      </c>
      <c r="F267" s="346" t="s">
        <v>41</v>
      </c>
      <c r="G267" s="346" t="s">
        <v>43</v>
      </c>
      <c r="H267" s="347" t="s">
        <v>571</v>
      </c>
      <c r="I267" s="347" t="s">
        <v>572</v>
      </c>
      <c r="J267" s="347" t="s">
        <v>46</v>
      </c>
      <c r="K267" s="347" t="s">
        <v>573</v>
      </c>
      <c r="M267" s="227"/>
      <c r="N267" s="227"/>
    </row>
    <row r="268" spans="1:14" s="208" customFormat="1" hidden="1">
      <c r="A268" s="219" t="s">
        <v>28</v>
      </c>
      <c r="B268" s="342" t="s">
        <v>100</v>
      </c>
      <c r="C268" s="351">
        <v>43977</v>
      </c>
      <c r="D268" s="352" t="s">
        <v>93</v>
      </c>
      <c r="E268" s="346" t="s">
        <v>74</v>
      </c>
      <c r="F268" s="346" t="s">
        <v>41</v>
      </c>
      <c r="G268" s="346" t="s">
        <v>43</v>
      </c>
      <c r="H268" s="347" t="s">
        <v>574</v>
      </c>
      <c r="I268" s="347" t="s">
        <v>575</v>
      </c>
      <c r="J268" s="347" t="s">
        <v>46</v>
      </c>
      <c r="K268" s="347" t="s">
        <v>576</v>
      </c>
      <c r="M268" s="227"/>
      <c r="N268" s="227"/>
    </row>
    <row r="269" spans="1:14" s="208" customFormat="1" hidden="1">
      <c r="A269" s="219" t="s">
        <v>28</v>
      </c>
      <c r="B269" s="342" t="s">
        <v>100</v>
      </c>
      <c r="C269" s="351">
        <v>43977</v>
      </c>
      <c r="D269" s="352" t="s">
        <v>93</v>
      </c>
      <c r="E269" s="346" t="s">
        <v>74</v>
      </c>
      <c r="F269" s="346" t="s">
        <v>41</v>
      </c>
      <c r="G269" s="346" t="s">
        <v>43</v>
      </c>
      <c r="H269" s="347" t="s">
        <v>577</v>
      </c>
      <c r="I269" s="347" t="s">
        <v>578</v>
      </c>
      <c r="J269" s="347" t="s">
        <v>46</v>
      </c>
      <c r="K269" s="347" t="s">
        <v>579</v>
      </c>
      <c r="M269" s="227"/>
      <c r="N269" s="227"/>
    </row>
    <row r="270" spans="1:14" s="208" customFormat="1" hidden="1">
      <c r="A270" s="219" t="s">
        <v>28</v>
      </c>
      <c r="B270" s="342" t="s">
        <v>100</v>
      </c>
      <c r="C270" s="351">
        <v>43977</v>
      </c>
      <c r="D270" s="352" t="s">
        <v>93</v>
      </c>
      <c r="E270" s="346" t="s">
        <v>74</v>
      </c>
      <c r="F270" s="346" t="s">
        <v>41</v>
      </c>
      <c r="G270" s="346" t="s">
        <v>43</v>
      </c>
      <c r="H270" s="347" t="s">
        <v>580</v>
      </c>
      <c r="I270" s="347" t="s">
        <v>581</v>
      </c>
      <c r="J270" s="347" t="s">
        <v>46</v>
      </c>
      <c r="K270" s="347" t="s">
        <v>582</v>
      </c>
      <c r="M270" s="227"/>
      <c r="N270" s="227"/>
    </row>
    <row r="271" spans="1:14" s="208" customFormat="1" hidden="1">
      <c r="A271" s="219" t="s">
        <v>28</v>
      </c>
      <c r="B271" s="342" t="s">
        <v>100</v>
      </c>
      <c r="C271" s="351">
        <v>43977</v>
      </c>
      <c r="D271" s="352" t="s">
        <v>93</v>
      </c>
      <c r="E271" s="346" t="s">
        <v>74</v>
      </c>
      <c r="F271" s="346" t="s">
        <v>41</v>
      </c>
      <c r="G271" s="346" t="s">
        <v>43</v>
      </c>
      <c r="H271" s="347" t="s">
        <v>583</v>
      </c>
      <c r="I271" s="347" t="s">
        <v>584</v>
      </c>
      <c r="J271" s="347" t="s">
        <v>46</v>
      </c>
      <c r="K271" s="347" t="s">
        <v>585</v>
      </c>
      <c r="M271" s="227"/>
      <c r="N271" s="227"/>
    </row>
    <row r="272" spans="1:14" s="208" customFormat="1" hidden="1">
      <c r="A272" s="219" t="s">
        <v>28</v>
      </c>
      <c r="B272" s="342" t="s">
        <v>100</v>
      </c>
      <c r="C272" s="351">
        <v>43977</v>
      </c>
      <c r="D272" s="352" t="s">
        <v>93</v>
      </c>
      <c r="E272" s="346" t="s">
        <v>74</v>
      </c>
      <c r="F272" s="346" t="s">
        <v>41</v>
      </c>
      <c r="G272" s="346" t="s">
        <v>43</v>
      </c>
      <c r="H272" s="347" t="s">
        <v>586</v>
      </c>
      <c r="I272" s="347" t="s">
        <v>587</v>
      </c>
      <c r="J272" s="347" t="s">
        <v>46</v>
      </c>
      <c r="K272" s="347" t="s">
        <v>588</v>
      </c>
      <c r="M272" s="227"/>
      <c r="N272" s="227"/>
    </row>
    <row r="273" spans="1:14" s="208" customFormat="1" hidden="1">
      <c r="A273" s="219" t="s">
        <v>28</v>
      </c>
      <c r="B273" s="342" t="s">
        <v>100</v>
      </c>
      <c r="C273" s="351">
        <v>43977</v>
      </c>
      <c r="D273" s="352" t="s">
        <v>93</v>
      </c>
      <c r="E273" s="346" t="s">
        <v>74</v>
      </c>
      <c r="F273" s="346" t="s">
        <v>41</v>
      </c>
      <c r="G273" s="346" t="s">
        <v>43</v>
      </c>
      <c r="H273" s="347" t="s">
        <v>589</v>
      </c>
      <c r="I273" s="347" t="s">
        <v>590</v>
      </c>
      <c r="J273" s="347" t="s">
        <v>46</v>
      </c>
      <c r="K273" s="347" t="s">
        <v>591</v>
      </c>
      <c r="M273" s="227"/>
      <c r="N273" s="227"/>
    </row>
    <row r="274" spans="1:14" s="208" customFormat="1" hidden="1">
      <c r="A274" s="219" t="s">
        <v>28</v>
      </c>
      <c r="B274" s="342" t="s">
        <v>100</v>
      </c>
      <c r="C274" s="351">
        <v>43977</v>
      </c>
      <c r="D274" s="352" t="s">
        <v>93</v>
      </c>
      <c r="E274" s="346" t="s">
        <v>74</v>
      </c>
      <c r="F274" s="346" t="s">
        <v>41</v>
      </c>
      <c r="G274" s="346" t="s">
        <v>43</v>
      </c>
      <c r="H274" s="347" t="s">
        <v>592</v>
      </c>
      <c r="I274" s="347" t="s">
        <v>593</v>
      </c>
      <c r="J274" s="347" t="s">
        <v>46</v>
      </c>
      <c r="K274" s="347" t="s">
        <v>594</v>
      </c>
      <c r="M274" s="227"/>
      <c r="N274" s="227"/>
    </row>
    <row r="275" spans="1:14" s="208" customFormat="1" hidden="1">
      <c r="A275" s="219" t="s">
        <v>28</v>
      </c>
      <c r="B275" s="342" t="s">
        <v>100</v>
      </c>
      <c r="C275" s="351">
        <v>43977</v>
      </c>
      <c r="D275" s="352" t="s">
        <v>93</v>
      </c>
      <c r="E275" s="346" t="s">
        <v>74</v>
      </c>
      <c r="F275" s="346" t="s">
        <v>41</v>
      </c>
      <c r="G275" s="346" t="s">
        <v>43</v>
      </c>
      <c r="H275" s="347" t="s">
        <v>595</v>
      </c>
      <c r="I275" s="347" t="s">
        <v>596</v>
      </c>
      <c r="J275" s="347" t="s">
        <v>46</v>
      </c>
      <c r="K275" s="347" t="s">
        <v>597</v>
      </c>
      <c r="M275" s="227"/>
      <c r="N275" s="227"/>
    </row>
    <row r="276" spans="1:14" s="208" customFormat="1" hidden="1">
      <c r="A276" s="219" t="s">
        <v>28</v>
      </c>
      <c r="B276" s="342" t="s">
        <v>100</v>
      </c>
      <c r="C276" s="351">
        <v>43977</v>
      </c>
      <c r="D276" s="352" t="s">
        <v>93</v>
      </c>
      <c r="E276" s="346" t="s">
        <v>74</v>
      </c>
      <c r="F276" s="346" t="s">
        <v>41</v>
      </c>
      <c r="G276" s="346" t="s">
        <v>43</v>
      </c>
      <c r="H276" s="347" t="s">
        <v>598</v>
      </c>
      <c r="I276" s="347" t="s">
        <v>599</v>
      </c>
      <c r="J276" s="347" t="s">
        <v>46</v>
      </c>
      <c r="K276" s="347" t="s">
        <v>600</v>
      </c>
      <c r="M276" s="227"/>
      <c r="N276" s="227"/>
    </row>
    <row r="277" spans="1:14" s="208" customFormat="1" hidden="1">
      <c r="A277" s="219" t="s">
        <v>28</v>
      </c>
      <c r="B277" s="342" t="s">
        <v>100</v>
      </c>
      <c r="C277" s="351">
        <v>43977</v>
      </c>
      <c r="D277" s="352" t="s">
        <v>93</v>
      </c>
      <c r="E277" s="346" t="s">
        <v>74</v>
      </c>
      <c r="F277" s="346" t="s">
        <v>41</v>
      </c>
      <c r="G277" s="346" t="s">
        <v>43</v>
      </c>
      <c r="H277" s="347" t="s">
        <v>601</v>
      </c>
      <c r="I277" s="347" t="s">
        <v>602</v>
      </c>
      <c r="J277" s="347" t="s">
        <v>46</v>
      </c>
      <c r="K277" s="347" t="s">
        <v>603</v>
      </c>
      <c r="M277" s="227"/>
      <c r="N277" s="227"/>
    </row>
    <row r="278" spans="1:14" s="208" customFormat="1" ht="79.150000000000006" hidden="1">
      <c r="A278" s="219" t="s">
        <v>28</v>
      </c>
      <c r="B278" s="342" t="s">
        <v>100</v>
      </c>
      <c r="C278" s="351">
        <v>43977</v>
      </c>
      <c r="D278" s="352" t="s">
        <v>93</v>
      </c>
      <c r="E278" s="346" t="s">
        <v>74</v>
      </c>
      <c r="F278" s="346" t="s">
        <v>41</v>
      </c>
      <c r="G278" s="346" t="s">
        <v>43</v>
      </c>
      <c r="H278" s="347" t="s">
        <v>604</v>
      </c>
      <c r="I278" s="350" t="s">
        <v>605</v>
      </c>
      <c r="J278" s="347" t="s">
        <v>46</v>
      </c>
      <c r="K278" s="347" t="s">
        <v>606</v>
      </c>
      <c r="M278" s="227"/>
      <c r="N278" s="227"/>
    </row>
    <row r="279" spans="1:14" s="208" customFormat="1" hidden="1">
      <c r="A279" s="219" t="s">
        <v>28</v>
      </c>
      <c r="B279" s="342" t="s">
        <v>100</v>
      </c>
      <c r="C279" s="351">
        <v>43977</v>
      </c>
      <c r="D279" s="352" t="s">
        <v>93</v>
      </c>
      <c r="E279" s="346" t="s">
        <v>74</v>
      </c>
      <c r="F279" s="346" t="s">
        <v>41</v>
      </c>
      <c r="G279" s="346" t="s">
        <v>43</v>
      </c>
      <c r="H279" s="347" t="s">
        <v>607</v>
      </c>
      <c r="I279" s="347" t="s">
        <v>608</v>
      </c>
      <c r="J279" s="347" t="s">
        <v>46</v>
      </c>
      <c r="K279" s="347" t="s">
        <v>609</v>
      </c>
      <c r="M279" s="227"/>
      <c r="N279" s="227"/>
    </row>
    <row r="280" spans="1:14" s="208" customFormat="1" hidden="1">
      <c r="A280" s="219" t="s">
        <v>28</v>
      </c>
      <c r="B280" s="342" t="s">
        <v>100</v>
      </c>
      <c r="C280" s="351">
        <v>43977</v>
      </c>
      <c r="D280" s="352" t="s">
        <v>93</v>
      </c>
      <c r="E280" s="346" t="s">
        <v>74</v>
      </c>
      <c r="F280" s="346" t="s">
        <v>41</v>
      </c>
      <c r="G280" s="346" t="s">
        <v>43</v>
      </c>
      <c r="H280" s="347" t="s">
        <v>610</v>
      </c>
      <c r="I280" s="347" t="s">
        <v>611</v>
      </c>
      <c r="J280" s="347" t="s">
        <v>46</v>
      </c>
      <c r="K280" s="363" t="s">
        <v>612</v>
      </c>
      <c r="M280" s="227"/>
      <c r="N280" s="227"/>
    </row>
    <row r="281" spans="1:14" s="208" customFormat="1" hidden="1">
      <c r="A281" s="219" t="s">
        <v>28</v>
      </c>
      <c r="B281" s="342" t="s">
        <v>100</v>
      </c>
      <c r="C281" s="351">
        <v>43977</v>
      </c>
      <c r="D281" s="352" t="s">
        <v>93</v>
      </c>
      <c r="E281" s="346" t="s">
        <v>74</v>
      </c>
      <c r="F281" s="346" t="s">
        <v>41</v>
      </c>
      <c r="G281" s="346" t="s">
        <v>43</v>
      </c>
      <c r="H281" s="347" t="s">
        <v>613</v>
      </c>
      <c r="I281" s="347" t="s">
        <v>614</v>
      </c>
      <c r="J281" s="347" t="s">
        <v>46</v>
      </c>
      <c r="K281" s="361"/>
      <c r="M281" s="227"/>
      <c r="N281" s="227"/>
    </row>
    <row r="282" spans="1:14" s="208" customFormat="1" hidden="1">
      <c r="A282" s="219" t="s">
        <v>28</v>
      </c>
      <c r="B282" s="342" t="s">
        <v>100</v>
      </c>
      <c r="C282" s="351">
        <v>43977</v>
      </c>
      <c r="D282" s="352" t="s">
        <v>93</v>
      </c>
      <c r="E282" s="346" t="s">
        <v>74</v>
      </c>
      <c r="F282" s="346" t="s">
        <v>41</v>
      </c>
      <c r="G282" s="346" t="s">
        <v>43</v>
      </c>
      <c r="H282" s="347" t="s">
        <v>615</v>
      </c>
      <c r="I282" s="347" t="s">
        <v>616</v>
      </c>
      <c r="J282" s="347" t="s">
        <v>46</v>
      </c>
      <c r="K282" s="361"/>
      <c r="M282" s="227"/>
      <c r="N282" s="227"/>
    </row>
    <row r="283" spans="1:14" s="208" customFormat="1" hidden="1">
      <c r="A283" s="219" t="s">
        <v>28</v>
      </c>
      <c r="B283" s="342" t="s">
        <v>100</v>
      </c>
      <c r="C283" s="351">
        <v>43977</v>
      </c>
      <c r="D283" s="352" t="s">
        <v>93</v>
      </c>
      <c r="E283" s="346" t="s">
        <v>74</v>
      </c>
      <c r="F283" s="346" t="s">
        <v>41</v>
      </c>
      <c r="G283" s="346" t="s">
        <v>43</v>
      </c>
      <c r="H283" s="347" t="s">
        <v>617</v>
      </c>
      <c r="I283" s="347" t="s">
        <v>618</v>
      </c>
      <c r="J283" s="347" t="s">
        <v>46</v>
      </c>
      <c r="K283" s="361"/>
      <c r="M283" s="227"/>
      <c r="N283" s="227"/>
    </row>
    <row r="284" spans="1:14" s="208" customFormat="1" hidden="1">
      <c r="A284" s="219" t="s">
        <v>28</v>
      </c>
      <c r="B284" s="342" t="s">
        <v>100</v>
      </c>
      <c r="C284" s="351">
        <v>43977</v>
      </c>
      <c r="D284" s="352" t="s">
        <v>93</v>
      </c>
      <c r="E284" s="346" t="s">
        <v>74</v>
      </c>
      <c r="F284" s="346" t="s">
        <v>41</v>
      </c>
      <c r="G284" s="346" t="s">
        <v>43</v>
      </c>
      <c r="H284" s="347" t="s">
        <v>619</v>
      </c>
      <c r="I284" s="347" t="s">
        <v>620</v>
      </c>
      <c r="J284" s="347" t="s">
        <v>46</v>
      </c>
      <c r="K284" s="361"/>
      <c r="M284" s="227"/>
      <c r="N284" s="227"/>
    </row>
    <row r="285" spans="1:14" s="208" customFormat="1" hidden="1">
      <c r="A285" s="219" t="s">
        <v>28</v>
      </c>
      <c r="B285" s="342" t="s">
        <v>100</v>
      </c>
      <c r="C285" s="351">
        <v>43977</v>
      </c>
      <c r="D285" s="352" t="s">
        <v>93</v>
      </c>
      <c r="E285" s="346" t="s">
        <v>74</v>
      </c>
      <c r="F285" s="346" t="s">
        <v>41</v>
      </c>
      <c r="G285" s="346" t="s">
        <v>43</v>
      </c>
      <c r="H285" s="347" t="s">
        <v>621</v>
      </c>
      <c r="I285" s="347" t="s">
        <v>622</v>
      </c>
      <c r="J285" s="347" t="s">
        <v>46</v>
      </c>
      <c r="K285" s="362"/>
      <c r="M285" s="227"/>
      <c r="N285" s="227"/>
    </row>
    <row r="286" spans="1:14" s="208" customFormat="1" hidden="1">
      <c r="A286" s="219" t="s">
        <v>28</v>
      </c>
      <c r="B286" s="342" t="s">
        <v>100</v>
      </c>
      <c r="C286" s="351">
        <v>43977</v>
      </c>
      <c r="D286" s="352" t="s">
        <v>93</v>
      </c>
      <c r="E286" s="346" t="s">
        <v>74</v>
      </c>
      <c r="F286" s="346" t="s">
        <v>41</v>
      </c>
      <c r="G286" s="346" t="s">
        <v>43</v>
      </c>
      <c r="H286" s="347" t="s">
        <v>623</v>
      </c>
      <c r="I286" s="347" t="s">
        <v>624</v>
      </c>
      <c r="J286" s="347" t="s">
        <v>46</v>
      </c>
      <c r="K286" s="363" t="s">
        <v>625</v>
      </c>
      <c r="M286" s="227"/>
      <c r="N286" s="227"/>
    </row>
    <row r="287" spans="1:14" s="208" customFormat="1" hidden="1">
      <c r="A287" s="219" t="s">
        <v>28</v>
      </c>
      <c r="B287" s="342" t="s">
        <v>100</v>
      </c>
      <c r="C287" s="351">
        <v>43977</v>
      </c>
      <c r="D287" s="352" t="s">
        <v>93</v>
      </c>
      <c r="E287" s="346" t="s">
        <v>74</v>
      </c>
      <c r="F287" s="346" t="s">
        <v>41</v>
      </c>
      <c r="G287" s="346" t="s">
        <v>43</v>
      </c>
      <c r="H287" s="347" t="s">
        <v>626</v>
      </c>
      <c r="I287" s="347" t="s">
        <v>627</v>
      </c>
      <c r="J287" s="347" t="s">
        <v>46</v>
      </c>
      <c r="K287" s="361"/>
      <c r="M287" s="227"/>
      <c r="N287" s="227"/>
    </row>
    <row r="288" spans="1:14" s="208" customFormat="1" hidden="1">
      <c r="A288" s="219" t="s">
        <v>28</v>
      </c>
      <c r="B288" s="342" t="s">
        <v>100</v>
      </c>
      <c r="C288" s="351">
        <v>43977</v>
      </c>
      <c r="D288" s="352" t="s">
        <v>93</v>
      </c>
      <c r="E288" s="346" t="s">
        <v>74</v>
      </c>
      <c r="F288" s="346" t="s">
        <v>41</v>
      </c>
      <c r="G288" s="346" t="s">
        <v>43</v>
      </c>
      <c r="H288" s="347" t="s">
        <v>628</v>
      </c>
      <c r="I288" s="347" t="s">
        <v>629</v>
      </c>
      <c r="J288" s="347" t="s">
        <v>46</v>
      </c>
      <c r="K288" s="362"/>
      <c r="M288" s="227"/>
      <c r="N288" s="227"/>
    </row>
    <row r="289" spans="1:14" s="208" customFormat="1" hidden="1">
      <c r="A289" s="219" t="s">
        <v>28</v>
      </c>
      <c r="B289" s="342" t="s">
        <v>100</v>
      </c>
      <c r="C289" s="351">
        <v>43977</v>
      </c>
      <c r="D289" s="352" t="s">
        <v>93</v>
      </c>
      <c r="E289" s="346" t="s">
        <v>74</v>
      </c>
      <c r="F289" s="346" t="s">
        <v>41</v>
      </c>
      <c r="G289" s="346" t="s">
        <v>43</v>
      </c>
      <c r="H289" s="347" t="s">
        <v>630</v>
      </c>
      <c r="I289" s="347" t="s">
        <v>631</v>
      </c>
      <c r="J289" s="347" t="s">
        <v>46</v>
      </c>
      <c r="K289" s="347" t="s">
        <v>632</v>
      </c>
      <c r="M289" s="227"/>
      <c r="N289" s="227"/>
    </row>
    <row r="290" spans="1:14" s="208" customFormat="1" hidden="1">
      <c r="A290" s="219" t="s">
        <v>28</v>
      </c>
      <c r="B290" s="342" t="s">
        <v>100</v>
      </c>
      <c r="C290" s="351">
        <v>43977</v>
      </c>
      <c r="D290" s="352" t="s">
        <v>93</v>
      </c>
      <c r="E290" s="346" t="s">
        <v>74</v>
      </c>
      <c r="F290" s="346" t="s">
        <v>41</v>
      </c>
      <c r="G290" s="346" t="s">
        <v>43</v>
      </c>
      <c r="H290" s="347" t="s">
        <v>633</v>
      </c>
      <c r="I290" s="347" t="s">
        <v>634</v>
      </c>
      <c r="J290" s="347" t="s">
        <v>46</v>
      </c>
      <c r="K290" s="347" t="s">
        <v>635</v>
      </c>
      <c r="M290" s="227"/>
      <c r="N290" s="227"/>
    </row>
    <row r="291" spans="1:14" s="208" customFormat="1" hidden="1">
      <c r="A291" s="219" t="s">
        <v>28</v>
      </c>
      <c r="B291" s="342" t="s">
        <v>100</v>
      </c>
      <c r="C291" s="351">
        <v>43977</v>
      </c>
      <c r="D291" s="352" t="s">
        <v>93</v>
      </c>
      <c r="E291" s="346" t="s">
        <v>74</v>
      </c>
      <c r="F291" s="346" t="s">
        <v>41</v>
      </c>
      <c r="G291" s="346" t="s">
        <v>43</v>
      </c>
      <c r="H291" s="347" t="s">
        <v>636</v>
      </c>
      <c r="I291" s="350" t="s">
        <v>637</v>
      </c>
      <c r="J291" s="347" t="s">
        <v>46</v>
      </c>
      <c r="K291" s="347" t="s">
        <v>638</v>
      </c>
      <c r="M291" s="227"/>
      <c r="N291" s="227"/>
    </row>
    <row r="292" spans="1:14" s="208" customFormat="1" hidden="1">
      <c r="A292" s="219" t="s">
        <v>28</v>
      </c>
      <c r="B292" s="342" t="s">
        <v>100</v>
      </c>
      <c r="C292" s="351">
        <v>43977</v>
      </c>
      <c r="D292" s="352" t="s">
        <v>93</v>
      </c>
      <c r="E292" s="346" t="s">
        <v>74</v>
      </c>
      <c r="F292" s="346" t="s">
        <v>41</v>
      </c>
      <c r="G292" s="346" t="s">
        <v>43</v>
      </c>
      <c r="H292" s="347" t="s">
        <v>639</v>
      </c>
      <c r="I292" s="350" t="s">
        <v>640</v>
      </c>
      <c r="J292" s="347" t="s">
        <v>46</v>
      </c>
      <c r="K292" s="347" t="s">
        <v>641</v>
      </c>
      <c r="M292" s="227"/>
      <c r="N292" s="227"/>
    </row>
    <row r="293" spans="1:14" s="208" customFormat="1" hidden="1">
      <c r="A293" s="219" t="s">
        <v>28</v>
      </c>
      <c r="B293" s="342" t="s">
        <v>100</v>
      </c>
      <c r="C293" s="351">
        <v>43977</v>
      </c>
      <c r="D293" s="352" t="s">
        <v>93</v>
      </c>
      <c r="E293" s="346" t="s">
        <v>74</v>
      </c>
      <c r="F293" s="346" t="s">
        <v>41</v>
      </c>
      <c r="G293" s="346" t="s">
        <v>43</v>
      </c>
      <c r="H293" s="347" t="s">
        <v>642</v>
      </c>
      <c r="I293" s="350" t="s">
        <v>643</v>
      </c>
      <c r="J293" s="347" t="s">
        <v>46</v>
      </c>
      <c r="K293" s="347" t="s">
        <v>644</v>
      </c>
      <c r="M293" s="227"/>
      <c r="N293" s="227"/>
    </row>
    <row r="294" spans="1:14" s="208" customFormat="1" hidden="1">
      <c r="A294" s="219" t="s">
        <v>28</v>
      </c>
      <c r="B294" s="342" t="s">
        <v>100</v>
      </c>
      <c r="C294" s="351">
        <v>43977</v>
      </c>
      <c r="D294" s="352" t="s">
        <v>93</v>
      </c>
      <c r="E294" s="346" t="s">
        <v>74</v>
      </c>
      <c r="F294" s="346" t="s">
        <v>41</v>
      </c>
      <c r="G294" s="346" t="s">
        <v>43</v>
      </c>
      <c r="H294" s="347" t="s">
        <v>645</v>
      </c>
      <c r="I294" s="350" t="s">
        <v>646</v>
      </c>
      <c r="J294" s="347" t="s">
        <v>46</v>
      </c>
      <c r="K294" s="347" t="s">
        <v>647</v>
      </c>
      <c r="M294" s="227"/>
      <c r="N294" s="227"/>
    </row>
    <row r="295" spans="1:14" s="208" customFormat="1" hidden="1">
      <c r="A295" s="219" t="s">
        <v>28</v>
      </c>
      <c r="B295" s="342" t="s">
        <v>100</v>
      </c>
      <c r="C295" s="351">
        <v>43977</v>
      </c>
      <c r="D295" s="352" t="s">
        <v>93</v>
      </c>
      <c r="E295" s="346" t="s">
        <v>74</v>
      </c>
      <c r="F295" s="346" t="s">
        <v>41</v>
      </c>
      <c r="G295" s="346" t="s">
        <v>43</v>
      </c>
      <c r="H295" s="347" t="s">
        <v>648</v>
      </c>
      <c r="I295" s="350" t="s">
        <v>649</v>
      </c>
      <c r="J295" s="347" t="s">
        <v>46</v>
      </c>
      <c r="K295" s="347" t="s">
        <v>650</v>
      </c>
      <c r="M295" s="227"/>
      <c r="N295" s="227"/>
    </row>
    <row r="296" spans="1:14" s="208" customFormat="1" hidden="1">
      <c r="A296" s="219" t="s">
        <v>28</v>
      </c>
      <c r="B296" s="342" t="s">
        <v>100</v>
      </c>
      <c r="C296" s="351">
        <v>43977</v>
      </c>
      <c r="D296" s="352" t="s">
        <v>93</v>
      </c>
      <c r="E296" s="346" t="s">
        <v>74</v>
      </c>
      <c r="F296" s="346" t="s">
        <v>41</v>
      </c>
      <c r="G296" s="346" t="s">
        <v>43</v>
      </c>
      <c r="H296" s="347" t="s">
        <v>651</v>
      </c>
      <c r="I296" s="350" t="s">
        <v>652</v>
      </c>
      <c r="J296" s="347" t="s">
        <v>46</v>
      </c>
      <c r="K296" s="347" t="s">
        <v>653</v>
      </c>
      <c r="M296" s="227"/>
      <c r="N296" s="227"/>
    </row>
    <row r="297" spans="1:14" s="208" customFormat="1" hidden="1">
      <c r="A297" s="219" t="s">
        <v>28</v>
      </c>
      <c r="B297" s="342" t="s">
        <v>100</v>
      </c>
      <c r="C297" s="351">
        <v>43977</v>
      </c>
      <c r="D297" s="352" t="s">
        <v>93</v>
      </c>
      <c r="E297" s="346" t="s">
        <v>74</v>
      </c>
      <c r="F297" s="346" t="s">
        <v>41</v>
      </c>
      <c r="G297" s="346" t="s">
        <v>43</v>
      </c>
      <c r="H297" s="347" t="s">
        <v>654</v>
      </c>
      <c r="I297" s="347" t="s">
        <v>655</v>
      </c>
      <c r="J297" s="347" t="s">
        <v>46</v>
      </c>
      <c r="K297" s="347" t="s">
        <v>656</v>
      </c>
      <c r="M297" s="227"/>
      <c r="N297" s="227"/>
    </row>
    <row r="298" spans="1:14" s="208" customFormat="1" ht="26.45" hidden="1">
      <c r="A298" s="219" t="s">
        <v>28</v>
      </c>
      <c r="B298" s="342" t="s">
        <v>100</v>
      </c>
      <c r="C298" s="351">
        <v>43977</v>
      </c>
      <c r="D298" s="352" t="s">
        <v>93</v>
      </c>
      <c r="E298" s="346" t="s">
        <v>74</v>
      </c>
      <c r="F298" s="346" t="s">
        <v>41</v>
      </c>
      <c r="G298" s="346" t="s">
        <v>43</v>
      </c>
      <c r="H298" s="347" t="s">
        <v>657</v>
      </c>
      <c r="I298" s="354" t="s">
        <v>658</v>
      </c>
      <c r="J298" s="347" t="s">
        <v>46</v>
      </c>
      <c r="K298" s="347" t="s">
        <v>659</v>
      </c>
      <c r="M298" s="227"/>
      <c r="N298" s="227"/>
    </row>
    <row r="299" spans="1:14" s="208" customFormat="1" hidden="1">
      <c r="A299" s="219" t="s">
        <v>28</v>
      </c>
      <c r="B299" s="342" t="s">
        <v>100</v>
      </c>
      <c r="C299" s="351">
        <v>43977</v>
      </c>
      <c r="D299" s="352" t="s">
        <v>93</v>
      </c>
      <c r="E299" s="346" t="s">
        <v>74</v>
      </c>
      <c r="F299" s="346" t="s">
        <v>41</v>
      </c>
      <c r="G299" s="346" t="s">
        <v>43</v>
      </c>
      <c r="H299" s="347" t="s">
        <v>660</v>
      </c>
      <c r="I299" s="347" t="s">
        <v>661</v>
      </c>
      <c r="J299" s="347" t="s">
        <v>46</v>
      </c>
      <c r="K299" s="363" t="s">
        <v>662</v>
      </c>
      <c r="M299" s="227"/>
      <c r="N299" s="227"/>
    </row>
    <row r="300" spans="1:14" s="208" customFormat="1" hidden="1">
      <c r="A300" s="219" t="s">
        <v>28</v>
      </c>
      <c r="B300" s="342" t="s">
        <v>100</v>
      </c>
      <c r="C300" s="351">
        <v>43977</v>
      </c>
      <c r="D300" s="352" t="s">
        <v>93</v>
      </c>
      <c r="E300" s="346" t="s">
        <v>74</v>
      </c>
      <c r="F300" s="346" t="s">
        <v>41</v>
      </c>
      <c r="G300" s="346" t="s">
        <v>43</v>
      </c>
      <c r="H300" s="347" t="s">
        <v>663</v>
      </c>
      <c r="I300" s="347" t="s">
        <v>664</v>
      </c>
      <c r="J300" s="347" t="s">
        <v>46</v>
      </c>
      <c r="K300" s="361"/>
      <c r="M300" s="227"/>
      <c r="N300" s="227"/>
    </row>
    <row r="301" spans="1:14" s="208" customFormat="1" hidden="1">
      <c r="A301" s="219" t="s">
        <v>28</v>
      </c>
      <c r="B301" s="342" t="s">
        <v>100</v>
      </c>
      <c r="C301" s="351">
        <v>43977</v>
      </c>
      <c r="D301" s="352" t="s">
        <v>93</v>
      </c>
      <c r="E301" s="346" t="s">
        <v>74</v>
      </c>
      <c r="F301" s="346" t="s">
        <v>41</v>
      </c>
      <c r="G301" s="346" t="s">
        <v>43</v>
      </c>
      <c r="H301" s="347" t="s">
        <v>665</v>
      </c>
      <c r="I301" s="347" t="s">
        <v>666</v>
      </c>
      <c r="J301" s="347" t="s">
        <v>46</v>
      </c>
      <c r="K301" s="362"/>
      <c r="M301" s="227"/>
      <c r="N301" s="227"/>
    </row>
    <row r="302" spans="1:14" s="208" customFormat="1" hidden="1">
      <c r="A302" s="219" t="s">
        <v>28</v>
      </c>
      <c r="B302" s="342" t="s">
        <v>100</v>
      </c>
      <c r="C302" s="351">
        <v>43977</v>
      </c>
      <c r="D302" s="352" t="s">
        <v>93</v>
      </c>
      <c r="E302" s="346" t="s">
        <v>74</v>
      </c>
      <c r="F302" s="346" t="s">
        <v>41</v>
      </c>
      <c r="G302" s="346" t="s">
        <v>43</v>
      </c>
      <c r="H302" s="347" t="s">
        <v>667</v>
      </c>
      <c r="I302" s="347" t="s">
        <v>668</v>
      </c>
      <c r="J302" s="347" t="s">
        <v>46</v>
      </c>
      <c r="K302" s="347" t="s">
        <v>669</v>
      </c>
      <c r="M302" s="227"/>
      <c r="N302" s="227"/>
    </row>
    <row r="303" spans="1:14" s="208" customFormat="1" ht="26.45" hidden="1">
      <c r="A303" s="219" t="s">
        <v>28</v>
      </c>
      <c r="B303" s="342" t="s">
        <v>100</v>
      </c>
      <c r="C303" s="351">
        <v>43977</v>
      </c>
      <c r="D303" s="352" t="s">
        <v>93</v>
      </c>
      <c r="E303" s="346" t="s">
        <v>74</v>
      </c>
      <c r="F303" s="346" t="s">
        <v>41</v>
      </c>
      <c r="G303" s="346" t="s">
        <v>43</v>
      </c>
      <c r="H303" s="347" t="s">
        <v>670</v>
      </c>
      <c r="I303" s="354" t="s">
        <v>671</v>
      </c>
      <c r="J303" s="347" t="s">
        <v>46</v>
      </c>
      <c r="K303" s="347" t="s">
        <v>672</v>
      </c>
      <c r="M303" s="227"/>
      <c r="N303" s="227"/>
    </row>
    <row r="304" spans="1:14" s="208" customFormat="1" hidden="1">
      <c r="A304" s="219" t="s">
        <v>28</v>
      </c>
      <c r="B304" s="342" t="s">
        <v>100</v>
      </c>
      <c r="C304" s="351">
        <v>43977</v>
      </c>
      <c r="D304" s="352" t="s">
        <v>93</v>
      </c>
      <c r="E304" s="346" t="s">
        <v>74</v>
      </c>
      <c r="F304" s="346" t="s">
        <v>41</v>
      </c>
      <c r="G304" s="346" t="s">
        <v>43</v>
      </c>
      <c r="H304" s="347" t="s">
        <v>673</v>
      </c>
      <c r="I304" s="347" t="s">
        <v>674</v>
      </c>
      <c r="J304" s="347" t="s">
        <v>46</v>
      </c>
      <c r="K304" s="363" t="s">
        <v>662</v>
      </c>
      <c r="M304" s="227"/>
      <c r="N304" s="227"/>
    </row>
    <row r="305" spans="1:14" s="208" customFormat="1" hidden="1">
      <c r="A305" s="219" t="s">
        <v>28</v>
      </c>
      <c r="B305" s="342" t="s">
        <v>100</v>
      </c>
      <c r="C305" s="351">
        <v>43977</v>
      </c>
      <c r="D305" s="352" t="s">
        <v>93</v>
      </c>
      <c r="E305" s="346" t="s">
        <v>74</v>
      </c>
      <c r="F305" s="346" t="s">
        <v>41</v>
      </c>
      <c r="G305" s="346" t="s">
        <v>43</v>
      </c>
      <c r="H305" s="347" t="s">
        <v>675</v>
      </c>
      <c r="I305" s="347" t="s">
        <v>676</v>
      </c>
      <c r="J305" s="347" t="s">
        <v>46</v>
      </c>
      <c r="K305" s="361"/>
      <c r="M305" s="227"/>
      <c r="N305" s="227"/>
    </row>
    <row r="306" spans="1:14" s="208" customFormat="1" hidden="1">
      <c r="A306" s="219" t="s">
        <v>28</v>
      </c>
      <c r="B306" s="342" t="s">
        <v>100</v>
      </c>
      <c r="C306" s="351">
        <v>43977</v>
      </c>
      <c r="D306" s="352" t="s">
        <v>93</v>
      </c>
      <c r="E306" s="346" t="s">
        <v>74</v>
      </c>
      <c r="F306" s="346" t="s">
        <v>41</v>
      </c>
      <c r="G306" s="346" t="s">
        <v>43</v>
      </c>
      <c r="H306" s="347" t="s">
        <v>677</v>
      </c>
      <c r="I306" s="347" t="s">
        <v>678</v>
      </c>
      <c r="J306" s="347" t="s">
        <v>46</v>
      </c>
      <c r="K306" s="362"/>
      <c r="M306" s="227"/>
      <c r="N306" s="227"/>
    </row>
    <row r="307" spans="1:14" s="208" customFormat="1" hidden="1">
      <c r="A307" s="219" t="s">
        <v>28</v>
      </c>
      <c r="B307" s="342" t="s">
        <v>100</v>
      </c>
      <c r="C307" s="351">
        <v>43977</v>
      </c>
      <c r="D307" s="352" t="s">
        <v>93</v>
      </c>
      <c r="E307" s="346" t="s">
        <v>74</v>
      </c>
      <c r="F307" s="346" t="s">
        <v>41</v>
      </c>
      <c r="G307" s="346" t="s">
        <v>43</v>
      </c>
      <c r="H307" s="347" t="s">
        <v>679</v>
      </c>
      <c r="I307" s="350" t="s">
        <v>631</v>
      </c>
      <c r="J307" s="347" t="s">
        <v>46</v>
      </c>
      <c r="K307" s="347" t="s">
        <v>632</v>
      </c>
      <c r="M307" s="227"/>
      <c r="N307" s="227"/>
    </row>
    <row r="308" spans="1:14" s="208" customFormat="1" hidden="1">
      <c r="A308" s="219" t="s">
        <v>28</v>
      </c>
      <c r="B308" s="342" t="s">
        <v>100</v>
      </c>
      <c r="C308" s="351">
        <v>43977</v>
      </c>
      <c r="D308" s="352" t="s">
        <v>93</v>
      </c>
      <c r="E308" s="346" t="s">
        <v>74</v>
      </c>
      <c r="F308" s="346" t="s">
        <v>41</v>
      </c>
      <c r="G308" s="346" t="s">
        <v>43</v>
      </c>
      <c r="H308" s="347" t="s">
        <v>680</v>
      </c>
      <c r="I308" s="347" t="s">
        <v>655</v>
      </c>
      <c r="J308" s="347" t="s">
        <v>46</v>
      </c>
      <c r="K308" s="347" t="s">
        <v>681</v>
      </c>
      <c r="M308" s="227"/>
      <c r="N308" s="227"/>
    </row>
    <row r="309" spans="1:14" s="208" customFormat="1" hidden="1">
      <c r="A309" s="219" t="s">
        <v>28</v>
      </c>
      <c r="B309" s="342" t="s">
        <v>100</v>
      </c>
      <c r="C309" s="351">
        <v>43977</v>
      </c>
      <c r="D309" s="352" t="s">
        <v>93</v>
      </c>
      <c r="E309" s="346" t="s">
        <v>74</v>
      </c>
      <c r="F309" s="346" t="s">
        <v>41</v>
      </c>
      <c r="G309" s="346" t="s">
        <v>43</v>
      </c>
      <c r="H309" s="347" t="s">
        <v>682</v>
      </c>
      <c r="I309" s="347" t="s">
        <v>668</v>
      </c>
      <c r="J309" s="347" t="s">
        <v>46</v>
      </c>
      <c r="K309" s="347" t="s">
        <v>683</v>
      </c>
      <c r="M309" s="227"/>
      <c r="N309" s="227"/>
    </row>
    <row r="310" spans="1:14" s="208" customFormat="1" ht="26.45" hidden="1">
      <c r="A310" s="219" t="s">
        <v>28</v>
      </c>
      <c r="B310" s="342" t="s">
        <v>100</v>
      </c>
      <c r="C310" s="351">
        <v>43977</v>
      </c>
      <c r="D310" s="352" t="s">
        <v>93</v>
      </c>
      <c r="E310" s="346" t="s">
        <v>74</v>
      </c>
      <c r="F310" s="346" t="s">
        <v>41</v>
      </c>
      <c r="G310" s="346" t="s">
        <v>43</v>
      </c>
      <c r="H310" s="347" t="s">
        <v>684</v>
      </c>
      <c r="I310" s="347" t="s">
        <v>685</v>
      </c>
      <c r="J310" s="347" t="s">
        <v>46</v>
      </c>
      <c r="K310" s="347" t="s">
        <v>686</v>
      </c>
      <c r="M310" s="227"/>
      <c r="N310" s="227"/>
    </row>
    <row r="311" spans="1:14" s="208" customFormat="1" ht="39.6" hidden="1">
      <c r="A311" s="219" t="s">
        <v>28</v>
      </c>
      <c r="B311" s="342" t="s">
        <v>100</v>
      </c>
      <c r="C311" s="351">
        <v>43977</v>
      </c>
      <c r="D311" s="352" t="s">
        <v>93</v>
      </c>
      <c r="E311" s="346" t="s">
        <v>74</v>
      </c>
      <c r="F311" s="346" t="s">
        <v>41</v>
      </c>
      <c r="G311" s="346" t="s">
        <v>43</v>
      </c>
      <c r="H311" s="347" t="s">
        <v>687</v>
      </c>
      <c r="I311" s="347" t="s">
        <v>688</v>
      </c>
      <c r="J311" s="347" t="s">
        <v>46</v>
      </c>
      <c r="K311" s="347" t="s">
        <v>689</v>
      </c>
      <c r="M311" s="227"/>
      <c r="N311" s="227"/>
    </row>
    <row r="312" spans="1:14" s="208" customFormat="1" ht="66" hidden="1">
      <c r="A312" s="219" t="s">
        <v>28</v>
      </c>
      <c r="B312" s="342" t="s">
        <v>100</v>
      </c>
      <c r="C312" s="351">
        <v>43977</v>
      </c>
      <c r="D312" s="352" t="s">
        <v>93</v>
      </c>
      <c r="E312" s="346" t="s">
        <v>74</v>
      </c>
      <c r="F312" s="346" t="s">
        <v>41</v>
      </c>
      <c r="G312" s="346" t="s">
        <v>43</v>
      </c>
      <c r="H312" s="347" t="s">
        <v>690</v>
      </c>
      <c r="I312" s="347" t="s">
        <v>691</v>
      </c>
      <c r="J312" s="347" t="s">
        <v>46</v>
      </c>
      <c r="K312" s="347" t="s">
        <v>692</v>
      </c>
      <c r="M312" s="227"/>
      <c r="N312" s="227"/>
    </row>
    <row r="313" spans="1:14" s="208" customFormat="1" ht="79.150000000000006" hidden="1">
      <c r="A313" s="219" t="s">
        <v>28</v>
      </c>
      <c r="B313" s="342" t="s">
        <v>100</v>
      </c>
      <c r="C313" s="351">
        <v>43977</v>
      </c>
      <c r="D313" s="352" t="s">
        <v>93</v>
      </c>
      <c r="E313" s="346" t="s">
        <v>74</v>
      </c>
      <c r="F313" s="346" t="s">
        <v>41</v>
      </c>
      <c r="G313" s="346" t="s">
        <v>43</v>
      </c>
      <c r="H313" s="347" t="s">
        <v>693</v>
      </c>
      <c r="I313" s="350" t="s">
        <v>694</v>
      </c>
      <c r="J313" s="347" t="s">
        <v>46</v>
      </c>
      <c r="K313" s="347" t="s">
        <v>695</v>
      </c>
      <c r="M313" s="227"/>
      <c r="N313" s="227"/>
    </row>
    <row r="314" spans="1:14" s="208" customFormat="1" ht="79.150000000000006" hidden="1">
      <c r="A314" s="219" t="s">
        <v>28</v>
      </c>
      <c r="B314" s="342" t="s">
        <v>100</v>
      </c>
      <c r="C314" s="351">
        <v>43977</v>
      </c>
      <c r="D314" s="352" t="s">
        <v>93</v>
      </c>
      <c r="E314" s="346" t="s">
        <v>74</v>
      </c>
      <c r="F314" s="346" t="s">
        <v>41</v>
      </c>
      <c r="G314" s="346" t="s">
        <v>43</v>
      </c>
      <c r="H314" s="347" t="s">
        <v>696</v>
      </c>
      <c r="I314" s="350" t="s">
        <v>697</v>
      </c>
      <c r="J314" s="347" t="s">
        <v>46</v>
      </c>
      <c r="K314" s="347" t="s">
        <v>698</v>
      </c>
      <c r="M314" s="227"/>
      <c r="N314" s="227"/>
    </row>
    <row r="315" spans="1:14" s="208" customFormat="1" hidden="1">
      <c r="A315" s="219" t="s">
        <v>28</v>
      </c>
      <c r="B315" s="342" t="s">
        <v>100</v>
      </c>
      <c r="C315" s="351">
        <v>43977</v>
      </c>
      <c r="D315" s="352" t="s">
        <v>93</v>
      </c>
      <c r="E315" s="346" t="s">
        <v>74</v>
      </c>
      <c r="F315" s="346" t="s">
        <v>41</v>
      </c>
      <c r="G315" s="346" t="s">
        <v>101</v>
      </c>
      <c r="H315" s="350" t="s">
        <v>699</v>
      </c>
      <c r="I315" s="350" t="s">
        <v>700</v>
      </c>
      <c r="J315" s="347"/>
      <c r="K315" s="363" t="s">
        <v>701</v>
      </c>
      <c r="M315" s="227"/>
      <c r="N315" s="227"/>
    </row>
    <row r="316" spans="1:14" s="208" customFormat="1" hidden="1">
      <c r="A316" s="219" t="s">
        <v>28</v>
      </c>
      <c r="B316" s="342" t="s">
        <v>100</v>
      </c>
      <c r="C316" s="351">
        <v>43977</v>
      </c>
      <c r="D316" s="352" t="s">
        <v>93</v>
      </c>
      <c r="E316" s="346" t="s">
        <v>74</v>
      </c>
      <c r="F316" s="346" t="s">
        <v>41</v>
      </c>
      <c r="G316" s="346" t="s">
        <v>101</v>
      </c>
      <c r="H316" s="347" t="s">
        <v>548</v>
      </c>
      <c r="I316" s="350" t="s">
        <v>702</v>
      </c>
      <c r="J316" s="347" t="s">
        <v>46</v>
      </c>
      <c r="K316" s="361"/>
      <c r="M316" s="227"/>
      <c r="N316" s="227"/>
    </row>
    <row r="317" spans="1:14" s="208" customFormat="1" hidden="1">
      <c r="A317" s="219" t="s">
        <v>28</v>
      </c>
      <c r="B317" s="342" t="s">
        <v>100</v>
      </c>
      <c r="C317" s="351">
        <v>43977</v>
      </c>
      <c r="D317" s="352" t="s">
        <v>93</v>
      </c>
      <c r="E317" s="346" t="s">
        <v>74</v>
      </c>
      <c r="F317" s="346" t="s">
        <v>41</v>
      </c>
      <c r="G317" s="346" t="s">
        <v>101</v>
      </c>
      <c r="H317" s="347" t="s">
        <v>703</v>
      </c>
      <c r="I317" s="350" t="s">
        <v>704</v>
      </c>
      <c r="J317" s="347" t="s">
        <v>46</v>
      </c>
      <c r="K317" s="361"/>
      <c r="M317" s="227"/>
      <c r="N317" s="227"/>
    </row>
    <row r="318" spans="1:14" s="208" customFormat="1" ht="11.25" hidden="1" customHeight="1">
      <c r="A318" s="219" t="s">
        <v>28</v>
      </c>
      <c r="B318" s="342" t="s">
        <v>100</v>
      </c>
      <c r="C318" s="351">
        <v>43977</v>
      </c>
      <c r="D318" s="352" t="s">
        <v>93</v>
      </c>
      <c r="E318" s="346" t="s">
        <v>74</v>
      </c>
      <c r="F318" s="346" t="s">
        <v>41</v>
      </c>
      <c r="G318" s="346" t="s">
        <v>101</v>
      </c>
      <c r="H318" s="347" t="s">
        <v>705</v>
      </c>
      <c r="I318" s="350" t="s">
        <v>706</v>
      </c>
      <c r="J318" s="347" t="s">
        <v>46</v>
      </c>
      <c r="K318" s="361"/>
      <c r="M318" s="227"/>
      <c r="N318" s="227"/>
    </row>
    <row r="319" spans="1:14" s="208" customFormat="1" hidden="1">
      <c r="A319" s="219" t="s">
        <v>28</v>
      </c>
      <c r="B319" s="342" t="s">
        <v>100</v>
      </c>
      <c r="C319" s="351">
        <v>43977</v>
      </c>
      <c r="D319" s="352" t="s">
        <v>93</v>
      </c>
      <c r="E319" s="346" t="s">
        <v>74</v>
      </c>
      <c r="F319" s="346" t="s">
        <v>41</v>
      </c>
      <c r="G319" s="346" t="s">
        <v>101</v>
      </c>
      <c r="H319" s="347" t="s">
        <v>707</v>
      </c>
      <c r="I319" s="350" t="s">
        <v>708</v>
      </c>
      <c r="J319" s="347" t="s">
        <v>46</v>
      </c>
      <c r="K319" s="362"/>
      <c r="M319" s="227"/>
      <c r="N319" s="227"/>
    </row>
    <row r="320" spans="1:14" ht="26.45" hidden="1">
      <c r="A320" s="219" t="s">
        <v>28</v>
      </c>
      <c r="B320" s="342" t="s">
        <v>100</v>
      </c>
      <c r="C320" s="351">
        <v>43977</v>
      </c>
      <c r="D320" s="352" t="s">
        <v>93</v>
      </c>
      <c r="E320" s="346" t="s">
        <v>74</v>
      </c>
      <c r="F320" s="346" t="s">
        <v>41</v>
      </c>
      <c r="G320" s="346" t="s">
        <v>101</v>
      </c>
      <c r="H320" s="347" t="s">
        <v>709</v>
      </c>
      <c r="I320" s="350" t="s">
        <v>710</v>
      </c>
      <c r="J320" s="347" t="s">
        <v>711</v>
      </c>
      <c r="K320" s="347" t="s">
        <v>712</v>
      </c>
    </row>
    <row r="321" spans="1:11" ht="26.45" hidden="1">
      <c r="A321" s="219" t="s">
        <v>28</v>
      </c>
      <c r="B321" s="342" t="s">
        <v>100</v>
      </c>
      <c r="C321" s="351">
        <v>43977</v>
      </c>
      <c r="D321" s="352" t="s">
        <v>93</v>
      </c>
      <c r="E321" s="346" t="s">
        <v>74</v>
      </c>
      <c r="F321" s="346" t="s">
        <v>41</v>
      </c>
      <c r="G321" s="346" t="s">
        <v>101</v>
      </c>
      <c r="H321" s="347" t="s">
        <v>713</v>
      </c>
      <c r="I321" s="350" t="s">
        <v>714</v>
      </c>
      <c r="J321" s="347" t="s">
        <v>46</v>
      </c>
      <c r="K321" s="347" t="s">
        <v>715</v>
      </c>
    </row>
    <row r="322" spans="1:11" hidden="1">
      <c r="A322" s="219" t="s">
        <v>28</v>
      </c>
      <c r="B322" s="342" t="s">
        <v>100</v>
      </c>
      <c r="C322" s="351">
        <v>43977</v>
      </c>
      <c r="D322" s="352" t="s">
        <v>93</v>
      </c>
      <c r="E322" s="346" t="s">
        <v>74</v>
      </c>
      <c r="F322" s="346" t="s">
        <v>41</v>
      </c>
      <c r="G322" s="346" t="s">
        <v>101</v>
      </c>
      <c r="H322" s="347" t="s">
        <v>716</v>
      </c>
      <c r="I322" s="350" t="s">
        <v>717</v>
      </c>
      <c r="J322" s="347" t="s">
        <v>46</v>
      </c>
      <c r="K322" s="363" t="s">
        <v>718</v>
      </c>
    </row>
    <row r="323" spans="1:11" hidden="1">
      <c r="A323" s="219" t="s">
        <v>28</v>
      </c>
      <c r="B323" s="342" t="s">
        <v>100</v>
      </c>
      <c r="C323" s="351">
        <v>43977</v>
      </c>
      <c r="D323" s="352" t="s">
        <v>93</v>
      </c>
      <c r="E323" s="346" t="s">
        <v>74</v>
      </c>
      <c r="F323" s="346" t="s">
        <v>41</v>
      </c>
      <c r="G323" s="346" t="s">
        <v>101</v>
      </c>
      <c r="H323" s="347" t="s">
        <v>719</v>
      </c>
      <c r="I323" s="350" t="s">
        <v>720</v>
      </c>
      <c r="J323" s="347" t="s">
        <v>46</v>
      </c>
      <c r="K323" s="361"/>
    </row>
    <row r="324" spans="1:11" hidden="1">
      <c r="A324" s="219" t="s">
        <v>28</v>
      </c>
      <c r="B324" s="342" t="s">
        <v>100</v>
      </c>
      <c r="C324" s="351">
        <v>43977</v>
      </c>
      <c r="D324" s="352" t="s">
        <v>93</v>
      </c>
      <c r="E324" s="346" t="s">
        <v>74</v>
      </c>
      <c r="F324" s="346" t="s">
        <v>41</v>
      </c>
      <c r="G324" s="346" t="s">
        <v>101</v>
      </c>
      <c r="H324" s="347" t="s">
        <v>721</v>
      </c>
      <c r="I324" s="350" t="s">
        <v>722</v>
      </c>
      <c r="J324" s="347" t="s">
        <v>46</v>
      </c>
      <c r="K324" s="361"/>
    </row>
    <row r="325" spans="1:11" hidden="1">
      <c r="A325" s="219" t="s">
        <v>28</v>
      </c>
      <c r="B325" s="342" t="s">
        <v>100</v>
      </c>
      <c r="C325" s="351">
        <v>43977</v>
      </c>
      <c r="D325" s="352" t="s">
        <v>93</v>
      </c>
      <c r="E325" s="346" t="s">
        <v>74</v>
      </c>
      <c r="F325" s="346" t="s">
        <v>41</v>
      </c>
      <c r="G325" s="346" t="s">
        <v>101</v>
      </c>
      <c r="H325" s="347" t="s">
        <v>723</v>
      </c>
      <c r="I325" s="350" t="s">
        <v>724</v>
      </c>
      <c r="J325" s="347" t="s">
        <v>46</v>
      </c>
      <c r="K325" s="362"/>
    </row>
    <row r="326" spans="1:11" hidden="1">
      <c r="A326" s="219" t="s">
        <v>28</v>
      </c>
      <c r="B326" s="342" t="s">
        <v>100</v>
      </c>
      <c r="C326" s="351">
        <v>43977</v>
      </c>
      <c r="D326" s="352" t="s">
        <v>93</v>
      </c>
      <c r="E326" s="346" t="s">
        <v>74</v>
      </c>
      <c r="F326" s="346" t="s">
        <v>41</v>
      </c>
      <c r="G326" s="346" t="s">
        <v>101</v>
      </c>
      <c r="H326" s="347" t="s">
        <v>725</v>
      </c>
      <c r="I326" s="350" t="s">
        <v>706</v>
      </c>
      <c r="J326" s="347" t="s">
        <v>46</v>
      </c>
      <c r="K326" s="363" t="s">
        <v>726</v>
      </c>
    </row>
    <row r="327" spans="1:11" hidden="1">
      <c r="A327" s="219" t="s">
        <v>28</v>
      </c>
      <c r="B327" s="342" t="s">
        <v>100</v>
      </c>
      <c r="C327" s="351">
        <v>43977</v>
      </c>
      <c r="D327" s="352" t="s">
        <v>93</v>
      </c>
      <c r="E327" s="346" t="s">
        <v>74</v>
      </c>
      <c r="F327" s="346" t="s">
        <v>41</v>
      </c>
      <c r="G327" s="346" t="s">
        <v>101</v>
      </c>
      <c r="H327" s="347" t="s">
        <v>727</v>
      </c>
      <c r="I327" s="350">
        <v>8</v>
      </c>
      <c r="J327" s="347" t="s">
        <v>46</v>
      </c>
      <c r="K327" s="361"/>
    </row>
    <row r="328" spans="1:11" hidden="1">
      <c r="A328" s="219" t="s">
        <v>28</v>
      </c>
      <c r="B328" s="342" t="s">
        <v>100</v>
      </c>
      <c r="C328" s="351">
        <v>43977</v>
      </c>
      <c r="D328" s="352" t="s">
        <v>93</v>
      </c>
      <c r="E328" s="346" t="s">
        <v>74</v>
      </c>
      <c r="F328" s="346" t="s">
        <v>41</v>
      </c>
      <c r="G328" s="346" t="s">
        <v>101</v>
      </c>
      <c r="H328" s="347" t="s">
        <v>728</v>
      </c>
      <c r="I328" s="350">
        <v>8</v>
      </c>
      <c r="J328" s="347" t="s">
        <v>46</v>
      </c>
      <c r="K328" s="361"/>
    </row>
    <row r="329" spans="1:11" hidden="1">
      <c r="A329" s="219" t="s">
        <v>28</v>
      </c>
      <c r="B329" s="342" t="s">
        <v>100</v>
      </c>
      <c r="C329" s="351">
        <v>43977</v>
      </c>
      <c r="D329" s="352" t="s">
        <v>93</v>
      </c>
      <c r="E329" s="346" t="s">
        <v>74</v>
      </c>
      <c r="F329" s="346" t="s">
        <v>41</v>
      </c>
      <c r="G329" s="346" t="s">
        <v>101</v>
      </c>
      <c r="H329" s="347" t="s">
        <v>729</v>
      </c>
      <c r="I329" s="350">
        <v>8</v>
      </c>
      <c r="J329" s="347" t="s">
        <v>46</v>
      </c>
      <c r="K329" s="361"/>
    </row>
    <row r="330" spans="1:11" hidden="1">
      <c r="A330" s="219" t="s">
        <v>28</v>
      </c>
      <c r="B330" s="342" t="s">
        <v>100</v>
      </c>
      <c r="C330" s="351">
        <v>43977</v>
      </c>
      <c r="D330" s="352" t="s">
        <v>93</v>
      </c>
      <c r="E330" s="346" t="s">
        <v>74</v>
      </c>
      <c r="F330" s="346" t="s">
        <v>41</v>
      </c>
      <c r="G330" s="346" t="s">
        <v>101</v>
      </c>
      <c r="H330" s="347" t="s">
        <v>730</v>
      </c>
      <c r="I330" s="350">
        <v>8</v>
      </c>
      <c r="J330" s="347" t="s">
        <v>46</v>
      </c>
      <c r="K330" s="362"/>
    </row>
    <row r="331" spans="1:11" hidden="1">
      <c r="A331" s="219" t="s">
        <v>28</v>
      </c>
      <c r="B331" s="342" t="s">
        <v>100</v>
      </c>
      <c r="C331" s="351">
        <v>43977</v>
      </c>
      <c r="D331" s="352" t="s">
        <v>93</v>
      </c>
      <c r="E331" s="346" t="s">
        <v>74</v>
      </c>
      <c r="F331" s="346" t="s">
        <v>41</v>
      </c>
      <c r="G331" s="346" t="s">
        <v>101</v>
      </c>
      <c r="H331" s="347" t="s">
        <v>731</v>
      </c>
      <c r="I331" s="350" t="s">
        <v>708</v>
      </c>
      <c r="J331" s="347" t="s">
        <v>46</v>
      </c>
      <c r="K331" s="363" t="s">
        <v>732</v>
      </c>
    </row>
    <row r="332" spans="1:11" hidden="1">
      <c r="A332" s="219" t="s">
        <v>28</v>
      </c>
      <c r="B332" s="342" t="s">
        <v>100</v>
      </c>
      <c r="C332" s="351">
        <v>43977</v>
      </c>
      <c r="D332" s="352" t="s">
        <v>93</v>
      </c>
      <c r="E332" s="346" t="s">
        <v>74</v>
      </c>
      <c r="F332" s="346" t="s">
        <v>41</v>
      </c>
      <c r="G332" s="346" t="s">
        <v>101</v>
      </c>
      <c r="H332" s="347" t="s">
        <v>733</v>
      </c>
      <c r="I332" s="350">
        <v>9</v>
      </c>
      <c r="J332" s="347" t="s">
        <v>46</v>
      </c>
      <c r="K332" s="361"/>
    </row>
    <row r="333" spans="1:11" hidden="1">
      <c r="A333" s="219" t="s">
        <v>28</v>
      </c>
      <c r="B333" s="342" t="s">
        <v>100</v>
      </c>
      <c r="C333" s="351">
        <v>43977</v>
      </c>
      <c r="D333" s="352" t="s">
        <v>93</v>
      </c>
      <c r="E333" s="346" t="s">
        <v>74</v>
      </c>
      <c r="F333" s="346" t="s">
        <v>41</v>
      </c>
      <c r="G333" s="346" t="s">
        <v>101</v>
      </c>
      <c r="H333" s="347" t="s">
        <v>734</v>
      </c>
      <c r="I333" s="350">
        <v>9</v>
      </c>
      <c r="J333" s="347" t="s">
        <v>46</v>
      </c>
      <c r="K333" s="361"/>
    </row>
    <row r="334" spans="1:11" hidden="1">
      <c r="A334" s="219" t="s">
        <v>28</v>
      </c>
      <c r="B334" s="342" t="s">
        <v>100</v>
      </c>
      <c r="C334" s="351">
        <v>43977</v>
      </c>
      <c r="D334" s="352" t="s">
        <v>93</v>
      </c>
      <c r="E334" s="346" t="s">
        <v>74</v>
      </c>
      <c r="F334" s="346" t="s">
        <v>41</v>
      </c>
      <c r="G334" s="346" t="s">
        <v>101</v>
      </c>
      <c r="H334" s="347" t="s">
        <v>735</v>
      </c>
      <c r="I334" s="350">
        <v>9</v>
      </c>
      <c r="J334" s="347" t="s">
        <v>46</v>
      </c>
      <c r="K334" s="361"/>
    </row>
    <row r="335" spans="1:11" hidden="1">
      <c r="A335" s="219" t="s">
        <v>28</v>
      </c>
      <c r="B335" s="342" t="s">
        <v>100</v>
      </c>
      <c r="C335" s="351">
        <v>43977</v>
      </c>
      <c r="D335" s="352" t="s">
        <v>93</v>
      </c>
      <c r="E335" s="346" t="s">
        <v>74</v>
      </c>
      <c r="F335" s="346" t="s">
        <v>41</v>
      </c>
      <c r="G335" s="346" t="s">
        <v>101</v>
      </c>
      <c r="H335" s="347" t="s">
        <v>736</v>
      </c>
      <c r="I335" s="350">
        <v>9</v>
      </c>
      <c r="J335" s="347" t="s">
        <v>46</v>
      </c>
      <c r="K335" s="362"/>
    </row>
    <row r="336" spans="1:11" hidden="1">
      <c r="A336" s="219" t="s">
        <v>28</v>
      </c>
      <c r="B336" s="342" t="s">
        <v>100</v>
      </c>
      <c r="C336" s="351">
        <v>43977</v>
      </c>
      <c r="D336" s="352" t="s">
        <v>93</v>
      </c>
      <c r="E336" s="346" t="s">
        <v>74</v>
      </c>
      <c r="F336" s="346" t="s">
        <v>41</v>
      </c>
      <c r="G336" s="346" t="s">
        <v>101</v>
      </c>
      <c r="H336" s="347" t="s">
        <v>737</v>
      </c>
      <c r="I336" s="350" t="s">
        <v>738</v>
      </c>
      <c r="J336" s="347" t="s">
        <v>46</v>
      </c>
      <c r="K336" s="363" t="s">
        <v>739</v>
      </c>
    </row>
    <row r="337" spans="1:11" hidden="1">
      <c r="A337" s="219" t="s">
        <v>28</v>
      </c>
      <c r="B337" s="342" t="s">
        <v>100</v>
      </c>
      <c r="C337" s="351">
        <v>43977</v>
      </c>
      <c r="D337" s="352" t="s">
        <v>93</v>
      </c>
      <c r="E337" s="346" t="s">
        <v>74</v>
      </c>
      <c r="F337" s="346" t="s">
        <v>41</v>
      </c>
      <c r="G337" s="346" t="s">
        <v>101</v>
      </c>
      <c r="H337" s="347" t="s">
        <v>740</v>
      </c>
      <c r="I337" s="350" t="s">
        <v>741</v>
      </c>
      <c r="J337" s="347" t="s">
        <v>46</v>
      </c>
      <c r="K337" s="362"/>
    </row>
    <row r="338" spans="1:11" hidden="1">
      <c r="A338" s="219" t="s">
        <v>28</v>
      </c>
      <c r="B338" s="342" t="s">
        <v>100</v>
      </c>
      <c r="C338" s="351">
        <v>43977</v>
      </c>
      <c r="D338" s="352" t="s">
        <v>93</v>
      </c>
      <c r="E338" s="346" t="s">
        <v>74</v>
      </c>
      <c r="F338" s="346" t="s">
        <v>41</v>
      </c>
      <c r="G338" s="346" t="s">
        <v>101</v>
      </c>
      <c r="H338" s="347" t="s">
        <v>742</v>
      </c>
      <c r="I338" s="350" t="s">
        <v>743</v>
      </c>
      <c r="J338" s="347" t="s">
        <v>46</v>
      </c>
      <c r="K338" s="363" t="s">
        <v>744</v>
      </c>
    </row>
    <row r="339" spans="1:11" hidden="1">
      <c r="A339" s="219" t="s">
        <v>28</v>
      </c>
      <c r="B339" s="342" t="s">
        <v>100</v>
      </c>
      <c r="C339" s="351">
        <v>43977</v>
      </c>
      <c r="D339" s="352" t="s">
        <v>93</v>
      </c>
      <c r="E339" s="346" t="s">
        <v>74</v>
      </c>
      <c r="F339" s="346" t="s">
        <v>41</v>
      </c>
      <c r="G339" s="346" t="s">
        <v>101</v>
      </c>
      <c r="H339" s="347" t="s">
        <v>745</v>
      </c>
      <c r="I339" s="350" t="s">
        <v>746</v>
      </c>
      <c r="J339" s="347" t="s">
        <v>46</v>
      </c>
      <c r="K339" s="362"/>
    </row>
    <row r="340" spans="1:11" hidden="1">
      <c r="A340" s="219" t="s">
        <v>28</v>
      </c>
      <c r="B340" s="342" t="s">
        <v>100</v>
      </c>
      <c r="C340" s="351">
        <v>43977</v>
      </c>
      <c r="D340" s="352" t="s">
        <v>93</v>
      </c>
      <c r="E340" s="346" t="s">
        <v>74</v>
      </c>
      <c r="F340" s="346" t="s">
        <v>41</v>
      </c>
      <c r="G340" s="346" t="s">
        <v>101</v>
      </c>
      <c r="H340" s="347" t="s">
        <v>747</v>
      </c>
      <c r="I340" s="350" t="s">
        <v>748</v>
      </c>
      <c r="J340" s="347" t="s">
        <v>46</v>
      </c>
      <c r="K340" s="363" t="s">
        <v>749</v>
      </c>
    </row>
    <row r="341" spans="1:11" hidden="1">
      <c r="A341" s="219" t="s">
        <v>28</v>
      </c>
      <c r="B341" s="342" t="s">
        <v>100</v>
      </c>
      <c r="C341" s="351">
        <v>43977</v>
      </c>
      <c r="D341" s="352" t="s">
        <v>93</v>
      </c>
      <c r="E341" s="346" t="s">
        <v>74</v>
      </c>
      <c r="F341" s="346" t="s">
        <v>41</v>
      </c>
      <c r="G341" s="346" t="s">
        <v>101</v>
      </c>
      <c r="H341" s="347" t="s">
        <v>750</v>
      </c>
      <c r="I341" s="350" t="s">
        <v>751</v>
      </c>
      <c r="J341" s="347" t="s">
        <v>46</v>
      </c>
      <c r="K341" s="362"/>
    </row>
    <row r="342" spans="1:11" hidden="1">
      <c r="A342" s="219" t="s">
        <v>28</v>
      </c>
      <c r="B342" s="342" t="s">
        <v>100</v>
      </c>
      <c r="C342" s="351">
        <v>43977</v>
      </c>
      <c r="D342" s="352" t="s">
        <v>93</v>
      </c>
      <c r="E342" s="346" t="s">
        <v>74</v>
      </c>
      <c r="F342" s="346" t="s">
        <v>41</v>
      </c>
      <c r="G342" s="346" t="s">
        <v>101</v>
      </c>
      <c r="H342" s="347" t="s">
        <v>752</v>
      </c>
      <c r="I342" s="350" t="s">
        <v>753</v>
      </c>
      <c r="J342" s="347" t="s">
        <v>46</v>
      </c>
      <c r="K342" s="363" t="s">
        <v>754</v>
      </c>
    </row>
    <row r="343" spans="1:11" hidden="1">
      <c r="A343" s="219" t="s">
        <v>28</v>
      </c>
      <c r="B343" s="342" t="s">
        <v>100</v>
      </c>
      <c r="C343" s="351">
        <v>43977</v>
      </c>
      <c r="D343" s="352" t="s">
        <v>93</v>
      </c>
      <c r="E343" s="346" t="s">
        <v>74</v>
      </c>
      <c r="F343" s="346" t="s">
        <v>41</v>
      </c>
      <c r="G343" s="346" t="s">
        <v>101</v>
      </c>
      <c r="H343" s="347" t="s">
        <v>755</v>
      </c>
      <c r="I343" s="350" t="s">
        <v>756</v>
      </c>
      <c r="J343" s="347" t="s">
        <v>46</v>
      </c>
      <c r="K343" s="362"/>
    </row>
    <row r="344" spans="1:11" ht="26.45" hidden="1">
      <c r="A344" s="219" t="s">
        <v>28</v>
      </c>
      <c r="B344" s="342" t="s">
        <v>100</v>
      </c>
      <c r="C344" s="351">
        <v>43977</v>
      </c>
      <c r="D344" s="352" t="s">
        <v>93</v>
      </c>
      <c r="E344" s="346" t="s">
        <v>74</v>
      </c>
      <c r="F344" s="346" t="s">
        <v>41</v>
      </c>
      <c r="G344" s="346" t="s">
        <v>101</v>
      </c>
      <c r="H344" s="347" t="s">
        <v>757</v>
      </c>
      <c r="I344" s="350" t="s">
        <v>758</v>
      </c>
      <c r="J344" s="347" t="s">
        <v>46</v>
      </c>
      <c r="K344" s="347" t="s">
        <v>715</v>
      </c>
    </row>
    <row r="345" spans="1:11" hidden="1">
      <c r="A345" s="219" t="s">
        <v>28</v>
      </c>
      <c r="B345" s="342" t="s">
        <v>100</v>
      </c>
      <c r="C345" s="351">
        <v>43977</v>
      </c>
      <c r="D345" s="352" t="s">
        <v>93</v>
      </c>
      <c r="E345" s="346" t="s">
        <v>74</v>
      </c>
      <c r="F345" s="346" t="s">
        <v>41</v>
      </c>
      <c r="G345" s="346" t="s">
        <v>101</v>
      </c>
      <c r="H345" s="347" t="s">
        <v>759</v>
      </c>
      <c r="I345" s="350" t="s">
        <v>760</v>
      </c>
      <c r="J345" s="347" t="s">
        <v>46</v>
      </c>
      <c r="K345" s="363" t="s">
        <v>718</v>
      </c>
    </row>
    <row r="346" spans="1:11" hidden="1">
      <c r="A346" s="219" t="s">
        <v>28</v>
      </c>
      <c r="B346" s="342" t="s">
        <v>100</v>
      </c>
      <c r="C346" s="351">
        <v>43977</v>
      </c>
      <c r="D346" s="352" t="s">
        <v>93</v>
      </c>
      <c r="E346" s="346" t="s">
        <v>74</v>
      </c>
      <c r="F346" s="346" t="s">
        <v>41</v>
      </c>
      <c r="G346" s="346" t="s">
        <v>101</v>
      </c>
      <c r="H346" s="347" t="s">
        <v>761</v>
      </c>
      <c r="I346" s="350" t="s">
        <v>762</v>
      </c>
      <c r="J346" s="347" t="s">
        <v>46</v>
      </c>
      <c r="K346" s="361"/>
    </row>
    <row r="347" spans="1:11" hidden="1">
      <c r="A347" s="219" t="s">
        <v>28</v>
      </c>
      <c r="B347" s="342" t="s">
        <v>100</v>
      </c>
      <c r="C347" s="351">
        <v>43977</v>
      </c>
      <c r="D347" s="352" t="s">
        <v>93</v>
      </c>
      <c r="E347" s="346" t="s">
        <v>74</v>
      </c>
      <c r="F347" s="346" t="s">
        <v>41</v>
      </c>
      <c r="G347" s="346" t="s">
        <v>101</v>
      </c>
      <c r="H347" s="347" t="s">
        <v>763</v>
      </c>
      <c r="I347" s="350" t="s">
        <v>764</v>
      </c>
      <c r="J347" s="347" t="s">
        <v>46</v>
      </c>
      <c r="K347" s="361"/>
    </row>
    <row r="348" spans="1:11" hidden="1">
      <c r="A348" s="219" t="s">
        <v>28</v>
      </c>
      <c r="B348" s="342" t="s">
        <v>100</v>
      </c>
      <c r="C348" s="351">
        <v>43977</v>
      </c>
      <c r="D348" s="352" t="s">
        <v>93</v>
      </c>
      <c r="E348" s="346" t="s">
        <v>74</v>
      </c>
      <c r="F348" s="346" t="s">
        <v>41</v>
      </c>
      <c r="G348" s="346" t="s">
        <v>101</v>
      </c>
      <c r="H348" s="347" t="s">
        <v>765</v>
      </c>
      <c r="I348" s="350" t="s">
        <v>766</v>
      </c>
      <c r="J348" s="347" t="s">
        <v>46</v>
      </c>
      <c r="K348" s="362"/>
    </row>
    <row r="349" spans="1:11" hidden="1">
      <c r="A349" s="219" t="s">
        <v>28</v>
      </c>
      <c r="B349" s="342" t="s">
        <v>100</v>
      </c>
      <c r="C349" s="351">
        <v>43977</v>
      </c>
      <c r="D349" s="352" t="s">
        <v>93</v>
      </c>
      <c r="E349" s="346" t="s">
        <v>74</v>
      </c>
      <c r="F349" s="346" t="s">
        <v>41</v>
      </c>
      <c r="G349" s="346" t="s">
        <v>101</v>
      </c>
      <c r="H349" s="347" t="s">
        <v>767</v>
      </c>
      <c r="I349" s="350" t="s">
        <v>706</v>
      </c>
      <c r="J349" s="347" t="s">
        <v>46</v>
      </c>
      <c r="K349" s="363" t="s">
        <v>726</v>
      </c>
    </row>
    <row r="350" spans="1:11" hidden="1">
      <c r="A350" s="219" t="s">
        <v>28</v>
      </c>
      <c r="B350" s="342" t="s">
        <v>100</v>
      </c>
      <c r="C350" s="351">
        <v>43977</v>
      </c>
      <c r="D350" s="352" t="s">
        <v>93</v>
      </c>
      <c r="E350" s="346" t="s">
        <v>74</v>
      </c>
      <c r="F350" s="346" t="s">
        <v>41</v>
      </c>
      <c r="G350" s="346" t="s">
        <v>101</v>
      </c>
      <c r="H350" s="347" t="s">
        <v>768</v>
      </c>
      <c r="I350" s="350">
        <v>3.5</v>
      </c>
      <c r="J350" s="347" t="s">
        <v>46</v>
      </c>
      <c r="K350" s="361"/>
    </row>
    <row r="351" spans="1:11" hidden="1">
      <c r="A351" s="219" t="s">
        <v>28</v>
      </c>
      <c r="B351" s="342" t="s">
        <v>100</v>
      </c>
      <c r="C351" s="351">
        <v>43977</v>
      </c>
      <c r="D351" s="352" t="s">
        <v>93</v>
      </c>
      <c r="E351" s="346" t="s">
        <v>74</v>
      </c>
      <c r="F351" s="346" t="s">
        <v>41</v>
      </c>
      <c r="G351" s="346" t="s">
        <v>101</v>
      </c>
      <c r="H351" s="347" t="s">
        <v>769</v>
      </c>
      <c r="I351" s="350">
        <v>3.5</v>
      </c>
      <c r="J351" s="347" t="s">
        <v>46</v>
      </c>
      <c r="K351" s="361"/>
    </row>
    <row r="352" spans="1:11" hidden="1">
      <c r="A352" s="219" t="s">
        <v>28</v>
      </c>
      <c r="B352" s="342" t="s">
        <v>100</v>
      </c>
      <c r="C352" s="351">
        <v>43977</v>
      </c>
      <c r="D352" s="352" t="s">
        <v>93</v>
      </c>
      <c r="E352" s="346" t="s">
        <v>74</v>
      </c>
      <c r="F352" s="346" t="s">
        <v>41</v>
      </c>
      <c r="G352" s="346" t="s">
        <v>101</v>
      </c>
      <c r="H352" s="347" t="s">
        <v>770</v>
      </c>
      <c r="I352" s="350">
        <v>3.5</v>
      </c>
      <c r="J352" s="347" t="s">
        <v>46</v>
      </c>
      <c r="K352" s="361"/>
    </row>
    <row r="353" spans="1:11" hidden="1">
      <c r="A353" s="219" t="s">
        <v>28</v>
      </c>
      <c r="B353" s="342" t="s">
        <v>100</v>
      </c>
      <c r="C353" s="351">
        <v>43977</v>
      </c>
      <c r="D353" s="352" t="s">
        <v>93</v>
      </c>
      <c r="E353" s="346" t="s">
        <v>74</v>
      </c>
      <c r="F353" s="346" t="s">
        <v>41</v>
      </c>
      <c r="G353" s="346" t="s">
        <v>101</v>
      </c>
      <c r="H353" s="347" t="s">
        <v>771</v>
      </c>
      <c r="I353" s="350">
        <v>3.5</v>
      </c>
      <c r="J353" s="347" t="s">
        <v>46</v>
      </c>
      <c r="K353" s="362"/>
    </row>
    <row r="354" spans="1:11" hidden="1">
      <c r="A354" s="219" t="s">
        <v>28</v>
      </c>
      <c r="B354" s="342" t="s">
        <v>100</v>
      </c>
      <c r="C354" s="351">
        <v>43977</v>
      </c>
      <c r="D354" s="352" t="s">
        <v>93</v>
      </c>
      <c r="E354" s="346" t="s">
        <v>74</v>
      </c>
      <c r="F354" s="346" t="s">
        <v>41</v>
      </c>
      <c r="G354" s="346" t="s">
        <v>101</v>
      </c>
      <c r="H354" s="347" t="s">
        <v>772</v>
      </c>
      <c r="I354" s="350" t="s">
        <v>708</v>
      </c>
      <c r="J354" s="347" t="s">
        <v>46</v>
      </c>
      <c r="K354" s="363" t="s">
        <v>732</v>
      </c>
    </row>
    <row r="355" spans="1:11" hidden="1">
      <c r="A355" s="219" t="s">
        <v>28</v>
      </c>
      <c r="B355" s="342" t="s">
        <v>100</v>
      </c>
      <c r="C355" s="351">
        <v>43977</v>
      </c>
      <c r="D355" s="352" t="s">
        <v>93</v>
      </c>
      <c r="E355" s="346" t="s">
        <v>74</v>
      </c>
      <c r="F355" s="346" t="s">
        <v>41</v>
      </c>
      <c r="G355" s="346" t="s">
        <v>101</v>
      </c>
      <c r="H355" s="347" t="s">
        <v>773</v>
      </c>
      <c r="I355" s="350">
        <v>3.5</v>
      </c>
      <c r="J355" s="347" t="s">
        <v>46</v>
      </c>
      <c r="K355" s="361"/>
    </row>
    <row r="356" spans="1:11" hidden="1">
      <c r="A356" s="219" t="s">
        <v>28</v>
      </c>
      <c r="B356" s="342" t="s">
        <v>100</v>
      </c>
      <c r="C356" s="351">
        <v>43977</v>
      </c>
      <c r="D356" s="352" t="s">
        <v>93</v>
      </c>
      <c r="E356" s="346" t="s">
        <v>74</v>
      </c>
      <c r="F356" s="346" t="s">
        <v>41</v>
      </c>
      <c r="G356" s="346" t="s">
        <v>101</v>
      </c>
      <c r="H356" s="347" t="s">
        <v>774</v>
      </c>
      <c r="I356" s="350">
        <v>3.5</v>
      </c>
      <c r="J356" s="347" t="s">
        <v>46</v>
      </c>
      <c r="K356" s="361"/>
    </row>
    <row r="357" spans="1:11" hidden="1">
      <c r="A357" s="219" t="s">
        <v>28</v>
      </c>
      <c r="B357" s="342" t="s">
        <v>100</v>
      </c>
      <c r="C357" s="351">
        <v>43977</v>
      </c>
      <c r="D357" s="352" t="s">
        <v>93</v>
      </c>
      <c r="E357" s="346" t="s">
        <v>74</v>
      </c>
      <c r="F357" s="346" t="s">
        <v>41</v>
      </c>
      <c r="G357" s="346" t="s">
        <v>101</v>
      </c>
      <c r="H357" s="347" t="s">
        <v>775</v>
      </c>
      <c r="I357" s="350">
        <v>3.5</v>
      </c>
      <c r="J357" s="347" t="s">
        <v>46</v>
      </c>
      <c r="K357" s="361"/>
    </row>
    <row r="358" spans="1:11" hidden="1">
      <c r="A358" s="219" t="s">
        <v>28</v>
      </c>
      <c r="B358" s="342" t="s">
        <v>100</v>
      </c>
      <c r="C358" s="351">
        <v>43977</v>
      </c>
      <c r="D358" s="352" t="s">
        <v>93</v>
      </c>
      <c r="E358" s="346" t="s">
        <v>74</v>
      </c>
      <c r="F358" s="346" t="s">
        <v>41</v>
      </c>
      <c r="G358" s="346" t="s">
        <v>101</v>
      </c>
      <c r="H358" s="347" t="s">
        <v>776</v>
      </c>
      <c r="I358" s="350">
        <v>3.5</v>
      </c>
      <c r="J358" s="347" t="s">
        <v>46</v>
      </c>
      <c r="K358" s="362"/>
    </row>
    <row r="359" spans="1:11" hidden="1">
      <c r="A359" s="219" t="s">
        <v>28</v>
      </c>
      <c r="B359" s="342" t="s">
        <v>100</v>
      </c>
      <c r="C359" s="351">
        <v>43977</v>
      </c>
      <c r="D359" s="352" t="s">
        <v>93</v>
      </c>
      <c r="E359" s="346" t="s">
        <v>74</v>
      </c>
      <c r="F359" s="346" t="s">
        <v>41</v>
      </c>
      <c r="G359" s="346" t="s">
        <v>101</v>
      </c>
      <c r="H359" s="347" t="s">
        <v>777</v>
      </c>
      <c r="I359" s="350" t="s">
        <v>738</v>
      </c>
      <c r="J359" s="347" t="s">
        <v>46</v>
      </c>
      <c r="K359" s="363" t="s">
        <v>739</v>
      </c>
    </row>
    <row r="360" spans="1:11" hidden="1">
      <c r="A360" s="219" t="s">
        <v>28</v>
      </c>
      <c r="B360" s="342" t="s">
        <v>100</v>
      </c>
      <c r="C360" s="351">
        <v>43977</v>
      </c>
      <c r="D360" s="352" t="s">
        <v>93</v>
      </c>
      <c r="E360" s="346" t="s">
        <v>74</v>
      </c>
      <c r="F360" s="346" t="s">
        <v>41</v>
      </c>
      <c r="G360" s="346" t="s">
        <v>101</v>
      </c>
      <c r="H360" s="347" t="s">
        <v>778</v>
      </c>
      <c r="I360" s="350" t="s">
        <v>779</v>
      </c>
      <c r="J360" s="347" t="s">
        <v>46</v>
      </c>
      <c r="K360" s="362"/>
    </row>
    <row r="361" spans="1:11" hidden="1">
      <c r="A361" s="219" t="s">
        <v>28</v>
      </c>
      <c r="B361" s="342" t="s">
        <v>100</v>
      </c>
      <c r="C361" s="351">
        <v>43977</v>
      </c>
      <c r="D361" s="352" t="s">
        <v>93</v>
      </c>
      <c r="E361" s="346" t="s">
        <v>74</v>
      </c>
      <c r="F361" s="346" t="s">
        <v>41</v>
      </c>
      <c r="G361" s="346" t="s">
        <v>101</v>
      </c>
      <c r="H361" s="347" t="s">
        <v>780</v>
      </c>
      <c r="I361" s="350" t="s">
        <v>743</v>
      </c>
      <c r="J361" s="347" t="s">
        <v>46</v>
      </c>
      <c r="K361" s="363" t="s">
        <v>744</v>
      </c>
    </row>
    <row r="362" spans="1:11" hidden="1">
      <c r="A362" s="219" t="s">
        <v>28</v>
      </c>
      <c r="B362" s="342" t="s">
        <v>100</v>
      </c>
      <c r="C362" s="351">
        <v>43977</v>
      </c>
      <c r="D362" s="352" t="s">
        <v>93</v>
      </c>
      <c r="E362" s="346" t="s">
        <v>74</v>
      </c>
      <c r="F362" s="346" t="s">
        <v>41</v>
      </c>
      <c r="G362" s="346" t="s">
        <v>101</v>
      </c>
      <c r="H362" s="347" t="s">
        <v>781</v>
      </c>
      <c r="I362" s="350" t="s">
        <v>782</v>
      </c>
      <c r="J362" s="347" t="s">
        <v>46</v>
      </c>
      <c r="K362" s="362"/>
    </row>
    <row r="363" spans="1:11" hidden="1">
      <c r="A363" s="219" t="s">
        <v>28</v>
      </c>
      <c r="B363" s="342" t="s">
        <v>100</v>
      </c>
      <c r="C363" s="351">
        <v>43977</v>
      </c>
      <c r="D363" s="352" t="s">
        <v>93</v>
      </c>
      <c r="E363" s="346" t="s">
        <v>74</v>
      </c>
      <c r="F363" s="346" t="s">
        <v>41</v>
      </c>
      <c r="G363" s="346" t="s">
        <v>101</v>
      </c>
      <c r="H363" s="347" t="s">
        <v>783</v>
      </c>
      <c r="I363" s="350" t="s">
        <v>748</v>
      </c>
      <c r="J363" s="347" t="s">
        <v>46</v>
      </c>
      <c r="K363" s="363" t="s">
        <v>749</v>
      </c>
    </row>
    <row r="364" spans="1:11" hidden="1">
      <c r="A364" s="219" t="s">
        <v>28</v>
      </c>
      <c r="B364" s="342" t="s">
        <v>100</v>
      </c>
      <c r="C364" s="351">
        <v>43977</v>
      </c>
      <c r="D364" s="352" t="s">
        <v>93</v>
      </c>
      <c r="E364" s="346" t="s">
        <v>74</v>
      </c>
      <c r="F364" s="346" t="s">
        <v>41</v>
      </c>
      <c r="G364" s="346" t="s">
        <v>101</v>
      </c>
      <c r="H364" s="347" t="s">
        <v>784</v>
      </c>
      <c r="I364" s="350" t="s">
        <v>785</v>
      </c>
      <c r="J364" s="347" t="s">
        <v>46</v>
      </c>
      <c r="K364" s="362"/>
    </row>
    <row r="365" spans="1:11" hidden="1">
      <c r="A365" s="219" t="s">
        <v>28</v>
      </c>
      <c r="B365" s="342" t="s">
        <v>100</v>
      </c>
      <c r="C365" s="351">
        <v>43977</v>
      </c>
      <c r="D365" s="352" t="s">
        <v>93</v>
      </c>
      <c r="E365" s="346" t="s">
        <v>74</v>
      </c>
      <c r="F365" s="346" t="s">
        <v>41</v>
      </c>
      <c r="G365" s="346" t="s">
        <v>101</v>
      </c>
      <c r="H365" s="347" t="s">
        <v>786</v>
      </c>
      <c r="I365" s="350" t="s">
        <v>753</v>
      </c>
      <c r="J365" s="347" t="s">
        <v>46</v>
      </c>
      <c r="K365" s="363" t="s">
        <v>754</v>
      </c>
    </row>
    <row r="366" spans="1:11" hidden="1">
      <c r="A366" s="219" t="s">
        <v>28</v>
      </c>
      <c r="B366" s="342" t="s">
        <v>100</v>
      </c>
      <c r="C366" s="351">
        <v>43977</v>
      </c>
      <c r="D366" s="352" t="s">
        <v>93</v>
      </c>
      <c r="E366" s="346" t="s">
        <v>74</v>
      </c>
      <c r="F366" s="346" t="s">
        <v>41</v>
      </c>
      <c r="G366" s="346" t="s">
        <v>101</v>
      </c>
      <c r="H366" s="347" t="s">
        <v>787</v>
      </c>
      <c r="I366" s="350" t="s">
        <v>788</v>
      </c>
      <c r="J366" s="347" t="s">
        <v>46</v>
      </c>
      <c r="K366" s="362"/>
    </row>
    <row r="367" spans="1:11" hidden="1">
      <c r="A367" s="219" t="s">
        <v>28</v>
      </c>
      <c r="B367" s="342" t="s">
        <v>100</v>
      </c>
      <c r="C367" s="351">
        <v>43978</v>
      </c>
      <c r="D367" s="352" t="s">
        <v>93</v>
      </c>
      <c r="E367" s="346" t="s">
        <v>74</v>
      </c>
      <c r="F367" s="346" t="s">
        <v>41</v>
      </c>
      <c r="G367" s="346" t="s">
        <v>101</v>
      </c>
      <c r="H367" s="347" t="s">
        <v>789</v>
      </c>
      <c r="I367" s="350" t="s">
        <v>790</v>
      </c>
      <c r="J367" s="347" t="s">
        <v>46</v>
      </c>
      <c r="K367" s="363" t="s">
        <v>791</v>
      </c>
    </row>
    <row r="368" spans="1:11" ht="39.6" hidden="1">
      <c r="A368" s="219" t="s">
        <v>28</v>
      </c>
      <c r="B368" s="342" t="s">
        <v>100</v>
      </c>
      <c r="C368" s="351">
        <v>43978</v>
      </c>
      <c r="D368" s="352" t="s">
        <v>93</v>
      </c>
      <c r="E368" s="346" t="s">
        <v>74</v>
      </c>
      <c r="F368" s="346" t="s">
        <v>41</v>
      </c>
      <c r="G368" s="346" t="s">
        <v>101</v>
      </c>
      <c r="H368" s="347" t="s">
        <v>792</v>
      </c>
      <c r="I368" s="350" t="s">
        <v>793</v>
      </c>
      <c r="J368" s="347" t="s">
        <v>46</v>
      </c>
      <c r="K368" s="361"/>
    </row>
    <row r="369" spans="1:11" ht="26.45" hidden="1">
      <c r="A369" s="219" t="s">
        <v>28</v>
      </c>
      <c r="B369" s="342" t="s">
        <v>100</v>
      </c>
      <c r="C369" s="351">
        <v>43978</v>
      </c>
      <c r="D369" s="352" t="s">
        <v>93</v>
      </c>
      <c r="E369" s="346" t="s">
        <v>74</v>
      </c>
      <c r="F369" s="346" t="s">
        <v>41</v>
      </c>
      <c r="G369" s="346" t="s">
        <v>794</v>
      </c>
      <c r="H369" s="347" t="s">
        <v>795</v>
      </c>
      <c r="I369" s="350" t="s">
        <v>796</v>
      </c>
      <c r="J369" s="347" t="s">
        <v>46</v>
      </c>
      <c r="K369" s="362"/>
    </row>
    <row r="370" spans="1:11" hidden="1">
      <c r="A370" s="219" t="s">
        <v>28</v>
      </c>
      <c r="B370" s="342" t="s">
        <v>100</v>
      </c>
      <c r="C370" s="351">
        <v>43977</v>
      </c>
      <c r="D370" s="352" t="s">
        <v>93</v>
      </c>
      <c r="E370" s="346" t="s">
        <v>74</v>
      </c>
      <c r="F370" s="346" t="s">
        <v>41</v>
      </c>
      <c r="G370" s="346" t="s">
        <v>797</v>
      </c>
      <c r="H370" s="347" t="s">
        <v>798</v>
      </c>
      <c r="I370" s="347"/>
      <c r="J370" s="347" t="s">
        <v>46</v>
      </c>
      <c r="K370" s="347" t="s">
        <v>799</v>
      </c>
    </row>
    <row r="371" spans="1:11" ht="277.14999999999998" hidden="1">
      <c r="A371" s="219" t="s">
        <v>28</v>
      </c>
      <c r="B371" s="342" t="s">
        <v>100</v>
      </c>
      <c r="C371" s="351">
        <v>43977</v>
      </c>
      <c r="D371" s="352" t="s">
        <v>93</v>
      </c>
      <c r="E371" s="346" t="s">
        <v>74</v>
      </c>
      <c r="F371" s="346" t="s">
        <v>41</v>
      </c>
      <c r="G371" s="346" t="s">
        <v>800</v>
      </c>
      <c r="H371" s="347" t="s">
        <v>801</v>
      </c>
      <c r="I371" s="350" t="s">
        <v>802</v>
      </c>
      <c r="J371" s="347" t="s">
        <v>803</v>
      </c>
      <c r="K371" s="363" t="s">
        <v>804</v>
      </c>
    </row>
    <row r="372" spans="1:11" hidden="1">
      <c r="A372" s="219" t="s">
        <v>28</v>
      </c>
      <c r="B372" s="342" t="s">
        <v>100</v>
      </c>
      <c r="C372" s="351">
        <v>43977</v>
      </c>
      <c r="D372" s="352" t="s">
        <v>93</v>
      </c>
      <c r="E372" s="346" t="s">
        <v>74</v>
      </c>
      <c r="F372" s="346" t="s">
        <v>41</v>
      </c>
      <c r="G372" s="346" t="s">
        <v>800</v>
      </c>
      <c r="H372" s="347" t="s">
        <v>805</v>
      </c>
      <c r="I372" s="350" t="s">
        <v>806</v>
      </c>
      <c r="J372" s="347" t="s">
        <v>46</v>
      </c>
      <c r="K372" s="361"/>
    </row>
    <row r="373" spans="1:11" ht="237.6" hidden="1">
      <c r="A373" s="219" t="s">
        <v>28</v>
      </c>
      <c r="B373" s="342" t="s">
        <v>100</v>
      </c>
      <c r="C373" s="351">
        <v>43977</v>
      </c>
      <c r="D373" s="352" t="s">
        <v>93</v>
      </c>
      <c r="E373" s="346" t="s">
        <v>74</v>
      </c>
      <c r="F373" s="346" t="s">
        <v>41</v>
      </c>
      <c r="G373" s="346" t="s">
        <v>800</v>
      </c>
      <c r="H373" s="347" t="s">
        <v>807</v>
      </c>
      <c r="I373" s="350" t="s">
        <v>808</v>
      </c>
      <c r="J373" s="347" t="s">
        <v>46</v>
      </c>
      <c r="K373" s="362"/>
    </row>
    <row r="374" spans="1:11" ht="105.6" hidden="1">
      <c r="A374" s="219" t="s">
        <v>28</v>
      </c>
      <c r="B374" s="342" t="s">
        <v>100</v>
      </c>
      <c r="C374" s="351">
        <v>43986</v>
      </c>
      <c r="D374" s="352" t="s">
        <v>74</v>
      </c>
      <c r="E374" s="346" t="s">
        <v>41</v>
      </c>
      <c r="F374" s="346" t="s">
        <v>41</v>
      </c>
      <c r="G374" s="346" t="s">
        <v>101</v>
      </c>
      <c r="H374" s="347" t="s">
        <v>809</v>
      </c>
      <c r="I374" s="350" t="s">
        <v>810</v>
      </c>
      <c r="J374" s="350" t="s">
        <v>811</v>
      </c>
      <c r="K374" s="330" t="s">
        <v>812</v>
      </c>
    </row>
    <row r="375" spans="1:11" hidden="1">
      <c r="A375" s="219" t="s">
        <v>28</v>
      </c>
      <c r="B375" s="342" t="s">
        <v>100</v>
      </c>
      <c r="C375" s="351">
        <v>43986</v>
      </c>
      <c r="D375" s="352" t="s">
        <v>74</v>
      </c>
      <c r="E375" s="346" t="s">
        <v>41</v>
      </c>
      <c r="F375" s="346" t="s">
        <v>41</v>
      </c>
      <c r="G375" s="346" t="s">
        <v>101</v>
      </c>
      <c r="H375" s="347" t="s">
        <v>813</v>
      </c>
      <c r="I375" s="347" t="s">
        <v>814</v>
      </c>
      <c r="J375" s="347" t="s">
        <v>815</v>
      </c>
      <c r="K375" s="347"/>
    </row>
    <row r="376" spans="1:11" ht="26.45" hidden="1">
      <c r="A376" s="219" t="s">
        <v>28</v>
      </c>
      <c r="B376" s="342" t="s">
        <v>816</v>
      </c>
      <c r="C376" s="351">
        <v>44019</v>
      </c>
      <c r="D376" s="352" t="s">
        <v>93</v>
      </c>
      <c r="E376" s="352" t="s">
        <v>74</v>
      </c>
      <c r="F376" s="346" t="s">
        <v>41</v>
      </c>
      <c r="G376" s="346" t="s">
        <v>43</v>
      </c>
      <c r="H376" s="347" t="s">
        <v>557</v>
      </c>
      <c r="I376" s="350" t="s">
        <v>817</v>
      </c>
      <c r="J376" s="347" t="s">
        <v>818</v>
      </c>
      <c r="K376" s="363" t="s">
        <v>819</v>
      </c>
    </row>
    <row r="377" spans="1:11" ht="26.45" hidden="1">
      <c r="A377" s="219" t="s">
        <v>28</v>
      </c>
      <c r="B377" s="342" t="s">
        <v>816</v>
      </c>
      <c r="C377" s="351">
        <v>44019</v>
      </c>
      <c r="D377" s="352" t="s">
        <v>93</v>
      </c>
      <c r="E377" s="352" t="s">
        <v>74</v>
      </c>
      <c r="F377" s="346" t="s">
        <v>41</v>
      </c>
      <c r="G377" s="346" t="s">
        <v>43</v>
      </c>
      <c r="H377" s="347" t="s">
        <v>560</v>
      </c>
      <c r="I377" s="350" t="s">
        <v>820</v>
      </c>
      <c r="J377" s="347" t="s">
        <v>821</v>
      </c>
      <c r="K377" s="361"/>
    </row>
    <row r="378" spans="1:11" ht="26.45" hidden="1">
      <c r="A378" s="219" t="s">
        <v>28</v>
      </c>
      <c r="B378" s="342" t="s">
        <v>816</v>
      </c>
      <c r="C378" s="351">
        <v>44019</v>
      </c>
      <c r="D378" s="352" t="s">
        <v>93</v>
      </c>
      <c r="E378" s="352" t="s">
        <v>74</v>
      </c>
      <c r="F378" s="346" t="s">
        <v>41</v>
      </c>
      <c r="G378" s="346" t="s">
        <v>43</v>
      </c>
      <c r="H378" s="347" t="s">
        <v>562</v>
      </c>
      <c r="I378" s="350" t="s">
        <v>822</v>
      </c>
      <c r="J378" s="347" t="s">
        <v>823</v>
      </c>
      <c r="K378" s="361"/>
    </row>
    <row r="379" spans="1:11" ht="26.45" hidden="1">
      <c r="A379" s="219" t="s">
        <v>28</v>
      </c>
      <c r="B379" s="342" t="s">
        <v>816</v>
      </c>
      <c r="C379" s="351">
        <v>44019</v>
      </c>
      <c r="D379" s="352" t="s">
        <v>93</v>
      </c>
      <c r="E379" s="352" t="s">
        <v>74</v>
      </c>
      <c r="F379" s="346" t="s">
        <v>41</v>
      </c>
      <c r="G379" s="346" t="s">
        <v>43</v>
      </c>
      <c r="H379" s="347" t="s">
        <v>564</v>
      </c>
      <c r="I379" s="350" t="s">
        <v>824</v>
      </c>
      <c r="J379" s="347" t="s">
        <v>825</v>
      </c>
      <c r="K379" s="362"/>
    </row>
    <row r="380" spans="1:11" ht="92.45" hidden="1">
      <c r="A380" s="219" t="s">
        <v>28</v>
      </c>
      <c r="B380" s="342" t="s">
        <v>816</v>
      </c>
      <c r="C380" s="351">
        <v>44019</v>
      </c>
      <c r="D380" s="352" t="s">
        <v>93</v>
      </c>
      <c r="E380" s="352" t="s">
        <v>74</v>
      </c>
      <c r="F380" s="346" t="s">
        <v>41</v>
      </c>
      <c r="G380" s="346" t="s">
        <v>43</v>
      </c>
      <c r="H380" s="347" t="s">
        <v>604</v>
      </c>
      <c r="I380" s="350" t="s">
        <v>826</v>
      </c>
      <c r="J380" s="347" t="s">
        <v>605</v>
      </c>
      <c r="K380" s="347" t="s">
        <v>827</v>
      </c>
    </row>
    <row r="381" spans="1:11" ht="79.150000000000006" hidden="1">
      <c r="A381" s="219" t="s">
        <v>28</v>
      </c>
      <c r="B381" s="342" t="s">
        <v>816</v>
      </c>
      <c r="C381" s="351">
        <v>44025</v>
      </c>
      <c r="D381" s="352" t="s">
        <v>74</v>
      </c>
      <c r="E381" s="346" t="s">
        <v>41</v>
      </c>
      <c r="F381" s="346" t="s">
        <v>41</v>
      </c>
      <c r="G381" s="346" t="s">
        <v>101</v>
      </c>
      <c r="H381" s="347" t="s">
        <v>809</v>
      </c>
      <c r="I381" s="350" t="s">
        <v>828</v>
      </c>
      <c r="J381" s="350" t="s">
        <v>829</v>
      </c>
      <c r="K381" s="363" t="s">
        <v>830</v>
      </c>
    </row>
    <row r="382" spans="1:11" ht="66" hidden="1">
      <c r="A382" s="219" t="s">
        <v>28</v>
      </c>
      <c r="B382" s="342" t="s">
        <v>816</v>
      </c>
      <c r="C382" s="351">
        <v>44025</v>
      </c>
      <c r="D382" s="352" t="s">
        <v>74</v>
      </c>
      <c r="E382" s="346" t="s">
        <v>41</v>
      </c>
      <c r="F382" s="346" t="s">
        <v>41</v>
      </c>
      <c r="G382" s="346" t="s">
        <v>51</v>
      </c>
      <c r="H382" s="347" t="s">
        <v>809</v>
      </c>
      <c r="I382" s="350" t="s">
        <v>831</v>
      </c>
      <c r="J382" s="350" t="s">
        <v>811</v>
      </c>
      <c r="K382" s="362"/>
    </row>
  </sheetData>
  <sheetProtection selectLockedCells="1" selectUnlockedCells="1"/>
  <customSheetViews>
    <customSheetView guid="{E345A537-ABE6-4DCD-97C2-C197481B2A31}" showGridLines="0" topLeftCell="A371">
      <selection activeCell="G375" sqref="G375:J378"/>
      <pageMargins left="0" right="0" top="0" bottom="0" header="0" footer="0"/>
      <pageSetup paperSize="9" orientation="portrait" r:id="rId1"/>
    </customSheetView>
    <customSheetView guid="{3F24B786-6082-4FC5-9BB6-BFF2D0E27157}" showGridLines="0" printArea="1" topLeftCell="A13">
      <selection activeCell="K42" sqref="K42"/>
      <pageMargins left="0" right="0" top="0" bottom="0" header="0" footer="0"/>
      <pageSetup paperSize="9" orientation="portrait" r:id="rId2"/>
    </customSheetView>
  </customSheetViews>
  <mergeCells count="57">
    <mergeCell ref="K381:K382"/>
    <mergeCell ref="K338:K339"/>
    <mergeCell ref="K340:K341"/>
    <mergeCell ref="K363:K364"/>
    <mergeCell ref="K280:K285"/>
    <mergeCell ref="K286:K288"/>
    <mergeCell ref="K299:K301"/>
    <mergeCell ref="K304:K306"/>
    <mergeCell ref="K376:K379"/>
    <mergeCell ref="K365:K366"/>
    <mergeCell ref="K367:K369"/>
    <mergeCell ref="K342:K343"/>
    <mergeCell ref="K345:K348"/>
    <mergeCell ref="K354:K358"/>
    <mergeCell ref="K359:K360"/>
    <mergeCell ref="K361:K362"/>
    <mergeCell ref="B7:B11"/>
    <mergeCell ref="K245:K246"/>
    <mergeCell ref="K251:K254"/>
    <mergeCell ref="K256:K259"/>
    <mergeCell ref="K171:K176"/>
    <mergeCell ref="K178:K184"/>
    <mergeCell ref="K186:K190"/>
    <mergeCell ref="K192:K197"/>
    <mergeCell ref="K199:K203"/>
    <mergeCell ref="K331:K335"/>
    <mergeCell ref="K261:K264"/>
    <mergeCell ref="B1:D1"/>
    <mergeCell ref="B13:B16"/>
    <mergeCell ref="B2:H2"/>
    <mergeCell ref="D13:H13"/>
    <mergeCell ref="D14:H14"/>
    <mergeCell ref="D15:H15"/>
    <mergeCell ref="D16:H16"/>
    <mergeCell ref="D6:H6"/>
    <mergeCell ref="D9:H9"/>
    <mergeCell ref="D10:H10"/>
    <mergeCell ref="D11:H11"/>
    <mergeCell ref="D12:H12"/>
    <mergeCell ref="D8:H8"/>
    <mergeCell ref="D7:H7"/>
    <mergeCell ref="K349:K353"/>
    <mergeCell ref="K371:K373"/>
    <mergeCell ref="K47:K78"/>
    <mergeCell ref="K79:K85"/>
    <mergeCell ref="K326:K330"/>
    <mergeCell ref="K322:K325"/>
    <mergeCell ref="K336:K337"/>
    <mergeCell ref="K86:K104"/>
    <mergeCell ref="K105:K109"/>
    <mergeCell ref="K110:K115"/>
    <mergeCell ref="K116:K120"/>
    <mergeCell ref="K122:K137"/>
    <mergeCell ref="K139:K154"/>
    <mergeCell ref="K156:K162"/>
    <mergeCell ref="K164:K169"/>
    <mergeCell ref="K315:K319"/>
  </mergeCell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17"/>
  <sheetViews>
    <sheetView showGridLines="0" showRowColHeaders="0" topLeftCell="A8" zoomScaleNormal="100" workbookViewId="0">
      <selection activeCell="B5" sqref="B5"/>
    </sheetView>
  </sheetViews>
  <sheetFormatPr defaultColWidth="7.875" defaultRowHeight="13.9"/>
  <cols>
    <col min="1" max="1" width="3.25" style="313" customWidth="1"/>
    <col min="2" max="2" width="107.625" style="314" customWidth="1"/>
    <col min="3" max="27" width="7.875" style="313"/>
    <col min="28" max="16384" width="7.875" style="314"/>
  </cols>
  <sheetData>
    <row r="1" spans="1:2" ht="137.25" customHeight="1">
      <c r="A1" s="208"/>
      <c r="B1" s="208"/>
    </row>
    <row r="2" spans="1:2">
      <c r="A2" s="208"/>
      <c r="B2" s="315"/>
    </row>
    <row r="3" spans="1:2" ht="17.45">
      <c r="A3" s="208"/>
      <c r="B3" s="316" t="s">
        <v>800</v>
      </c>
    </row>
    <row r="4" spans="1:2">
      <c r="A4" s="208"/>
      <c r="B4" s="317"/>
    </row>
    <row r="5" spans="1:2" ht="180" customHeight="1">
      <c r="B5" s="324" t="s">
        <v>832</v>
      </c>
    </row>
    <row r="6" spans="1:2">
      <c r="B6" s="318"/>
    </row>
    <row r="7" spans="1:2" ht="17.45">
      <c r="A7" s="319"/>
      <c r="B7" s="320" t="s">
        <v>833</v>
      </c>
    </row>
    <row r="8" spans="1:2" ht="165" customHeight="1">
      <c r="A8" s="321"/>
      <c r="B8" s="323" t="s">
        <v>834</v>
      </c>
    </row>
    <row r="9" spans="1:2" ht="17.45">
      <c r="A9" s="321"/>
      <c r="B9" s="325" t="s">
        <v>806</v>
      </c>
    </row>
    <row r="10" spans="1:2" ht="123.75" customHeight="1">
      <c r="A10" s="321"/>
      <c r="B10" s="326" t="s">
        <v>835</v>
      </c>
    </row>
    <row r="11" spans="1:2">
      <c r="A11" s="321"/>
      <c r="B11" s="322"/>
    </row>
    <row r="12" spans="1:2" ht="17.45">
      <c r="A12" s="321"/>
      <c r="B12" s="316" t="s">
        <v>51</v>
      </c>
    </row>
    <row r="13" spans="1:2" ht="14.25" customHeight="1">
      <c r="A13" s="321"/>
      <c r="B13" s="321"/>
    </row>
    <row r="14" spans="1:2" ht="82.9">
      <c r="A14" s="321"/>
      <c r="B14" s="323" t="s">
        <v>836</v>
      </c>
    </row>
    <row r="15" spans="1:2">
      <c r="B15" s="322"/>
    </row>
    <row r="16" spans="1:2" ht="17.45">
      <c r="B16" s="320" t="s">
        <v>837</v>
      </c>
    </row>
    <row r="17" spans="2:2" ht="193.15">
      <c r="B17" s="323" t="s">
        <v>838</v>
      </c>
    </row>
  </sheetData>
  <sheetProtection algorithmName="SHA-512" hashValue="LvRjkP1/3xU71wIyajZ/fWfMyeuUd7B7LsVSFF2aFLeEP8mWWIbg2xN8uxNYqqhJyxupAEo2tAwrGQXwLNqe/g==" saltValue="FF+dvsR7UB6qUAouUG5MTQ==" spinCount="100000" sheet="1" objects="1" scenarios="1" selectLockedCells="1" selectUnlockedCells="1"/>
  <customSheetViews>
    <customSheetView guid="{E345A537-ABE6-4DCD-97C2-C197481B2A31}" scale="90" showGridLines="0" showRowCol="0" fitToPage="1">
      <selection activeCell="B5" sqref="B5"/>
      <pageMargins left="0" right="0" top="0" bottom="0" header="0" footer="0"/>
      <pageSetup paperSize="9" scale="72" orientation="portrait" r:id="rId1"/>
    </customSheetView>
    <customSheetView guid="{3F24B786-6082-4FC5-9BB6-BFF2D0E27157}" showGridLines="0" showRowCol="0" fitToPage="1">
      <selection activeCell="C3" sqref="C3"/>
      <pageMargins left="0" right="0" top="0" bottom="0" header="0" footer="0"/>
      <pageSetup paperSize="9" scale="62" orientation="portrait" r:id="rId2"/>
    </customSheetView>
  </customSheetViews>
  <pageMargins left="0.70866141732283472" right="0.70866141732283472" top="0.74803149606299213" bottom="0.74803149606299213" header="0.31496062992125984" footer="0.31496062992125984"/>
  <pageSetup paperSize="9" scale="72"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X28"/>
  <sheetViews>
    <sheetView showGridLines="0" showRowColHeaders="0" zoomScale="85" zoomScaleNormal="85" workbookViewId="0">
      <selection activeCell="D9" sqref="D9"/>
    </sheetView>
  </sheetViews>
  <sheetFormatPr defaultColWidth="9" defaultRowHeight="13.9"/>
  <cols>
    <col min="1" max="1" width="2.875" style="71" customWidth="1"/>
    <col min="2" max="2" width="29.5" style="71" bestFit="1" customWidth="1"/>
    <col min="3" max="3" width="45.625" style="71" customWidth="1"/>
    <col min="4" max="9" width="13.625" style="71" customWidth="1"/>
    <col min="10" max="12" width="13.625" style="71" hidden="1" customWidth="1"/>
    <col min="13" max="13" width="9" style="71"/>
    <col min="14" max="14" width="24.5" style="71" customWidth="1"/>
    <col min="15" max="74" width="2.125" style="71" customWidth="1"/>
    <col min="75" max="75" width="16.375" style="71" customWidth="1"/>
    <col min="76" max="76" width="5.5" style="71" customWidth="1"/>
    <col min="77" max="16384" width="9" style="71"/>
  </cols>
  <sheetData>
    <row r="1" spans="2:76" ht="116.25" customHeight="1">
      <c r="J1" s="71" t="s">
        <v>28</v>
      </c>
      <c r="K1" s="71" t="s">
        <v>28</v>
      </c>
      <c r="L1" s="71" t="s">
        <v>28</v>
      </c>
      <c r="BW1" s="230" t="s">
        <v>28</v>
      </c>
      <c r="BX1" s="230" t="s">
        <v>28</v>
      </c>
    </row>
    <row r="2" spans="2:76">
      <c r="B2" s="72"/>
      <c r="C2" s="73"/>
      <c r="BW2" s="71" t="s">
        <v>578</v>
      </c>
      <c r="BX2" s="71" t="s">
        <v>839</v>
      </c>
    </row>
    <row r="3" spans="2:76" ht="22.5" customHeight="1">
      <c r="B3" s="74" t="s">
        <v>43</v>
      </c>
      <c r="C3" s="75"/>
      <c r="E3" s="183" t="s">
        <v>531</v>
      </c>
      <c r="F3" s="183"/>
      <c r="G3" s="183"/>
      <c r="H3" s="183"/>
      <c r="I3" s="183"/>
      <c r="BW3" s="71" t="s">
        <v>581</v>
      </c>
      <c r="BX3" s="71" t="s">
        <v>840</v>
      </c>
    </row>
    <row r="4" spans="2:76" ht="22.5" customHeight="1">
      <c r="B4" s="72"/>
      <c r="C4" s="73"/>
      <c r="E4" s="184"/>
      <c r="F4" s="184"/>
      <c r="G4" s="184"/>
      <c r="H4" s="184"/>
      <c r="I4" s="184"/>
      <c r="BW4" s="71" t="s">
        <v>584</v>
      </c>
      <c r="BX4" s="71" t="s">
        <v>841</v>
      </c>
    </row>
    <row r="5" spans="2:76" ht="22.5" customHeight="1">
      <c r="B5" s="76" t="s">
        <v>842</v>
      </c>
      <c r="C5" s="76"/>
      <c r="E5" s="185" t="s">
        <v>534</v>
      </c>
      <c r="F5" s="378" t="s">
        <v>70</v>
      </c>
      <c r="G5" s="378"/>
      <c r="H5" s="378" t="s">
        <v>555</v>
      </c>
      <c r="I5" s="378"/>
      <c r="BW5" s="71" t="s">
        <v>843</v>
      </c>
      <c r="BX5" s="71" t="s">
        <v>844</v>
      </c>
    </row>
    <row r="6" spans="2:76" ht="20.100000000000001" customHeight="1">
      <c r="B6" s="77" t="s">
        <v>845</v>
      </c>
      <c r="C6" s="333"/>
      <c r="E6" s="186" t="str">
        <f>BW2</f>
        <v>Initial</v>
      </c>
      <c r="F6" s="375" t="str">
        <f>IF($C$14="","Fill in the Building Details",CONCATENATE(TEXT($C$14,"dd/mm/yyyy")," - ",TEXT($C$15,"dd/mm/yyyy")))</f>
        <v>Fill in the Building Details</v>
      </c>
      <c r="G6" s="376"/>
      <c r="H6" s="375" t="str">
        <f>IF($C$14="","Fill in the Building Details",TEXT(EDATE($C$15,6),"dd/mm/yyyy"))</f>
        <v>Fill in the Building Details</v>
      </c>
      <c r="I6" s="376"/>
      <c r="BX6" s="71" t="s">
        <v>846</v>
      </c>
    </row>
    <row r="7" spans="2:76" ht="20.100000000000001" customHeight="1">
      <c r="B7" s="78" t="s">
        <v>847</v>
      </c>
      <c r="C7" s="333"/>
      <c r="E7" s="186" t="str">
        <f t="shared" ref="E7:E9" si="0">BW3</f>
        <v>Year 1</v>
      </c>
      <c r="F7" s="375" t="str">
        <f>IF($C$14="","Fill in the Building Details",CONCATENATE(TEXT(EDATE($C$14,12),"dd/mm/yyyy")," - ",TEXT(EDATE($C$15,12),"dd/mm/yyyy")))</f>
        <v>Fill in the Building Details</v>
      </c>
      <c r="G7" s="376"/>
      <c r="H7" s="375" t="str">
        <f>IF($C$14="","Fill in the Building Details",TEXT(EDATE($C$15,18),"dd/mm/yyyy"))</f>
        <v>Fill in the Building Details</v>
      </c>
      <c r="I7" s="376"/>
      <c r="BX7" s="71" t="s">
        <v>848</v>
      </c>
    </row>
    <row r="8" spans="2:76" ht="20.100000000000001" customHeight="1">
      <c r="B8" s="374" t="s">
        <v>849</v>
      </c>
      <c r="C8" s="333"/>
      <c r="E8" s="186" t="str">
        <f t="shared" si="0"/>
        <v>Year 2</v>
      </c>
      <c r="F8" s="375" t="str">
        <f>IF($C$14="","Fill in the Building Details",CONCATENATE(TEXT(EDATE($C$14,24),"dd/mm/yyyy")," - ",TEXT(EDATE($C$15,24),"dd/mm/yyyy")))</f>
        <v>Fill in the Building Details</v>
      </c>
      <c r="G8" s="376"/>
      <c r="H8" s="375" t="str">
        <f>IF($C$14="","Fill in the Building Details",TEXT(EDATE($C$15,30),"dd/mm/yyyy"))</f>
        <v>Fill in the Building Details</v>
      </c>
      <c r="I8" s="376"/>
      <c r="BX8" s="71" t="s">
        <v>850</v>
      </c>
    </row>
    <row r="9" spans="2:76" ht="20.100000000000001" customHeight="1">
      <c r="B9" s="374"/>
      <c r="C9" s="333"/>
      <c r="E9" s="186" t="str">
        <f t="shared" si="0"/>
        <v>Recertification</v>
      </c>
      <c r="F9" s="375" t="str">
        <f>IF($C$14="","Fill in the Building Details",CONCATENATE(TEXT(EDATE($C$14,36),"dd/mm/yyyy")," - ",TEXT(EDATE($C$15,36),"dd/mm/yyyy")))</f>
        <v>Fill in the Building Details</v>
      </c>
      <c r="G9" s="376"/>
      <c r="H9" s="375" t="str">
        <f>IF($C$14="","Fill in the Building Details",TEXT(EDATE($C$15,42),"dd/mm/yyyy"))</f>
        <v>Fill in the Building Details</v>
      </c>
      <c r="I9" s="376"/>
      <c r="BX9" s="71" t="s">
        <v>851</v>
      </c>
    </row>
    <row r="10" spans="2:76" ht="20.100000000000001" customHeight="1">
      <c r="B10" s="374"/>
      <c r="C10" s="333"/>
      <c r="E10" s="11"/>
      <c r="F10" s="11"/>
      <c r="G10" s="11"/>
      <c r="H10" s="11"/>
      <c r="I10" s="11"/>
    </row>
    <row r="11" spans="2:76" ht="20.100000000000001" customHeight="1">
      <c r="B11" s="78" t="s">
        <v>852</v>
      </c>
      <c r="C11" s="333"/>
      <c r="E11" s="183" t="s">
        <v>567</v>
      </c>
      <c r="F11" s="183"/>
      <c r="G11" s="183"/>
      <c r="H11" s="183"/>
      <c r="I11" s="183"/>
    </row>
    <row r="12" spans="2:76" ht="20.100000000000001" customHeight="1">
      <c r="B12" s="78" t="s">
        <v>853</v>
      </c>
      <c r="C12" s="333" t="s">
        <v>854</v>
      </c>
      <c r="E12" s="187" t="s">
        <v>70</v>
      </c>
      <c r="F12" s="187"/>
      <c r="G12" s="188" t="s">
        <v>578</v>
      </c>
      <c r="H12" s="189" t="s">
        <v>581</v>
      </c>
      <c r="I12" s="190" t="s">
        <v>584</v>
      </c>
    </row>
    <row r="13" spans="2:76" ht="20.100000000000001" customHeight="1">
      <c r="B13" s="78" t="s">
        <v>515</v>
      </c>
      <c r="C13" s="355"/>
      <c r="E13" s="191" t="s">
        <v>572</v>
      </c>
      <c r="F13" s="191"/>
      <c r="G13" s="192" t="s">
        <v>578</v>
      </c>
      <c r="H13" s="193" t="s">
        <v>581</v>
      </c>
      <c r="I13" s="194" t="s">
        <v>584</v>
      </c>
    </row>
    <row r="14" spans="2:76" ht="20.100000000000001" customHeight="1">
      <c r="B14" s="78" t="s">
        <v>855</v>
      </c>
      <c r="C14" s="355"/>
      <c r="E14" s="438" t="s">
        <v>575</v>
      </c>
      <c r="F14" s="438"/>
      <c r="G14" s="195" t="s">
        <v>578</v>
      </c>
      <c r="H14" s="196" t="s">
        <v>581</v>
      </c>
      <c r="I14" s="197" t="s">
        <v>584</v>
      </c>
    </row>
    <row r="15" spans="2:76" ht="20.100000000000001" customHeight="1">
      <c r="B15" s="78" t="s">
        <v>856</v>
      </c>
      <c r="C15" s="237" t="str">
        <f>IF($C$14="","",EDATE($C$14,12)-1)</f>
        <v/>
      </c>
      <c r="E15" s="439" t="s">
        <v>587</v>
      </c>
      <c r="F15" s="224"/>
      <c r="G15" s="198"/>
      <c r="H15" s="199"/>
      <c r="I15" s="200"/>
    </row>
    <row r="16" spans="2:76" ht="20.100000000000001" customHeight="1">
      <c r="B16" s="78" t="s">
        <v>525</v>
      </c>
      <c r="C16" s="332"/>
      <c r="E16" s="440" t="s">
        <v>590</v>
      </c>
      <c r="F16" s="201"/>
      <c r="G16" s="201"/>
      <c r="H16" s="202"/>
      <c r="I16" s="203"/>
    </row>
    <row r="17" spans="1:74" ht="22.5" customHeight="1">
      <c r="B17" s="79"/>
      <c r="C17" s="223" t="str">
        <f>IF($C$16="","Select the Certification Phase",CONCATENATE("Complete the '",$C$16,"' scorecard worksheet"))</f>
        <v>Select the Certification Phase</v>
      </c>
      <c r="E17" s="440" t="s">
        <v>593</v>
      </c>
      <c r="F17" s="201"/>
      <c r="G17" s="201"/>
      <c r="H17" s="204" t="s">
        <v>599</v>
      </c>
      <c r="I17" s="205" t="s">
        <v>602</v>
      </c>
    </row>
    <row r="18" spans="1:74" ht="22.5" customHeight="1">
      <c r="B18" s="76" t="s">
        <v>857</v>
      </c>
      <c r="C18" s="76"/>
      <c r="E18" s="440" t="s">
        <v>596</v>
      </c>
      <c r="F18" s="201"/>
      <c r="G18" s="201"/>
      <c r="H18" s="206" t="s">
        <v>599</v>
      </c>
      <c r="I18" s="207" t="s">
        <v>602</v>
      </c>
    </row>
    <row r="19" spans="1:74" ht="20.100000000000001" customHeight="1">
      <c r="B19" s="78" t="s">
        <v>858</v>
      </c>
      <c r="C19" s="334"/>
    </row>
    <row r="20" spans="1:74" ht="20.100000000000001" customHeight="1">
      <c r="B20" s="78" t="s">
        <v>859</v>
      </c>
      <c r="C20" s="334"/>
    </row>
    <row r="21" spans="1:74" ht="22.5" customHeight="1"/>
    <row r="22" spans="1:74" ht="22.5" customHeight="1">
      <c r="B22" s="76" t="s">
        <v>860</v>
      </c>
      <c r="C22" s="76"/>
      <c r="E22" s="377" t="str">
        <f>IF(AND(C14&lt;&gt;"",C13=""),"Please enter the the building's registration date and beginning of the performance period.",IF(IF(MONTH(DATE(YEAR(C13),2,29))=2,C13-C14&gt;366,C13-C14&gt;365),"Eligibility criteria not met. The beginning of the performance period can be no more than 12 months prior to the registration date. Please submit an eligibility request to the GBCA and include the response with your submission.",""))</f>
        <v/>
      </c>
      <c r="F22" s="377"/>
      <c r="G22" s="377"/>
      <c r="H22" s="377"/>
      <c r="I22" s="377"/>
    </row>
    <row r="23" spans="1:74" ht="99.95" customHeight="1">
      <c r="B23" s="228" t="s">
        <v>861</v>
      </c>
      <c r="C23" s="335"/>
      <c r="E23" s="377"/>
      <c r="F23" s="377"/>
      <c r="G23" s="377"/>
      <c r="H23" s="377"/>
      <c r="I23" s="377"/>
    </row>
    <row r="25" spans="1:74" ht="50.1" customHeight="1">
      <c r="B25" s="76" t="s">
        <v>608</v>
      </c>
      <c r="C25" s="225"/>
      <c r="D25" s="240" t="s">
        <v>611</v>
      </c>
      <c r="E25" s="240" t="s">
        <v>614</v>
      </c>
      <c r="F25" s="240" t="s">
        <v>616</v>
      </c>
      <c r="G25" s="240" t="s">
        <v>618</v>
      </c>
      <c r="H25" s="240" t="s">
        <v>620</v>
      </c>
      <c r="I25" s="240" t="s">
        <v>622</v>
      </c>
      <c r="J25" s="240" t="s">
        <v>624</v>
      </c>
      <c r="K25" s="240" t="s">
        <v>627</v>
      </c>
      <c r="L25" s="240" t="s">
        <v>629</v>
      </c>
      <c r="M25" s="226"/>
      <c r="N25" s="171"/>
      <c r="O25" s="172" t="str">
        <f>IF($C$14="","",EDATE($C$14,-12))</f>
        <v/>
      </c>
      <c r="P25" s="172" t="str">
        <f t="shared" ref="P25:AU25" si="1">IF($C$14="","",EDATE(O$25,1))</f>
        <v/>
      </c>
      <c r="Q25" s="172" t="str">
        <f t="shared" si="1"/>
        <v/>
      </c>
      <c r="R25" s="172" t="str">
        <f t="shared" si="1"/>
        <v/>
      </c>
      <c r="S25" s="172" t="str">
        <f t="shared" si="1"/>
        <v/>
      </c>
      <c r="T25" s="172" t="str">
        <f t="shared" si="1"/>
        <v/>
      </c>
      <c r="U25" s="172" t="str">
        <f t="shared" si="1"/>
        <v/>
      </c>
      <c r="V25" s="172" t="str">
        <f t="shared" si="1"/>
        <v/>
      </c>
      <c r="W25" s="172" t="str">
        <f t="shared" si="1"/>
        <v/>
      </c>
      <c r="X25" s="172" t="str">
        <f t="shared" si="1"/>
        <v/>
      </c>
      <c r="Y25" s="172" t="str">
        <f t="shared" si="1"/>
        <v/>
      </c>
      <c r="Z25" s="172" t="str">
        <f t="shared" si="1"/>
        <v/>
      </c>
      <c r="AA25" s="172" t="str">
        <f t="shared" si="1"/>
        <v/>
      </c>
      <c r="AB25" s="172" t="str">
        <f t="shared" si="1"/>
        <v/>
      </c>
      <c r="AC25" s="172" t="str">
        <f t="shared" si="1"/>
        <v/>
      </c>
      <c r="AD25" s="172" t="str">
        <f t="shared" si="1"/>
        <v/>
      </c>
      <c r="AE25" s="172" t="str">
        <f t="shared" si="1"/>
        <v/>
      </c>
      <c r="AF25" s="172" t="str">
        <f t="shared" si="1"/>
        <v/>
      </c>
      <c r="AG25" s="172" t="str">
        <f t="shared" si="1"/>
        <v/>
      </c>
      <c r="AH25" s="172" t="str">
        <f t="shared" si="1"/>
        <v/>
      </c>
      <c r="AI25" s="172" t="str">
        <f t="shared" si="1"/>
        <v/>
      </c>
      <c r="AJ25" s="172" t="str">
        <f t="shared" si="1"/>
        <v/>
      </c>
      <c r="AK25" s="172" t="str">
        <f t="shared" si="1"/>
        <v/>
      </c>
      <c r="AL25" s="172" t="str">
        <f t="shared" si="1"/>
        <v/>
      </c>
      <c r="AM25" s="172" t="str">
        <f t="shared" si="1"/>
        <v/>
      </c>
      <c r="AN25" s="172" t="str">
        <f t="shared" si="1"/>
        <v/>
      </c>
      <c r="AO25" s="172" t="str">
        <f t="shared" si="1"/>
        <v/>
      </c>
      <c r="AP25" s="172" t="str">
        <f t="shared" si="1"/>
        <v/>
      </c>
      <c r="AQ25" s="172" t="str">
        <f t="shared" si="1"/>
        <v/>
      </c>
      <c r="AR25" s="172" t="str">
        <f t="shared" si="1"/>
        <v/>
      </c>
      <c r="AS25" s="172" t="str">
        <f t="shared" si="1"/>
        <v/>
      </c>
      <c r="AT25" s="172" t="str">
        <f t="shared" si="1"/>
        <v/>
      </c>
      <c r="AU25" s="172" t="str">
        <f t="shared" si="1"/>
        <v/>
      </c>
      <c r="AV25" s="172" t="str">
        <f t="shared" ref="AV25:BV25" si="2">IF($C$14="","",EDATE(AU$25,1))</f>
        <v/>
      </c>
      <c r="AW25" s="172" t="str">
        <f t="shared" si="2"/>
        <v/>
      </c>
      <c r="AX25" s="172" t="str">
        <f t="shared" si="2"/>
        <v/>
      </c>
      <c r="AY25" s="172" t="str">
        <f t="shared" si="2"/>
        <v/>
      </c>
      <c r="AZ25" s="172" t="str">
        <f t="shared" si="2"/>
        <v/>
      </c>
      <c r="BA25" s="172" t="str">
        <f t="shared" si="2"/>
        <v/>
      </c>
      <c r="BB25" s="172" t="str">
        <f t="shared" si="2"/>
        <v/>
      </c>
      <c r="BC25" s="172" t="str">
        <f t="shared" si="2"/>
        <v/>
      </c>
      <c r="BD25" s="172" t="str">
        <f t="shared" si="2"/>
        <v/>
      </c>
      <c r="BE25" s="172" t="str">
        <f t="shared" si="2"/>
        <v/>
      </c>
      <c r="BF25" s="172" t="str">
        <f t="shared" si="2"/>
        <v/>
      </c>
      <c r="BG25" s="172" t="str">
        <f t="shared" si="2"/>
        <v/>
      </c>
      <c r="BH25" s="172" t="str">
        <f t="shared" si="2"/>
        <v/>
      </c>
      <c r="BI25" s="172" t="str">
        <f t="shared" si="2"/>
        <v/>
      </c>
      <c r="BJ25" s="172" t="str">
        <f t="shared" si="2"/>
        <v/>
      </c>
      <c r="BK25" s="172" t="str">
        <f t="shared" si="2"/>
        <v/>
      </c>
      <c r="BL25" s="172" t="str">
        <f t="shared" si="2"/>
        <v/>
      </c>
      <c r="BM25" s="172" t="str">
        <f t="shared" si="2"/>
        <v/>
      </c>
      <c r="BN25" s="172" t="str">
        <f t="shared" si="2"/>
        <v/>
      </c>
      <c r="BO25" s="172" t="str">
        <f t="shared" si="2"/>
        <v/>
      </c>
      <c r="BP25" s="172" t="str">
        <f t="shared" si="2"/>
        <v/>
      </c>
      <c r="BQ25" s="172" t="str">
        <f t="shared" si="2"/>
        <v/>
      </c>
      <c r="BR25" s="172" t="str">
        <f t="shared" si="2"/>
        <v/>
      </c>
      <c r="BS25" s="172" t="str">
        <f t="shared" si="2"/>
        <v/>
      </c>
      <c r="BT25" s="172" t="str">
        <f t="shared" si="2"/>
        <v/>
      </c>
      <c r="BU25" s="172" t="str">
        <f t="shared" si="2"/>
        <v/>
      </c>
      <c r="BV25" s="172" t="str">
        <f t="shared" si="2"/>
        <v/>
      </c>
    </row>
    <row r="26" spans="1:74" ht="30" customHeight="1" thickBot="1">
      <c r="B26" s="238">
        <f>C6</f>
        <v>0</v>
      </c>
      <c r="C26" s="238">
        <f>C7</f>
        <v>0</v>
      </c>
      <c r="D26" s="241" t="str">
        <f>IF($C$14="","",$C$14)</f>
        <v/>
      </c>
      <c r="E26" s="241" t="str">
        <f>IF(D26="","",EDATE(D26,12)-1)</f>
        <v/>
      </c>
      <c r="F26" s="241" t="str">
        <f>IF(E26="","",E26+1)</f>
        <v/>
      </c>
      <c r="G26" s="241" t="str">
        <f>IF(F26="","",EDATE(F26,12)-1)</f>
        <v/>
      </c>
      <c r="H26" s="241" t="str">
        <f>IF(G26="","",G26+1)</f>
        <v/>
      </c>
      <c r="I26" s="241" t="str">
        <f>IF(H26="","",EDATE(H26,12)-1)</f>
        <v/>
      </c>
      <c r="J26" s="242"/>
      <c r="K26" s="243"/>
      <c r="L26" s="243"/>
      <c r="M26" s="226"/>
      <c r="N26" s="239">
        <f>C6</f>
        <v>0</v>
      </c>
      <c r="O26" s="173" t="str">
        <f t="shared" ref="O26:AT26" si="3">IF($C$14="","",O25-$C$14)</f>
        <v/>
      </c>
      <c r="P26" s="173" t="str">
        <f t="shared" si="3"/>
        <v/>
      </c>
      <c r="Q26" s="173" t="str">
        <f t="shared" si="3"/>
        <v/>
      </c>
      <c r="R26" s="173" t="str">
        <f t="shared" si="3"/>
        <v/>
      </c>
      <c r="S26" s="173" t="str">
        <f t="shared" si="3"/>
        <v/>
      </c>
      <c r="T26" s="173" t="str">
        <f t="shared" si="3"/>
        <v/>
      </c>
      <c r="U26" s="173" t="str">
        <f t="shared" si="3"/>
        <v/>
      </c>
      <c r="V26" s="173" t="str">
        <f t="shared" si="3"/>
        <v/>
      </c>
      <c r="W26" s="173" t="str">
        <f t="shared" si="3"/>
        <v/>
      </c>
      <c r="X26" s="173" t="str">
        <f t="shared" si="3"/>
        <v/>
      </c>
      <c r="Y26" s="173" t="str">
        <f t="shared" si="3"/>
        <v/>
      </c>
      <c r="Z26" s="173" t="str">
        <f t="shared" si="3"/>
        <v/>
      </c>
      <c r="AA26" s="173" t="str">
        <f t="shared" si="3"/>
        <v/>
      </c>
      <c r="AB26" s="173" t="str">
        <f t="shared" si="3"/>
        <v/>
      </c>
      <c r="AC26" s="173" t="str">
        <f t="shared" si="3"/>
        <v/>
      </c>
      <c r="AD26" s="173" t="str">
        <f t="shared" si="3"/>
        <v/>
      </c>
      <c r="AE26" s="173" t="str">
        <f t="shared" si="3"/>
        <v/>
      </c>
      <c r="AF26" s="173" t="str">
        <f t="shared" si="3"/>
        <v/>
      </c>
      <c r="AG26" s="173" t="str">
        <f t="shared" si="3"/>
        <v/>
      </c>
      <c r="AH26" s="173" t="str">
        <f t="shared" si="3"/>
        <v/>
      </c>
      <c r="AI26" s="173" t="str">
        <f t="shared" si="3"/>
        <v/>
      </c>
      <c r="AJ26" s="173" t="str">
        <f t="shared" si="3"/>
        <v/>
      </c>
      <c r="AK26" s="173" t="str">
        <f t="shared" si="3"/>
        <v/>
      </c>
      <c r="AL26" s="173" t="str">
        <f t="shared" si="3"/>
        <v/>
      </c>
      <c r="AM26" s="173" t="str">
        <f t="shared" si="3"/>
        <v/>
      </c>
      <c r="AN26" s="173" t="str">
        <f t="shared" si="3"/>
        <v/>
      </c>
      <c r="AO26" s="173" t="str">
        <f t="shared" si="3"/>
        <v/>
      </c>
      <c r="AP26" s="173" t="str">
        <f t="shared" si="3"/>
        <v/>
      </c>
      <c r="AQ26" s="173" t="str">
        <f t="shared" si="3"/>
        <v/>
      </c>
      <c r="AR26" s="173" t="str">
        <f t="shared" si="3"/>
        <v/>
      </c>
      <c r="AS26" s="173" t="str">
        <f t="shared" si="3"/>
        <v/>
      </c>
      <c r="AT26" s="173" t="str">
        <f t="shared" si="3"/>
        <v/>
      </c>
      <c r="AU26" s="173" t="str">
        <f t="shared" ref="AU26:BV26" si="4">IF($C$14="","",AU25-$C$14)</f>
        <v/>
      </c>
      <c r="AV26" s="173" t="str">
        <f t="shared" si="4"/>
        <v/>
      </c>
      <c r="AW26" s="173" t="str">
        <f t="shared" si="4"/>
        <v/>
      </c>
      <c r="AX26" s="173" t="str">
        <f t="shared" si="4"/>
        <v/>
      </c>
      <c r="AY26" s="173" t="str">
        <f t="shared" si="4"/>
        <v/>
      </c>
      <c r="AZ26" s="173" t="str">
        <f t="shared" si="4"/>
        <v/>
      </c>
      <c r="BA26" s="173" t="str">
        <f t="shared" si="4"/>
        <v/>
      </c>
      <c r="BB26" s="173" t="str">
        <f t="shared" si="4"/>
        <v/>
      </c>
      <c r="BC26" s="173" t="str">
        <f t="shared" si="4"/>
        <v/>
      </c>
      <c r="BD26" s="173" t="str">
        <f t="shared" si="4"/>
        <v/>
      </c>
      <c r="BE26" s="173" t="str">
        <f t="shared" si="4"/>
        <v/>
      </c>
      <c r="BF26" s="173" t="str">
        <f t="shared" si="4"/>
        <v/>
      </c>
      <c r="BG26" s="173" t="str">
        <f t="shared" si="4"/>
        <v/>
      </c>
      <c r="BH26" s="173" t="str">
        <f t="shared" si="4"/>
        <v/>
      </c>
      <c r="BI26" s="173" t="str">
        <f t="shared" si="4"/>
        <v/>
      </c>
      <c r="BJ26" s="173" t="str">
        <f t="shared" si="4"/>
        <v/>
      </c>
      <c r="BK26" s="173" t="str">
        <f t="shared" si="4"/>
        <v/>
      </c>
      <c r="BL26" s="173" t="str">
        <f t="shared" si="4"/>
        <v/>
      </c>
      <c r="BM26" s="173" t="str">
        <f t="shared" si="4"/>
        <v/>
      </c>
      <c r="BN26" s="173" t="str">
        <f t="shared" si="4"/>
        <v/>
      </c>
      <c r="BO26" s="173" t="str">
        <f t="shared" si="4"/>
        <v/>
      </c>
      <c r="BP26" s="173" t="str">
        <f t="shared" si="4"/>
        <v/>
      </c>
      <c r="BQ26" s="173" t="str">
        <f t="shared" si="4"/>
        <v/>
      </c>
      <c r="BR26" s="173" t="str">
        <f t="shared" si="4"/>
        <v/>
      </c>
      <c r="BS26" s="173" t="str">
        <f t="shared" si="4"/>
        <v/>
      </c>
      <c r="BT26" s="173" t="str">
        <f t="shared" si="4"/>
        <v/>
      </c>
      <c r="BU26" s="173" t="str">
        <f t="shared" si="4"/>
        <v/>
      </c>
      <c r="BV26" s="173" t="str">
        <f t="shared" si="4"/>
        <v/>
      </c>
    </row>
    <row r="27" spans="1:74" ht="20.100000000000001" customHeight="1" thickTop="1" thickBot="1">
      <c r="A27" s="176" t="s">
        <v>862</v>
      </c>
      <c r="B27" s="233" t="s">
        <v>655</v>
      </c>
      <c r="C27" s="260" t="str">
        <f>IF($C$16=$BW$2,Initial!$AI$49,IF($C$16=$BW$3,'Year 1'!$AI$49,IF($C$16=$BW$4,'Year 2'!$AI$49,"")))</f>
        <v/>
      </c>
      <c r="D27" s="336"/>
      <c r="E27" s="235" t="str">
        <f>IF(D27="","",EDATE(D27,12)-1)</f>
        <v/>
      </c>
      <c r="F27" s="336"/>
      <c r="G27" s="235" t="str">
        <f t="shared" ref="G27:G28" si="5">IF(F27="","",EDATE(F27,12)-1)</f>
        <v/>
      </c>
      <c r="H27" s="336"/>
      <c r="I27" s="235" t="str">
        <f t="shared" ref="I27:I28" si="6">IF(H27="","",EDATE(H27,12)-1)</f>
        <v/>
      </c>
      <c r="J27" s="177"/>
      <c r="K27" s="178"/>
      <c r="L27" s="179"/>
      <c r="M27" s="226"/>
      <c r="N27" s="174" t="s">
        <v>655</v>
      </c>
      <c r="O27" s="175" t="str">
        <f t="shared" ref="O27:AT27" si="7">IF(OR($C$14="",$D27=""),"",IF(AND(ISBLANK($D27)=FALSE,O$25-$D27&gt;=0,O$25-$D27&lt;365),"Energy Initial",IF(AND(ISBLANK($F27)=FALSE,O$25-$F27&gt;=0,O$25-$F27&lt;365),"Energy Year 1",IF(AND(ISBLANK($H27)=FALSE,O$25-$H27&gt;=0,O$25-$H27&lt;365),"Energy Year 2",""))))</f>
        <v/>
      </c>
      <c r="P27" s="175" t="str">
        <f t="shared" si="7"/>
        <v/>
      </c>
      <c r="Q27" s="175" t="str">
        <f t="shared" si="7"/>
        <v/>
      </c>
      <c r="R27" s="175" t="str">
        <f t="shared" si="7"/>
        <v/>
      </c>
      <c r="S27" s="175" t="str">
        <f t="shared" si="7"/>
        <v/>
      </c>
      <c r="T27" s="175" t="str">
        <f t="shared" si="7"/>
        <v/>
      </c>
      <c r="U27" s="175" t="str">
        <f t="shared" si="7"/>
        <v/>
      </c>
      <c r="V27" s="175" t="str">
        <f t="shared" si="7"/>
        <v/>
      </c>
      <c r="W27" s="175" t="str">
        <f t="shared" si="7"/>
        <v/>
      </c>
      <c r="X27" s="175" t="str">
        <f t="shared" si="7"/>
        <v/>
      </c>
      <c r="Y27" s="175" t="str">
        <f t="shared" si="7"/>
        <v/>
      </c>
      <c r="Z27" s="175" t="str">
        <f t="shared" si="7"/>
        <v/>
      </c>
      <c r="AA27" s="175" t="str">
        <f t="shared" si="7"/>
        <v/>
      </c>
      <c r="AB27" s="175" t="str">
        <f t="shared" si="7"/>
        <v/>
      </c>
      <c r="AC27" s="175" t="str">
        <f t="shared" si="7"/>
        <v/>
      </c>
      <c r="AD27" s="175" t="str">
        <f t="shared" si="7"/>
        <v/>
      </c>
      <c r="AE27" s="175" t="str">
        <f t="shared" si="7"/>
        <v/>
      </c>
      <c r="AF27" s="175" t="str">
        <f t="shared" si="7"/>
        <v/>
      </c>
      <c r="AG27" s="175" t="str">
        <f t="shared" si="7"/>
        <v/>
      </c>
      <c r="AH27" s="175" t="str">
        <f t="shared" si="7"/>
        <v/>
      </c>
      <c r="AI27" s="175" t="str">
        <f t="shared" si="7"/>
        <v/>
      </c>
      <c r="AJ27" s="175" t="str">
        <f t="shared" si="7"/>
        <v/>
      </c>
      <c r="AK27" s="175" t="str">
        <f t="shared" si="7"/>
        <v/>
      </c>
      <c r="AL27" s="175" t="str">
        <f t="shared" si="7"/>
        <v/>
      </c>
      <c r="AM27" s="175" t="str">
        <f t="shared" si="7"/>
        <v/>
      </c>
      <c r="AN27" s="175" t="str">
        <f t="shared" si="7"/>
        <v/>
      </c>
      <c r="AO27" s="175" t="str">
        <f t="shared" si="7"/>
        <v/>
      </c>
      <c r="AP27" s="175" t="str">
        <f t="shared" si="7"/>
        <v/>
      </c>
      <c r="AQ27" s="175" t="str">
        <f t="shared" si="7"/>
        <v/>
      </c>
      <c r="AR27" s="175" t="str">
        <f t="shared" si="7"/>
        <v/>
      </c>
      <c r="AS27" s="175" t="str">
        <f t="shared" si="7"/>
        <v/>
      </c>
      <c r="AT27" s="175" t="str">
        <f t="shared" si="7"/>
        <v/>
      </c>
      <c r="AU27" s="175" t="str">
        <f t="shared" ref="AU27:BV27" si="8">IF(OR($C$14="",$D27=""),"",IF(AND(ISBLANK($D27)=FALSE,AU$25-$D27&gt;=0,AU$25-$D27&lt;365),"Energy Initial",IF(AND(ISBLANK($F27)=FALSE,AU$25-$F27&gt;=0,AU$25-$F27&lt;365),"Energy Year 1",IF(AND(ISBLANK($H27)=FALSE,AU$25-$H27&gt;=0,AU$25-$H27&lt;365),"Energy Year 2",""))))</f>
        <v/>
      </c>
      <c r="AV27" s="175" t="str">
        <f t="shared" si="8"/>
        <v/>
      </c>
      <c r="AW27" s="175" t="str">
        <f t="shared" si="8"/>
        <v/>
      </c>
      <c r="AX27" s="175" t="str">
        <f t="shared" si="8"/>
        <v/>
      </c>
      <c r="AY27" s="175" t="str">
        <f t="shared" si="8"/>
        <v/>
      </c>
      <c r="AZ27" s="175" t="str">
        <f t="shared" si="8"/>
        <v/>
      </c>
      <c r="BA27" s="175" t="str">
        <f t="shared" si="8"/>
        <v/>
      </c>
      <c r="BB27" s="175" t="str">
        <f t="shared" si="8"/>
        <v/>
      </c>
      <c r="BC27" s="175" t="str">
        <f t="shared" si="8"/>
        <v/>
      </c>
      <c r="BD27" s="175" t="str">
        <f t="shared" si="8"/>
        <v/>
      </c>
      <c r="BE27" s="175" t="str">
        <f t="shared" si="8"/>
        <v/>
      </c>
      <c r="BF27" s="175" t="str">
        <f t="shared" si="8"/>
        <v/>
      </c>
      <c r="BG27" s="175" t="str">
        <f t="shared" si="8"/>
        <v/>
      </c>
      <c r="BH27" s="175" t="str">
        <f t="shared" si="8"/>
        <v/>
      </c>
      <c r="BI27" s="175" t="str">
        <f t="shared" si="8"/>
        <v/>
      </c>
      <c r="BJ27" s="175" t="str">
        <f t="shared" si="8"/>
        <v/>
      </c>
      <c r="BK27" s="175" t="str">
        <f t="shared" si="8"/>
        <v/>
      </c>
      <c r="BL27" s="175" t="str">
        <f t="shared" si="8"/>
        <v/>
      </c>
      <c r="BM27" s="175" t="str">
        <f t="shared" si="8"/>
        <v/>
      </c>
      <c r="BN27" s="175" t="str">
        <f t="shared" si="8"/>
        <v/>
      </c>
      <c r="BO27" s="175" t="str">
        <f t="shared" si="8"/>
        <v/>
      </c>
      <c r="BP27" s="175" t="str">
        <f t="shared" si="8"/>
        <v/>
      </c>
      <c r="BQ27" s="175" t="str">
        <f t="shared" si="8"/>
        <v/>
      </c>
      <c r="BR27" s="175" t="str">
        <f t="shared" si="8"/>
        <v/>
      </c>
      <c r="BS27" s="175" t="str">
        <f t="shared" si="8"/>
        <v/>
      </c>
      <c r="BT27" s="175" t="str">
        <f t="shared" si="8"/>
        <v/>
      </c>
      <c r="BU27" s="175" t="str">
        <f t="shared" si="8"/>
        <v/>
      </c>
      <c r="BV27" s="175" t="str">
        <f t="shared" si="8"/>
        <v/>
      </c>
    </row>
    <row r="28" spans="1:74" ht="20.100000000000001" customHeight="1" thickTop="1">
      <c r="A28" s="176" t="s">
        <v>863</v>
      </c>
      <c r="B28" s="234" t="s">
        <v>668</v>
      </c>
      <c r="C28" s="260" t="str">
        <f>IF($C$16=$BW$2,Initial!$AI$68,IF($C$16=$BW$3,'Year 1'!$AI$68,IF($C$16=$BW$4,'Year 2'!$AI$68,"")))</f>
        <v/>
      </c>
      <c r="D28" s="337"/>
      <c r="E28" s="236" t="str">
        <f>IF(D28="","",EDATE(D28,12)-1)</f>
        <v/>
      </c>
      <c r="F28" s="337"/>
      <c r="G28" s="236" t="str">
        <f t="shared" si="5"/>
        <v/>
      </c>
      <c r="H28" s="337"/>
      <c r="I28" s="236" t="str">
        <f t="shared" si="6"/>
        <v/>
      </c>
      <c r="J28" s="180"/>
      <c r="K28" s="181"/>
      <c r="L28" s="182"/>
      <c r="M28" s="226"/>
      <c r="N28" s="231" t="s">
        <v>668</v>
      </c>
      <c r="O28" s="232" t="str">
        <f t="shared" ref="O28:AT28" si="9">IF(OR($C$14="",$D28=""),"",IF(AND(ISBLANK($D28)=FALSE,O$25-$D28&gt;=0,O$25-$D28&lt;365),"Water Initial",IF(AND(ISBLANK($F28)=FALSE,O$25-$F28&gt;=0,O$25-$F28&lt;365),"Water Year 1",IF(AND(ISBLANK($H28)=FALSE,O$25-$H28&gt;=0,O$25-$H28&lt;365),"Water Year 2",""))))</f>
        <v/>
      </c>
      <c r="P28" s="232" t="str">
        <f t="shared" si="9"/>
        <v/>
      </c>
      <c r="Q28" s="232" t="str">
        <f t="shared" si="9"/>
        <v/>
      </c>
      <c r="R28" s="232" t="str">
        <f t="shared" si="9"/>
        <v/>
      </c>
      <c r="S28" s="232" t="str">
        <f t="shared" si="9"/>
        <v/>
      </c>
      <c r="T28" s="232" t="str">
        <f t="shared" si="9"/>
        <v/>
      </c>
      <c r="U28" s="232" t="str">
        <f t="shared" si="9"/>
        <v/>
      </c>
      <c r="V28" s="232" t="str">
        <f t="shared" si="9"/>
        <v/>
      </c>
      <c r="W28" s="232" t="str">
        <f t="shared" si="9"/>
        <v/>
      </c>
      <c r="X28" s="232" t="str">
        <f t="shared" si="9"/>
        <v/>
      </c>
      <c r="Y28" s="232" t="str">
        <f t="shared" si="9"/>
        <v/>
      </c>
      <c r="Z28" s="232" t="str">
        <f t="shared" si="9"/>
        <v/>
      </c>
      <c r="AA28" s="232" t="str">
        <f t="shared" si="9"/>
        <v/>
      </c>
      <c r="AB28" s="232" t="str">
        <f t="shared" si="9"/>
        <v/>
      </c>
      <c r="AC28" s="232" t="str">
        <f t="shared" si="9"/>
        <v/>
      </c>
      <c r="AD28" s="232" t="str">
        <f t="shared" si="9"/>
        <v/>
      </c>
      <c r="AE28" s="232" t="str">
        <f t="shared" si="9"/>
        <v/>
      </c>
      <c r="AF28" s="232" t="str">
        <f t="shared" si="9"/>
        <v/>
      </c>
      <c r="AG28" s="232" t="str">
        <f t="shared" si="9"/>
        <v/>
      </c>
      <c r="AH28" s="232" t="str">
        <f t="shared" si="9"/>
        <v/>
      </c>
      <c r="AI28" s="232" t="str">
        <f t="shared" si="9"/>
        <v/>
      </c>
      <c r="AJ28" s="232" t="str">
        <f t="shared" si="9"/>
        <v/>
      </c>
      <c r="AK28" s="232" t="str">
        <f t="shared" si="9"/>
        <v/>
      </c>
      <c r="AL28" s="232" t="str">
        <f t="shared" si="9"/>
        <v/>
      </c>
      <c r="AM28" s="232" t="str">
        <f t="shared" si="9"/>
        <v/>
      </c>
      <c r="AN28" s="232" t="str">
        <f t="shared" si="9"/>
        <v/>
      </c>
      <c r="AO28" s="232" t="str">
        <f t="shared" si="9"/>
        <v/>
      </c>
      <c r="AP28" s="232" t="str">
        <f t="shared" si="9"/>
        <v/>
      </c>
      <c r="AQ28" s="232" t="str">
        <f t="shared" si="9"/>
        <v/>
      </c>
      <c r="AR28" s="232" t="str">
        <f t="shared" si="9"/>
        <v/>
      </c>
      <c r="AS28" s="232" t="str">
        <f t="shared" si="9"/>
        <v/>
      </c>
      <c r="AT28" s="232" t="str">
        <f t="shared" si="9"/>
        <v/>
      </c>
      <c r="AU28" s="232" t="str">
        <f t="shared" ref="AU28:BV28" si="10">IF(OR($C$14="",$D28=""),"",IF(AND(ISBLANK($D28)=FALSE,AU$25-$D28&gt;=0,AU$25-$D28&lt;365),"Water Initial",IF(AND(ISBLANK($F28)=FALSE,AU$25-$F28&gt;=0,AU$25-$F28&lt;365),"Water Year 1",IF(AND(ISBLANK($H28)=FALSE,AU$25-$H28&gt;=0,AU$25-$H28&lt;365),"Water Year 2",""))))</f>
        <v/>
      </c>
      <c r="AV28" s="232" t="str">
        <f t="shared" si="10"/>
        <v/>
      </c>
      <c r="AW28" s="232" t="str">
        <f t="shared" si="10"/>
        <v/>
      </c>
      <c r="AX28" s="232" t="str">
        <f t="shared" si="10"/>
        <v/>
      </c>
      <c r="AY28" s="232" t="str">
        <f t="shared" si="10"/>
        <v/>
      </c>
      <c r="AZ28" s="232" t="str">
        <f t="shared" si="10"/>
        <v/>
      </c>
      <c r="BA28" s="232" t="str">
        <f t="shared" si="10"/>
        <v/>
      </c>
      <c r="BB28" s="232" t="str">
        <f t="shared" si="10"/>
        <v/>
      </c>
      <c r="BC28" s="232" t="str">
        <f t="shared" si="10"/>
        <v/>
      </c>
      <c r="BD28" s="232" t="str">
        <f t="shared" si="10"/>
        <v/>
      </c>
      <c r="BE28" s="232" t="str">
        <f t="shared" si="10"/>
        <v/>
      </c>
      <c r="BF28" s="232" t="str">
        <f t="shared" si="10"/>
        <v/>
      </c>
      <c r="BG28" s="232" t="str">
        <f t="shared" si="10"/>
        <v/>
      </c>
      <c r="BH28" s="232" t="str">
        <f t="shared" si="10"/>
        <v/>
      </c>
      <c r="BI28" s="232" t="str">
        <f t="shared" si="10"/>
        <v/>
      </c>
      <c r="BJ28" s="232" t="str">
        <f t="shared" si="10"/>
        <v/>
      </c>
      <c r="BK28" s="232" t="str">
        <f t="shared" si="10"/>
        <v/>
      </c>
      <c r="BL28" s="232" t="str">
        <f t="shared" si="10"/>
        <v/>
      </c>
      <c r="BM28" s="232" t="str">
        <f t="shared" si="10"/>
        <v/>
      </c>
      <c r="BN28" s="232" t="str">
        <f t="shared" si="10"/>
        <v/>
      </c>
      <c r="BO28" s="232" t="str">
        <f t="shared" si="10"/>
        <v/>
      </c>
      <c r="BP28" s="232" t="str">
        <f t="shared" si="10"/>
        <v/>
      </c>
      <c r="BQ28" s="232" t="str">
        <f t="shared" si="10"/>
        <v/>
      </c>
      <c r="BR28" s="232" t="str">
        <f t="shared" si="10"/>
        <v/>
      </c>
      <c r="BS28" s="232" t="str">
        <f t="shared" si="10"/>
        <v/>
      </c>
      <c r="BT28" s="232" t="str">
        <f t="shared" si="10"/>
        <v/>
      </c>
      <c r="BU28" s="232" t="str">
        <f t="shared" si="10"/>
        <v/>
      </c>
      <c r="BV28" s="232" t="str">
        <f t="shared" si="10"/>
        <v/>
      </c>
    </row>
  </sheetData>
  <sheetProtection algorithmName="SHA-512" hashValue="LRtrcIuZqtoAIqKgqzVdeVh9SzhbJuL26RdPRfmFPLj6TGmtspZetzMtKGvmsuyKjo26jwEikuZOsC5uuhzDvw==" saltValue="lBULYS7O7SO2l2uMLYd6DQ==" spinCount="100000" sheet="1" objects="1" scenarios="1"/>
  <customSheetViews>
    <customSheetView guid="{E345A537-ABE6-4DCD-97C2-C197481B2A31}" scale="80" showGridLines="0" fitToPage="1" hiddenColumns="1" topLeftCell="A7">
      <selection activeCell="E22" sqref="E22:I23"/>
      <pageMargins left="0" right="0" top="0" bottom="0" header="0" footer="0"/>
      <pageSetup paperSize="9" orientation="portrait" horizontalDpi="1200" verticalDpi="1200" r:id="rId1"/>
    </customSheetView>
    <customSheetView guid="{3F24B786-6082-4FC5-9BB6-BFF2D0E27157}" showGridLines="0" showRowCol="0" fitToPage="1" hiddenColumns="1">
      <selection activeCell="C5" sqref="C5"/>
      <pageMargins left="0" right="0" top="0" bottom="0" header="0" footer="0"/>
      <pageSetup paperSize="9" orientation="portrait" horizontalDpi="1200" verticalDpi="1200" r:id="rId2"/>
    </customSheetView>
  </customSheetViews>
  <mergeCells count="12">
    <mergeCell ref="E22:I23"/>
    <mergeCell ref="H5:I5"/>
    <mergeCell ref="F9:G9"/>
    <mergeCell ref="F8:G8"/>
    <mergeCell ref="F7:G7"/>
    <mergeCell ref="F6:G6"/>
    <mergeCell ref="F5:G5"/>
    <mergeCell ref="B8:B10"/>
    <mergeCell ref="H9:I9"/>
    <mergeCell ref="H8:I8"/>
    <mergeCell ref="H7:I7"/>
    <mergeCell ref="H6:I6"/>
  </mergeCells>
  <conditionalFormatting sqref="O26:BV26">
    <cfRule type="cellIs" dxfId="120" priority="6" operator="notBetween">
      <formula>0</formula>
      <formula>1065</formula>
    </cfRule>
    <cfRule type="cellIs" dxfId="119" priority="7" operator="between">
      <formula>0</formula>
      <formula>364</formula>
    </cfRule>
    <cfRule type="cellIs" dxfId="118" priority="8" operator="between">
      <formula>365</formula>
      <formula>729</formula>
    </cfRule>
    <cfRule type="cellIs" dxfId="117" priority="9" operator="between">
      <formula>730</formula>
      <formula>1094</formula>
    </cfRule>
  </conditionalFormatting>
  <conditionalFormatting sqref="O26:BV28">
    <cfRule type="expression" dxfId="116" priority="5">
      <formula>OR(O$25=$C$12,O$25=EDATE($C$12,12),O$25=EDATE($C$12,24),O$25=EDATE($C$12,36))</formula>
    </cfRule>
  </conditionalFormatting>
  <conditionalFormatting sqref="O27:BV28">
    <cfRule type="cellIs" dxfId="115" priority="10" stopIfTrue="1" operator="equal">
      <formula>"Initial"</formula>
    </cfRule>
    <cfRule type="cellIs" dxfId="114" priority="11" stopIfTrue="1" operator="equal">
      <formula>"Year 1"</formula>
    </cfRule>
    <cfRule type="cellIs" dxfId="113" priority="12" stopIfTrue="1" operator="equal">
      <formula>"Year 2"</formula>
    </cfRule>
    <cfRule type="expression" dxfId="112" priority="13">
      <formula>AND($E27&lt;EDATE($C$14,3)-1,OR(O$25=$C$14,O$25=EDATE($C$14,1),O$25=EDATE($C$14,2)))</formula>
    </cfRule>
    <cfRule type="expression" dxfId="111" priority="14">
      <formula>AND($G27&lt;EDATE($C$14,15)-1,OR(O$25=EDATE($C$14,12),O$25=EDATE($C$14,13),O$25=EDATE($C$14,14)))</formula>
    </cfRule>
    <cfRule type="expression" dxfId="110" priority="15">
      <formula>AND($I27&lt;EDATE($C$14,27)-1,OR(O$25=EDATE($C$14,24),O$25=EDATE($C$14,25),O$25=EDATE($C$14,26)))</formula>
    </cfRule>
    <cfRule type="cellIs" dxfId="109" priority="16" operator="equal">
      <formula>"Energy Initial"</formula>
    </cfRule>
    <cfRule type="expression" dxfId="108" priority="17">
      <formula>AND(O27="Energy Initial",$F27&lt;&gt;"",$F27&lt;=O$25)</formula>
    </cfRule>
    <cfRule type="cellIs" dxfId="107" priority="18" operator="equal">
      <formula>"Energy Year 1"</formula>
    </cfRule>
    <cfRule type="expression" dxfId="106" priority="19">
      <formula>AND(O27="Energy Year 1",$H27&lt;&gt;"",$H27&lt;=O$25)</formula>
    </cfRule>
    <cfRule type="cellIs" dxfId="105" priority="20" operator="equal">
      <formula>"Energy Year 2"</formula>
    </cfRule>
    <cfRule type="cellIs" dxfId="104" priority="21" operator="equal">
      <formula>"Water Initial"</formula>
    </cfRule>
    <cfRule type="expression" dxfId="103" priority="22">
      <formula>AND(O27="Water Initial",$F27&lt;&gt;"",$F27&lt;=O$25)</formula>
    </cfRule>
    <cfRule type="cellIs" dxfId="102" priority="23" operator="equal">
      <formula>"Water Year 1"</formula>
    </cfRule>
    <cfRule type="expression" dxfId="101" priority="24">
      <formula>AND(O27="Water Year 1",$H27&lt;&gt;"",$H27&lt;=O$25)</formula>
    </cfRule>
    <cfRule type="cellIs" dxfId="100" priority="25" operator="equal">
      <formula>"Water Year 2"</formula>
    </cfRule>
    <cfRule type="expression" dxfId="99" priority="26">
      <formula>OR(AND(O$25-$D27&gt;=365,O$25-$F27&lt;0),AND(O$25-$F27&gt;=365,O$25-$H27&lt;0))</formula>
    </cfRule>
  </conditionalFormatting>
  <dataValidations count="1">
    <dataValidation type="list" allowBlank="1" showInputMessage="1" showErrorMessage="1" sqref="C16" xr:uid="{00000000-0002-0000-0300-000000000000}">
      <formula1>$BW$2:$BW$4</formula1>
    </dataValidation>
  </dataValidations>
  <pageMargins left="0.70866141732283472" right="0.70866141732283472" top="0.74803149606299213" bottom="0.74803149606299213" header="0.31496062992125984" footer="0.31496062992125984"/>
  <pageSetup paperSize="9" orientation="portrait" horizontalDpi="1200" verticalDpi="1200" r:id="rId3"/>
  <ignoredErrors>
    <ignoredError sqref="F26:H26" formula="1"/>
  </ignoredErrors>
  <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129"/>
  <sheetViews>
    <sheetView showGridLines="0" showRowColHeaders="0" topLeftCell="D1" zoomScale="55" zoomScaleNormal="55" zoomScalePageLayoutView="60" workbookViewId="0">
      <pane ySplit="9" topLeftCell="A33" activePane="bottomLeft" state="frozen"/>
      <selection pane="bottomLeft" activeCell="N36" sqref="N36"/>
      <selection activeCell="D1" sqref="D1"/>
    </sheetView>
  </sheetViews>
  <sheetFormatPr defaultColWidth="9" defaultRowHeight="15"/>
  <cols>
    <col min="1" max="3" width="9" style="26" hidden="1" customWidth="1"/>
    <col min="4" max="4" width="5.125" style="26" customWidth="1"/>
    <col min="5" max="5" width="4.5" style="26" customWidth="1"/>
    <col min="6" max="6" width="27.75" style="12" customWidth="1"/>
    <col min="7" max="7" width="51.125" style="12" customWidth="1"/>
    <col min="8" max="8" width="9.125" style="11" customWidth="1"/>
    <col min="9" max="9" width="11.125" style="11" customWidth="1"/>
    <col min="10" max="10" width="40.125" style="12" customWidth="1"/>
    <col min="11" max="11" width="15.375" style="11" customWidth="1"/>
    <col min="12" max="12" width="14" style="34" customWidth="1"/>
    <col min="13" max="13" width="11.125" style="26" customWidth="1"/>
    <col min="14" max="15" width="14" style="11" customWidth="1"/>
    <col min="16" max="16" width="17.75" style="11" hidden="1" customWidth="1"/>
    <col min="17" max="17" width="19.75" style="11" hidden="1" customWidth="1"/>
    <col min="18" max="18" width="15.125" style="11" hidden="1" customWidth="1"/>
    <col min="19" max="19" width="22" style="34" customWidth="1"/>
    <col min="20" max="20" width="9" style="26" customWidth="1"/>
    <col min="21" max="21" width="63.625" style="53" customWidth="1"/>
    <col min="22" max="22" width="15.375" style="26" customWidth="1"/>
    <col min="23" max="23" width="9" style="26" customWidth="1"/>
    <col min="24" max="24" width="60.125" style="26" customWidth="1"/>
    <col min="25" max="25" width="53" style="26" customWidth="1"/>
    <col min="26" max="26" width="56.625" style="26" customWidth="1"/>
    <col min="27" max="27" width="45.75" style="26" customWidth="1"/>
    <col min="28" max="28" width="41.875" style="26" customWidth="1"/>
    <col min="29" max="29" width="9" style="26" customWidth="1"/>
    <col min="30" max="30" width="36.5" style="39" customWidth="1"/>
    <col min="31" max="31" width="34.75" style="39" customWidth="1"/>
    <col min="32" max="32" width="13.375" style="39" customWidth="1"/>
    <col min="33" max="33" width="14.25" style="107" customWidth="1"/>
    <col min="34" max="34" width="50.625" style="26" customWidth="1"/>
    <col min="35" max="35" width="5.5" style="146" customWidth="1"/>
    <col min="36" max="46" width="9" style="26" customWidth="1"/>
    <col min="47" max="16384" width="9" style="26"/>
  </cols>
  <sheetData>
    <row r="1" spans="1:35" ht="45" customHeight="1">
      <c r="A1" s="26" t="s">
        <v>28</v>
      </c>
      <c r="B1" s="26" t="s">
        <v>28</v>
      </c>
      <c r="C1" s="26" t="s">
        <v>28</v>
      </c>
      <c r="F1" s="268" t="s">
        <v>864</v>
      </c>
      <c r="G1" s="267"/>
      <c r="H1" s="267"/>
      <c r="I1" s="267"/>
      <c r="J1" s="267"/>
      <c r="K1" s="19"/>
      <c r="L1" s="32"/>
      <c r="M1" s="33"/>
      <c r="P1" s="11" t="s">
        <v>28</v>
      </c>
      <c r="Q1" s="11" t="s">
        <v>28</v>
      </c>
      <c r="R1" s="11" t="s">
        <v>28</v>
      </c>
      <c r="S1" s="32"/>
      <c r="T1" s="35"/>
      <c r="V1" s="35"/>
      <c r="W1" s="39" t="s">
        <v>28</v>
      </c>
      <c r="X1" s="39" t="s">
        <v>28</v>
      </c>
      <c r="Y1" s="39" t="s">
        <v>28</v>
      </c>
      <c r="Z1" s="39" t="s">
        <v>28</v>
      </c>
      <c r="AA1" s="39" t="s">
        <v>28</v>
      </c>
      <c r="AB1" s="39" t="s">
        <v>28</v>
      </c>
      <c r="AD1" s="39" t="s">
        <v>28</v>
      </c>
      <c r="AE1" s="39" t="s">
        <v>28</v>
      </c>
      <c r="AF1" s="39" t="s">
        <v>28</v>
      </c>
      <c r="AG1" s="107" t="s">
        <v>28</v>
      </c>
      <c r="AH1" s="39" t="s">
        <v>28</v>
      </c>
      <c r="AI1" s="146" t="s">
        <v>28</v>
      </c>
    </row>
    <row r="2" spans="1:35" ht="12.75" customHeight="1">
      <c r="F2" s="13"/>
      <c r="G2" s="329"/>
      <c r="H2" s="14"/>
      <c r="I2" s="14"/>
      <c r="J2" s="14"/>
      <c r="K2" s="15"/>
      <c r="L2" s="32"/>
      <c r="M2" s="33"/>
      <c r="S2" s="32"/>
      <c r="T2" s="35"/>
      <c r="V2" s="35"/>
      <c r="Z2" s="35"/>
      <c r="AA2" s="35"/>
      <c r="AB2" s="35"/>
    </row>
    <row r="3" spans="1:35" ht="45" customHeight="1" thickBot="1">
      <c r="A3" s="36" t="s">
        <v>865</v>
      </c>
      <c r="B3" s="36" t="s">
        <v>866</v>
      </c>
      <c r="C3" s="26" t="s">
        <v>867</v>
      </c>
      <c r="F3" s="168" t="s">
        <v>868</v>
      </c>
      <c r="G3" s="229" t="str">
        <f>IF('Building Information'!C7="","",'Building Information'!C7)</f>
        <v/>
      </c>
      <c r="H3" s="104"/>
      <c r="I3" s="266"/>
      <c r="J3" s="264"/>
      <c r="K3" s="80" t="s">
        <v>869</v>
      </c>
      <c r="L3" s="80" t="s">
        <v>870</v>
      </c>
      <c r="M3" s="81"/>
      <c r="N3" s="80" t="s">
        <v>871</v>
      </c>
      <c r="O3" s="80" t="s">
        <v>872</v>
      </c>
      <c r="P3"/>
      <c r="Q3"/>
      <c r="R3"/>
      <c r="S3" s="37"/>
      <c r="T3" s="441" t="s">
        <v>790</v>
      </c>
      <c r="U3" s="442"/>
      <c r="V3" s="39"/>
      <c r="W3" s="248" t="s">
        <v>873</v>
      </c>
      <c r="X3" s="249"/>
      <c r="Y3" s="249"/>
      <c r="Z3"/>
      <c r="AA3"/>
      <c r="AB3"/>
    </row>
    <row r="4" spans="1:35" ht="45" customHeight="1" thickBot="1">
      <c r="F4" s="169" t="str">
        <f>IF(AND(L4&gt;0,L4=N4,O4=0),"Awarded Rating","Targeted Rating")</f>
        <v>Targeted Rating</v>
      </c>
      <c r="G4" s="358" t="str">
        <f>IF(G2="limit","3 Star - Good Practice",IF(L4&gt;=74.5,"6 Star - World Leadership",IF(L4&gt;=59.5,"5 Star - New Zealand Excellence",IF(L4&gt;=44.5,"4 Star - New Zealand Best Practice",IF(L4&gt;=29.5,"3 Star - Good Practice",IF(L4&gt;=19.5,"2 Star - Average Practice",IF(L4&gt;=9.5,"1 Star - Minimum Practice","")))))))</f>
        <v/>
      </c>
      <c r="H4" s="104"/>
      <c r="I4" s="266"/>
      <c r="J4" s="265"/>
      <c r="K4" s="27">
        <f>K112</f>
        <v>98</v>
      </c>
      <c r="L4" s="359">
        <f>L115</f>
        <v>0</v>
      </c>
      <c r="M4" s="360"/>
      <c r="N4" s="359">
        <f>N112</f>
        <v>0</v>
      </c>
      <c r="O4" s="359">
        <f>O112</f>
        <v>0</v>
      </c>
      <c r="P4"/>
      <c r="Q4" s="58" t="str">
        <f ca="1">IF(AND(Q119=0,Q120=0),"",Q125)</f>
        <v>Complete the Staged Assessment</v>
      </c>
      <c r="R4" s="34"/>
      <c r="S4" s="40"/>
      <c r="T4" s="443"/>
      <c r="U4" s="444" t="s">
        <v>793</v>
      </c>
      <c r="V4" s="39"/>
      <c r="W4" s="261" t="s">
        <v>874</v>
      </c>
      <c r="X4" s="262"/>
      <c r="Y4" s="263"/>
      <c r="Z4"/>
      <c r="AA4"/>
      <c r="AB4"/>
    </row>
    <row r="5" spans="1:35" ht="45" customHeight="1">
      <c r="F5" s="169" t="s">
        <v>525</v>
      </c>
      <c r="G5" s="244" t="s">
        <v>578</v>
      </c>
      <c r="H5" s="104"/>
      <c r="I5" s="266"/>
      <c r="J5" s="265"/>
      <c r="K5" s="56"/>
      <c r="L5" s="57"/>
      <c r="M5" s="29"/>
      <c r="N5" s="57"/>
      <c r="O5" s="57"/>
      <c r="P5" s="57"/>
      <c r="Q5" s="56"/>
      <c r="R5" s="56"/>
      <c r="S5" s="40"/>
      <c r="T5" s="38"/>
      <c r="U5" s="54"/>
      <c r="V5" s="39"/>
      <c r="W5" s="406" t="s">
        <v>875</v>
      </c>
      <c r="X5" s="407"/>
      <c r="Y5" s="408"/>
      <c r="Z5"/>
      <c r="AA5"/>
      <c r="AB5"/>
    </row>
    <row r="6" spans="1:35" ht="45" customHeight="1">
      <c r="F6" s="169" t="s">
        <v>70</v>
      </c>
      <c r="G6" s="310" t="str">
        <f>VLOOKUP(G5,'Building Information'!E6:G9,2,FALSE)</f>
        <v>Fill in the Building Details</v>
      </c>
      <c r="H6" s="104"/>
      <c r="I6" s="266"/>
      <c r="J6" s="265"/>
      <c r="K6" s="56"/>
      <c r="L6" s="57"/>
      <c r="M6" s="29"/>
      <c r="N6" s="57"/>
      <c r="O6" s="57"/>
      <c r="P6" s="57"/>
      <c r="Q6" s="56"/>
      <c r="R6" s="56"/>
      <c r="S6" s="40"/>
      <c r="T6" s="38"/>
      <c r="U6" s="54"/>
      <c r="V6" s="39"/>
      <c r="W6" s="409"/>
      <c r="X6" s="410"/>
      <c r="Y6" s="411"/>
      <c r="Z6"/>
      <c r="AA6"/>
      <c r="AB6"/>
      <c r="AD6" s="39" t="s">
        <v>876</v>
      </c>
    </row>
    <row r="7" spans="1:35" ht="45" customHeight="1">
      <c r="F7" s="170" t="s">
        <v>702</v>
      </c>
      <c r="G7" s="327" t="s">
        <v>876</v>
      </c>
      <c r="H7" s="104"/>
      <c r="I7" s="266"/>
      <c r="J7" s="265"/>
      <c r="K7" s="56"/>
      <c r="L7" s="57"/>
      <c r="M7" s="29"/>
      <c r="N7" s="57"/>
      <c r="O7" s="57"/>
      <c r="P7" s="57"/>
      <c r="Q7" s="56"/>
      <c r="R7" s="56"/>
      <c r="S7" s="40"/>
      <c r="T7" s="38"/>
      <c r="U7" s="54"/>
      <c r="V7" s="39"/>
      <c r="W7" s="405" t="s">
        <v>877</v>
      </c>
      <c r="X7" s="405"/>
      <c r="Y7" s="405"/>
      <c r="Z7"/>
      <c r="AA7"/>
      <c r="AB7"/>
      <c r="AD7" s="39" t="s">
        <v>706</v>
      </c>
    </row>
    <row r="8" spans="1:35" ht="17.25" customHeight="1">
      <c r="G8" s="18"/>
      <c r="H8" s="19"/>
      <c r="I8" s="19"/>
      <c r="J8" s="18"/>
      <c r="K8" s="19"/>
      <c r="L8" s="32"/>
      <c r="M8" s="41"/>
      <c r="N8" s="19"/>
      <c r="O8" s="19"/>
      <c r="P8" s="19"/>
      <c r="Q8" s="19"/>
      <c r="R8" s="19"/>
      <c r="S8" s="32"/>
      <c r="T8" s="35"/>
      <c r="U8" s="55"/>
      <c r="V8" s="35"/>
      <c r="W8" s="412"/>
      <c r="X8" s="412"/>
      <c r="Y8" s="412"/>
      <c r="Z8"/>
      <c r="AA8"/>
      <c r="AB8"/>
      <c r="AD8" s="39" t="s">
        <v>708</v>
      </c>
    </row>
    <row r="9" spans="1:35" ht="45" customHeight="1">
      <c r="E9" s="82" t="s">
        <v>878</v>
      </c>
      <c r="F9" s="83" t="s">
        <v>879</v>
      </c>
      <c r="G9" s="83" t="s">
        <v>880</v>
      </c>
      <c r="H9" s="80" t="s">
        <v>881</v>
      </c>
      <c r="I9" s="80" t="s">
        <v>882</v>
      </c>
      <c r="J9" s="83" t="s">
        <v>883</v>
      </c>
      <c r="K9" s="80" t="s">
        <v>884</v>
      </c>
      <c r="L9" s="80" t="s">
        <v>885</v>
      </c>
      <c r="M9" s="41"/>
      <c r="N9" s="80" t="s">
        <v>886</v>
      </c>
      <c r="O9" s="80" t="s">
        <v>887</v>
      </c>
      <c r="P9" s="80" t="s">
        <v>110</v>
      </c>
      <c r="Q9" s="80" t="s">
        <v>888</v>
      </c>
      <c r="R9" s="80" t="s">
        <v>889</v>
      </c>
      <c r="S9" s="82" t="s">
        <v>890</v>
      </c>
      <c r="T9" s="84"/>
      <c r="U9" s="85" t="s">
        <v>891</v>
      </c>
      <c r="V9" s="35"/>
      <c r="W9" s="85" t="s">
        <v>892</v>
      </c>
      <c r="X9" s="85" t="s">
        <v>893</v>
      </c>
      <c r="Y9" s="85" t="s">
        <v>894</v>
      </c>
      <c r="Z9" s="85" t="s">
        <v>895</v>
      </c>
      <c r="AA9" s="85" t="s">
        <v>896</v>
      </c>
      <c r="AB9" s="85" t="s">
        <v>897</v>
      </c>
    </row>
    <row r="10" spans="1:35" ht="45" customHeight="1">
      <c r="F10" s="24" t="s">
        <v>898</v>
      </c>
      <c r="G10" s="86"/>
      <c r="H10" s="86"/>
      <c r="I10" s="86"/>
      <c r="J10" s="86"/>
      <c r="K10" s="87"/>
      <c r="L10" s="87"/>
      <c r="M10" s="41"/>
      <c r="N10" s="87"/>
      <c r="O10" s="87"/>
      <c r="P10" s="87"/>
      <c r="Q10" s="87" t="str">
        <f ca="1">CONCATENATE(COUNTIF(Q11:Q26,"Comprehensive")," Comprehensive",CHAR(10),COUNTIF(Q11:Q26,"Core")," Core")</f>
        <v>0 Comprehensive
0 Core</v>
      </c>
      <c r="R10" s="87"/>
      <c r="S10" s="88"/>
      <c r="T10" s="84"/>
      <c r="U10" s="89"/>
      <c r="V10" s="35"/>
      <c r="W10" s="245"/>
      <c r="X10" s="245"/>
      <c r="Y10" s="245"/>
      <c r="Z10" s="245"/>
      <c r="AA10" s="245"/>
      <c r="AB10" s="245"/>
    </row>
    <row r="11" spans="1:35" ht="45" customHeight="1">
      <c r="F11" s="90" t="s">
        <v>899</v>
      </c>
      <c r="G11" s="91" t="s">
        <v>900</v>
      </c>
      <c r="H11" s="92">
        <v>1.1000000000000001</v>
      </c>
      <c r="I11" s="92" t="s">
        <v>901</v>
      </c>
      <c r="J11" s="93" t="s">
        <v>902</v>
      </c>
      <c r="K11" s="94">
        <v>1</v>
      </c>
      <c r="L11" s="95"/>
      <c r="M11" s="96"/>
      <c r="N11" s="97" t="str">
        <f t="shared" ref="N11:N26" si="0">IF(OR(S11=$AD$12,S11=$AD$13),L11,"")</f>
        <v/>
      </c>
      <c r="O11" s="97" t="str">
        <f t="shared" ref="O11:O26" si="1">IF(S11=$AD$14,L11,"")</f>
        <v/>
      </c>
      <c r="P11" s="97" t="str">
        <f t="shared" ref="P11:P26" ca="1" si="2">IF(OR(AND(K11="-",L11&lt;&gt;""),C11=TRUE),1,IF(OR(L11="",L11=0),"",RAND()))</f>
        <v/>
      </c>
      <c r="Q11" s="97" t="str">
        <f t="shared" ref="Q11:Q26" ca="1" si="3">IF(P11="","",IF(ROUNDUP(RANK(P11,$P$11:$P$26)/ROUND((COUNT($P$11:$P$26)/2),0),0)=1,"Comprehensive","Core"))</f>
        <v/>
      </c>
      <c r="R11" s="97"/>
      <c r="S11" s="98"/>
      <c r="T11" s="167"/>
      <c r="U11" s="99"/>
      <c r="V11" s="35"/>
      <c r="W11" s="246"/>
      <c r="X11" s="246"/>
      <c r="Y11" s="246"/>
      <c r="Z11" s="246"/>
      <c r="AA11" s="246"/>
      <c r="AB11" s="246"/>
    </row>
    <row r="12" spans="1:35" ht="45" customHeight="1">
      <c r="F12" s="387" t="s">
        <v>43</v>
      </c>
      <c r="G12" s="386" t="s">
        <v>903</v>
      </c>
      <c r="H12" s="92">
        <v>2.1</v>
      </c>
      <c r="I12" s="92" t="s">
        <v>901</v>
      </c>
      <c r="J12" s="93" t="s">
        <v>904</v>
      </c>
      <c r="K12" s="94">
        <v>1</v>
      </c>
      <c r="L12" s="95"/>
      <c r="M12" s="96"/>
      <c r="N12" s="97" t="str">
        <f t="shared" si="0"/>
        <v/>
      </c>
      <c r="O12" s="97" t="str">
        <f t="shared" si="1"/>
        <v/>
      </c>
      <c r="P12" s="97" t="str">
        <f t="shared" ca="1" si="2"/>
        <v/>
      </c>
      <c r="Q12" s="97" t="str">
        <f t="shared" ca="1" si="3"/>
        <v/>
      </c>
      <c r="R12" s="97"/>
      <c r="S12" s="98"/>
      <c r="T12" s="39"/>
      <c r="U12" s="99"/>
      <c r="V12" s="35"/>
      <c r="W12" s="246"/>
      <c r="X12" s="246"/>
      <c r="Y12" s="246"/>
      <c r="Z12" s="246"/>
      <c r="AA12" s="246"/>
      <c r="AB12" s="246"/>
      <c r="AD12" s="250" t="s">
        <v>905</v>
      </c>
    </row>
    <row r="13" spans="1:35" ht="45" customHeight="1">
      <c r="F13" s="387"/>
      <c r="G13" s="386"/>
      <c r="H13" s="92">
        <v>2.2000000000000002</v>
      </c>
      <c r="I13" s="92" t="s">
        <v>901</v>
      </c>
      <c r="J13" s="93" t="s">
        <v>906</v>
      </c>
      <c r="K13" s="94">
        <v>1</v>
      </c>
      <c r="L13" s="95"/>
      <c r="M13" s="96"/>
      <c r="N13" s="97" t="str">
        <f t="shared" si="0"/>
        <v/>
      </c>
      <c r="O13" s="97" t="str">
        <f t="shared" si="1"/>
        <v/>
      </c>
      <c r="P13" s="97" t="str">
        <f t="shared" ca="1" si="2"/>
        <v/>
      </c>
      <c r="Q13" s="97" t="str">
        <f t="shared" ca="1" si="3"/>
        <v/>
      </c>
      <c r="R13" s="97"/>
      <c r="S13" s="98"/>
      <c r="T13" s="39"/>
      <c r="U13" s="99"/>
      <c r="V13" s="35"/>
      <c r="W13" s="247"/>
      <c r="X13" s="247"/>
      <c r="Y13" s="246"/>
      <c r="Z13" s="246"/>
      <c r="AA13" s="247"/>
      <c r="AB13" s="246"/>
      <c r="AD13" s="250" t="s">
        <v>907</v>
      </c>
    </row>
    <row r="14" spans="1:35" ht="45" customHeight="1">
      <c r="F14" s="387" t="s">
        <v>908</v>
      </c>
      <c r="G14" s="386" t="s">
        <v>909</v>
      </c>
      <c r="H14" s="92">
        <v>3.1</v>
      </c>
      <c r="I14" s="92" t="s">
        <v>910</v>
      </c>
      <c r="J14" s="93" t="s">
        <v>911</v>
      </c>
      <c r="K14" s="94">
        <v>1</v>
      </c>
      <c r="L14" s="95"/>
      <c r="M14" s="96"/>
      <c r="N14" s="97" t="str">
        <f t="shared" si="0"/>
        <v/>
      </c>
      <c r="O14" s="97" t="str">
        <f t="shared" si="1"/>
        <v/>
      </c>
      <c r="P14" s="97" t="str">
        <f t="shared" ca="1" si="2"/>
        <v/>
      </c>
      <c r="Q14" s="97" t="str">
        <f t="shared" ca="1" si="3"/>
        <v/>
      </c>
      <c r="R14" s="97"/>
      <c r="S14" s="98"/>
      <c r="T14" s="39"/>
      <c r="U14" s="99"/>
      <c r="V14" s="35"/>
      <c r="W14" s="246"/>
      <c r="X14" s="246"/>
      <c r="Y14" s="246"/>
      <c r="Z14" s="246"/>
      <c r="AA14" s="246"/>
      <c r="AB14" s="246"/>
      <c r="AD14" s="250" t="s">
        <v>912</v>
      </c>
    </row>
    <row r="15" spans="1:35" ht="45" customHeight="1">
      <c r="F15" s="387"/>
      <c r="G15" s="386"/>
      <c r="H15" s="92">
        <v>3.2</v>
      </c>
      <c r="I15" s="92" t="s">
        <v>901</v>
      </c>
      <c r="J15" s="93" t="s">
        <v>913</v>
      </c>
      <c r="K15" s="94">
        <v>1</v>
      </c>
      <c r="L15" s="95"/>
      <c r="M15" s="96"/>
      <c r="N15" s="97" t="str">
        <f t="shared" si="0"/>
        <v/>
      </c>
      <c r="O15" s="97" t="str">
        <f t="shared" si="1"/>
        <v/>
      </c>
      <c r="P15" s="97" t="str">
        <f t="shared" ca="1" si="2"/>
        <v/>
      </c>
      <c r="Q15" s="97" t="str">
        <f t="shared" ca="1" si="3"/>
        <v/>
      </c>
      <c r="R15" s="97"/>
      <c r="S15" s="98"/>
      <c r="T15" s="39"/>
      <c r="U15" s="99"/>
      <c r="V15" s="35"/>
      <c r="W15" s="246"/>
      <c r="X15" s="246"/>
      <c r="Y15" s="246"/>
      <c r="Z15" s="246"/>
      <c r="AA15" s="246"/>
      <c r="AB15" s="246"/>
      <c r="AE15" s="251"/>
    </row>
    <row r="16" spans="1:35" ht="45" customHeight="1">
      <c r="F16" s="387" t="s">
        <v>914</v>
      </c>
      <c r="G16" s="386" t="s">
        <v>915</v>
      </c>
      <c r="H16" s="92">
        <v>4.0999999999999996</v>
      </c>
      <c r="I16" s="92" t="s">
        <v>901</v>
      </c>
      <c r="J16" s="93" t="s">
        <v>916</v>
      </c>
      <c r="K16" s="94">
        <v>1</v>
      </c>
      <c r="L16" s="95"/>
      <c r="M16" s="96"/>
      <c r="N16" s="97" t="str">
        <f t="shared" si="0"/>
        <v/>
      </c>
      <c r="O16" s="97" t="str">
        <f t="shared" si="1"/>
        <v/>
      </c>
      <c r="P16" s="97" t="str">
        <f t="shared" ca="1" si="2"/>
        <v/>
      </c>
      <c r="Q16" s="97" t="str">
        <f t="shared" ca="1" si="3"/>
        <v/>
      </c>
      <c r="R16" s="97"/>
      <c r="S16" s="98"/>
      <c r="T16" s="39"/>
      <c r="U16" s="99"/>
      <c r="V16" s="35"/>
      <c r="W16" s="246"/>
      <c r="X16" s="246"/>
      <c r="Y16" s="246"/>
      <c r="Z16" s="246"/>
      <c r="AA16" s="246"/>
      <c r="AB16" s="246"/>
      <c r="AE16" s="251"/>
    </row>
    <row r="17" spans="6:32" ht="45" customHeight="1">
      <c r="F17" s="387"/>
      <c r="G17" s="386"/>
      <c r="H17" s="92">
        <v>4.2</v>
      </c>
      <c r="I17" s="92" t="s">
        <v>901</v>
      </c>
      <c r="J17" s="93" t="s">
        <v>917</v>
      </c>
      <c r="K17" s="94">
        <v>1</v>
      </c>
      <c r="L17" s="95"/>
      <c r="M17" s="96"/>
      <c r="N17" s="97" t="str">
        <f t="shared" si="0"/>
        <v/>
      </c>
      <c r="O17" s="97" t="str">
        <f t="shared" si="1"/>
        <v/>
      </c>
      <c r="P17" s="97" t="str">
        <f t="shared" ca="1" si="2"/>
        <v/>
      </c>
      <c r="Q17" s="97" t="str">
        <f t="shared" ca="1" si="3"/>
        <v/>
      </c>
      <c r="R17" s="97"/>
      <c r="S17" s="98"/>
      <c r="T17" s="39"/>
      <c r="U17" s="99"/>
      <c r="V17" s="35"/>
      <c r="W17" s="246"/>
      <c r="X17" s="246"/>
      <c r="Y17" s="246"/>
      <c r="Z17" s="246"/>
      <c r="AA17" s="246"/>
      <c r="AB17" s="246"/>
    </row>
    <row r="18" spans="6:32" ht="45" customHeight="1">
      <c r="F18" s="387" t="s">
        <v>918</v>
      </c>
      <c r="G18" s="386" t="s">
        <v>919</v>
      </c>
      <c r="H18" s="92">
        <v>5.0999999999999996</v>
      </c>
      <c r="I18" s="92" t="s">
        <v>920</v>
      </c>
      <c r="J18" s="93" t="s">
        <v>921</v>
      </c>
      <c r="K18" s="94">
        <v>1</v>
      </c>
      <c r="L18" s="95"/>
      <c r="M18" s="96"/>
      <c r="N18" s="97" t="str">
        <f t="shared" si="0"/>
        <v/>
      </c>
      <c r="O18" s="97" t="str">
        <f t="shared" si="1"/>
        <v/>
      </c>
      <c r="P18" s="97" t="str">
        <f t="shared" ca="1" si="2"/>
        <v/>
      </c>
      <c r="Q18" s="97" t="str">
        <f t="shared" ca="1" si="3"/>
        <v/>
      </c>
      <c r="R18" s="97"/>
      <c r="S18" s="98"/>
      <c r="T18" s="39"/>
      <c r="U18" s="99"/>
      <c r="V18" s="35"/>
      <c r="W18" s="246"/>
      <c r="X18" s="246"/>
      <c r="Y18" s="246"/>
      <c r="Z18" s="246"/>
      <c r="AA18" s="246"/>
      <c r="AB18" s="246"/>
      <c r="AE18" s="250" t="s">
        <v>478</v>
      </c>
      <c r="AF18" s="256">
        <v>1</v>
      </c>
    </row>
    <row r="19" spans="6:32" ht="45" customHeight="1">
      <c r="F19" s="387"/>
      <c r="G19" s="386"/>
      <c r="H19" s="92">
        <v>5.2</v>
      </c>
      <c r="I19" s="92" t="s">
        <v>901</v>
      </c>
      <c r="J19" s="93" t="s">
        <v>922</v>
      </c>
      <c r="K19" s="94">
        <v>1</v>
      </c>
      <c r="L19" s="95"/>
      <c r="M19" s="96"/>
      <c r="N19" s="97" t="str">
        <f t="shared" si="0"/>
        <v/>
      </c>
      <c r="O19" s="97" t="str">
        <f t="shared" si="1"/>
        <v/>
      </c>
      <c r="P19" s="97" t="str">
        <f t="shared" ca="1" si="2"/>
        <v/>
      </c>
      <c r="Q19" s="97" t="str">
        <f t="shared" ca="1" si="3"/>
        <v/>
      </c>
      <c r="R19" s="97"/>
      <c r="S19" s="98"/>
      <c r="T19" s="39"/>
      <c r="U19" s="99"/>
      <c r="V19" s="35"/>
      <c r="W19" s="246"/>
      <c r="X19" s="246"/>
      <c r="Y19" s="246"/>
      <c r="Z19" s="246"/>
      <c r="AA19" s="246"/>
      <c r="AB19" s="246"/>
      <c r="AE19" s="250" t="s">
        <v>923</v>
      </c>
      <c r="AF19" s="256">
        <v>2</v>
      </c>
    </row>
    <row r="20" spans="6:32" ht="45" customHeight="1">
      <c r="F20" s="387"/>
      <c r="G20" s="386"/>
      <c r="H20" s="92">
        <v>5.3</v>
      </c>
      <c r="I20" s="92" t="s">
        <v>901</v>
      </c>
      <c r="J20" s="93" t="s">
        <v>924</v>
      </c>
      <c r="K20" s="94">
        <v>1</v>
      </c>
      <c r="L20" s="95"/>
      <c r="M20" s="96"/>
      <c r="N20" s="97" t="str">
        <f t="shared" si="0"/>
        <v/>
      </c>
      <c r="O20" s="97" t="str">
        <f t="shared" si="1"/>
        <v/>
      </c>
      <c r="P20" s="97" t="str">
        <f t="shared" ca="1" si="2"/>
        <v/>
      </c>
      <c r="Q20" s="97" t="str">
        <f t="shared" ca="1" si="3"/>
        <v/>
      </c>
      <c r="R20" s="97"/>
      <c r="S20" s="98"/>
      <c r="T20" s="39"/>
      <c r="U20" s="99"/>
      <c r="V20" s="35"/>
      <c r="W20" s="246"/>
      <c r="X20" s="246"/>
      <c r="Y20" s="246"/>
      <c r="Z20" s="246"/>
      <c r="AA20" s="246"/>
      <c r="AB20" s="246"/>
      <c r="AF20" s="256">
        <v>3</v>
      </c>
    </row>
    <row r="21" spans="6:32" ht="45" customHeight="1">
      <c r="F21" s="379" t="s">
        <v>925</v>
      </c>
      <c r="G21" s="388" t="s">
        <v>926</v>
      </c>
      <c r="H21" s="92">
        <v>6.1</v>
      </c>
      <c r="I21" s="92" t="s">
        <v>920</v>
      </c>
      <c r="J21" s="93" t="s">
        <v>927</v>
      </c>
      <c r="K21" s="94">
        <v>1</v>
      </c>
      <c r="L21" s="95"/>
      <c r="M21" s="96"/>
      <c r="N21" s="97" t="str">
        <f t="shared" si="0"/>
        <v/>
      </c>
      <c r="O21" s="97" t="str">
        <f t="shared" si="1"/>
        <v/>
      </c>
      <c r="P21" s="97" t="str">
        <f t="shared" ca="1" si="2"/>
        <v/>
      </c>
      <c r="Q21" s="97" t="str">
        <f t="shared" ca="1" si="3"/>
        <v/>
      </c>
      <c r="R21" s="97"/>
      <c r="S21" s="98"/>
      <c r="T21" s="39"/>
      <c r="U21" s="99"/>
      <c r="V21" s="35"/>
      <c r="W21" s="246"/>
      <c r="X21" s="246"/>
      <c r="Y21" s="246"/>
      <c r="Z21" s="246"/>
      <c r="AA21" s="246"/>
      <c r="AB21" s="246"/>
    </row>
    <row r="22" spans="6:32" ht="45" customHeight="1">
      <c r="F22" s="379"/>
      <c r="G22" s="388"/>
      <c r="H22" s="92">
        <v>6.2</v>
      </c>
      <c r="I22" s="92" t="s">
        <v>901</v>
      </c>
      <c r="J22" s="93" t="s">
        <v>928</v>
      </c>
      <c r="K22" s="94">
        <v>1</v>
      </c>
      <c r="L22" s="95"/>
      <c r="M22" s="96"/>
      <c r="N22" s="97" t="str">
        <f t="shared" si="0"/>
        <v/>
      </c>
      <c r="O22" s="97" t="str">
        <f t="shared" si="1"/>
        <v/>
      </c>
      <c r="P22" s="97" t="str">
        <f t="shared" ca="1" si="2"/>
        <v/>
      </c>
      <c r="Q22" s="97" t="str">
        <f t="shared" ca="1" si="3"/>
        <v/>
      </c>
      <c r="R22" s="97"/>
      <c r="S22" s="98"/>
      <c r="T22" s="39"/>
      <c r="U22" s="99"/>
      <c r="V22" s="35"/>
      <c r="W22" s="246"/>
      <c r="X22" s="246"/>
      <c r="Y22" s="246"/>
      <c r="Z22" s="246"/>
      <c r="AA22" s="246"/>
      <c r="AB22" s="246"/>
    </row>
    <row r="23" spans="6:32" ht="45" customHeight="1">
      <c r="F23" s="379"/>
      <c r="G23" s="388"/>
      <c r="H23" s="92">
        <v>6.3</v>
      </c>
      <c r="I23" s="92" t="s">
        <v>901</v>
      </c>
      <c r="J23" s="93" t="s">
        <v>929</v>
      </c>
      <c r="K23" s="94">
        <v>1</v>
      </c>
      <c r="L23" s="95"/>
      <c r="M23" s="96"/>
      <c r="N23" s="97" t="str">
        <f t="shared" si="0"/>
        <v/>
      </c>
      <c r="O23" s="97" t="str">
        <f t="shared" si="1"/>
        <v/>
      </c>
      <c r="P23" s="97" t="str">
        <f t="shared" ca="1" si="2"/>
        <v/>
      </c>
      <c r="Q23" s="97" t="str">
        <f t="shared" ca="1" si="3"/>
        <v/>
      </c>
      <c r="R23" s="97"/>
      <c r="S23" s="98"/>
      <c r="T23" s="39"/>
      <c r="U23" s="99"/>
      <c r="V23" s="35"/>
      <c r="W23" s="246"/>
      <c r="X23" s="246"/>
      <c r="Y23" s="246"/>
      <c r="Z23" s="246"/>
      <c r="AA23" s="246"/>
      <c r="AB23" s="246"/>
    </row>
    <row r="24" spans="6:32" ht="45" customHeight="1">
      <c r="F24" s="387" t="s">
        <v>930</v>
      </c>
      <c r="G24" s="386" t="s">
        <v>931</v>
      </c>
      <c r="H24" s="92">
        <v>7.1</v>
      </c>
      <c r="I24" s="92" t="s">
        <v>920</v>
      </c>
      <c r="J24" s="93" t="s">
        <v>932</v>
      </c>
      <c r="K24" s="94">
        <v>2</v>
      </c>
      <c r="L24" s="95"/>
      <c r="M24" s="96"/>
      <c r="N24" s="97" t="str">
        <f t="shared" si="0"/>
        <v/>
      </c>
      <c r="O24" s="97" t="str">
        <f t="shared" si="1"/>
        <v/>
      </c>
      <c r="P24" s="97" t="str">
        <f t="shared" ca="1" si="2"/>
        <v/>
      </c>
      <c r="Q24" s="97" t="str">
        <f t="shared" ca="1" si="3"/>
        <v/>
      </c>
      <c r="R24" s="97"/>
      <c r="S24" s="98"/>
      <c r="T24" s="39"/>
      <c r="U24" s="99"/>
      <c r="V24" s="35"/>
      <c r="W24" s="246"/>
      <c r="X24" s="246"/>
      <c r="Y24" s="246"/>
      <c r="Z24" s="246"/>
      <c r="AA24" s="246"/>
      <c r="AB24" s="246"/>
    </row>
    <row r="25" spans="6:32" ht="45" customHeight="1">
      <c r="F25" s="387"/>
      <c r="G25" s="386"/>
      <c r="H25" s="92">
        <v>7.2</v>
      </c>
      <c r="I25" s="92" t="s">
        <v>920</v>
      </c>
      <c r="J25" s="93" t="s">
        <v>933</v>
      </c>
      <c r="K25" s="94">
        <v>1</v>
      </c>
      <c r="L25" s="95"/>
      <c r="M25" s="41"/>
      <c r="N25" s="97" t="str">
        <f t="shared" si="0"/>
        <v/>
      </c>
      <c r="O25" s="97" t="str">
        <f t="shared" si="1"/>
        <v/>
      </c>
      <c r="P25" s="97" t="str">
        <f t="shared" ca="1" si="2"/>
        <v/>
      </c>
      <c r="Q25" s="97" t="str">
        <f t="shared" ca="1" si="3"/>
        <v/>
      </c>
      <c r="R25" s="97"/>
      <c r="S25" s="98"/>
      <c r="T25" s="39"/>
      <c r="U25" s="99"/>
      <c r="V25" s="35"/>
      <c r="W25" s="246"/>
      <c r="X25" s="246"/>
      <c r="Y25" s="246"/>
      <c r="Z25" s="246"/>
      <c r="AA25" s="246"/>
      <c r="AB25" s="246"/>
    </row>
    <row r="26" spans="6:32" ht="45" customHeight="1">
      <c r="F26" s="387"/>
      <c r="G26" s="386"/>
      <c r="H26" s="92">
        <v>7.3</v>
      </c>
      <c r="I26" s="92" t="s">
        <v>920</v>
      </c>
      <c r="J26" s="93" t="s">
        <v>934</v>
      </c>
      <c r="K26" s="94">
        <v>1</v>
      </c>
      <c r="L26" s="95"/>
      <c r="M26" s="41"/>
      <c r="N26" s="97" t="str">
        <f t="shared" si="0"/>
        <v/>
      </c>
      <c r="O26" s="97" t="str">
        <f t="shared" si="1"/>
        <v/>
      </c>
      <c r="P26" s="97" t="str">
        <f t="shared" ca="1" si="2"/>
        <v/>
      </c>
      <c r="Q26" s="97" t="str">
        <f t="shared" ca="1" si="3"/>
        <v/>
      </c>
      <c r="R26" s="97"/>
      <c r="S26" s="98"/>
      <c r="T26" s="39"/>
      <c r="U26" s="99"/>
      <c r="V26" s="35"/>
      <c r="W26" s="246"/>
      <c r="X26" s="246"/>
      <c r="Y26" s="246"/>
      <c r="Z26" s="246"/>
      <c r="AA26" s="246"/>
      <c r="AB26" s="246"/>
    </row>
    <row r="27" spans="6:32" ht="45" customHeight="1">
      <c r="F27" s="100" t="s">
        <v>486</v>
      </c>
      <c r="G27" s="100"/>
      <c r="H27" s="101"/>
      <c r="I27" s="101"/>
      <c r="J27" s="100"/>
      <c r="K27" s="101">
        <f>SUM(K11:K26)</f>
        <v>17</v>
      </c>
      <c r="L27" s="102">
        <f>SUM(L11:L26)</f>
        <v>0</v>
      </c>
      <c r="M27" s="41"/>
      <c r="N27" s="103">
        <f>SUM(N11:N26)</f>
        <v>0</v>
      </c>
      <c r="O27" s="101">
        <f>SUM(O11:O26)</f>
        <v>0</v>
      </c>
      <c r="P27" s="104"/>
      <c r="Q27" s="105"/>
      <c r="R27" s="105"/>
      <c r="S27" s="106"/>
      <c r="T27" s="107"/>
      <c r="U27" s="108"/>
      <c r="V27" s="35"/>
      <c r="W27" s="39"/>
      <c r="X27" s="39"/>
      <c r="Y27" s="39"/>
      <c r="Z27" s="39"/>
      <c r="AA27" s="39"/>
      <c r="AB27" s="39"/>
    </row>
    <row r="28" spans="6:32" ht="45" customHeight="1">
      <c r="F28" s="109"/>
      <c r="G28" s="110"/>
      <c r="H28" s="111"/>
      <c r="I28" s="111"/>
      <c r="J28" s="110"/>
      <c r="K28" s="112"/>
      <c r="L28" s="113"/>
      <c r="M28" s="41"/>
      <c r="N28" s="114"/>
      <c r="O28" s="115"/>
      <c r="P28" s="115"/>
      <c r="Q28" s="112"/>
      <c r="R28" s="112"/>
      <c r="S28" s="116"/>
      <c r="T28" s="39"/>
      <c r="U28" s="54"/>
      <c r="V28" s="35"/>
      <c r="W28" s="39"/>
      <c r="X28" s="39"/>
      <c r="Y28" s="39"/>
      <c r="Z28" s="39"/>
      <c r="AA28" s="39"/>
      <c r="AB28" s="39"/>
    </row>
    <row r="29" spans="6:32" ht="45" customHeight="1">
      <c r="F29" s="25" t="s">
        <v>935</v>
      </c>
      <c r="G29" s="117"/>
      <c r="H29" s="117"/>
      <c r="I29" s="117"/>
      <c r="J29" s="117"/>
      <c r="K29" s="117"/>
      <c r="L29" s="118"/>
      <c r="M29" s="41"/>
      <c r="N29" s="119"/>
      <c r="O29" s="119"/>
      <c r="P29" s="87"/>
      <c r="Q29" s="87" t="str">
        <f ca="1">CONCATENATE(COUNTIF(Q30:Q45,"Comprehensive")," Comprehensive",CHAR(10),COUNTIF(Q30:Q45,"Core")," Core")</f>
        <v>0 Comprehensive
0 Core</v>
      </c>
      <c r="R29" s="120"/>
      <c r="S29" s="121"/>
      <c r="T29" s="39"/>
      <c r="U29" s="122"/>
      <c r="V29" s="35"/>
      <c r="W29" s="245"/>
      <c r="X29" s="245"/>
      <c r="Y29" s="245"/>
      <c r="Z29" s="245"/>
      <c r="AA29" s="245"/>
      <c r="AB29" s="245"/>
    </row>
    <row r="30" spans="6:32" ht="45" customHeight="1">
      <c r="F30" s="400" t="s">
        <v>936</v>
      </c>
      <c r="G30" s="401" t="s">
        <v>937</v>
      </c>
      <c r="H30" s="123">
        <v>8.1</v>
      </c>
      <c r="I30" s="123" t="s">
        <v>901</v>
      </c>
      <c r="J30" s="124" t="s">
        <v>938</v>
      </c>
      <c r="K30" s="125">
        <v>1</v>
      </c>
      <c r="L30" s="126"/>
      <c r="M30" s="41"/>
      <c r="N30" s="97" t="str">
        <f t="shared" ref="N30:N45" si="4">IF(OR(S30=$AD$12,S30=$AD$13),L30,"")</f>
        <v/>
      </c>
      <c r="O30" s="97" t="str">
        <f t="shared" ref="O30:O45" si="5">IF(S30=$AD$14,L30,"")</f>
        <v/>
      </c>
      <c r="P30" s="97" t="str">
        <f t="shared" ref="P30:P45" ca="1" si="6">IF(OR(AND(K30="-",L30&lt;&gt;""),C30=TRUE),1,IF(OR(L30="",L30=0),"",RAND()))</f>
        <v/>
      </c>
      <c r="Q30" s="97" t="str">
        <f t="shared" ref="Q30:Q45" ca="1" si="7">IF(P30="","",IF(ROUNDUP(RANK(P30,$P$30:$P$45)/ROUND((COUNT($P$30:$P$45)/2),0),0)=1,"Comprehensive","Core"))</f>
        <v/>
      </c>
      <c r="R30" s="97"/>
      <c r="S30" s="127"/>
      <c r="T30" s="39"/>
      <c r="U30" s="99"/>
      <c r="V30" s="35"/>
      <c r="W30" s="246"/>
      <c r="X30" s="246"/>
      <c r="Y30" s="246"/>
      <c r="Z30" s="246"/>
      <c r="AA30" s="246"/>
      <c r="AB30" s="246"/>
    </row>
    <row r="31" spans="6:32" ht="45" customHeight="1">
      <c r="F31" s="400"/>
      <c r="G31" s="402"/>
      <c r="H31" s="123">
        <v>8.1999999999999993</v>
      </c>
      <c r="I31" s="123" t="s">
        <v>901</v>
      </c>
      <c r="J31" s="124" t="s">
        <v>939</v>
      </c>
      <c r="K31" s="125">
        <v>1</v>
      </c>
      <c r="L31" s="126"/>
      <c r="M31" s="41"/>
      <c r="N31" s="97" t="str">
        <f t="shared" si="4"/>
        <v/>
      </c>
      <c r="O31" s="97" t="str">
        <f t="shared" si="5"/>
        <v/>
      </c>
      <c r="P31" s="97" t="str">
        <f t="shared" ca="1" si="6"/>
        <v/>
      </c>
      <c r="Q31" s="97" t="str">
        <f t="shared" ca="1" si="7"/>
        <v/>
      </c>
      <c r="R31" s="97"/>
      <c r="S31" s="127"/>
      <c r="T31" s="39"/>
      <c r="U31" s="99"/>
      <c r="V31" s="35"/>
      <c r="W31" s="246"/>
      <c r="X31" s="246"/>
      <c r="Y31" s="246"/>
      <c r="Z31" s="246"/>
      <c r="AA31" s="246"/>
      <c r="AB31" s="246"/>
    </row>
    <row r="32" spans="6:32" ht="45" customHeight="1">
      <c r="F32" s="400"/>
      <c r="G32" s="403"/>
      <c r="H32" s="123">
        <v>8.3000000000000007</v>
      </c>
      <c r="I32" s="123" t="s">
        <v>56</v>
      </c>
      <c r="J32" s="124" t="s">
        <v>940</v>
      </c>
      <c r="K32" s="125">
        <v>2</v>
      </c>
      <c r="L32" s="126"/>
      <c r="M32" s="41"/>
      <c r="N32" s="97" t="str">
        <f t="shared" si="4"/>
        <v/>
      </c>
      <c r="O32" s="97" t="str">
        <f t="shared" si="5"/>
        <v/>
      </c>
      <c r="P32" s="97" t="str">
        <f t="shared" ca="1" si="6"/>
        <v/>
      </c>
      <c r="Q32" s="97" t="str">
        <f t="shared" ca="1" si="7"/>
        <v/>
      </c>
      <c r="R32" s="97"/>
      <c r="S32" s="127"/>
      <c r="T32" s="39"/>
      <c r="U32" s="99"/>
      <c r="V32" s="35"/>
      <c r="W32" s="246"/>
      <c r="X32" s="246"/>
      <c r="Y32" s="246"/>
      <c r="Z32" s="246"/>
      <c r="AA32" s="246"/>
      <c r="AB32" s="246"/>
    </row>
    <row r="33" spans="1:35" ht="45" customHeight="1">
      <c r="A33" s="26">
        <v>1</v>
      </c>
      <c r="B33" s="26">
        <f>IF(C33=TRUE,A33,0)</f>
        <v>0</v>
      </c>
      <c r="C33" s="26" t="b">
        <v>0</v>
      </c>
      <c r="F33" s="400" t="s">
        <v>941</v>
      </c>
      <c r="G33" s="401" t="s">
        <v>942</v>
      </c>
      <c r="H33" s="123">
        <v>9.1</v>
      </c>
      <c r="I33" s="123" t="s">
        <v>901</v>
      </c>
      <c r="J33" s="124" t="s">
        <v>943</v>
      </c>
      <c r="K33" s="125">
        <f>IF(C33=FALSE,A33,0)</f>
        <v>1</v>
      </c>
      <c r="L33" s="126"/>
      <c r="M33" s="41"/>
      <c r="N33" s="97" t="str">
        <f t="shared" si="4"/>
        <v/>
      </c>
      <c r="O33" s="97" t="str">
        <f t="shared" si="5"/>
        <v/>
      </c>
      <c r="P33" s="97" t="str">
        <f t="shared" ca="1" si="6"/>
        <v/>
      </c>
      <c r="Q33" s="97" t="str">
        <f t="shared" ca="1" si="7"/>
        <v/>
      </c>
      <c r="R33" s="97"/>
      <c r="S33" s="127"/>
      <c r="T33" s="39"/>
      <c r="U33" s="99"/>
      <c r="V33" s="35"/>
      <c r="W33" s="246"/>
      <c r="X33" s="246"/>
      <c r="Y33" s="246"/>
      <c r="Z33" s="246"/>
      <c r="AA33" s="246"/>
      <c r="AB33" s="246"/>
    </row>
    <row r="34" spans="1:35" ht="45" customHeight="1">
      <c r="A34" s="26">
        <v>1</v>
      </c>
      <c r="B34" s="26">
        <f>IF(C34=TRUE,A34,0)</f>
        <v>0</v>
      </c>
      <c r="C34" s="26" t="b">
        <v>0</v>
      </c>
      <c r="F34" s="400"/>
      <c r="G34" s="403"/>
      <c r="H34" s="123">
        <v>9.1999999999999993</v>
      </c>
      <c r="I34" s="123" t="s">
        <v>901</v>
      </c>
      <c r="J34" s="124" t="s">
        <v>944</v>
      </c>
      <c r="K34" s="125">
        <f>IF(C34=FALSE,A34,0)</f>
        <v>1</v>
      </c>
      <c r="L34" s="126"/>
      <c r="M34" s="41"/>
      <c r="N34" s="97" t="str">
        <f t="shared" si="4"/>
        <v/>
      </c>
      <c r="O34" s="97" t="str">
        <f t="shared" si="5"/>
        <v/>
      </c>
      <c r="P34" s="97" t="str">
        <f t="shared" ca="1" si="6"/>
        <v/>
      </c>
      <c r="Q34" s="97" t="str">
        <f t="shared" ca="1" si="7"/>
        <v/>
      </c>
      <c r="R34" s="97"/>
      <c r="S34" s="127"/>
      <c r="T34" s="39"/>
      <c r="U34" s="99"/>
      <c r="V34" s="35"/>
      <c r="W34" s="246"/>
      <c r="X34" s="246"/>
      <c r="Y34" s="246"/>
      <c r="Z34" s="246"/>
      <c r="AA34" s="246"/>
      <c r="AB34" s="246"/>
    </row>
    <row r="35" spans="1:35" ht="45" customHeight="1">
      <c r="F35" s="400" t="s">
        <v>945</v>
      </c>
      <c r="G35" s="401" t="s">
        <v>946</v>
      </c>
      <c r="H35" s="123">
        <v>10.1</v>
      </c>
      <c r="I35" s="123" t="s">
        <v>901</v>
      </c>
      <c r="J35" s="124" t="s">
        <v>947</v>
      </c>
      <c r="K35" s="125">
        <v>1</v>
      </c>
      <c r="L35" s="126"/>
      <c r="M35" s="41"/>
      <c r="N35" s="97" t="str">
        <f t="shared" si="4"/>
        <v/>
      </c>
      <c r="O35" s="97" t="str">
        <f t="shared" si="5"/>
        <v/>
      </c>
      <c r="P35" s="97" t="str">
        <f t="shared" ca="1" si="6"/>
        <v/>
      </c>
      <c r="Q35" s="97" t="str">
        <f t="shared" ca="1" si="7"/>
        <v/>
      </c>
      <c r="R35" s="97"/>
      <c r="S35" s="127"/>
      <c r="T35" s="39"/>
      <c r="U35" s="99"/>
      <c r="V35" s="35"/>
      <c r="W35" s="246"/>
      <c r="X35" s="246"/>
      <c r="Y35" s="246"/>
      <c r="Z35" s="246"/>
      <c r="AA35" s="246"/>
      <c r="AB35" s="246"/>
    </row>
    <row r="36" spans="1:35" ht="45" customHeight="1">
      <c r="F36" s="400"/>
      <c r="G36" s="403"/>
      <c r="H36" s="123">
        <v>10.199999999999999</v>
      </c>
      <c r="I36" s="123" t="s">
        <v>56</v>
      </c>
      <c r="J36" s="124" t="s">
        <v>948</v>
      </c>
      <c r="K36" s="125">
        <v>1</v>
      </c>
      <c r="L36" s="126"/>
      <c r="M36" s="41"/>
      <c r="N36" s="97" t="str">
        <f>IF(OR(S36=$AD$12,S36=$AD$13),L36,"")</f>
        <v/>
      </c>
      <c r="O36" s="97" t="str">
        <f t="shared" si="5"/>
        <v/>
      </c>
      <c r="P36" s="97" t="str">
        <f t="shared" ca="1" si="6"/>
        <v/>
      </c>
      <c r="Q36" s="97" t="str">
        <f t="shared" ca="1" si="7"/>
        <v/>
      </c>
      <c r="R36" s="97"/>
      <c r="S36" s="127"/>
      <c r="T36" s="39"/>
      <c r="U36" s="99"/>
      <c r="V36" s="35"/>
      <c r="W36" s="246"/>
      <c r="X36" s="246"/>
      <c r="Y36" s="246"/>
      <c r="Z36" s="246"/>
      <c r="AA36" s="246"/>
      <c r="AB36" s="246"/>
    </row>
    <row r="37" spans="1:35" ht="45" customHeight="1">
      <c r="F37" s="400" t="s">
        <v>949</v>
      </c>
      <c r="G37" s="401" t="s">
        <v>950</v>
      </c>
      <c r="H37" s="123">
        <v>11.1</v>
      </c>
      <c r="I37" s="123" t="s">
        <v>910</v>
      </c>
      <c r="J37" s="124" t="s">
        <v>951</v>
      </c>
      <c r="K37" s="125">
        <v>1</v>
      </c>
      <c r="L37" s="126"/>
      <c r="M37" s="41"/>
      <c r="N37" s="97" t="str">
        <f t="shared" si="4"/>
        <v/>
      </c>
      <c r="O37" s="97" t="str">
        <f t="shared" si="5"/>
        <v/>
      </c>
      <c r="P37" s="97" t="str">
        <f t="shared" ca="1" si="6"/>
        <v/>
      </c>
      <c r="Q37" s="97" t="str">
        <f t="shared" ca="1" si="7"/>
        <v/>
      </c>
      <c r="R37" s="97"/>
      <c r="S37" s="127"/>
      <c r="T37" s="39"/>
      <c r="U37" s="99"/>
      <c r="V37" s="35"/>
      <c r="W37" s="246"/>
      <c r="X37" s="246"/>
      <c r="Y37" s="246"/>
      <c r="Z37" s="246"/>
      <c r="AA37" s="246"/>
      <c r="AB37" s="246"/>
    </row>
    <row r="38" spans="1:35" ht="45" customHeight="1">
      <c r="F38" s="400"/>
      <c r="G38" s="403"/>
      <c r="H38" s="123">
        <v>11.2</v>
      </c>
      <c r="I38" s="123" t="s">
        <v>910</v>
      </c>
      <c r="J38" s="124" t="s">
        <v>952</v>
      </c>
      <c r="K38" s="125">
        <v>1</v>
      </c>
      <c r="L38" s="126"/>
      <c r="M38" s="41"/>
      <c r="N38" s="97" t="str">
        <f t="shared" si="4"/>
        <v/>
      </c>
      <c r="O38" s="97" t="str">
        <f t="shared" si="5"/>
        <v/>
      </c>
      <c r="P38" s="97" t="str">
        <f t="shared" ca="1" si="6"/>
        <v/>
      </c>
      <c r="Q38" s="97" t="str">
        <f t="shared" ca="1" si="7"/>
        <v/>
      </c>
      <c r="R38" s="97"/>
      <c r="S38" s="127"/>
      <c r="T38" s="39"/>
      <c r="U38" s="99"/>
      <c r="V38" s="35"/>
      <c r="W38" s="246"/>
      <c r="X38" s="246"/>
      <c r="Y38" s="246"/>
      <c r="Z38" s="246"/>
      <c r="AA38" s="246"/>
      <c r="AB38" s="246"/>
    </row>
    <row r="39" spans="1:35" ht="45" customHeight="1">
      <c r="F39" s="400" t="s">
        <v>953</v>
      </c>
      <c r="G39" s="383" t="s">
        <v>954</v>
      </c>
      <c r="H39" s="123" t="s">
        <v>955</v>
      </c>
      <c r="I39" s="123" t="s">
        <v>56</v>
      </c>
      <c r="J39" s="124" t="s">
        <v>956</v>
      </c>
      <c r="K39" s="125">
        <f>IF($G$39=$AD$39,2,0)</f>
        <v>2</v>
      </c>
      <c r="L39" s="126"/>
      <c r="M39" s="41"/>
      <c r="N39" s="97" t="str">
        <f t="shared" si="4"/>
        <v/>
      </c>
      <c r="O39" s="97" t="str">
        <f t="shared" si="5"/>
        <v/>
      </c>
      <c r="P39" s="97" t="str">
        <f t="shared" ca="1" si="6"/>
        <v/>
      </c>
      <c r="Q39" s="97" t="str">
        <f t="shared" ca="1" si="7"/>
        <v/>
      </c>
      <c r="R39" s="97"/>
      <c r="S39" s="127"/>
      <c r="T39" s="39"/>
      <c r="U39" s="99"/>
      <c r="V39" s="35"/>
      <c r="W39" s="246"/>
      <c r="X39" s="246"/>
      <c r="Y39" s="246"/>
      <c r="Z39" s="246"/>
      <c r="AA39" s="246"/>
      <c r="AB39" s="246"/>
      <c r="AD39" s="250" t="s">
        <v>954</v>
      </c>
    </row>
    <row r="40" spans="1:35" ht="45" customHeight="1">
      <c r="F40" s="400"/>
      <c r="G40" s="384"/>
      <c r="H40" s="123" t="s">
        <v>957</v>
      </c>
      <c r="I40" s="123" t="s">
        <v>56</v>
      </c>
      <c r="J40" s="124" t="s">
        <v>958</v>
      </c>
      <c r="K40" s="125">
        <f>IF($G$39=$AD$39,1,0)</f>
        <v>1</v>
      </c>
      <c r="L40" s="126"/>
      <c r="M40" s="41"/>
      <c r="N40" s="97" t="str">
        <f t="shared" si="4"/>
        <v/>
      </c>
      <c r="O40" s="97" t="str">
        <f t="shared" si="5"/>
        <v/>
      </c>
      <c r="P40" s="97" t="str">
        <f t="shared" ca="1" si="6"/>
        <v/>
      </c>
      <c r="Q40" s="97" t="str">
        <f t="shared" ca="1" si="7"/>
        <v/>
      </c>
      <c r="R40" s="97"/>
      <c r="S40" s="127"/>
      <c r="T40" s="39"/>
      <c r="U40" s="99"/>
      <c r="V40" s="35"/>
      <c r="W40" s="246"/>
      <c r="X40" s="246"/>
      <c r="Y40" s="246"/>
      <c r="Z40" s="246"/>
      <c r="AA40" s="246"/>
      <c r="AB40" s="246"/>
      <c r="AD40" s="250" t="s">
        <v>959</v>
      </c>
    </row>
    <row r="41" spans="1:35" ht="45" customHeight="1">
      <c r="F41" s="400"/>
      <c r="G41" s="384"/>
      <c r="H41" s="123" t="s">
        <v>960</v>
      </c>
      <c r="I41" s="123" t="s">
        <v>56</v>
      </c>
      <c r="J41" s="124" t="s">
        <v>961</v>
      </c>
      <c r="K41" s="125">
        <f>IF($G$39=$AD$40,2,0)</f>
        <v>0</v>
      </c>
      <c r="L41" s="126"/>
      <c r="M41" s="41"/>
      <c r="N41" s="97" t="str">
        <f t="shared" si="4"/>
        <v/>
      </c>
      <c r="O41" s="97" t="str">
        <f t="shared" si="5"/>
        <v/>
      </c>
      <c r="P41" s="97" t="str">
        <f t="shared" ca="1" si="6"/>
        <v/>
      </c>
      <c r="Q41" s="97" t="str">
        <f t="shared" ca="1" si="7"/>
        <v/>
      </c>
      <c r="R41" s="97"/>
      <c r="S41" s="127"/>
      <c r="T41" s="39"/>
      <c r="U41" s="99"/>
      <c r="V41" s="35"/>
      <c r="W41" s="246"/>
      <c r="X41" s="246"/>
      <c r="Y41" s="246"/>
      <c r="Z41" s="246"/>
      <c r="AA41" s="246"/>
      <c r="AB41" s="246"/>
    </row>
    <row r="42" spans="1:35" ht="45" customHeight="1">
      <c r="F42" s="400"/>
      <c r="G42" s="385"/>
      <c r="H42" s="123" t="s">
        <v>962</v>
      </c>
      <c r="I42" s="123" t="s">
        <v>56</v>
      </c>
      <c r="J42" s="124" t="s">
        <v>963</v>
      </c>
      <c r="K42" s="125">
        <f>IF($G$39=$AD$40,1,0)</f>
        <v>0</v>
      </c>
      <c r="L42" s="126"/>
      <c r="M42" s="41"/>
      <c r="N42" s="97" t="str">
        <f t="shared" si="4"/>
        <v/>
      </c>
      <c r="O42" s="97" t="str">
        <f t="shared" si="5"/>
        <v/>
      </c>
      <c r="P42" s="97" t="str">
        <f t="shared" ca="1" si="6"/>
        <v/>
      </c>
      <c r="Q42" s="97" t="str">
        <f t="shared" ca="1" si="7"/>
        <v/>
      </c>
      <c r="R42" s="97"/>
      <c r="S42" s="127"/>
      <c r="T42" s="39"/>
      <c r="U42" s="99"/>
      <c r="V42" s="35"/>
      <c r="W42" s="246"/>
      <c r="X42" s="246"/>
      <c r="Y42" s="246"/>
      <c r="Z42" s="246"/>
      <c r="AA42" s="246"/>
      <c r="AB42" s="246"/>
    </row>
    <row r="43" spans="1:35" ht="45" customHeight="1">
      <c r="F43" s="128" t="s">
        <v>964</v>
      </c>
      <c r="G43" s="124" t="s">
        <v>965</v>
      </c>
      <c r="H43" s="123">
        <v>13.1</v>
      </c>
      <c r="I43" s="123" t="s">
        <v>56</v>
      </c>
      <c r="J43" s="124" t="s">
        <v>966</v>
      </c>
      <c r="K43" s="125">
        <v>1</v>
      </c>
      <c r="L43" s="126"/>
      <c r="M43" s="41"/>
      <c r="N43" s="97" t="str">
        <f t="shared" si="4"/>
        <v/>
      </c>
      <c r="O43" s="97" t="str">
        <f t="shared" si="5"/>
        <v/>
      </c>
      <c r="P43" s="97" t="str">
        <f t="shared" ca="1" si="6"/>
        <v/>
      </c>
      <c r="Q43" s="97" t="str">
        <f t="shared" ca="1" si="7"/>
        <v/>
      </c>
      <c r="R43" s="97"/>
      <c r="S43" s="127"/>
      <c r="T43" s="39"/>
      <c r="U43" s="99"/>
      <c r="V43" s="35"/>
      <c r="W43" s="246"/>
      <c r="X43" s="246"/>
      <c r="Y43" s="246"/>
      <c r="Z43" s="246"/>
      <c r="AA43" s="246"/>
      <c r="AB43" s="246"/>
    </row>
    <row r="44" spans="1:35" ht="45" customHeight="1">
      <c r="F44" s="400" t="s">
        <v>967</v>
      </c>
      <c r="G44" s="401" t="s">
        <v>968</v>
      </c>
      <c r="H44" s="123">
        <v>14.1</v>
      </c>
      <c r="I44" s="123" t="s">
        <v>901</v>
      </c>
      <c r="J44" s="124" t="s">
        <v>969</v>
      </c>
      <c r="K44" s="125">
        <v>1</v>
      </c>
      <c r="L44" s="126"/>
      <c r="M44" s="41"/>
      <c r="N44" s="97" t="str">
        <f t="shared" si="4"/>
        <v/>
      </c>
      <c r="O44" s="97" t="str">
        <f t="shared" si="5"/>
        <v/>
      </c>
      <c r="P44" s="97" t="str">
        <f t="shared" ca="1" si="6"/>
        <v/>
      </c>
      <c r="Q44" s="97" t="str">
        <f t="shared" ca="1" si="7"/>
        <v/>
      </c>
      <c r="R44" s="97"/>
      <c r="S44" s="127"/>
      <c r="T44" s="39"/>
      <c r="U44" s="99"/>
      <c r="V44" s="35"/>
      <c r="W44" s="246"/>
      <c r="X44" s="246"/>
      <c r="Y44" s="246"/>
      <c r="Z44" s="246"/>
      <c r="AA44" s="246"/>
      <c r="AB44" s="246"/>
    </row>
    <row r="45" spans="1:35" ht="45" customHeight="1">
      <c r="F45" s="400"/>
      <c r="G45" s="403"/>
      <c r="H45" s="123">
        <v>14.2</v>
      </c>
      <c r="I45" s="123" t="s">
        <v>56</v>
      </c>
      <c r="J45" s="124" t="s">
        <v>970</v>
      </c>
      <c r="K45" s="125">
        <v>3</v>
      </c>
      <c r="L45" s="126"/>
      <c r="M45" s="41"/>
      <c r="N45" s="97" t="str">
        <f t="shared" si="4"/>
        <v/>
      </c>
      <c r="O45" s="97" t="str">
        <f t="shared" si="5"/>
        <v/>
      </c>
      <c r="P45" s="97" t="str">
        <f t="shared" ca="1" si="6"/>
        <v/>
      </c>
      <c r="Q45" s="97" t="str">
        <f t="shared" ca="1" si="7"/>
        <v/>
      </c>
      <c r="R45" s="97"/>
      <c r="S45" s="127"/>
      <c r="T45" s="39"/>
      <c r="U45" s="99"/>
      <c r="V45" s="35"/>
      <c r="W45" s="246"/>
      <c r="X45" s="246"/>
      <c r="Y45" s="246"/>
      <c r="Z45" s="246"/>
      <c r="AA45" s="246"/>
      <c r="AB45" s="246"/>
    </row>
    <row r="46" spans="1:35" ht="45" customHeight="1">
      <c r="F46" s="83" t="s">
        <v>486</v>
      </c>
      <c r="G46" s="129"/>
      <c r="H46" s="130"/>
      <c r="I46" s="130"/>
      <c r="J46" s="129"/>
      <c r="K46" s="131">
        <f>SUM(K30:K45)</f>
        <v>18</v>
      </c>
      <c r="L46" s="132">
        <f>SUM(L30:L45)</f>
        <v>0</v>
      </c>
      <c r="M46" s="40"/>
      <c r="N46" s="132">
        <f t="shared" ref="N46:O46" si="8">SUM(N30:N45)</f>
        <v>0</v>
      </c>
      <c r="O46" s="131">
        <f t="shared" si="8"/>
        <v>0</v>
      </c>
      <c r="P46" s="104"/>
      <c r="Q46" s="15"/>
      <c r="R46" s="15"/>
      <c r="S46" s="116"/>
      <c r="T46" s="39"/>
      <c r="U46" s="54"/>
      <c r="V46" s="35"/>
      <c r="W46" s="39"/>
      <c r="X46" s="39"/>
      <c r="Y46" s="39"/>
      <c r="Z46" s="39"/>
      <c r="AA46" s="39"/>
      <c r="AB46" s="39"/>
    </row>
    <row r="47" spans="1:35" ht="45" customHeight="1">
      <c r="F47" s="109"/>
      <c r="G47" s="110"/>
      <c r="H47" s="111"/>
      <c r="I47" s="111"/>
      <c r="J47" s="110"/>
      <c r="K47" s="112"/>
      <c r="L47" s="113"/>
      <c r="M47" s="41"/>
      <c r="N47" s="114"/>
      <c r="O47" s="115"/>
      <c r="P47" s="115"/>
      <c r="Q47" s="112"/>
      <c r="R47" s="112"/>
      <c r="S47" s="116"/>
      <c r="T47" s="39"/>
      <c r="U47" s="54"/>
      <c r="V47" s="35"/>
      <c r="W47" s="39"/>
      <c r="X47" s="39"/>
      <c r="Y47" s="39"/>
      <c r="Z47" s="39"/>
      <c r="AA47" s="39"/>
      <c r="AB47" s="39"/>
    </row>
    <row r="48" spans="1:35" ht="45" customHeight="1">
      <c r="F48" s="25" t="s">
        <v>655</v>
      </c>
      <c r="G48" s="117"/>
      <c r="H48" s="117"/>
      <c r="I48" s="117"/>
      <c r="J48" s="117"/>
      <c r="K48" s="117"/>
      <c r="L48" s="118"/>
      <c r="M48" s="41"/>
      <c r="N48" s="119"/>
      <c r="O48" s="119"/>
      <c r="P48" s="119"/>
      <c r="Q48" s="87" t="str">
        <f>CONCATENATE(COUNTIF(Q49:Q55,"Comprehensive")," Comprehensive",CHAR(10),COUNTIF(Q49:Q55,"Core")," Core")</f>
        <v>0 Comprehensive
0 Core</v>
      </c>
      <c r="R48" s="120"/>
      <c r="S48" s="121"/>
      <c r="T48" s="39"/>
      <c r="U48" s="122"/>
      <c r="V48" s="35"/>
      <c r="W48" s="245"/>
      <c r="X48" s="245"/>
      <c r="Y48" s="245"/>
      <c r="Z48" s="245"/>
      <c r="AA48" s="245"/>
      <c r="AB48" s="245"/>
      <c r="AF48" s="311" t="s">
        <v>706</v>
      </c>
      <c r="AG48" s="311" t="s">
        <v>708</v>
      </c>
      <c r="AH48" s="441" t="s">
        <v>714</v>
      </c>
      <c r="AI48" s="258"/>
    </row>
    <row r="49" spans="6:35" ht="45" customHeight="1">
      <c r="F49" s="397" t="s">
        <v>971</v>
      </c>
      <c r="G49" s="383" t="s">
        <v>972</v>
      </c>
      <c r="H49" s="133" t="s">
        <v>717</v>
      </c>
      <c r="I49" s="134" t="s">
        <v>56</v>
      </c>
      <c r="J49" s="135" t="s">
        <v>973</v>
      </c>
      <c r="K49" s="137">
        <f>IF($G$49=AD49,23,0)</f>
        <v>0</v>
      </c>
      <c r="L49" s="95"/>
      <c r="M49" s="41"/>
      <c r="N49" s="97" t="str">
        <f t="shared" ref="N49:N54" si="9">IF(OR(S49=$AD$12,S49=$AD$13),L49,"")</f>
        <v/>
      </c>
      <c r="O49" s="97" t="str">
        <f t="shared" ref="O49:O54" si="10">IF(S49=$AD$14,L49,"")</f>
        <v/>
      </c>
      <c r="P49" s="97" t="str">
        <f t="shared" ref="P49:P55" si="11">IF(L49="","",1)</f>
        <v/>
      </c>
      <c r="Q49" s="97" t="str">
        <f t="shared" ref="Q49:Q55" si="12">IF(P49="","",IF(ROUNDUP(RANK(P49,$P$49:$P$55)/ROUND((COUNT($P$49:$P$55)/2),0),0)=1,"Comprehensive","Core"))</f>
        <v/>
      </c>
      <c r="R49" s="97"/>
      <c r="S49" s="127"/>
      <c r="T49" s="167"/>
      <c r="U49" s="99"/>
      <c r="V49" s="35"/>
      <c r="W49" s="246"/>
      <c r="X49" s="246"/>
      <c r="Y49" s="246"/>
      <c r="Z49" s="246"/>
      <c r="AA49" s="246"/>
      <c r="AB49" s="246"/>
      <c r="AD49" s="250" t="s">
        <v>974</v>
      </c>
      <c r="AE49" s="253" t="s">
        <v>717</v>
      </c>
      <c r="AF49" s="256">
        <v>8</v>
      </c>
      <c r="AG49" s="256">
        <v>9</v>
      </c>
      <c r="AH49" s="250" t="s">
        <v>738</v>
      </c>
      <c r="AI49" s="254" t="str">
        <f>VLOOKUP(G49,AD49:AE52,2,FALSE)</f>
        <v>15B</v>
      </c>
    </row>
    <row r="50" spans="6:35" ht="45" customHeight="1">
      <c r="F50" s="398"/>
      <c r="G50" s="384"/>
      <c r="H50" s="133" t="s">
        <v>720</v>
      </c>
      <c r="I50" s="134" t="s">
        <v>56</v>
      </c>
      <c r="J50" s="135" t="s">
        <v>975</v>
      </c>
      <c r="K50" s="137">
        <f>IF($G$49=AD50,23,0)</f>
        <v>23</v>
      </c>
      <c r="L50" s="95"/>
      <c r="M50" s="41"/>
      <c r="N50" s="97" t="str">
        <f t="shared" si="9"/>
        <v/>
      </c>
      <c r="O50" s="97" t="str">
        <f t="shared" si="10"/>
        <v/>
      </c>
      <c r="P50" s="97" t="str">
        <f t="shared" si="11"/>
        <v/>
      </c>
      <c r="Q50" s="97" t="str">
        <f t="shared" si="12"/>
        <v/>
      </c>
      <c r="R50" s="97"/>
      <c r="S50" s="127"/>
      <c r="T50" s="39"/>
      <c r="U50" s="99"/>
      <c r="V50" s="35"/>
      <c r="W50" s="246"/>
      <c r="X50" s="246"/>
      <c r="Y50" s="246"/>
      <c r="Z50" s="246"/>
      <c r="AA50" s="246"/>
      <c r="AB50" s="246"/>
      <c r="AD50" s="250" t="s">
        <v>972</v>
      </c>
      <c r="AE50" s="253" t="s">
        <v>720</v>
      </c>
      <c r="AF50" s="256">
        <v>8</v>
      </c>
      <c r="AG50" s="256">
        <v>9</v>
      </c>
      <c r="AH50" s="250" t="s">
        <v>743</v>
      </c>
      <c r="AI50" s="254" t="e">
        <f>VLOOKUP(AI49,AE49:AG52,MATCH(G7,AE48:AG48,0),FALSE)</f>
        <v>#N/A</v>
      </c>
    </row>
    <row r="51" spans="6:35" ht="45" customHeight="1">
      <c r="F51" s="398"/>
      <c r="G51" s="384"/>
      <c r="H51" s="133" t="s">
        <v>722</v>
      </c>
      <c r="I51" s="134" t="s">
        <v>56</v>
      </c>
      <c r="J51" s="135" t="s">
        <v>976</v>
      </c>
      <c r="K51" s="137">
        <f>IF($G$49=AD51,23,0)</f>
        <v>0</v>
      </c>
      <c r="L51" s="95"/>
      <c r="M51" s="41"/>
      <c r="N51" s="97" t="str">
        <f t="shared" si="9"/>
        <v/>
      </c>
      <c r="O51" s="97" t="str">
        <f t="shared" si="10"/>
        <v/>
      </c>
      <c r="P51" s="97" t="str">
        <f t="shared" si="11"/>
        <v/>
      </c>
      <c r="Q51" s="97" t="str">
        <f t="shared" si="12"/>
        <v/>
      </c>
      <c r="R51" s="97"/>
      <c r="S51" s="98"/>
      <c r="T51" s="39"/>
      <c r="U51" s="99"/>
      <c r="V51" s="35"/>
      <c r="W51" s="246"/>
      <c r="X51" s="246"/>
      <c r="Y51" s="246"/>
      <c r="Z51" s="246"/>
      <c r="AA51" s="246"/>
      <c r="AB51" s="246"/>
      <c r="AD51" s="250" t="s">
        <v>977</v>
      </c>
      <c r="AE51" s="253" t="s">
        <v>722</v>
      </c>
      <c r="AF51" s="256">
        <v>8</v>
      </c>
      <c r="AG51" s="256">
        <v>9</v>
      </c>
      <c r="AH51" s="250" t="s">
        <v>748</v>
      </c>
      <c r="AI51" s="254">
        <f>VLOOKUP(AI49,H49:L52,5,FALSE)</f>
        <v>0</v>
      </c>
    </row>
    <row r="52" spans="6:35" ht="45" customHeight="1">
      <c r="F52" s="399"/>
      <c r="G52" s="385"/>
      <c r="H52" s="133" t="s">
        <v>724</v>
      </c>
      <c r="I52" s="134" t="s">
        <v>56</v>
      </c>
      <c r="J52" s="135" t="s">
        <v>978</v>
      </c>
      <c r="K52" s="137">
        <f>IF($G$49=AD52,23,0)</f>
        <v>0</v>
      </c>
      <c r="L52" s="95"/>
      <c r="M52" s="41"/>
      <c r="N52" s="97" t="str">
        <f t="shared" si="9"/>
        <v/>
      </c>
      <c r="O52" s="97" t="str">
        <f t="shared" si="10"/>
        <v/>
      </c>
      <c r="P52" s="97" t="str">
        <f t="shared" si="11"/>
        <v/>
      </c>
      <c r="Q52" s="97" t="str">
        <f t="shared" si="12"/>
        <v/>
      </c>
      <c r="R52" s="97"/>
      <c r="S52" s="98"/>
      <c r="T52" s="39"/>
      <c r="U52" s="99"/>
      <c r="V52" s="35"/>
      <c r="W52" s="246"/>
      <c r="X52" s="246"/>
      <c r="Y52" s="246"/>
      <c r="Z52" s="246"/>
      <c r="AA52" s="246"/>
      <c r="AB52" s="246"/>
      <c r="AD52" s="250" t="s">
        <v>979</v>
      </c>
      <c r="AE52" s="253" t="s">
        <v>724</v>
      </c>
      <c r="AF52" s="256">
        <v>8</v>
      </c>
      <c r="AG52" s="256">
        <v>9</v>
      </c>
      <c r="AH52" s="250" t="s">
        <v>753</v>
      </c>
      <c r="AI52" s="254" t="e">
        <f>IF(AND($L$4&gt;=44.5,OR(AI51&lt;=AI50,AI51=0)),"No","")</f>
        <v>#N/A</v>
      </c>
    </row>
    <row r="53" spans="6:35" ht="45" customHeight="1">
      <c r="F53" s="380" t="s">
        <v>980</v>
      </c>
      <c r="G53" s="383" t="s">
        <v>981</v>
      </c>
      <c r="H53" s="133" t="s">
        <v>982</v>
      </c>
      <c r="I53" s="134" t="s">
        <v>56</v>
      </c>
      <c r="J53" s="135" t="s">
        <v>976</v>
      </c>
      <c r="K53" s="137">
        <f>IF(G53=AD53,1,0)</f>
        <v>0</v>
      </c>
      <c r="L53" s="95"/>
      <c r="M53" s="41"/>
      <c r="N53" s="97" t="str">
        <f t="shared" si="9"/>
        <v/>
      </c>
      <c r="O53" s="97" t="str">
        <f t="shared" si="10"/>
        <v/>
      </c>
      <c r="P53" s="97" t="str">
        <f t="shared" si="11"/>
        <v/>
      </c>
      <c r="Q53" s="97" t="str">
        <f t="shared" si="12"/>
        <v/>
      </c>
      <c r="R53" s="97"/>
      <c r="S53" s="98"/>
      <c r="T53" s="39"/>
      <c r="U53" s="99"/>
      <c r="V53" s="35"/>
      <c r="W53" s="246"/>
      <c r="X53" s="246"/>
      <c r="Y53" s="246"/>
      <c r="Z53" s="246"/>
      <c r="AA53" s="246"/>
      <c r="AB53" s="246"/>
      <c r="AD53" s="250" t="s">
        <v>983</v>
      </c>
    </row>
    <row r="54" spans="6:35" ht="45" customHeight="1">
      <c r="F54" s="381"/>
      <c r="G54" s="384"/>
      <c r="H54" s="123" t="s">
        <v>984</v>
      </c>
      <c r="I54" s="125" t="s">
        <v>56</v>
      </c>
      <c r="J54" s="124" t="s">
        <v>978</v>
      </c>
      <c r="K54" s="137">
        <f>IF(G53=AD54,1,0)</f>
        <v>1</v>
      </c>
      <c r="L54" s="95"/>
      <c r="M54" s="41"/>
      <c r="N54" s="97" t="str">
        <f t="shared" si="9"/>
        <v/>
      </c>
      <c r="O54" s="97" t="str">
        <f t="shared" si="10"/>
        <v/>
      </c>
      <c r="P54" s="97" t="str">
        <f t="shared" si="11"/>
        <v/>
      </c>
      <c r="Q54" s="97" t="str">
        <f t="shared" si="12"/>
        <v/>
      </c>
      <c r="R54" s="97"/>
      <c r="S54" s="98"/>
      <c r="T54" s="39"/>
      <c r="U54" s="99"/>
      <c r="V54" s="35"/>
      <c r="W54" s="246"/>
      <c r="X54" s="246"/>
      <c r="Y54" s="246"/>
      <c r="Z54" s="246"/>
      <c r="AA54" s="246"/>
      <c r="AB54" s="246"/>
      <c r="AD54" s="250" t="s">
        <v>981</v>
      </c>
    </row>
    <row r="55" spans="6:35" ht="45" customHeight="1">
      <c r="F55" s="382"/>
      <c r="G55" s="385"/>
      <c r="H55" s="123" t="s">
        <v>53</v>
      </c>
      <c r="I55" s="125" t="s">
        <v>56</v>
      </c>
      <c r="J55" s="124" t="s">
        <v>985</v>
      </c>
      <c r="K55" s="137">
        <f>IF(G53=AD55,1,0)</f>
        <v>0</v>
      </c>
      <c r="L55" s="95"/>
      <c r="M55" s="41"/>
      <c r="N55" s="97" t="str">
        <f t="shared" ref="N55" si="13">IF(OR(S55=$AD$12,S55=$AD$13),L55,"")</f>
        <v/>
      </c>
      <c r="O55" s="97" t="str">
        <f t="shared" ref="O55" si="14">IF(S55=$AD$14,L55,"")</f>
        <v/>
      </c>
      <c r="P55" s="97" t="str">
        <f t="shared" si="11"/>
        <v/>
      </c>
      <c r="Q55" s="97" t="str">
        <f t="shared" si="12"/>
        <v/>
      </c>
      <c r="R55" s="97"/>
      <c r="S55" s="98"/>
      <c r="T55" s="39"/>
      <c r="U55" s="99"/>
      <c r="V55" s="35"/>
      <c r="W55" s="246"/>
      <c r="X55" s="246"/>
      <c r="Y55" s="246"/>
      <c r="Z55" s="246"/>
      <c r="AA55" s="246"/>
      <c r="AB55" s="246"/>
      <c r="AD55" s="252" t="s">
        <v>986</v>
      </c>
    </row>
    <row r="56" spans="6:35" ht="45" customHeight="1">
      <c r="F56" s="83" t="s">
        <v>486</v>
      </c>
      <c r="G56" s="83"/>
      <c r="H56" s="83"/>
      <c r="I56" s="83"/>
      <c r="J56" s="83"/>
      <c r="K56" s="80">
        <f>SUM(K49:K55)</f>
        <v>24</v>
      </c>
      <c r="L56" s="138">
        <f>SUM(L49:L55)</f>
        <v>0</v>
      </c>
      <c r="M56" s="139"/>
      <c r="N56" s="138">
        <f>SUM(N49:N55)</f>
        <v>0</v>
      </c>
      <c r="O56" s="80">
        <f>SUM(O49:O55)</f>
        <v>0</v>
      </c>
      <c r="P56" s="104"/>
      <c r="Q56" s="70"/>
      <c r="R56" s="70"/>
      <c r="S56" s="116"/>
      <c r="T56" s="39"/>
      <c r="U56" s="54"/>
      <c r="V56" s="35"/>
      <c r="W56" s="39"/>
      <c r="X56" s="39"/>
      <c r="Y56" s="39"/>
      <c r="Z56" s="39"/>
      <c r="AA56" s="39"/>
      <c r="AB56" s="39"/>
    </row>
    <row r="57" spans="6:35" ht="45" customHeight="1">
      <c r="F57" s="109"/>
      <c r="G57" s="110"/>
      <c r="H57" s="111"/>
      <c r="I57" s="111"/>
      <c r="J57" s="110"/>
      <c r="K57" s="112"/>
      <c r="L57" s="113"/>
      <c r="M57" s="41"/>
      <c r="N57" s="114"/>
      <c r="O57" s="115"/>
      <c r="P57" s="115"/>
      <c r="Q57" s="112"/>
      <c r="R57" s="112"/>
      <c r="S57" s="116"/>
      <c r="T57" s="39"/>
      <c r="U57" s="54"/>
      <c r="V57" s="35"/>
      <c r="W57" s="39"/>
      <c r="X57" s="39"/>
      <c r="Y57" s="39"/>
      <c r="Z57" s="39"/>
      <c r="AA57" s="39"/>
      <c r="AB57" s="39"/>
    </row>
    <row r="58" spans="6:35" ht="45" customHeight="1">
      <c r="F58" s="25" t="s">
        <v>987</v>
      </c>
      <c r="G58" s="117"/>
      <c r="H58" s="117"/>
      <c r="I58" s="117"/>
      <c r="J58" s="117"/>
      <c r="K58" s="117"/>
      <c r="L58" s="118"/>
      <c r="M58" s="41"/>
      <c r="N58" s="119"/>
      <c r="O58" s="119"/>
      <c r="P58" s="87"/>
      <c r="Q58" s="87" t="str">
        <f ca="1">CONCATENATE(COUNTIF(Q59:Q64,"Comprehensive")," Comprehensive",CHAR(10),COUNTIF(Q59:Q64,"Core")," Core")</f>
        <v>0 Comprehensive
0 Core</v>
      </c>
      <c r="R58" s="120"/>
      <c r="S58" s="121"/>
      <c r="T58" s="39"/>
      <c r="U58" s="122"/>
      <c r="V58" s="35"/>
      <c r="W58" s="245"/>
      <c r="X58" s="245"/>
      <c r="Y58" s="245"/>
      <c r="Z58" s="245"/>
      <c r="AA58" s="245"/>
      <c r="AB58" s="245"/>
    </row>
    <row r="59" spans="6:35" ht="45" customHeight="1">
      <c r="F59" s="379" t="s">
        <v>988</v>
      </c>
      <c r="G59" s="388" t="s">
        <v>989</v>
      </c>
      <c r="H59" s="125">
        <v>17.100000000000001</v>
      </c>
      <c r="I59" s="125" t="s">
        <v>920</v>
      </c>
      <c r="J59" s="124" t="s">
        <v>990</v>
      </c>
      <c r="K59" s="137">
        <v>1</v>
      </c>
      <c r="L59" s="95"/>
      <c r="M59" s="41"/>
      <c r="N59" s="97" t="str">
        <f t="shared" ref="N59:N64" si="15">IF(OR(S59=$AD$12,S59=$AD$13),L59,"")</f>
        <v/>
      </c>
      <c r="O59" s="97" t="str">
        <f t="shared" ref="O59:O64" si="16">IF(S59=$AD$14,L59,"")</f>
        <v/>
      </c>
      <c r="P59" s="97" t="str">
        <f t="shared" ref="P59:P64" ca="1" si="17">IF(OR(AND(K59="-",L59&lt;&gt;""),C59=TRUE),1,IF(OR(L59="",L59=0),"",RAND()))</f>
        <v/>
      </c>
      <c r="Q59" s="97" t="str">
        <f t="shared" ref="Q59:Q64" ca="1" si="18">IF(P59="","",IF(ROUNDUP(RANK(P59,$P$59:$P$64)/ROUND((COUNT($P$59:$P$64)/2),0),0)=1,"Comprehensive","Core"))</f>
        <v/>
      </c>
      <c r="R59" s="97"/>
      <c r="S59" s="127"/>
      <c r="T59" s="39"/>
      <c r="U59" s="99"/>
      <c r="V59" s="35"/>
      <c r="W59" s="246"/>
      <c r="X59" s="246"/>
      <c r="Y59" s="246"/>
      <c r="Z59" s="246"/>
      <c r="AA59" s="246"/>
      <c r="AB59" s="246"/>
    </row>
    <row r="60" spans="6:35" ht="45" customHeight="1">
      <c r="F60" s="379"/>
      <c r="G60" s="388"/>
      <c r="H60" s="125">
        <v>17.2</v>
      </c>
      <c r="I60" s="125" t="s">
        <v>920</v>
      </c>
      <c r="J60" s="124" t="s">
        <v>991</v>
      </c>
      <c r="K60" s="137">
        <v>1</v>
      </c>
      <c r="L60" s="95"/>
      <c r="M60" s="41"/>
      <c r="N60" s="97" t="str">
        <f t="shared" si="15"/>
        <v/>
      </c>
      <c r="O60" s="97" t="str">
        <f t="shared" si="16"/>
        <v/>
      </c>
      <c r="P60" s="97" t="str">
        <f t="shared" ca="1" si="17"/>
        <v/>
      </c>
      <c r="Q60" s="97" t="str">
        <f t="shared" ca="1" si="18"/>
        <v/>
      </c>
      <c r="R60" s="97"/>
      <c r="S60" s="127"/>
      <c r="T60" s="39"/>
      <c r="U60" s="99"/>
      <c r="V60" s="35"/>
      <c r="W60" s="246"/>
      <c r="X60" s="246"/>
      <c r="Y60" s="246"/>
      <c r="Z60" s="246"/>
      <c r="AA60" s="246"/>
      <c r="AB60" s="246"/>
    </row>
    <row r="61" spans="6:35" ht="45" customHeight="1">
      <c r="F61" s="379"/>
      <c r="G61" s="388"/>
      <c r="H61" s="125">
        <v>17.3</v>
      </c>
      <c r="I61" s="125" t="s">
        <v>901</v>
      </c>
      <c r="J61" s="124" t="s">
        <v>992</v>
      </c>
      <c r="K61" s="137">
        <v>1</v>
      </c>
      <c r="L61" s="95"/>
      <c r="M61" s="41"/>
      <c r="N61" s="97" t="str">
        <f t="shared" si="15"/>
        <v/>
      </c>
      <c r="O61" s="97" t="str">
        <f t="shared" si="16"/>
        <v/>
      </c>
      <c r="P61" s="97" t="str">
        <f t="shared" ca="1" si="17"/>
        <v/>
      </c>
      <c r="Q61" s="97" t="str">
        <f t="shared" ca="1" si="18"/>
        <v/>
      </c>
      <c r="R61" s="97"/>
      <c r="S61" s="127"/>
      <c r="T61" s="39"/>
      <c r="U61" s="99"/>
      <c r="V61" s="35"/>
      <c r="W61" s="246"/>
      <c r="X61" s="246"/>
      <c r="Y61" s="246"/>
      <c r="Z61" s="246"/>
      <c r="AA61" s="246"/>
      <c r="AB61" s="246"/>
    </row>
    <row r="62" spans="6:35" ht="45" customHeight="1">
      <c r="F62" s="379"/>
      <c r="G62" s="388"/>
      <c r="H62" s="125">
        <v>17.399999999999999</v>
      </c>
      <c r="I62" s="125" t="s">
        <v>901</v>
      </c>
      <c r="J62" s="124" t="s">
        <v>993</v>
      </c>
      <c r="K62" s="137">
        <v>1</v>
      </c>
      <c r="L62" s="95"/>
      <c r="M62" s="41"/>
      <c r="N62" s="97" t="str">
        <f t="shared" si="15"/>
        <v/>
      </c>
      <c r="O62" s="97" t="str">
        <f t="shared" si="16"/>
        <v/>
      </c>
      <c r="P62" s="97" t="str">
        <f t="shared" ca="1" si="17"/>
        <v/>
      </c>
      <c r="Q62" s="97" t="str">
        <f t="shared" ca="1" si="18"/>
        <v/>
      </c>
      <c r="R62" s="97"/>
      <c r="S62" s="127"/>
      <c r="T62" s="39"/>
      <c r="U62" s="99"/>
      <c r="V62" s="35"/>
      <c r="W62" s="246"/>
      <c r="X62" s="246"/>
      <c r="Y62" s="246"/>
      <c r="Z62" s="246"/>
      <c r="AA62" s="246"/>
      <c r="AB62" s="246"/>
    </row>
    <row r="63" spans="6:35" ht="45" customHeight="1">
      <c r="F63" s="379" t="s">
        <v>994</v>
      </c>
      <c r="G63" s="388" t="s">
        <v>995</v>
      </c>
      <c r="H63" s="125">
        <v>18.100000000000001</v>
      </c>
      <c r="I63" s="125" t="s">
        <v>901</v>
      </c>
      <c r="J63" s="124" t="s">
        <v>996</v>
      </c>
      <c r="K63" s="137">
        <v>1</v>
      </c>
      <c r="L63" s="95"/>
      <c r="M63" s="41"/>
      <c r="N63" s="97" t="str">
        <f t="shared" si="15"/>
        <v/>
      </c>
      <c r="O63" s="97" t="str">
        <f t="shared" si="16"/>
        <v/>
      </c>
      <c r="P63" s="97" t="str">
        <f t="shared" ca="1" si="17"/>
        <v/>
      </c>
      <c r="Q63" s="97" t="str">
        <f t="shared" ca="1" si="18"/>
        <v/>
      </c>
      <c r="R63" s="97"/>
      <c r="S63" s="127"/>
      <c r="T63" s="39"/>
      <c r="U63" s="99"/>
      <c r="V63" s="35"/>
      <c r="W63" s="246"/>
      <c r="X63" s="246"/>
      <c r="Y63" s="246"/>
      <c r="Z63" s="246"/>
      <c r="AA63" s="246"/>
      <c r="AB63" s="246"/>
    </row>
    <row r="64" spans="6:35" ht="45" customHeight="1">
      <c r="F64" s="379"/>
      <c r="G64" s="388"/>
      <c r="H64" s="125">
        <v>18.2</v>
      </c>
      <c r="I64" s="125" t="s">
        <v>56</v>
      </c>
      <c r="J64" s="124" t="s">
        <v>997</v>
      </c>
      <c r="K64" s="137">
        <v>2</v>
      </c>
      <c r="L64" s="95"/>
      <c r="M64" s="41"/>
      <c r="N64" s="97" t="str">
        <f t="shared" si="15"/>
        <v/>
      </c>
      <c r="O64" s="97" t="str">
        <f t="shared" si="16"/>
        <v/>
      </c>
      <c r="P64" s="97" t="str">
        <f t="shared" ca="1" si="17"/>
        <v/>
      </c>
      <c r="Q64" s="97" t="str">
        <f t="shared" ca="1" si="18"/>
        <v/>
      </c>
      <c r="R64" s="97"/>
      <c r="S64" s="127"/>
      <c r="T64" s="39"/>
      <c r="U64" s="99"/>
      <c r="V64" s="35"/>
      <c r="W64" s="246"/>
      <c r="X64" s="246"/>
      <c r="Y64" s="246"/>
      <c r="Z64" s="246"/>
      <c r="AA64" s="246"/>
      <c r="AB64" s="246"/>
    </row>
    <row r="65" spans="1:35" ht="45" customHeight="1">
      <c r="F65" s="83" t="s">
        <v>486</v>
      </c>
      <c r="G65" s="83"/>
      <c r="H65" s="83"/>
      <c r="I65" s="83"/>
      <c r="J65" s="83"/>
      <c r="K65" s="80">
        <f>SUM(K59:K64)</f>
        <v>7</v>
      </c>
      <c r="L65" s="138">
        <f>SUM(L59:L64)</f>
        <v>0</v>
      </c>
      <c r="M65" s="139"/>
      <c r="N65" s="138">
        <f t="shared" ref="N65:O65" si="19">SUM(N59:N64)</f>
        <v>0</v>
      </c>
      <c r="O65" s="80">
        <f t="shared" si="19"/>
        <v>0</v>
      </c>
      <c r="P65" s="104"/>
      <c r="Q65" s="70"/>
      <c r="R65" s="70"/>
      <c r="S65" s="116"/>
      <c r="T65" s="39"/>
      <c r="U65" s="54"/>
      <c r="V65" s="35"/>
      <c r="W65" s="39"/>
      <c r="X65" s="39"/>
      <c r="Y65" s="39"/>
      <c r="Z65" s="39"/>
      <c r="AA65" s="39"/>
      <c r="AB65" s="39"/>
    </row>
    <row r="66" spans="1:35" ht="45" customHeight="1">
      <c r="F66" s="109"/>
      <c r="G66" s="110"/>
      <c r="H66" s="111"/>
      <c r="I66" s="111"/>
      <c r="J66" s="110"/>
      <c r="K66" s="112"/>
      <c r="L66" s="113"/>
      <c r="M66" s="41"/>
      <c r="N66" s="114"/>
      <c r="O66" s="115"/>
      <c r="P66" s="115"/>
      <c r="Q66" s="112"/>
      <c r="R66" s="112"/>
      <c r="S66" s="116"/>
      <c r="T66" s="39"/>
      <c r="U66" s="54"/>
      <c r="V66" s="35"/>
      <c r="W66" s="39"/>
      <c r="X66" s="39"/>
      <c r="Y66" s="39"/>
      <c r="Z66" s="39"/>
      <c r="AA66" s="39"/>
      <c r="AB66" s="39"/>
    </row>
    <row r="67" spans="1:35" ht="45" customHeight="1">
      <c r="F67" s="25" t="s">
        <v>668</v>
      </c>
      <c r="G67" s="117"/>
      <c r="H67" s="117"/>
      <c r="I67" s="117"/>
      <c r="J67" s="117"/>
      <c r="K67" s="117"/>
      <c r="L67" s="118"/>
      <c r="M67" s="41"/>
      <c r="N67" s="119"/>
      <c r="O67" s="119"/>
      <c r="P67" s="87"/>
      <c r="Q67" s="87" t="str">
        <f ca="1">CONCATENATE(COUNTIF(Q68:Q73,"Comprehensive")," Comprehensive",CHAR(10),COUNTIF(Q68:Q73,"Core")," Core")</f>
        <v>2 Comprehensive
0 Core</v>
      </c>
      <c r="R67" s="120"/>
      <c r="S67" s="121"/>
      <c r="T67" s="39"/>
      <c r="U67" s="122"/>
      <c r="V67" s="35"/>
      <c r="W67" s="245"/>
      <c r="X67" s="245"/>
      <c r="Y67" s="245"/>
      <c r="Z67" s="245"/>
      <c r="AA67" s="245"/>
      <c r="AB67" s="245"/>
      <c r="AF67" s="311" t="s">
        <v>706</v>
      </c>
      <c r="AG67" s="311" t="s">
        <v>708</v>
      </c>
      <c r="AH67" s="441" t="s">
        <v>758</v>
      </c>
      <c r="AI67" s="312"/>
    </row>
    <row r="68" spans="1:35" ht="45" customHeight="1">
      <c r="F68" s="394" t="s">
        <v>998</v>
      </c>
      <c r="G68" s="383" t="s">
        <v>977</v>
      </c>
      <c r="H68" s="140" t="s">
        <v>760</v>
      </c>
      <c r="I68" s="123" t="s">
        <v>56</v>
      </c>
      <c r="J68" s="141" t="s">
        <v>999</v>
      </c>
      <c r="K68" s="137">
        <f>IF($G$68=AD68,10,0)</f>
        <v>0</v>
      </c>
      <c r="L68" s="95"/>
      <c r="M68" s="41"/>
      <c r="N68" s="97" t="str">
        <f t="shared" ref="N68:N73" si="20">IF(OR(S68=$AD$12,S68=$AD$13),L68,"")</f>
        <v/>
      </c>
      <c r="O68" s="97" t="str">
        <f t="shared" ref="O68:O73" si="21">IF(S68=$AD$14,L68,"")</f>
        <v/>
      </c>
      <c r="P68" s="97" t="str">
        <f t="shared" ref="P68:P73" ca="1" si="22">IF(OR(AND(K68="-",L68&lt;&gt;""),C68=TRUE),1,IF(OR(L68="",L68=0),"",RAND()))</f>
        <v/>
      </c>
      <c r="Q68" s="97" t="str">
        <f t="shared" ref="Q68:Q73" ca="1" si="23">IF(P68="","",IF(ROUNDUP(RANK(P68,$P$68:$P$73)/ROUND((COUNT($P$68:$P$73)/2),0),0)=1,"Comprehensive","Core"))</f>
        <v/>
      </c>
      <c r="R68" s="97"/>
      <c r="S68" s="127"/>
      <c r="T68" s="39"/>
      <c r="U68" s="99"/>
      <c r="V68" s="35"/>
      <c r="W68" s="246"/>
      <c r="X68" s="246"/>
      <c r="Y68" s="246"/>
      <c r="Z68" s="246"/>
      <c r="AA68" s="246"/>
      <c r="AB68" s="246"/>
      <c r="AD68" s="250" t="s">
        <v>1000</v>
      </c>
      <c r="AE68" s="255" t="s">
        <v>760</v>
      </c>
      <c r="AF68" s="256">
        <v>3.5</v>
      </c>
      <c r="AG68" s="256">
        <v>3.5</v>
      </c>
      <c r="AH68" s="250" t="s">
        <v>738</v>
      </c>
      <c r="AI68" s="254" t="str">
        <f>VLOOKUP(G68,AD68:AE71,2,FALSE)</f>
        <v>19C</v>
      </c>
    </row>
    <row r="69" spans="1:35" ht="45" customHeight="1">
      <c r="F69" s="395"/>
      <c r="G69" s="384"/>
      <c r="H69" s="140" t="s">
        <v>762</v>
      </c>
      <c r="I69" s="123" t="s">
        <v>56</v>
      </c>
      <c r="J69" s="141" t="s">
        <v>1001</v>
      </c>
      <c r="K69" s="137">
        <f>IF($G$68=AD69,10,0)</f>
        <v>0</v>
      </c>
      <c r="L69" s="95"/>
      <c r="M69" s="41"/>
      <c r="N69" s="97" t="str">
        <f t="shared" si="20"/>
        <v/>
      </c>
      <c r="O69" s="97" t="str">
        <f t="shared" si="21"/>
        <v/>
      </c>
      <c r="P69" s="97" t="str">
        <f t="shared" ca="1" si="22"/>
        <v/>
      </c>
      <c r="Q69" s="97" t="str">
        <f t="shared" ca="1" si="23"/>
        <v/>
      </c>
      <c r="R69" s="97"/>
      <c r="S69" s="127"/>
      <c r="T69" s="39"/>
      <c r="U69" s="99"/>
      <c r="V69" s="35"/>
      <c r="W69" s="246"/>
      <c r="X69" s="246"/>
      <c r="Y69" s="246"/>
      <c r="Z69" s="246"/>
      <c r="AA69" s="246"/>
      <c r="AB69" s="246"/>
      <c r="AD69" s="250" t="s">
        <v>1002</v>
      </c>
      <c r="AE69" s="255" t="s">
        <v>762</v>
      </c>
      <c r="AF69" s="256">
        <v>3.5</v>
      </c>
      <c r="AG69" s="256">
        <v>3.5</v>
      </c>
      <c r="AH69" s="250" t="s">
        <v>743</v>
      </c>
      <c r="AI69" s="254" t="e">
        <f>VLOOKUP(AI68,AE68:AG71,MATCH(G7,AE67:AG67,0),FALSE)</f>
        <v>#N/A</v>
      </c>
    </row>
    <row r="70" spans="1:35" ht="45" customHeight="1">
      <c r="F70" s="395"/>
      <c r="G70" s="384"/>
      <c r="H70" s="140" t="s">
        <v>764</v>
      </c>
      <c r="I70" s="123" t="s">
        <v>56</v>
      </c>
      <c r="J70" s="141" t="s">
        <v>976</v>
      </c>
      <c r="K70" s="137">
        <f>IF($G$68=AD70,10,0)</f>
        <v>10</v>
      </c>
      <c r="L70" s="95"/>
      <c r="M70" s="41"/>
      <c r="N70" s="97" t="str">
        <f t="shared" si="20"/>
        <v/>
      </c>
      <c r="O70" s="97" t="str">
        <f t="shared" si="21"/>
        <v/>
      </c>
      <c r="P70" s="97" t="str">
        <f t="shared" ca="1" si="22"/>
        <v/>
      </c>
      <c r="Q70" s="97" t="str">
        <f t="shared" ca="1" si="23"/>
        <v/>
      </c>
      <c r="R70" s="97"/>
      <c r="S70" s="127"/>
      <c r="T70" s="39"/>
      <c r="U70" s="99"/>
      <c r="V70" s="35"/>
      <c r="W70" s="246"/>
      <c r="X70" s="246"/>
      <c r="Y70" s="246"/>
      <c r="Z70" s="246"/>
      <c r="AA70" s="246"/>
      <c r="AB70" s="246"/>
      <c r="AD70" s="250" t="s">
        <v>977</v>
      </c>
      <c r="AE70" s="255" t="s">
        <v>764</v>
      </c>
      <c r="AF70" s="256">
        <v>3.5</v>
      </c>
      <c r="AG70" s="256">
        <v>3.5</v>
      </c>
      <c r="AH70" s="250" t="s">
        <v>748</v>
      </c>
      <c r="AI70" s="254">
        <f>VLOOKUP(AI68,H68:L71,5,FALSE)</f>
        <v>0</v>
      </c>
    </row>
    <row r="71" spans="1:35" ht="45" customHeight="1">
      <c r="F71" s="396"/>
      <c r="G71" s="385"/>
      <c r="H71" s="140" t="s">
        <v>766</v>
      </c>
      <c r="I71" s="123" t="s">
        <v>56</v>
      </c>
      <c r="J71" s="141" t="s">
        <v>978</v>
      </c>
      <c r="K71" s="137">
        <f>IF($G$68=AD71,10,0)</f>
        <v>0</v>
      </c>
      <c r="L71" s="95"/>
      <c r="M71" s="41"/>
      <c r="N71" s="97" t="str">
        <f t="shared" si="20"/>
        <v/>
      </c>
      <c r="O71" s="97" t="str">
        <f t="shared" si="21"/>
        <v/>
      </c>
      <c r="P71" s="97" t="str">
        <f t="shared" ca="1" si="22"/>
        <v/>
      </c>
      <c r="Q71" s="97" t="str">
        <f t="shared" ca="1" si="23"/>
        <v/>
      </c>
      <c r="R71" s="97"/>
      <c r="S71" s="127"/>
      <c r="T71" s="39"/>
      <c r="U71" s="99"/>
      <c r="V71" s="35"/>
      <c r="W71" s="246"/>
      <c r="X71" s="246"/>
      <c r="Y71" s="246"/>
      <c r="Z71" s="246"/>
      <c r="AA71" s="246"/>
      <c r="AB71" s="246"/>
      <c r="AD71" s="250" t="s">
        <v>979</v>
      </c>
      <c r="AE71" s="255" t="s">
        <v>766</v>
      </c>
      <c r="AF71" s="256">
        <v>3.5</v>
      </c>
      <c r="AG71" s="256">
        <v>3.5</v>
      </c>
      <c r="AH71" s="250" t="s">
        <v>753</v>
      </c>
      <c r="AI71" s="254" t="e">
        <f>IF(AND($L$4&gt;=44.5,OR(AI70&lt;=AI69,AI70=0)),"No","")</f>
        <v>#N/A</v>
      </c>
    </row>
    <row r="72" spans="1:35" ht="45" customHeight="1">
      <c r="A72" s="26">
        <v>2</v>
      </c>
      <c r="B72" s="26">
        <f>IF(C72=TRUE,A72,0)</f>
        <v>2</v>
      </c>
      <c r="C72" s="26" t="b">
        <v>1</v>
      </c>
      <c r="F72" s="397" t="s">
        <v>1003</v>
      </c>
      <c r="G72" s="388" t="s">
        <v>1004</v>
      </c>
      <c r="H72" s="142">
        <v>20.100000000000001</v>
      </c>
      <c r="I72" s="123" t="s">
        <v>901</v>
      </c>
      <c r="J72" s="141" t="s">
        <v>1005</v>
      </c>
      <c r="K72" s="137">
        <f>IF($C$72=FALSE,1,0)</f>
        <v>0</v>
      </c>
      <c r="L72" s="95"/>
      <c r="M72" s="41"/>
      <c r="N72" s="97" t="str">
        <f t="shared" si="20"/>
        <v/>
      </c>
      <c r="O72" s="97" t="str">
        <f t="shared" si="21"/>
        <v/>
      </c>
      <c r="P72" s="97">
        <f t="shared" ca="1" si="22"/>
        <v>1</v>
      </c>
      <c r="Q72" s="97" t="str">
        <f t="shared" ca="1" si="23"/>
        <v>Comprehensive</v>
      </c>
      <c r="R72" s="97"/>
      <c r="S72" s="127"/>
      <c r="T72" s="39"/>
      <c r="U72" s="99"/>
      <c r="V72" s="35"/>
      <c r="W72" s="246"/>
      <c r="X72" s="246"/>
      <c r="Y72" s="246"/>
      <c r="Z72" s="246"/>
      <c r="AA72" s="246"/>
      <c r="AB72" s="246"/>
    </row>
    <row r="73" spans="1:35" ht="45" customHeight="1">
      <c r="C73" s="26" t="b">
        <f>C72</f>
        <v>1</v>
      </c>
      <c r="F73" s="399"/>
      <c r="G73" s="388"/>
      <c r="H73" s="125">
        <v>20.2</v>
      </c>
      <c r="I73" s="123" t="s">
        <v>910</v>
      </c>
      <c r="J73" s="141" t="s">
        <v>1006</v>
      </c>
      <c r="K73" s="137">
        <f>IF($C$72=FALSE,1,0)</f>
        <v>0</v>
      </c>
      <c r="L73" s="95"/>
      <c r="M73" s="41"/>
      <c r="N73" s="97" t="str">
        <f t="shared" si="20"/>
        <v/>
      </c>
      <c r="O73" s="97" t="str">
        <f t="shared" si="21"/>
        <v/>
      </c>
      <c r="P73" s="97">
        <f t="shared" ca="1" si="22"/>
        <v>1</v>
      </c>
      <c r="Q73" s="97" t="str">
        <f t="shared" ca="1" si="23"/>
        <v>Comprehensive</v>
      </c>
      <c r="R73" s="97"/>
      <c r="S73" s="127"/>
      <c r="T73" s="39"/>
      <c r="U73" s="99"/>
      <c r="V73" s="35"/>
      <c r="W73" s="246"/>
      <c r="X73" s="246"/>
      <c r="Y73" s="246"/>
      <c r="Z73" s="246"/>
      <c r="AA73" s="246"/>
      <c r="AB73" s="246"/>
    </row>
    <row r="74" spans="1:35" ht="45" customHeight="1">
      <c r="F74" s="83" t="s">
        <v>486</v>
      </c>
      <c r="G74" s="83"/>
      <c r="H74" s="83"/>
      <c r="I74" s="83"/>
      <c r="J74" s="83"/>
      <c r="K74" s="80">
        <f>SUM(K68:K73)</f>
        <v>10</v>
      </c>
      <c r="L74" s="138">
        <f>SUM(L68:L73)</f>
        <v>0</v>
      </c>
      <c r="M74" s="139"/>
      <c r="N74" s="138">
        <f t="shared" ref="N74:O74" si="24">SUM(N68:N73)</f>
        <v>0</v>
      </c>
      <c r="O74" s="80">
        <f t="shared" si="24"/>
        <v>0</v>
      </c>
      <c r="P74" s="104"/>
      <c r="Q74" s="70"/>
      <c r="R74" s="70"/>
      <c r="S74" s="116"/>
      <c r="T74" s="39"/>
      <c r="U74" s="54"/>
      <c r="V74" s="35"/>
      <c r="W74" s="39"/>
      <c r="X74" s="39"/>
      <c r="Y74" s="39"/>
      <c r="Z74" s="39"/>
      <c r="AA74" s="39"/>
      <c r="AB74" s="39"/>
    </row>
    <row r="75" spans="1:35" ht="45" customHeight="1">
      <c r="F75" s="109"/>
      <c r="G75" s="110"/>
      <c r="H75" s="111"/>
      <c r="I75" s="111"/>
      <c r="J75" s="110"/>
      <c r="K75" s="112"/>
      <c r="L75" s="113"/>
      <c r="M75" s="41"/>
      <c r="N75" s="114"/>
      <c r="O75" s="115"/>
      <c r="P75" s="115"/>
      <c r="Q75" s="112"/>
      <c r="R75" s="112"/>
      <c r="S75" s="116"/>
      <c r="T75" s="39"/>
      <c r="U75" s="54"/>
      <c r="V75" s="35"/>
      <c r="W75" s="39"/>
      <c r="X75" s="39"/>
      <c r="Y75" s="39"/>
      <c r="Z75" s="39"/>
      <c r="AA75" s="39"/>
      <c r="AB75" s="39"/>
    </row>
    <row r="76" spans="1:35" ht="45" customHeight="1">
      <c r="F76" s="25" t="s">
        <v>1007</v>
      </c>
      <c r="G76" s="117"/>
      <c r="H76" s="117"/>
      <c r="I76" s="117"/>
      <c r="J76" s="117"/>
      <c r="K76" s="117"/>
      <c r="L76" s="118"/>
      <c r="M76" s="41"/>
      <c r="N76" s="119"/>
      <c r="O76" s="119"/>
      <c r="P76" s="87"/>
      <c r="Q76" s="87" t="str">
        <f ca="1">CONCATENATE(COUNTIF(Q77:Q83,"Comprehensive")," Comprehensive",CHAR(10),COUNTIF(Q77:Q83,"Core")," Core")</f>
        <v>0 Comprehensive
0 Core</v>
      </c>
      <c r="R76" s="120"/>
      <c r="S76" s="121"/>
      <c r="T76" s="39"/>
      <c r="U76" s="122"/>
      <c r="V76" s="35"/>
      <c r="W76" s="245"/>
      <c r="X76" s="245"/>
      <c r="Y76" s="245"/>
      <c r="Z76" s="245"/>
      <c r="AA76" s="245"/>
      <c r="AB76" s="245"/>
    </row>
    <row r="77" spans="1:35" ht="45" customHeight="1">
      <c r="F77" s="379" t="s">
        <v>1008</v>
      </c>
      <c r="G77" s="393" t="s">
        <v>1009</v>
      </c>
      <c r="H77" s="125">
        <v>21.1</v>
      </c>
      <c r="I77" s="125" t="s">
        <v>920</v>
      </c>
      <c r="J77" s="124" t="s">
        <v>1010</v>
      </c>
      <c r="K77" s="137">
        <v>1</v>
      </c>
      <c r="L77" s="95"/>
      <c r="M77" s="41"/>
      <c r="N77" s="97" t="str">
        <f t="shared" ref="N77:N83" si="25">IF(OR(S77=$AD$12,S77=$AD$13),L77,"")</f>
        <v/>
      </c>
      <c r="O77" s="97" t="str">
        <f t="shared" ref="O77:O83" si="26">IF(S77=$AD$14,L77,"")</f>
        <v/>
      </c>
      <c r="P77" s="97" t="str">
        <f t="shared" ref="P77:P83" ca="1" si="27">IF(OR(AND(K77="-",L77&lt;&gt;""),C77=TRUE),1,IF(OR(L77="",L77=0),"",RAND()))</f>
        <v/>
      </c>
      <c r="Q77" s="97" t="str">
        <f t="shared" ref="Q77:Q83" ca="1" si="28">IF(P77="","",IF(ROUNDUP(RANK(P77,$P$77:$P$83)/ROUND((COUNT($P$77:$P$83)/2),0),0)=1,"Comprehensive","Core"))</f>
        <v/>
      </c>
      <c r="R77" s="97"/>
      <c r="S77" s="127"/>
      <c r="T77" s="39"/>
      <c r="U77" s="99"/>
      <c r="V77" s="35"/>
      <c r="W77" s="246"/>
      <c r="X77" s="246"/>
      <c r="Y77" s="246"/>
      <c r="Z77" s="246"/>
      <c r="AA77" s="246"/>
      <c r="AB77" s="246"/>
    </row>
    <row r="78" spans="1:35" ht="45" customHeight="1">
      <c r="F78" s="379"/>
      <c r="G78" s="393"/>
      <c r="H78" s="125">
        <v>21.2</v>
      </c>
      <c r="I78" s="125" t="s">
        <v>56</v>
      </c>
      <c r="J78" s="124" t="s">
        <v>1011</v>
      </c>
      <c r="K78" s="137">
        <v>1</v>
      </c>
      <c r="L78" s="95"/>
      <c r="M78" s="41"/>
      <c r="N78" s="97" t="str">
        <f t="shared" si="25"/>
        <v/>
      </c>
      <c r="O78" s="97" t="str">
        <f t="shared" si="26"/>
        <v/>
      </c>
      <c r="P78" s="97" t="str">
        <f t="shared" ca="1" si="27"/>
        <v/>
      </c>
      <c r="Q78" s="97" t="str">
        <f t="shared" ca="1" si="28"/>
        <v/>
      </c>
      <c r="R78" s="97"/>
      <c r="S78" s="127"/>
      <c r="T78" s="39"/>
      <c r="U78" s="99"/>
      <c r="V78" s="35"/>
      <c r="W78" s="246"/>
      <c r="X78" s="246"/>
      <c r="Y78" s="246"/>
      <c r="Z78" s="246"/>
      <c r="AA78" s="246"/>
      <c r="AB78" s="246"/>
    </row>
    <row r="79" spans="1:35" ht="45" customHeight="1">
      <c r="A79" s="26">
        <v>1</v>
      </c>
      <c r="B79" s="26">
        <f>IF(C79=TRUE,A79,0)</f>
        <v>0</v>
      </c>
      <c r="C79" s="26" t="b">
        <v>0</v>
      </c>
      <c r="F79" s="379"/>
      <c r="G79" s="393"/>
      <c r="H79" s="125">
        <v>21.3</v>
      </c>
      <c r="I79" s="125" t="s">
        <v>56</v>
      </c>
      <c r="J79" s="124" t="s">
        <v>1012</v>
      </c>
      <c r="K79" s="137">
        <f>IF(C79=FALSE,A79,0)</f>
        <v>1</v>
      </c>
      <c r="L79" s="95"/>
      <c r="M79" s="41"/>
      <c r="N79" s="97" t="str">
        <f t="shared" si="25"/>
        <v/>
      </c>
      <c r="O79" s="97" t="str">
        <f t="shared" si="26"/>
        <v/>
      </c>
      <c r="P79" s="97" t="str">
        <f t="shared" ca="1" si="27"/>
        <v/>
      </c>
      <c r="Q79" s="97" t="str">
        <f t="shared" ca="1" si="28"/>
        <v/>
      </c>
      <c r="R79" s="97"/>
      <c r="S79" s="127"/>
      <c r="T79" s="39"/>
      <c r="U79" s="99"/>
      <c r="V79" s="35"/>
      <c r="W79" s="246"/>
      <c r="X79" s="246"/>
      <c r="Y79" s="246"/>
      <c r="Z79" s="246"/>
      <c r="AA79" s="246"/>
      <c r="AB79" s="246"/>
    </row>
    <row r="80" spans="1:35" ht="45" customHeight="1">
      <c r="F80" s="379" t="s">
        <v>1013</v>
      </c>
      <c r="G80" s="393" t="s">
        <v>1014</v>
      </c>
      <c r="H80" s="125">
        <v>22.1</v>
      </c>
      <c r="I80" s="125" t="s">
        <v>920</v>
      </c>
      <c r="J80" s="124" t="s">
        <v>1015</v>
      </c>
      <c r="K80" s="137">
        <v>1</v>
      </c>
      <c r="L80" s="95"/>
      <c r="M80" s="41"/>
      <c r="N80" s="97" t="str">
        <f t="shared" si="25"/>
        <v/>
      </c>
      <c r="O80" s="97" t="str">
        <f t="shared" si="26"/>
        <v/>
      </c>
      <c r="P80" s="97" t="str">
        <f t="shared" ca="1" si="27"/>
        <v/>
      </c>
      <c r="Q80" s="97" t="str">
        <f t="shared" ca="1" si="28"/>
        <v/>
      </c>
      <c r="R80" s="97"/>
      <c r="S80" s="127"/>
      <c r="T80" s="39"/>
      <c r="U80" s="99"/>
      <c r="V80" s="35"/>
      <c r="W80" s="246"/>
      <c r="X80" s="246"/>
      <c r="Y80" s="246"/>
      <c r="Z80" s="246"/>
      <c r="AA80" s="246"/>
      <c r="AB80" s="246"/>
    </row>
    <row r="81" spans="1:28" ht="45" customHeight="1">
      <c r="F81" s="379"/>
      <c r="G81" s="393"/>
      <c r="H81" s="125">
        <v>22.2</v>
      </c>
      <c r="I81" s="125" t="s">
        <v>56</v>
      </c>
      <c r="J81" s="124" t="s">
        <v>1016</v>
      </c>
      <c r="K81" s="137">
        <v>3</v>
      </c>
      <c r="L81" s="95"/>
      <c r="M81" s="41"/>
      <c r="N81" s="97" t="str">
        <f t="shared" si="25"/>
        <v/>
      </c>
      <c r="O81" s="97" t="str">
        <f t="shared" si="26"/>
        <v/>
      </c>
      <c r="P81" s="97" t="str">
        <f t="shared" ca="1" si="27"/>
        <v/>
      </c>
      <c r="Q81" s="97" t="str">
        <f t="shared" ca="1" si="28"/>
        <v/>
      </c>
      <c r="R81" s="97"/>
      <c r="S81" s="127"/>
      <c r="T81" s="39"/>
      <c r="U81" s="99"/>
      <c r="V81" s="35"/>
      <c r="W81" s="246"/>
      <c r="X81" s="246"/>
      <c r="Y81" s="246"/>
      <c r="Z81" s="246"/>
      <c r="AA81" s="246"/>
      <c r="AB81" s="246"/>
    </row>
    <row r="82" spans="1:28" ht="45" customHeight="1">
      <c r="A82" s="26">
        <v>1</v>
      </c>
      <c r="B82" s="26">
        <f>IF(C82=TRUE,A82,0)</f>
        <v>0</v>
      </c>
      <c r="C82" s="26" t="b">
        <v>0</v>
      </c>
      <c r="F82" s="379" t="s">
        <v>1017</v>
      </c>
      <c r="G82" s="393" t="s">
        <v>1018</v>
      </c>
      <c r="H82" s="125">
        <v>23.1</v>
      </c>
      <c r="I82" s="125" t="s">
        <v>920</v>
      </c>
      <c r="J82" s="124" t="s">
        <v>1019</v>
      </c>
      <c r="K82" s="137">
        <f>IF(C82=FALSE,A82,0)</f>
        <v>1</v>
      </c>
      <c r="L82" s="95"/>
      <c r="M82" s="41"/>
      <c r="N82" s="97" t="str">
        <f t="shared" si="25"/>
        <v/>
      </c>
      <c r="O82" s="97" t="str">
        <f t="shared" si="26"/>
        <v/>
      </c>
      <c r="P82" s="97" t="str">
        <f t="shared" ca="1" si="27"/>
        <v/>
      </c>
      <c r="Q82" s="97" t="str">
        <f t="shared" ca="1" si="28"/>
        <v/>
      </c>
      <c r="R82" s="97"/>
      <c r="S82" s="127"/>
      <c r="T82" s="39"/>
      <c r="U82" s="99"/>
      <c r="V82" s="35"/>
      <c r="W82" s="246"/>
      <c r="X82" s="246"/>
      <c r="Y82" s="246"/>
      <c r="Z82" s="246"/>
      <c r="AA82" s="246"/>
      <c r="AB82" s="246"/>
    </row>
    <row r="83" spans="1:28" ht="45" customHeight="1">
      <c r="A83" s="26">
        <v>2</v>
      </c>
      <c r="B83" s="26">
        <f>IF(C83=TRUE,A83,0)</f>
        <v>0</v>
      </c>
      <c r="C83" s="26" t="b">
        <v>0</v>
      </c>
      <c r="F83" s="379"/>
      <c r="G83" s="393"/>
      <c r="H83" s="125">
        <v>23.2</v>
      </c>
      <c r="I83" s="125" t="s">
        <v>56</v>
      </c>
      <c r="J83" s="124" t="s">
        <v>1020</v>
      </c>
      <c r="K83" s="137">
        <f>IF(C83=FALSE,A83,0)</f>
        <v>2</v>
      </c>
      <c r="L83" s="95"/>
      <c r="M83" s="41"/>
      <c r="N83" s="97" t="str">
        <f t="shared" si="25"/>
        <v/>
      </c>
      <c r="O83" s="97" t="str">
        <f t="shared" si="26"/>
        <v/>
      </c>
      <c r="P83" s="97" t="str">
        <f t="shared" ca="1" si="27"/>
        <v/>
      </c>
      <c r="Q83" s="97" t="str">
        <f t="shared" ca="1" si="28"/>
        <v/>
      </c>
      <c r="R83" s="97"/>
      <c r="S83" s="127"/>
      <c r="T83" s="39"/>
      <c r="U83" s="99"/>
      <c r="V83" s="35"/>
      <c r="W83" s="246"/>
      <c r="X83" s="246"/>
      <c r="Y83" s="246"/>
      <c r="Z83" s="246"/>
      <c r="AA83" s="246"/>
      <c r="AB83" s="246"/>
    </row>
    <row r="84" spans="1:28" ht="45" customHeight="1">
      <c r="F84" s="83" t="s">
        <v>486</v>
      </c>
      <c r="G84" s="83"/>
      <c r="H84" s="83"/>
      <c r="I84" s="83"/>
      <c r="J84" s="83"/>
      <c r="K84" s="80">
        <f>SUM(K77:K83)</f>
        <v>10</v>
      </c>
      <c r="L84" s="138">
        <f>SUM(L77:L83)</f>
        <v>0</v>
      </c>
      <c r="M84" s="139"/>
      <c r="N84" s="138">
        <f t="shared" ref="N84:O84" si="29">SUM(N77:N83)</f>
        <v>0</v>
      </c>
      <c r="O84" s="80">
        <f t="shared" si="29"/>
        <v>0</v>
      </c>
      <c r="P84" s="104"/>
      <c r="Q84" s="70"/>
      <c r="R84" s="70"/>
      <c r="S84" s="116"/>
      <c r="T84" s="39"/>
      <c r="U84" s="54"/>
      <c r="V84" s="35"/>
      <c r="W84" s="39"/>
      <c r="X84" s="39"/>
      <c r="Y84" s="39"/>
      <c r="Z84" s="39"/>
      <c r="AA84" s="39"/>
      <c r="AB84" s="39"/>
    </row>
    <row r="85" spans="1:28" ht="45" customHeight="1">
      <c r="F85" s="109"/>
      <c r="G85" s="110"/>
      <c r="H85" s="111"/>
      <c r="I85" s="111"/>
      <c r="J85" s="110"/>
      <c r="K85" s="112"/>
      <c r="L85" s="113"/>
      <c r="M85" s="41"/>
      <c r="N85" s="114"/>
      <c r="O85" s="115"/>
      <c r="P85" s="115"/>
      <c r="Q85" s="112"/>
      <c r="R85" s="112"/>
      <c r="S85" s="116"/>
      <c r="T85" s="39"/>
      <c r="U85" s="54"/>
      <c r="V85" s="35"/>
      <c r="W85" s="39"/>
      <c r="X85" s="39"/>
      <c r="Y85" s="39"/>
      <c r="Z85" s="39"/>
      <c r="AA85" s="39"/>
      <c r="AB85" s="39"/>
    </row>
    <row r="86" spans="1:28" ht="45" customHeight="1">
      <c r="F86" s="25" t="s">
        <v>1021</v>
      </c>
      <c r="G86" s="117"/>
      <c r="H86" s="117"/>
      <c r="I86" s="117"/>
      <c r="J86" s="117"/>
      <c r="K86" s="117"/>
      <c r="L86" s="118"/>
      <c r="M86" s="41"/>
      <c r="N86" s="119"/>
      <c r="O86" s="119"/>
      <c r="P86" s="87"/>
      <c r="Q86" s="87" t="str">
        <f>CONCATENATE(COUNTIF(Q87:Q91,"Comprehensive")," Comprehensive",CHAR(10),COUNTIF(Q87:Q91,"Core")," Core")</f>
        <v>0 Comprehensive
0 Core</v>
      </c>
      <c r="R86" s="120"/>
      <c r="S86" s="121"/>
      <c r="T86" s="39"/>
      <c r="U86" s="122"/>
      <c r="V86" s="35"/>
      <c r="W86" s="245"/>
      <c r="X86" s="245"/>
      <c r="Y86" s="245"/>
      <c r="Z86" s="245"/>
      <c r="AA86" s="245"/>
      <c r="AB86" s="245"/>
    </row>
    <row r="87" spans="1:28" ht="45" customHeight="1">
      <c r="F87" s="392" t="s">
        <v>1022</v>
      </c>
      <c r="G87" s="388" t="s">
        <v>1023</v>
      </c>
      <c r="H87" s="125">
        <v>24.1</v>
      </c>
      <c r="I87" s="125" t="s">
        <v>920</v>
      </c>
      <c r="J87" s="93" t="s">
        <v>1024</v>
      </c>
      <c r="K87" s="137">
        <v>1</v>
      </c>
      <c r="L87" s="95"/>
      <c r="M87" s="41"/>
      <c r="N87" s="97" t="str">
        <f>IF(OR(S87=$AD$12,S87=$AD$13),L87,"")</f>
        <v/>
      </c>
      <c r="O87" s="97" t="str">
        <f>IF(S87=$AD$14,L87,"")</f>
        <v/>
      </c>
      <c r="P87" s="97" t="str">
        <f>IF(L87="","",1)</f>
        <v/>
      </c>
      <c r="Q87" s="97" t="str">
        <f>IF(P87="","",IF(ROUNDUP(RANK(P87,$P$87:$P$91)/ROUND((COUNT($P$87:$P$91)/2),0),0)=1,"Comprehensive","Core"))</f>
        <v/>
      </c>
      <c r="R87" s="97"/>
      <c r="S87" s="127"/>
      <c r="T87" s="39"/>
      <c r="U87" s="99"/>
      <c r="V87" s="35"/>
      <c r="W87" s="246"/>
      <c r="X87" s="246"/>
      <c r="Y87" s="246"/>
      <c r="Z87" s="246"/>
      <c r="AA87" s="246"/>
      <c r="AB87" s="246"/>
    </row>
    <row r="88" spans="1:28" ht="45" customHeight="1">
      <c r="F88" s="392"/>
      <c r="G88" s="388"/>
      <c r="H88" s="125">
        <v>24.2</v>
      </c>
      <c r="I88" s="125" t="s">
        <v>910</v>
      </c>
      <c r="J88" s="93" t="s">
        <v>1025</v>
      </c>
      <c r="K88" s="137">
        <v>2</v>
      </c>
      <c r="L88" s="95"/>
      <c r="M88" s="41"/>
      <c r="N88" s="97" t="str">
        <f>IF(OR(S88=$AD$12,S88=$AD$13),L88,"")</f>
        <v/>
      </c>
      <c r="O88" s="97" t="str">
        <f>IF(S88=$AD$14,L88,"")</f>
        <v/>
      </c>
      <c r="P88" s="97" t="str">
        <f>IF(L88="","",1)</f>
        <v/>
      </c>
      <c r="Q88" s="97" t="str">
        <f>IF(P88="","",IF(ROUNDUP(RANK(P88,$P$87:$P$91)/ROUND((COUNT($P$87:$P$91)/2),0),0)=1,"Comprehensive","Core"))</f>
        <v/>
      </c>
      <c r="R88" s="97"/>
      <c r="S88" s="127"/>
      <c r="T88" s="39"/>
      <c r="U88" s="99"/>
      <c r="V88" s="35"/>
      <c r="W88" s="246"/>
      <c r="X88" s="246"/>
      <c r="Y88" s="246"/>
      <c r="Z88" s="246"/>
      <c r="AA88" s="246"/>
      <c r="AB88" s="246"/>
    </row>
    <row r="89" spans="1:28" ht="45" customHeight="1">
      <c r="F89" s="392" t="s">
        <v>1026</v>
      </c>
      <c r="G89" s="388" t="s">
        <v>1027</v>
      </c>
      <c r="H89" s="125">
        <v>25.1</v>
      </c>
      <c r="I89" s="125" t="s">
        <v>920</v>
      </c>
      <c r="J89" s="93" t="s">
        <v>1028</v>
      </c>
      <c r="K89" s="137">
        <v>1</v>
      </c>
      <c r="L89" s="95"/>
      <c r="M89" s="41"/>
      <c r="N89" s="97" t="str">
        <f>IF(OR(S89=$AD$12,S89=$AD$13),L89,"")</f>
        <v/>
      </c>
      <c r="O89" s="97" t="str">
        <f>IF(S89=$AD$14,L89,"")</f>
        <v/>
      </c>
      <c r="P89" s="97" t="str">
        <f>IF(L89="","",1)</f>
        <v/>
      </c>
      <c r="Q89" s="97" t="str">
        <f>IF(P89="","",IF(ROUNDUP(RANK(P89,$P$87:$P$91)/ROUND((COUNT($P$87:$P$91)/2),0),0)=1,"Comprehensive","Core"))</f>
        <v/>
      </c>
      <c r="R89" s="97"/>
      <c r="S89" s="127"/>
      <c r="T89" s="39"/>
      <c r="U89" s="99"/>
      <c r="V89" s="35"/>
      <c r="W89" s="246"/>
      <c r="X89" s="246"/>
      <c r="Y89" s="246"/>
      <c r="Z89" s="246"/>
      <c r="AA89" s="246"/>
      <c r="AB89" s="246"/>
    </row>
    <row r="90" spans="1:28" ht="45" customHeight="1">
      <c r="A90" s="26">
        <v>1</v>
      </c>
      <c r="B90" s="26">
        <f>IF(C90=TRUE,A90,0)</f>
        <v>0</v>
      </c>
      <c r="C90" s="26" t="b">
        <v>0</v>
      </c>
      <c r="F90" s="392"/>
      <c r="G90" s="388"/>
      <c r="H90" s="125">
        <v>25.2</v>
      </c>
      <c r="I90" s="125" t="s">
        <v>901</v>
      </c>
      <c r="J90" s="93" t="s">
        <v>1029</v>
      </c>
      <c r="K90" s="137">
        <f>IF(C90=FALSE,A90,0)</f>
        <v>1</v>
      </c>
      <c r="L90" s="95"/>
      <c r="M90" s="41"/>
      <c r="N90" s="97" t="str">
        <f>IF(OR(S90=$AD$12,S90=$AD$13),L90,"")</f>
        <v/>
      </c>
      <c r="O90" s="97" t="str">
        <f>IF(S90=$AD$14,L90,"")</f>
        <v/>
      </c>
      <c r="P90" s="97" t="str">
        <f>IF(L90="","",1)</f>
        <v/>
      </c>
      <c r="Q90" s="97" t="str">
        <f>IF(P90="","",IF(ROUNDUP(RANK(P90,$P$87:$P$91)/ROUND((COUNT($P$87:$P$91)/2),0),0)=1,"Comprehensive","Core"))</f>
        <v/>
      </c>
      <c r="R90" s="97"/>
      <c r="S90" s="127"/>
      <c r="T90" s="39"/>
      <c r="U90" s="99"/>
      <c r="V90" s="35"/>
      <c r="W90" s="246"/>
      <c r="X90" s="246"/>
      <c r="Y90" s="246"/>
      <c r="Z90" s="246"/>
      <c r="AA90" s="246"/>
      <c r="AB90" s="246"/>
    </row>
    <row r="91" spans="1:28" ht="45" customHeight="1">
      <c r="F91" s="392"/>
      <c r="G91" s="388"/>
      <c r="H91" s="125">
        <v>25.3</v>
      </c>
      <c r="I91" s="125" t="s">
        <v>901</v>
      </c>
      <c r="J91" s="93" t="s">
        <v>1030</v>
      </c>
      <c r="K91" s="137">
        <v>1</v>
      </c>
      <c r="L91" s="95"/>
      <c r="M91" s="41"/>
      <c r="N91" s="97" t="str">
        <f>IF(OR(S91=$AD$12,S91=$AD$13),L91,"")</f>
        <v/>
      </c>
      <c r="O91" s="97" t="str">
        <f>IF(S91=$AD$14,L91,"")</f>
        <v/>
      </c>
      <c r="P91" s="97" t="str">
        <f>IF(L91="","",1)</f>
        <v/>
      </c>
      <c r="Q91" s="97" t="str">
        <f>IF(P91="","",IF(ROUNDUP(RANK(P91,$P$87:$P$91)/ROUND((COUNT($P$87:$P$91)/2),0),0)=1,"Comprehensive","Core"))</f>
        <v/>
      </c>
      <c r="R91" s="97"/>
      <c r="S91" s="127"/>
      <c r="T91" s="39"/>
      <c r="U91" s="99"/>
      <c r="V91" s="35"/>
      <c r="W91" s="246"/>
      <c r="X91" s="246"/>
      <c r="Y91" s="246"/>
      <c r="Z91" s="246"/>
      <c r="AA91" s="246"/>
      <c r="AB91" s="246"/>
    </row>
    <row r="92" spans="1:28" ht="45" customHeight="1">
      <c r="F92" s="83" t="s">
        <v>486</v>
      </c>
      <c r="G92" s="83"/>
      <c r="H92" s="83"/>
      <c r="I92" s="83"/>
      <c r="J92" s="83"/>
      <c r="K92" s="80">
        <f>SUM(K87:K91)</f>
        <v>6</v>
      </c>
      <c r="L92" s="138">
        <f>SUM(L87:L91)</f>
        <v>0</v>
      </c>
      <c r="M92" s="139"/>
      <c r="N92" s="138">
        <f t="shared" ref="N92:O92" si="30">SUM(N87:N91)</f>
        <v>0</v>
      </c>
      <c r="O92" s="80">
        <f t="shared" si="30"/>
        <v>0</v>
      </c>
      <c r="P92" s="104"/>
      <c r="Q92" s="70"/>
      <c r="R92" s="70"/>
      <c r="S92" s="116"/>
      <c r="T92" s="39"/>
      <c r="U92" s="54"/>
      <c r="V92" s="35"/>
      <c r="W92" s="39"/>
      <c r="X92" s="39"/>
      <c r="Y92" s="39"/>
      <c r="Z92" s="39"/>
      <c r="AA92" s="39"/>
      <c r="AB92" s="39"/>
    </row>
    <row r="93" spans="1:28" ht="45" customHeight="1">
      <c r="F93" s="109"/>
      <c r="G93" s="110"/>
      <c r="H93" s="111"/>
      <c r="I93" s="111"/>
      <c r="J93" s="110"/>
      <c r="K93" s="112"/>
      <c r="L93" s="113"/>
      <c r="M93" s="41"/>
      <c r="N93" s="114"/>
      <c r="O93" s="115"/>
      <c r="P93" s="115"/>
      <c r="Q93" s="112"/>
      <c r="R93" s="112"/>
      <c r="S93" s="116"/>
      <c r="T93" s="39"/>
      <c r="U93" s="54"/>
      <c r="V93" s="35"/>
      <c r="W93" s="39"/>
      <c r="X93" s="39"/>
      <c r="Y93" s="39"/>
      <c r="Z93" s="39"/>
      <c r="AA93" s="39"/>
      <c r="AB93" s="39"/>
    </row>
    <row r="94" spans="1:28" ht="45" customHeight="1">
      <c r="F94" s="25" t="s">
        <v>1031</v>
      </c>
      <c r="G94" s="117"/>
      <c r="H94" s="117"/>
      <c r="I94" s="117"/>
      <c r="J94" s="117"/>
      <c r="K94" s="117"/>
      <c r="L94" s="118"/>
      <c r="M94" s="41"/>
      <c r="N94" s="119"/>
      <c r="O94" s="119"/>
      <c r="P94" s="87"/>
      <c r="Q94" s="87" t="str">
        <f ca="1">CONCATENATE(COUNTIF(Q95:Q100,"Comprehensive")," Comprehensive",CHAR(10),COUNTIF(Q95:Q100,"Core")," Core")</f>
        <v>0 Comprehensive
0 Core</v>
      </c>
      <c r="R94" s="120"/>
      <c r="S94" s="121"/>
      <c r="T94" s="39"/>
      <c r="U94" s="122"/>
      <c r="V94" s="35"/>
      <c r="W94" s="245"/>
      <c r="X94" s="245"/>
      <c r="Y94" s="245"/>
      <c r="Z94" s="245"/>
      <c r="AA94" s="245"/>
      <c r="AB94" s="245"/>
    </row>
    <row r="95" spans="1:28" ht="45" customHeight="1">
      <c r="F95" s="392" t="s">
        <v>1032</v>
      </c>
      <c r="G95" s="393" t="s">
        <v>1033</v>
      </c>
      <c r="H95" s="125">
        <v>26.1</v>
      </c>
      <c r="I95" s="125" t="s">
        <v>920</v>
      </c>
      <c r="J95" s="93" t="s">
        <v>1034</v>
      </c>
      <c r="K95" s="137">
        <v>1</v>
      </c>
      <c r="L95" s="95"/>
      <c r="M95" s="41"/>
      <c r="N95" s="97" t="str">
        <f t="shared" ref="N95:N100" si="31">IF(OR(S95=$AD$12,S95=$AD$13),L95,"")</f>
        <v/>
      </c>
      <c r="O95" s="97" t="str">
        <f t="shared" ref="O95:O100" si="32">IF(S95=$AD$14,L95,"")</f>
        <v/>
      </c>
      <c r="P95" s="97" t="str">
        <f t="shared" ref="P95:P100" ca="1" si="33">IF(OR(AND(K95="-",L95&lt;&gt;""),C95=TRUE),1,IF(OR(L95="",L95=0),"",RAND()))</f>
        <v/>
      </c>
      <c r="Q95" s="97" t="str">
        <f t="shared" ref="Q95:Q100" ca="1" si="34">IF(P95="","",IF(ROUNDUP(RANK(P95,$P$95:$P$100)/ROUND((COUNT($P$95:$P$100)/2),0),0)=1,"Comprehensive","Core"))</f>
        <v/>
      </c>
      <c r="R95" s="97"/>
      <c r="S95" s="127"/>
      <c r="T95" s="39"/>
      <c r="U95" s="99"/>
      <c r="V95" s="35"/>
      <c r="W95" s="246"/>
      <c r="X95" s="246"/>
      <c r="Y95" s="246"/>
      <c r="Z95" s="246"/>
      <c r="AA95" s="246"/>
      <c r="AB95" s="246"/>
    </row>
    <row r="96" spans="1:28" ht="45" customHeight="1">
      <c r="F96" s="392"/>
      <c r="G96" s="393"/>
      <c r="H96" s="125">
        <v>26.2</v>
      </c>
      <c r="I96" s="125" t="s">
        <v>901</v>
      </c>
      <c r="J96" s="93" t="s">
        <v>1035</v>
      </c>
      <c r="K96" s="137">
        <v>1</v>
      </c>
      <c r="L96" s="95"/>
      <c r="M96" s="41"/>
      <c r="N96" s="97" t="str">
        <f t="shared" si="31"/>
        <v/>
      </c>
      <c r="O96" s="97" t="str">
        <f t="shared" si="32"/>
        <v/>
      </c>
      <c r="P96" s="97" t="str">
        <f t="shared" ca="1" si="33"/>
        <v/>
      </c>
      <c r="Q96" s="97" t="str">
        <f t="shared" ca="1" si="34"/>
        <v/>
      </c>
      <c r="R96" s="97"/>
      <c r="S96" s="127"/>
      <c r="T96" s="39"/>
      <c r="U96" s="99"/>
      <c r="V96" s="35"/>
      <c r="W96" s="246"/>
      <c r="X96" s="246"/>
      <c r="Y96" s="246"/>
      <c r="Z96" s="246"/>
      <c r="AA96" s="246"/>
      <c r="AB96" s="246"/>
    </row>
    <row r="97" spans="1:28" ht="45" customHeight="1">
      <c r="F97" s="392" t="s">
        <v>1036</v>
      </c>
      <c r="G97" s="393" t="s">
        <v>1037</v>
      </c>
      <c r="H97" s="125">
        <v>27.1</v>
      </c>
      <c r="I97" s="125" t="s">
        <v>901</v>
      </c>
      <c r="J97" s="93" t="s">
        <v>1038</v>
      </c>
      <c r="K97" s="137">
        <v>1</v>
      </c>
      <c r="L97" s="95"/>
      <c r="M97" s="41"/>
      <c r="N97" s="97" t="str">
        <f t="shared" si="31"/>
        <v/>
      </c>
      <c r="O97" s="97" t="str">
        <f t="shared" si="32"/>
        <v/>
      </c>
      <c r="P97" s="97" t="str">
        <f t="shared" ca="1" si="33"/>
        <v/>
      </c>
      <c r="Q97" s="97" t="str">
        <f t="shared" ca="1" si="34"/>
        <v/>
      </c>
      <c r="R97" s="97"/>
      <c r="S97" s="127"/>
      <c r="T97" s="39"/>
      <c r="U97" s="99"/>
      <c r="V97" s="35"/>
      <c r="W97" s="246"/>
      <c r="X97" s="246"/>
      <c r="Y97" s="246"/>
      <c r="Z97" s="246"/>
      <c r="AA97" s="246"/>
      <c r="AB97" s="246"/>
    </row>
    <row r="98" spans="1:28" ht="45" customHeight="1">
      <c r="A98" s="26">
        <v>1</v>
      </c>
      <c r="B98" s="26">
        <f>IF(C98=TRUE,A98,0)</f>
        <v>0</v>
      </c>
      <c r="C98" s="26" t="b">
        <v>0</v>
      </c>
      <c r="F98" s="392"/>
      <c r="G98" s="393"/>
      <c r="H98" s="125">
        <v>27.2</v>
      </c>
      <c r="I98" s="125" t="s">
        <v>901</v>
      </c>
      <c r="J98" s="93" t="s">
        <v>1039</v>
      </c>
      <c r="K98" s="137">
        <f>IF(C98=FALSE,A98,0)</f>
        <v>1</v>
      </c>
      <c r="L98" s="95"/>
      <c r="M98" s="41"/>
      <c r="N98" s="97" t="str">
        <f t="shared" si="31"/>
        <v/>
      </c>
      <c r="O98" s="97" t="str">
        <f t="shared" si="32"/>
        <v/>
      </c>
      <c r="P98" s="97" t="str">
        <f t="shared" ca="1" si="33"/>
        <v/>
      </c>
      <c r="Q98" s="97" t="str">
        <f t="shared" ca="1" si="34"/>
        <v/>
      </c>
      <c r="R98" s="97"/>
      <c r="S98" s="127"/>
      <c r="T98" s="39"/>
      <c r="U98" s="99"/>
      <c r="V98" s="35"/>
      <c r="W98" s="246"/>
      <c r="X98" s="246"/>
      <c r="Y98" s="246"/>
      <c r="Z98" s="246"/>
      <c r="AA98" s="246"/>
      <c r="AB98" s="246"/>
    </row>
    <row r="99" spans="1:28" ht="45" customHeight="1">
      <c r="F99" s="143" t="s">
        <v>1040</v>
      </c>
      <c r="G99" s="93" t="s">
        <v>1041</v>
      </c>
      <c r="H99" s="125">
        <v>28.1</v>
      </c>
      <c r="I99" s="125" t="s">
        <v>910</v>
      </c>
      <c r="J99" s="93" t="s">
        <v>1040</v>
      </c>
      <c r="K99" s="137">
        <v>1</v>
      </c>
      <c r="L99" s="95"/>
      <c r="M99" s="41"/>
      <c r="N99" s="97" t="str">
        <f t="shared" si="31"/>
        <v/>
      </c>
      <c r="O99" s="97" t="str">
        <f t="shared" si="32"/>
        <v/>
      </c>
      <c r="P99" s="97" t="str">
        <f t="shared" ca="1" si="33"/>
        <v/>
      </c>
      <c r="Q99" s="97" t="str">
        <f t="shared" ca="1" si="34"/>
        <v/>
      </c>
      <c r="R99" s="97"/>
      <c r="S99" s="127"/>
      <c r="T99" s="39"/>
      <c r="U99" s="99"/>
      <c r="V99" s="35"/>
      <c r="W99" s="246"/>
      <c r="X99" s="246"/>
      <c r="Y99" s="246"/>
      <c r="Z99" s="246"/>
      <c r="AA99" s="246"/>
      <c r="AB99" s="246"/>
    </row>
    <row r="100" spans="1:28" ht="45" customHeight="1">
      <c r="F100" s="143" t="s">
        <v>1042</v>
      </c>
      <c r="G100" s="93" t="s">
        <v>1043</v>
      </c>
      <c r="H100" s="125">
        <v>29.1</v>
      </c>
      <c r="I100" s="125" t="s">
        <v>901</v>
      </c>
      <c r="J100" s="93" t="s">
        <v>1042</v>
      </c>
      <c r="K100" s="137">
        <v>1</v>
      </c>
      <c r="L100" s="95"/>
      <c r="M100" s="41"/>
      <c r="N100" s="97" t="str">
        <f t="shared" si="31"/>
        <v/>
      </c>
      <c r="O100" s="97" t="str">
        <f t="shared" si="32"/>
        <v/>
      </c>
      <c r="P100" s="97" t="str">
        <f t="shared" ca="1" si="33"/>
        <v/>
      </c>
      <c r="Q100" s="97" t="str">
        <f t="shared" ca="1" si="34"/>
        <v/>
      </c>
      <c r="R100" s="97"/>
      <c r="S100" s="127"/>
      <c r="T100" s="39"/>
      <c r="U100" s="99"/>
      <c r="V100" s="35"/>
      <c r="W100" s="246"/>
      <c r="X100" s="246"/>
      <c r="Y100" s="246"/>
      <c r="Z100" s="246"/>
      <c r="AA100" s="246"/>
      <c r="AB100" s="246"/>
    </row>
    <row r="101" spans="1:28" ht="45" customHeight="1">
      <c r="F101" s="83" t="s">
        <v>486</v>
      </c>
      <c r="G101" s="83"/>
      <c r="H101" s="83"/>
      <c r="I101" s="83"/>
      <c r="J101" s="83"/>
      <c r="K101" s="80">
        <f>SUM(K95:K100)</f>
        <v>6</v>
      </c>
      <c r="L101" s="138">
        <f>SUM(L95:L100)</f>
        <v>0</v>
      </c>
      <c r="M101" s="139"/>
      <c r="N101" s="138">
        <f t="shared" ref="N101:O101" si="35">SUM(N95:N100)</f>
        <v>0</v>
      </c>
      <c r="O101" s="80">
        <f t="shared" si="35"/>
        <v>0</v>
      </c>
      <c r="P101" s="104"/>
      <c r="Q101" s="70"/>
      <c r="R101" s="70"/>
      <c r="S101" s="116"/>
      <c r="T101" s="39"/>
      <c r="U101" s="54"/>
      <c r="V101" s="35"/>
      <c r="W101" s="39"/>
      <c r="X101" s="39"/>
      <c r="Y101" s="39"/>
      <c r="Z101" s="39"/>
      <c r="AA101" s="39"/>
      <c r="AB101" s="39"/>
    </row>
    <row r="102" spans="1:28" ht="45" customHeight="1">
      <c r="F102" s="109"/>
      <c r="G102" s="110"/>
      <c r="H102" s="111"/>
      <c r="I102" s="111"/>
      <c r="J102" s="110"/>
      <c r="K102" s="112"/>
      <c r="L102" s="113"/>
      <c r="M102" s="41"/>
      <c r="N102" s="114"/>
      <c r="O102" s="115"/>
      <c r="P102" s="115"/>
      <c r="Q102" s="112"/>
      <c r="R102" s="112"/>
      <c r="S102" s="116"/>
      <c r="T102" s="39"/>
      <c r="U102" s="54"/>
      <c r="V102" s="35"/>
      <c r="W102" s="39"/>
      <c r="X102" s="39"/>
      <c r="Y102" s="39"/>
      <c r="Z102" s="39"/>
      <c r="AA102" s="39"/>
      <c r="AB102" s="39"/>
    </row>
    <row r="103" spans="1:28" ht="45" customHeight="1">
      <c r="F103" s="25" t="s">
        <v>1044</v>
      </c>
      <c r="G103" s="117"/>
      <c r="H103" s="117"/>
      <c r="I103" s="117"/>
      <c r="J103" s="117"/>
      <c r="K103" s="117"/>
      <c r="L103" s="118"/>
      <c r="M103" s="41"/>
      <c r="N103" s="119"/>
      <c r="O103" s="119"/>
      <c r="P103" s="87"/>
      <c r="Q103" s="87" t="str">
        <f>CONCATENATE(COUNTIF(Q104:Q108,"Comprehensive")," Comprehensive",CHAR(10),COUNTIF(Q104:Q108,"Core")," Core")</f>
        <v>0 Comprehensive
0 Core</v>
      </c>
      <c r="R103" s="120"/>
      <c r="S103" s="121"/>
      <c r="T103" s="39"/>
      <c r="U103" s="122"/>
      <c r="V103" s="35"/>
      <c r="W103" s="245"/>
      <c r="X103" s="245"/>
      <c r="Y103" s="245"/>
      <c r="Z103" s="245"/>
      <c r="AA103" s="245"/>
      <c r="AB103" s="245"/>
    </row>
    <row r="104" spans="1:28" ht="45" customHeight="1">
      <c r="F104" s="400" t="s">
        <v>1044</v>
      </c>
      <c r="G104" s="401" t="s">
        <v>1045</v>
      </c>
      <c r="H104" s="123" t="s">
        <v>1046</v>
      </c>
      <c r="I104" s="123" t="s">
        <v>1047</v>
      </c>
      <c r="J104" s="93" t="s">
        <v>1048</v>
      </c>
      <c r="K104" s="389">
        <v>10</v>
      </c>
      <c r="L104" s="95"/>
      <c r="M104" s="41"/>
      <c r="N104" s="97" t="str">
        <f>IF(OR(S104=$AD$12,S104=$AD$13),L104,"")</f>
        <v/>
      </c>
      <c r="O104" s="97" t="str">
        <f>IF(S104=$AD$14,L104,"")</f>
        <v/>
      </c>
      <c r="P104" s="97" t="str">
        <f>IF(L104="","",1)</f>
        <v/>
      </c>
      <c r="Q104" s="97" t="str">
        <f>IF(P104="","",IF(ROUNDUP(RANK(P104,$P$104:$P$108)/ROUND((COUNT($P$104:$P$108)/2),0),0)=1,"Comprehensive","Core"))</f>
        <v/>
      </c>
      <c r="R104" s="97"/>
      <c r="S104" s="127"/>
      <c r="T104" s="39"/>
      <c r="U104" s="99"/>
      <c r="V104" s="35"/>
      <c r="W104" s="246"/>
      <c r="X104" s="246"/>
      <c r="Y104" s="246"/>
      <c r="Z104" s="246"/>
      <c r="AA104" s="246"/>
      <c r="AB104" s="246"/>
    </row>
    <row r="105" spans="1:28" ht="45" customHeight="1">
      <c r="F105" s="400"/>
      <c r="G105" s="402"/>
      <c r="H105" s="123" t="s">
        <v>1049</v>
      </c>
      <c r="I105" s="123" t="s">
        <v>1047</v>
      </c>
      <c r="J105" s="93" t="s">
        <v>1050</v>
      </c>
      <c r="K105" s="390"/>
      <c r="L105" s="95"/>
      <c r="M105" s="41"/>
      <c r="N105" s="97" t="str">
        <f>IF(OR(S105=$AD$12,S105=$AD$13),L105,"")</f>
        <v/>
      </c>
      <c r="O105" s="97" t="str">
        <f>IF(S105=$AD$14,L105,"")</f>
        <v/>
      </c>
      <c r="P105" s="97" t="str">
        <f>IF(L105="","",1)</f>
        <v/>
      </c>
      <c r="Q105" s="97" t="str">
        <f>IF(P105="","",IF(ROUNDUP(RANK(P105,$P$104:$P$108)/ROUND((COUNT($P$104:$P$108)/2),0),0)=1,"Comprehensive","Core"))</f>
        <v/>
      </c>
      <c r="R105" s="97"/>
      <c r="S105" s="127"/>
      <c r="T105" s="39"/>
      <c r="U105" s="99"/>
      <c r="V105" s="35"/>
      <c r="W105" s="246"/>
      <c r="X105" s="246"/>
      <c r="Y105" s="246"/>
      <c r="Z105" s="246"/>
      <c r="AA105" s="246"/>
      <c r="AB105" s="246"/>
    </row>
    <row r="106" spans="1:28" ht="45" customHeight="1">
      <c r="F106" s="400"/>
      <c r="G106" s="402"/>
      <c r="H106" s="123" t="s">
        <v>1051</v>
      </c>
      <c r="I106" s="123" t="s">
        <v>1047</v>
      </c>
      <c r="J106" s="93" t="s">
        <v>1052</v>
      </c>
      <c r="K106" s="390"/>
      <c r="L106" s="95"/>
      <c r="M106" s="41"/>
      <c r="N106" s="97" t="str">
        <f>IF(OR(S106=$AD$12,S106=$AD$13),L106,"")</f>
        <v/>
      </c>
      <c r="O106" s="97" t="str">
        <f>IF(S106=$AD$14,L106,"")</f>
        <v/>
      </c>
      <c r="P106" s="97" t="str">
        <f>IF(L106="","",1)</f>
        <v/>
      </c>
      <c r="Q106" s="97" t="str">
        <f>IF(P106="","",IF(ROUNDUP(RANK(P106,$P$104:$P$108)/ROUND((COUNT($P$104:$P$108)/2),0),0)=1,"Comprehensive","Core"))</f>
        <v/>
      </c>
      <c r="R106" s="97"/>
      <c r="S106" s="127"/>
      <c r="T106" s="39"/>
      <c r="U106" s="99"/>
      <c r="V106" s="35"/>
      <c r="W106" s="246"/>
      <c r="X106" s="246"/>
      <c r="Y106" s="246"/>
      <c r="Z106" s="246"/>
      <c r="AA106" s="246"/>
      <c r="AB106" s="246"/>
    </row>
    <row r="107" spans="1:28" ht="45" customHeight="1">
      <c r="F107" s="400"/>
      <c r="G107" s="402"/>
      <c r="H107" s="123" t="s">
        <v>1053</v>
      </c>
      <c r="I107" s="123" t="s">
        <v>1047</v>
      </c>
      <c r="J107" s="93" t="s">
        <v>1054</v>
      </c>
      <c r="K107" s="390"/>
      <c r="L107" s="95"/>
      <c r="M107" s="41"/>
      <c r="N107" s="97" t="str">
        <f>IF(OR(S107=$AD$12,S107=$AD$13),L107,"")</f>
        <v/>
      </c>
      <c r="O107" s="97" t="str">
        <f>IF(S107=$AD$14,L107,"")</f>
        <v/>
      </c>
      <c r="P107" s="97" t="str">
        <f>IF(L107="","",1)</f>
        <v/>
      </c>
      <c r="Q107" s="97" t="str">
        <f>IF(P107="","",IF(ROUNDUP(RANK(P107,$P$104:$P$108)/ROUND((COUNT($P$104:$P$108)/2),0),0)=1,"Comprehensive","Core"))</f>
        <v/>
      </c>
      <c r="R107" s="97"/>
      <c r="S107" s="127"/>
      <c r="T107" s="39"/>
      <c r="U107" s="99"/>
      <c r="V107" s="35"/>
      <c r="W107" s="246"/>
      <c r="X107" s="246"/>
      <c r="Y107" s="246"/>
      <c r="Z107" s="246"/>
      <c r="AA107" s="246"/>
      <c r="AB107" s="246"/>
    </row>
    <row r="108" spans="1:28" ht="45" customHeight="1">
      <c r="F108" s="400"/>
      <c r="G108" s="403"/>
      <c r="H108" s="123" t="s">
        <v>1055</v>
      </c>
      <c r="I108" s="123" t="s">
        <v>1047</v>
      </c>
      <c r="J108" s="93" t="s">
        <v>1056</v>
      </c>
      <c r="K108" s="391"/>
      <c r="L108" s="95"/>
      <c r="M108" s="41"/>
      <c r="N108" s="97" t="str">
        <f>IF(OR(S108=$AD$12,S108=$AD$13),L108,"")</f>
        <v/>
      </c>
      <c r="O108" s="97" t="str">
        <f>IF(S108=$AD$14,L108,"")</f>
        <v/>
      </c>
      <c r="P108" s="97" t="str">
        <f>IF(L108="","",1)</f>
        <v/>
      </c>
      <c r="Q108" s="97" t="str">
        <f>IF(P108="","",IF(ROUNDUP(RANK(P108,$P$104:$P$108)/ROUND((COUNT($P$104:$P$108)/2),0),0)=1,"Comprehensive","Core"))</f>
        <v/>
      </c>
      <c r="R108" s="97"/>
      <c r="S108" s="127"/>
      <c r="T108" s="39"/>
      <c r="U108" s="99"/>
      <c r="V108" s="35"/>
      <c r="W108" s="246"/>
      <c r="X108" s="246"/>
      <c r="Y108" s="246"/>
      <c r="Z108" s="246"/>
      <c r="AA108" s="246"/>
      <c r="AB108" s="246"/>
    </row>
    <row r="109" spans="1:28" ht="45" customHeight="1">
      <c r="F109" s="83" t="s">
        <v>486</v>
      </c>
      <c r="G109" s="83"/>
      <c r="H109" s="83"/>
      <c r="I109" s="83"/>
      <c r="J109" s="83"/>
      <c r="K109" s="80">
        <v>10</v>
      </c>
      <c r="L109" s="80">
        <f>IF(SUM(L104:L108)&gt;10,10,SUM(L104:L108))</f>
        <v>0</v>
      </c>
      <c r="M109" s="139"/>
      <c r="N109" s="80">
        <f t="shared" ref="N109:O109" si="36">IF(SUM(N104:N108)&gt;10,10,SUM(N104:N108))</f>
        <v>0</v>
      </c>
      <c r="O109" s="80">
        <f t="shared" si="36"/>
        <v>0</v>
      </c>
      <c r="P109" s="104"/>
      <c r="Q109" s="144"/>
      <c r="R109" s="144"/>
      <c r="S109" s="107"/>
      <c r="T109" s="39"/>
      <c r="U109" s="54"/>
      <c r="V109" s="35"/>
      <c r="W109" s="35"/>
      <c r="X109" s="35"/>
      <c r="Y109" s="35"/>
      <c r="Z109" s="35"/>
      <c r="AA109" s="35"/>
      <c r="AB109" s="35"/>
    </row>
    <row r="110" spans="1:28" ht="45" customHeight="1">
      <c r="F110" s="145"/>
      <c r="G110" s="145"/>
      <c r="H110" s="115"/>
      <c r="I110" s="115"/>
      <c r="J110" s="145"/>
      <c r="K110" s="115"/>
      <c r="L110" s="107"/>
      <c r="M110" s="39"/>
      <c r="N110" s="115"/>
      <c r="O110" s="115"/>
      <c r="P110" s="115"/>
      <c r="Q110" s="115"/>
      <c r="R110" s="107"/>
      <c r="S110" s="107"/>
      <c r="T110" s="146"/>
      <c r="U110" s="54"/>
    </row>
    <row r="111" spans="1:28" ht="45" customHeight="1">
      <c r="B111" s="20" t="s">
        <v>1057</v>
      </c>
      <c r="F111" s="147"/>
      <c r="G111" s="148"/>
      <c r="H111" s="149"/>
      <c r="I111" s="149"/>
      <c r="J111" s="100" t="s">
        <v>440</v>
      </c>
      <c r="K111" s="80" t="s">
        <v>1058</v>
      </c>
      <c r="L111" s="80" t="s">
        <v>1059</v>
      </c>
      <c r="M111" s="106"/>
      <c r="N111" s="80" t="s">
        <v>1060</v>
      </c>
      <c r="O111" s="80" t="s">
        <v>1061</v>
      </c>
      <c r="P111" s="144"/>
      <c r="Q111" s="144"/>
      <c r="R111" s="107"/>
      <c r="S111" s="107"/>
      <c r="T111" s="39"/>
      <c r="U111" s="54"/>
      <c r="V111" s="47"/>
      <c r="W111" s="47"/>
      <c r="X111" s="47"/>
      <c r="Y111" s="47"/>
      <c r="Z111" s="47"/>
      <c r="AA111" s="47"/>
      <c r="AB111" s="47"/>
    </row>
    <row r="112" spans="1:28" ht="45" customHeight="1">
      <c r="B112" s="20">
        <f>SUM(B30:B100)</f>
        <v>2</v>
      </c>
      <c r="F112" s="147"/>
      <c r="G112" s="148"/>
      <c r="H112" s="149"/>
      <c r="I112" s="149"/>
      <c r="J112" s="83" t="s">
        <v>1062</v>
      </c>
      <c r="K112" s="150">
        <f>100-B112</f>
        <v>98</v>
      </c>
      <c r="L112" s="151">
        <f>L27+L46+L56+L65+L74+L84+L92+L101</f>
        <v>0</v>
      </c>
      <c r="M112" s="112"/>
      <c r="N112" s="151">
        <f>((N27+N46+N56+N65+N74+N84+N92+N101)/$K$112)*100+N109</f>
        <v>0</v>
      </c>
      <c r="O112" s="151">
        <f>(O27+O46+O56+O65+O74+O84+O92+O101)/$K$112*100+O109</f>
        <v>0</v>
      </c>
      <c r="P112" s="56"/>
      <c r="Q112" s="56"/>
      <c r="R112" s="107"/>
      <c r="S112" s="107"/>
      <c r="T112" s="39"/>
      <c r="U112" s="54"/>
      <c r="V112" s="47"/>
      <c r="W112" s="47"/>
      <c r="X112" s="47"/>
      <c r="Y112" s="47"/>
      <c r="Z112" s="47"/>
      <c r="AA112" s="47"/>
      <c r="AB112" s="47"/>
    </row>
    <row r="113" spans="6:28" ht="45" customHeight="1">
      <c r="F113" s="109"/>
      <c r="G113" s="109"/>
      <c r="H113" s="115"/>
      <c r="I113" s="115"/>
      <c r="J113" s="83" t="s">
        <v>1063</v>
      </c>
      <c r="K113" s="152"/>
      <c r="L113" s="153">
        <f>(L112/K112)*100</f>
        <v>0</v>
      </c>
      <c r="M113" s="48"/>
      <c r="N113" s="112"/>
      <c r="O113" s="404"/>
      <c r="P113" s="70"/>
      <c r="Q113" s="70"/>
      <c r="R113" s="107"/>
      <c r="S113" s="107"/>
      <c r="T113" s="154"/>
      <c r="U113" s="155"/>
      <c r="V113" s="35"/>
      <c r="W113" s="35"/>
      <c r="X113" s="35"/>
      <c r="Y113" s="35"/>
      <c r="Z113" s="35"/>
      <c r="AA113" s="35"/>
      <c r="AB113" s="35"/>
    </row>
    <row r="114" spans="6:28" ht="45" customHeight="1">
      <c r="F114" s="109"/>
      <c r="G114" s="109"/>
      <c r="H114" s="115"/>
      <c r="I114" s="115"/>
      <c r="J114" s="83" t="s">
        <v>1064</v>
      </c>
      <c r="K114" s="150">
        <v>10</v>
      </c>
      <c r="L114" s="151">
        <f>L109</f>
        <v>0</v>
      </c>
      <c r="M114" s="48"/>
      <c r="N114" s="112"/>
      <c r="O114" s="404"/>
      <c r="P114" s="70"/>
      <c r="Q114" s="70"/>
      <c r="R114" s="48"/>
      <c r="S114" s="48"/>
      <c r="T114" s="154"/>
      <c r="U114" s="155"/>
      <c r="V114" s="35"/>
      <c r="W114" s="35"/>
      <c r="X114" s="35"/>
      <c r="Y114" s="35"/>
      <c r="Z114" s="35"/>
      <c r="AA114" s="35"/>
      <c r="AB114" s="35"/>
    </row>
    <row r="115" spans="6:28" ht="45" customHeight="1">
      <c r="F115" s="145"/>
      <c r="G115" s="145"/>
      <c r="H115" s="115"/>
      <c r="I115" s="115"/>
      <c r="J115" s="83" t="s">
        <v>1065</v>
      </c>
      <c r="K115" s="156"/>
      <c r="L115" s="153">
        <f>L113+L114</f>
        <v>0</v>
      </c>
      <c r="M115" s="146"/>
      <c r="N115" s="115"/>
      <c r="O115" s="115"/>
      <c r="P115" s="115"/>
      <c r="Q115" s="115"/>
      <c r="R115" s="107"/>
      <c r="S115" s="107"/>
      <c r="T115" s="146"/>
      <c r="U115" s="54"/>
    </row>
    <row r="116" spans="6:28">
      <c r="R116" s="34"/>
    </row>
    <row r="117" spans="6:28">
      <c r="P117" s="59"/>
      <c r="Q117" s="445" t="s">
        <v>440</v>
      </c>
      <c r="R117" s="60"/>
    </row>
    <row r="118" spans="6:28" ht="45" customHeight="1">
      <c r="P118" s="59"/>
      <c r="Q118" s="61" t="s">
        <v>442</v>
      </c>
      <c r="R118" s="62" t="s">
        <v>444</v>
      </c>
    </row>
    <row r="119" spans="6:28" ht="45" customHeight="1">
      <c r="P119" s="62" t="s">
        <v>446</v>
      </c>
      <c r="Q119" s="61">
        <f ca="1">COUNTIF($Q$11:$Q$100,"Core")</f>
        <v>0</v>
      </c>
      <c r="R119" s="61">
        <f>COUNTIF($R$11:$R$100,"Core")</f>
        <v>0</v>
      </c>
    </row>
    <row r="120" spans="6:28" ht="45" customHeight="1">
      <c r="P120" s="62" t="s">
        <v>452</v>
      </c>
      <c r="Q120" s="61">
        <f ca="1">COUNTIF($Q$11:$Q$100,"Comprehensive")</f>
        <v>2</v>
      </c>
      <c r="R120" s="61">
        <f>COUNTIF($R$11:$R$100,"Comprehensive")</f>
        <v>0</v>
      </c>
    </row>
    <row r="121" spans="6:28" ht="45" customHeight="1">
      <c r="P121" s="63"/>
      <c r="Q121" s="64"/>
      <c r="R121" s="64"/>
    </row>
    <row r="122" spans="6:28" ht="45" customHeight="1">
      <c r="P122" s="65" t="s">
        <v>458</v>
      </c>
      <c r="Q122" s="61">
        <f>COUNTA($S$11:$S$100)</f>
        <v>0</v>
      </c>
      <c r="R122" s="63"/>
    </row>
    <row r="123" spans="6:28" ht="26.45">
      <c r="P123" s="65" t="s">
        <v>462</v>
      </c>
      <c r="Q123" s="61">
        <f>COUNTIF($S$11:$S$100,"Not Awarded - Major Non-compliance")</f>
        <v>0</v>
      </c>
      <c r="R123" s="66"/>
    </row>
    <row r="124" spans="6:28" ht="38.25" customHeight="1">
      <c r="P124" s="62" t="s">
        <v>466</v>
      </c>
      <c r="Q124" s="61">
        <f ca="1">COUNTIFS($Q$11:$Q$100,"Core",$R$11:$R$100,"Comprehensive")</f>
        <v>0</v>
      </c>
      <c r="R124" s="67"/>
      <c r="S124"/>
      <c r="T124"/>
    </row>
    <row r="125" spans="6:28" ht="38.25" customHeight="1">
      <c r="O125"/>
      <c r="P125" s="68" t="s">
        <v>471</v>
      </c>
      <c r="Q125" s="68" t="str">
        <f ca="1">IF(OR(Q122&lt;&gt;SUM(R119:R120),SUM(R119:R120)&lt;&gt;SUM(Q119:Q120)),"Complete the Staged Assessment",IF(AND(Q123&gt;=(Q122*0.5),Q124=0),"Assess Core as Comprehensive","Assessment Complete"))</f>
        <v>Complete the Staged Assessment</v>
      </c>
      <c r="R125" s="63"/>
      <c r="S125"/>
      <c r="T125"/>
    </row>
    <row r="126" spans="6:28" ht="38.25" customHeight="1">
      <c r="O126"/>
      <c r="P126"/>
      <c r="Q126"/>
      <c r="R126"/>
      <c r="S126"/>
      <c r="T126"/>
    </row>
    <row r="127" spans="6:28" ht="38.25" customHeight="1">
      <c r="O127"/>
      <c r="P127"/>
      <c r="Q127"/>
      <c r="R127"/>
      <c r="S127"/>
      <c r="T127"/>
    </row>
    <row r="128" spans="6:28" ht="38.25" customHeight="1">
      <c r="O128"/>
      <c r="P128"/>
      <c r="Q128"/>
      <c r="R128"/>
      <c r="S128"/>
      <c r="T128"/>
    </row>
    <row r="129" spans="15:20" ht="38.25" customHeight="1">
      <c r="O129"/>
      <c r="P129"/>
      <c r="Q129"/>
      <c r="R129"/>
      <c r="S129"/>
      <c r="T129"/>
    </row>
  </sheetData>
  <sheetProtection algorithmName="SHA-512" hashValue="iYnDaCtKruZfmKzsqtH0bqT07cyWQyV3bq3ii4jczGf7Eb3+R8xzR1XrxHDq1agn9jiEk/6H2q3y6O9wYdGV0A==" saltValue="hmF4Uq+VAB1cypb3pCX2KQ==" spinCount="100000" sheet="1" objects="1" scenarios="1"/>
  <dataConsolidate/>
  <customSheetViews>
    <customSheetView guid="{E345A537-ABE6-4DCD-97C2-C197481B2A31}" scale="70" showGridLines="0" fitToPage="1" hiddenColumns="1" topLeftCell="D1">
      <pane ySplit="9" topLeftCell="A10" activePane="bottomLeft" state="frozen"/>
      <selection pane="bottomLeft" activeCell="L11" sqref="L11"/>
      <pageMargins left="0" right="0" top="0" bottom="0" header="0" footer="0"/>
      <pageSetup paperSize="9" scale="14" orientation="portrait" horizontalDpi="1200" verticalDpi="1200" r:id="rId1"/>
    </customSheetView>
    <customSheetView guid="{3F24B786-6082-4FC5-9BB6-BFF2D0E27157}" scale="70" fitToPage="1" hiddenRows="1" hiddenColumns="1" topLeftCell="A72">
      <selection activeCell="G83" sqref="G83"/>
      <pageMargins left="0" right="0" top="0" bottom="0" header="0" footer="0"/>
      <pageSetup paperSize="9" scale="55" orientation="portrait" horizontalDpi="1200" verticalDpi="1200" r:id="rId2"/>
    </customSheetView>
  </customSheetViews>
  <mergeCells count="57">
    <mergeCell ref="W7:Y7"/>
    <mergeCell ref="W5:Y6"/>
    <mergeCell ref="W8:Y8"/>
    <mergeCell ref="F35:F36"/>
    <mergeCell ref="F37:F38"/>
    <mergeCell ref="G30:G32"/>
    <mergeCell ref="G33:G34"/>
    <mergeCell ref="G35:G36"/>
    <mergeCell ref="G37:G38"/>
    <mergeCell ref="F30:F32"/>
    <mergeCell ref="F33:F34"/>
    <mergeCell ref="G24:G26"/>
    <mergeCell ref="F16:F17"/>
    <mergeCell ref="F14:F15"/>
    <mergeCell ref="F12:F13"/>
    <mergeCell ref="F24:F26"/>
    <mergeCell ref="O113:O114"/>
    <mergeCell ref="F39:F42"/>
    <mergeCell ref="F44:F45"/>
    <mergeCell ref="G39:G42"/>
    <mergeCell ref="G44:G45"/>
    <mergeCell ref="G59:G62"/>
    <mergeCell ref="G63:G64"/>
    <mergeCell ref="F59:F62"/>
    <mergeCell ref="F63:F64"/>
    <mergeCell ref="G72:G73"/>
    <mergeCell ref="F72:F73"/>
    <mergeCell ref="F87:F88"/>
    <mergeCell ref="F89:F91"/>
    <mergeCell ref="G87:G88"/>
    <mergeCell ref="G89:G91"/>
    <mergeCell ref="G77:G79"/>
    <mergeCell ref="G12:G13"/>
    <mergeCell ref="K104:K108"/>
    <mergeCell ref="F95:F96"/>
    <mergeCell ref="G95:G96"/>
    <mergeCell ref="F97:F98"/>
    <mergeCell ref="G97:G98"/>
    <mergeCell ref="F68:F71"/>
    <mergeCell ref="G68:G71"/>
    <mergeCell ref="F49:F52"/>
    <mergeCell ref="G49:G52"/>
    <mergeCell ref="F104:F108"/>
    <mergeCell ref="G104:G108"/>
    <mergeCell ref="G80:G81"/>
    <mergeCell ref="G82:G83"/>
    <mergeCell ref="F77:F79"/>
    <mergeCell ref="F21:F23"/>
    <mergeCell ref="F80:F81"/>
    <mergeCell ref="F82:F83"/>
    <mergeCell ref="F53:F55"/>
    <mergeCell ref="G53:G55"/>
    <mergeCell ref="G14:G15"/>
    <mergeCell ref="F18:F20"/>
    <mergeCell ref="G21:G23"/>
    <mergeCell ref="G18:G20"/>
    <mergeCell ref="G16:G17"/>
  </mergeCells>
  <conditionalFormatting sqref="F72:G73">
    <cfRule type="expression" dxfId="98" priority="1">
      <formula>$C$72=TRUE</formula>
    </cfRule>
  </conditionalFormatting>
  <conditionalFormatting sqref="G7">
    <cfRule type="expression" dxfId="97" priority="2">
      <formula>$G$7=$AD$6</formula>
    </cfRule>
  </conditionalFormatting>
  <conditionalFormatting sqref="H11:L108">
    <cfRule type="expression" dxfId="96" priority="10">
      <formula>$C11=TRUE</formula>
    </cfRule>
  </conditionalFormatting>
  <conditionalFormatting sqref="H39:L40 N39:S40 U39:U40">
    <cfRule type="expression" dxfId="95" priority="33">
      <formula>$G$39&lt;&gt;$AD$39</formula>
    </cfRule>
  </conditionalFormatting>
  <conditionalFormatting sqref="H41:L42 N41:S42 U41:U42">
    <cfRule type="expression" dxfId="94" priority="101">
      <formula>$G$39&lt;&gt;$AD$40</formula>
    </cfRule>
  </conditionalFormatting>
  <conditionalFormatting sqref="H49:L49 N49:S49 U49">
    <cfRule type="expression" dxfId="93" priority="132">
      <formula>$G$49&lt;&gt;$AD$49</formula>
    </cfRule>
  </conditionalFormatting>
  <conditionalFormatting sqref="H50:L50 N50:S50 U50">
    <cfRule type="expression" dxfId="92" priority="133">
      <formula>$G$49&lt;&gt;$AD$50</formula>
    </cfRule>
  </conditionalFormatting>
  <conditionalFormatting sqref="H51:L51 N51:S51 U51">
    <cfRule type="expression" dxfId="91" priority="134">
      <formula>$G$49&lt;&gt;$AD$51</formula>
    </cfRule>
  </conditionalFormatting>
  <conditionalFormatting sqref="H52:L52 N52:S52 U52">
    <cfRule type="expression" dxfId="90" priority="136">
      <formula>$G$49&lt;&gt;$AD$52</formula>
    </cfRule>
  </conditionalFormatting>
  <conditionalFormatting sqref="H53:L53 N53:S53 U53">
    <cfRule type="expression" dxfId="89" priority="137">
      <formula>$G$53&lt;&gt;$AD$53</formula>
    </cfRule>
  </conditionalFormatting>
  <conditionalFormatting sqref="H54:L54 N54:S54 U54">
    <cfRule type="expression" dxfId="88" priority="138">
      <formula>$G$53&lt;&gt;$AD$54</formula>
    </cfRule>
  </conditionalFormatting>
  <conditionalFormatting sqref="H55:L55 N55:S55 U55">
    <cfRule type="expression" dxfId="87" priority="140">
      <formula>$G$53&lt;&gt;$AD$55</formula>
    </cfRule>
  </conditionalFormatting>
  <conditionalFormatting sqref="H68:L68 N68:S68 U68">
    <cfRule type="expression" dxfId="86" priority="141">
      <formula>$G$68&lt;&gt;$AD$68</formula>
    </cfRule>
  </conditionalFormatting>
  <conditionalFormatting sqref="H69:L69 N69:S69 U69">
    <cfRule type="expression" dxfId="85" priority="142">
      <formula>$G$68&lt;&gt;$AD$69</formula>
    </cfRule>
  </conditionalFormatting>
  <conditionalFormatting sqref="H70:L70 N70:S70 U70">
    <cfRule type="expression" dxfId="84" priority="143">
      <formula>$G$68&lt;&gt;$AD$70</formula>
    </cfRule>
  </conditionalFormatting>
  <conditionalFormatting sqref="H71:L71 N71:S71 U71">
    <cfRule type="expression" dxfId="83" priority="200">
      <formula>$G$68&lt;&gt;$AD$71</formula>
    </cfRule>
  </conditionalFormatting>
  <conditionalFormatting sqref="L4">
    <cfRule type="expression" dxfId="82" priority="3">
      <formula>$G$2="verified"</formula>
    </cfRule>
    <cfRule type="expression" dxfId="81" priority="6">
      <formula>OR(AI52="No",AI71="No")</formula>
    </cfRule>
  </conditionalFormatting>
  <conditionalFormatting sqref="L49:L52">
    <cfRule type="expression" dxfId="80" priority="4">
      <formula>$G$2="verified"</formula>
    </cfRule>
    <cfRule type="expression" dxfId="79" priority="8">
      <formula>AND($G$49=$AD49,$AI$52="No")</formula>
    </cfRule>
  </conditionalFormatting>
  <conditionalFormatting sqref="L68:L71">
    <cfRule type="expression" dxfId="78" priority="5">
      <formula>$G$2="verified"</formula>
    </cfRule>
    <cfRule type="expression" dxfId="77" priority="9">
      <formula>$AI$71="no"</formula>
    </cfRule>
  </conditionalFormatting>
  <conditionalFormatting sqref="U11:U108">
    <cfRule type="expression" dxfId="76" priority="222">
      <formula>$S11=$AD$14</formula>
    </cfRule>
  </conditionalFormatting>
  <conditionalFormatting sqref="W11:AB108">
    <cfRule type="expression" dxfId="75" priority="223">
      <formula>$S11=$AD$14</formula>
    </cfRule>
  </conditionalFormatting>
  <dataValidations disablePrompts="1" count="9">
    <dataValidation type="decimal" operator="lessThanOrEqual" allowBlank="1" showInputMessage="1" showErrorMessage="1" sqref="L11:L26 L95:L100 L87:L91 L77:L83 L68:L73 L59:L64 L49:L55 L30:L45 L104:L108" xr:uid="{00000000-0002-0000-0400-000000000000}">
      <formula1>K11</formula1>
    </dataValidation>
    <dataValidation type="list" allowBlank="1" showInputMessage="1" showErrorMessage="1" promptTitle="Selection Required" prompt="Please select the project's desired pathway." sqref="G49:G52" xr:uid="{00000000-0002-0000-0400-000001000000}">
      <formula1>$AD$49:$AD$52</formula1>
    </dataValidation>
    <dataValidation type="list" allowBlank="1" showInputMessage="1" showErrorMessage="1" promptTitle="Selection Required" prompt="Please select the project's desired pathway." sqref="G39:G42" xr:uid="{00000000-0002-0000-0400-000002000000}">
      <formula1>$AD$39:$AD$40</formula1>
    </dataValidation>
    <dataValidation type="list" allowBlank="1" showInputMessage="1" showErrorMessage="1" promptTitle="Selection Required" prompt="Please select the project's desired pathway." sqref="G68:G71" xr:uid="{00000000-0002-0000-0400-000003000000}">
      <formula1>$AD$68:$AD$71</formula1>
    </dataValidation>
    <dataValidation type="list" allowBlank="1" showInputMessage="1" showErrorMessage="1" sqref="W11:W26 W30:W45 W49:W55 W59:W64 W68:W73 W77:W83 W87:W91 W95:W100 W104:W108" xr:uid="{00000000-0002-0000-0400-000004000000}">
      <formula1>$AF$18:$AF$20</formula1>
    </dataValidation>
    <dataValidation type="list" allowBlank="1" showInputMessage="1" showErrorMessage="1" promptTitle="Selection Required" prompt="Please select the project's desired pathway." sqref="G53:G55" xr:uid="{00000000-0002-0000-0400-000005000000}">
      <formula1>$AD$53:$AD$55</formula1>
    </dataValidation>
    <dataValidation type="list" allowBlank="1" showInputMessage="1" showErrorMessage="1" sqref="R11:R26 R104:R108 R95:R100 R87:R91 R77:R83 R68:R73 R59:R64 R49:R55 R30:R45" xr:uid="{00000000-0002-0000-0400-000006000000}">
      <formula1>$AE$18:$AE$19</formula1>
    </dataValidation>
    <dataValidation type="list" allowBlank="1" showInputMessage="1" showErrorMessage="1" sqref="G7" xr:uid="{00000000-0002-0000-0400-000007000000}">
      <formula1>$AD$6:$AD$8</formula1>
    </dataValidation>
    <dataValidation type="list" allowBlank="1" showInputMessage="1" showErrorMessage="1" sqref="S104:S108 S77:S83 S30:S45 S49:S55 S59:S64 S68:S73 S87:S91 S95:S100 S11:S26" xr:uid="{00000000-0002-0000-0400-000008000000}">
      <formula1>$AD$12:$AD$14</formula1>
    </dataValidation>
  </dataValidations>
  <pageMargins left="0.70866141732283472" right="0.70866141732283472" top="0.74803149606299213" bottom="0.74803149606299213" header="0.31496062992125984" footer="0.31496062992125984"/>
  <pageSetup paperSize="9" scale="14" orientation="portrait" horizontalDpi="1200" verticalDpi="1200" r:id="rId3"/>
  <drawing r:id="rId4"/>
  <legacyDrawing r:id="rId5"/>
  <mc:AlternateContent xmlns:mc="http://schemas.openxmlformats.org/markup-compatibility/2006">
    <mc:Choice Requires="x14">
      <controls>
        <mc:AlternateContent xmlns:mc="http://schemas.openxmlformats.org/markup-compatibility/2006">
          <mc:Choice Requires="x14">
            <control shapeId="13340" r:id="rId6" name="Check Box 28">
              <controlPr defaultSize="0" autoFill="0" autoLine="0" autoPict="0">
                <anchor moveWithCells="1">
                  <from>
                    <xdr:col>4</xdr:col>
                    <xdr:colOff>60960</xdr:colOff>
                    <xdr:row>32</xdr:row>
                    <xdr:rowOff>160020</xdr:rowOff>
                  </from>
                  <to>
                    <xdr:col>5</xdr:col>
                    <xdr:colOff>533400</xdr:colOff>
                    <xdr:row>32</xdr:row>
                    <xdr:rowOff>373380</xdr:rowOff>
                  </to>
                </anchor>
              </controlPr>
            </control>
          </mc:Choice>
        </mc:AlternateContent>
        <mc:AlternateContent xmlns:mc="http://schemas.openxmlformats.org/markup-compatibility/2006">
          <mc:Choice Requires="x14">
            <control shapeId="13341" r:id="rId7" name="Check Box 29">
              <controlPr defaultSize="0" autoFill="0" autoLine="0" autoPict="0">
                <anchor moveWithCells="1">
                  <from>
                    <xdr:col>4</xdr:col>
                    <xdr:colOff>60960</xdr:colOff>
                    <xdr:row>33</xdr:row>
                    <xdr:rowOff>160020</xdr:rowOff>
                  </from>
                  <to>
                    <xdr:col>5</xdr:col>
                    <xdr:colOff>533400</xdr:colOff>
                    <xdr:row>33</xdr:row>
                    <xdr:rowOff>373380</xdr:rowOff>
                  </to>
                </anchor>
              </controlPr>
            </control>
          </mc:Choice>
        </mc:AlternateContent>
        <mc:AlternateContent xmlns:mc="http://schemas.openxmlformats.org/markup-compatibility/2006">
          <mc:Choice Requires="x14">
            <control shapeId="13343" r:id="rId8" name="Check Box 31">
              <controlPr defaultSize="0" autoFill="0" autoLine="0" autoPict="0">
                <anchor moveWithCells="1">
                  <from>
                    <xdr:col>4</xdr:col>
                    <xdr:colOff>60960</xdr:colOff>
                    <xdr:row>71</xdr:row>
                    <xdr:rowOff>464820</xdr:rowOff>
                  </from>
                  <to>
                    <xdr:col>5</xdr:col>
                    <xdr:colOff>533400</xdr:colOff>
                    <xdr:row>72</xdr:row>
                    <xdr:rowOff>106680</xdr:rowOff>
                  </to>
                </anchor>
              </controlPr>
            </control>
          </mc:Choice>
        </mc:AlternateContent>
        <mc:AlternateContent xmlns:mc="http://schemas.openxmlformats.org/markup-compatibility/2006">
          <mc:Choice Requires="x14">
            <control shapeId="13345" r:id="rId9" name="Check Box 33">
              <controlPr defaultSize="0" autoFill="0" autoLine="0" autoPict="0">
                <anchor moveWithCells="1">
                  <from>
                    <xdr:col>4</xdr:col>
                    <xdr:colOff>60960</xdr:colOff>
                    <xdr:row>82</xdr:row>
                    <xdr:rowOff>160020</xdr:rowOff>
                  </from>
                  <to>
                    <xdr:col>5</xdr:col>
                    <xdr:colOff>533400</xdr:colOff>
                    <xdr:row>82</xdr:row>
                    <xdr:rowOff>373380</xdr:rowOff>
                  </to>
                </anchor>
              </controlPr>
            </control>
          </mc:Choice>
        </mc:AlternateContent>
        <mc:AlternateContent xmlns:mc="http://schemas.openxmlformats.org/markup-compatibility/2006">
          <mc:Choice Requires="x14">
            <control shapeId="13346" r:id="rId10" name="Check Box 34">
              <controlPr defaultSize="0" autoFill="0" autoLine="0" autoPict="0">
                <anchor moveWithCells="1">
                  <from>
                    <xdr:col>4</xdr:col>
                    <xdr:colOff>60960</xdr:colOff>
                    <xdr:row>89</xdr:row>
                    <xdr:rowOff>160020</xdr:rowOff>
                  </from>
                  <to>
                    <xdr:col>5</xdr:col>
                    <xdr:colOff>533400</xdr:colOff>
                    <xdr:row>89</xdr:row>
                    <xdr:rowOff>373380</xdr:rowOff>
                  </to>
                </anchor>
              </controlPr>
            </control>
          </mc:Choice>
        </mc:AlternateContent>
        <mc:AlternateContent xmlns:mc="http://schemas.openxmlformats.org/markup-compatibility/2006">
          <mc:Choice Requires="x14">
            <control shapeId="13347" r:id="rId11" name="Check Box 35">
              <controlPr defaultSize="0" autoFill="0" autoLine="0" autoPict="0">
                <anchor moveWithCells="1">
                  <from>
                    <xdr:col>4</xdr:col>
                    <xdr:colOff>60960</xdr:colOff>
                    <xdr:row>97</xdr:row>
                    <xdr:rowOff>160020</xdr:rowOff>
                  </from>
                  <to>
                    <xdr:col>5</xdr:col>
                    <xdr:colOff>533400</xdr:colOff>
                    <xdr:row>97</xdr:row>
                    <xdr:rowOff>373380</xdr:rowOff>
                  </to>
                </anchor>
              </controlPr>
            </control>
          </mc:Choice>
        </mc:AlternateContent>
        <mc:AlternateContent xmlns:mc="http://schemas.openxmlformats.org/markup-compatibility/2006">
          <mc:Choice Requires="x14">
            <control shapeId="13348" r:id="rId12" name="Check Box 36">
              <controlPr defaultSize="0" autoFill="0" autoLine="0" autoPict="0">
                <anchor moveWithCells="1">
                  <from>
                    <xdr:col>4</xdr:col>
                    <xdr:colOff>60960</xdr:colOff>
                    <xdr:row>81</xdr:row>
                    <xdr:rowOff>160020</xdr:rowOff>
                  </from>
                  <to>
                    <xdr:col>5</xdr:col>
                    <xdr:colOff>533400</xdr:colOff>
                    <xdr:row>81</xdr:row>
                    <xdr:rowOff>373380</xdr:rowOff>
                  </to>
                </anchor>
              </controlPr>
            </control>
          </mc:Choice>
        </mc:AlternateContent>
        <mc:AlternateContent xmlns:mc="http://schemas.openxmlformats.org/markup-compatibility/2006">
          <mc:Choice Requires="x14">
            <control shapeId="13358" r:id="rId13" name="Check Box 46">
              <controlPr defaultSize="0" autoFill="0" autoLine="0" autoPict="0">
                <anchor moveWithCells="1">
                  <from>
                    <xdr:col>4</xdr:col>
                    <xdr:colOff>68580</xdr:colOff>
                    <xdr:row>77</xdr:row>
                    <xdr:rowOff>403860</xdr:rowOff>
                  </from>
                  <to>
                    <xdr:col>5</xdr:col>
                    <xdr:colOff>1104900</xdr:colOff>
                    <xdr:row>79</xdr:row>
                    <xdr:rowOff>160020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I129"/>
  <sheetViews>
    <sheetView showGridLines="0" tabSelected="1" topLeftCell="D1" zoomScale="70" zoomScaleNormal="70" zoomScalePageLayoutView="60" workbookViewId="0">
      <selection activeCell="N13" sqref="N13"/>
    </sheetView>
  </sheetViews>
  <sheetFormatPr defaultColWidth="9" defaultRowHeight="15"/>
  <cols>
    <col min="1" max="3" width="9" style="26" hidden="1" customWidth="1"/>
    <col min="4" max="4" width="2.25" style="26" customWidth="1"/>
    <col min="5" max="5" width="4.5" style="26" customWidth="1"/>
    <col min="6" max="6" width="27.75" style="12" customWidth="1"/>
    <col min="7" max="7" width="51.125" style="12" customWidth="1"/>
    <col min="8" max="8" width="9.125" style="11" customWidth="1"/>
    <col min="9" max="9" width="11.125" style="11" customWidth="1"/>
    <col min="10" max="10" width="40.125" style="12" customWidth="1"/>
    <col min="11" max="11" width="15.375" style="11" customWidth="1"/>
    <col min="12" max="12" width="14" style="34" customWidth="1"/>
    <col min="13" max="13" width="11.125" style="26" customWidth="1"/>
    <col min="14" max="15" width="14" style="11" customWidth="1"/>
    <col min="16" max="16" width="17.75" style="11" hidden="1" customWidth="1"/>
    <col min="17" max="17" width="19.75" style="11" hidden="1" customWidth="1"/>
    <col min="18" max="18" width="14" style="11" hidden="1" customWidth="1"/>
    <col min="19" max="19" width="22" style="34" customWidth="1"/>
    <col min="20" max="20" width="9" style="26" customWidth="1"/>
    <col min="21" max="21" width="63.625" style="53" customWidth="1"/>
    <col min="22" max="22" width="9" style="26" customWidth="1"/>
    <col min="23" max="23" width="9" style="26" hidden="1" customWidth="1"/>
    <col min="24" max="24" width="60.125" style="26" hidden="1" customWidth="1"/>
    <col min="25" max="25" width="53" style="26" hidden="1" customWidth="1"/>
    <col min="26" max="26" width="56.625" style="26" hidden="1" customWidth="1"/>
    <col min="27" max="27" width="45.75" style="26" hidden="1" customWidth="1"/>
    <col min="28" max="28" width="41.875" style="26" hidden="1" customWidth="1"/>
    <col min="29" max="29" width="8.5" style="26" hidden="1" customWidth="1"/>
    <col min="30" max="30" width="36.5" style="39" hidden="1" customWidth="1"/>
    <col min="31" max="31" width="34.75" style="39" hidden="1" customWidth="1"/>
    <col min="32" max="32" width="23.875" style="39" hidden="1" customWidth="1"/>
    <col min="33" max="33" width="17" style="107" hidden="1" customWidth="1"/>
    <col min="34" max="34" width="35.5" style="26" hidden="1" customWidth="1"/>
    <col min="35" max="35" width="9" style="26" hidden="1" customWidth="1"/>
    <col min="36" max="16384" width="9" style="26"/>
  </cols>
  <sheetData>
    <row r="1" spans="1:35" ht="45" customHeight="1">
      <c r="A1" s="26" t="s">
        <v>28</v>
      </c>
      <c r="B1" s="26" t="s">
        <v>28</v>
      </c>
      <c r="C1" s="26" t="s">
        <v>28</v>
      </c>
      <c r="F1" s="413" t="s">
        <v>864</v>
      </c>
      <c r="G1" s="414"/>
      <c r="H1" s="414"/>
      <c r="I1" s="414"/>
      <c r="J1" s="414"/>
      <c r="K1" s="19"/>
      <c r="L1" s="32"/>
      <c r="M1" s="33"/>
      <c r="P1" s="11" t="s">
        <v>28</v>
      </c>
      <c r="Q1" s="11" t="s">
        <v>28</v>
      </c>
      <c r="R1" s="11" t="s">
        <v>28</v>
      </c>
      <c r="S1" s="32"/>
      <c r="T1" s="35"/>
      <c r="V1" s="35"/>
      <c r="W1" s="39" t="s">
        <v>28</v>
      </c>
      <c r="X1" s="39" t="s">
        <v>28</v>
      </c>
      <c r="Y1" s="39" t="s">
        <v>28</v>
      </c>
      <c r="Z1" s="39" t="s">
        <v>28</v>
      </c>
      <c r="AA1" s="39" t="s">
        <v>28</v>
      </c>
      <c r="AB1" s="39" t="s">
        <v>28</v>
      </c>
      <c r="AD1" s="39" t="s">
        <v>28</v>
      </c>
      <c r="AE1" s="39" t="s">
        <v>28</v>
      </c>
      <c r="AF1" s="39" t="s">
        <v>28</v>
      </c>
      <c r="AG1" s="107" t="s">
        <v>28</v>
      </c>
      <c r="AH1" s="39" t="s">
        <v>28</v>
      </c>
      <c r="AI1" s="39" t="s">
        <v>28</v>
      </c>
    </row>
    <row r="2" spans="1:35" ht="12.75" customHeight="1">
      <c r="F2" s="13"/>
      <c r="G2" s="329"/>
      <c r="H2" s="14"/>
      <c r="I2" s="14"/>
      <c r="J2" s="14"/>
      <c r="K2" s="15"/>
      <c r="L2" s="32"/>
      <c r="M2" s="33"/>
      <c r="S2" s="32"/>
      <c r="T2" s="35"/>
      <c r="V2" s="35"/>
      <c r="W2"/>
      <c r="X2" s="249"/>
      <c r="Y2" s="249"/>
      <c r="Z2" s="35"/>
      <c r="AA2" s="35"/>
      <c r="AB2" s="35"/>
    </row>
    <row r="3" spans="1:35" ht="45" customHeight="1" thickBot="1">
      <c r="A3" s="36" t="s">
        <v>865</v>
      </c>
      <c r="B3" s="36" t="s">
        <v>866</v>
      </c>
      <c r="C3" s="26" t="s">
        <v>867</v>
      </c>
      <c r="F3" s="168" t="s">
        <v>868</v>
      </c>
      <c r="G3" s="229" t="str">
        <f>IF('Building Information'!C7="","",'Building Information'!C7)</f>
        <v/>
      </c>
      <c r="H3"/>
      <c r="I3" s="22"/>
      <c r="J3" s="16"/>
      <c r="K3" s="80" t="s">
        <v>869</v>
      </c>
      <c r="L3" s="80" t="s">
        <v>870</v>
      </c>
      <c r="M3" s="81"/>
      <c r="N3" s="80" t="s">
        <v>871</v>
      </c>
      <c r="O3" s="80" t="s">
        <v>872</v>
      </c>
      <c r="P3"/>
      <c r="Q3"/>
      <c r="R3"/>
      <c r="S3" s="37"/>
      <c r="T3" s="441" t="s">
        <v>790</v>
      </c>
      <c r="U3" s="442"/>
      <c r="V3" s="39"/>
      <c r="W3" s="248" t="s">
        <v>873</v>
      </c>
      <c r="X3" s="249"/>
      <c r="Y3" s="249"/>
      <c r="Z3"/>
      <c r="AA3"/>
      <c r="AB3"/>
    </row>
    <row r="4" spans="1:35" ht="45" customHeight="1" thickBot="1">
      <c r="F4" s="169" t="str">
        <f>IF(AND(L4&gt;0,L4=N4,O4=0),"Awarded Rating","Targeted Rating")</f>
        <v>Targeted Rating</v>
      </c>
      <c r="G4" s="69" t="str">
        <f>IF(G2="limit","3 Star - Good Practice",IF(L4&gt;=74.5,"6 Star - World Leadership",IF(L4&gt;=59.5,"5 Star - New Zealand Excellence",IF(L4&gt;=44.5,"4 Star - New Zealand Best Practice",IF(L4&gt;=29.5,"3 Star - Good Practice",IF(L4&gt;=19.5,"2 Star - Average Practice",IF(L4&gt;=9.5,"1 Star - Minimum Practice","")))))))</f>
        <v/>
      </c>
      <c r="H4"/>
      <c r="I4" s="23"/>
      <c r="J4" s="17"/>
      <c r="K4" s="27">
        <f>K112</f>
        <v>98</v>
      </c>
      <c r="L4" s="359">
        <f>L115</f>
        <v>0</v>
      </c>
      <c r="M4" s="360"/>
      <c r="N4" s="359">
        <f>N112</f>
        <v>0</v>
      </c>
      <c r="O4" s="359">
        <f>O112</f>
        <v>0</v>
      </c>
      <c r="P4"/>
      <c r="Q4" s="58" t="str">
        <f ca="1">IF(AND(Q119=0,Q120=0),"",Q125)</f>
        <v>Complete the Staged Assessment</v>
      </c>
      <c r="R4" s="34"/>
      <c r="S4" s="40"/>
      <c r="T4" s="443"/>
      <c r="U4" s="444" t="s">
        <v>793</v>
      </c>
      <c r="V4" s="39"/>
      <c r="W4" s="261" t="s">
        <v>874</v>
      </c>
      <c r="X4" s="262"/>
      <c r="Y4" s="263"/>
      <c r="Z4"/>
      <c r="AA4"/>
      <c r="AB4"/>
    </row>
    <row r="5" spans="1:35" ht="45" customHeight="1">
      <c r="F5" s="169" t="s">
        <v>525</v>
      </c>
      <c r="G5" s="244" t="s">
        <v>581</v>
      </c>
      <c r="H5"/>
      <c r="I5" s="23"/>
      <c r="J5" s="17"/>
      <c r="K5" s="56"/>
      <c r="L5" s="57"/>
      <c r="M5" s="29"/>
      <c r="N5" s="57"/>
      <c r="O5" s="57"/>
      <c r="P5" s="57"/>
      <c r="Q5" s="56"/>
      <c r="R5" s="56"/>
      <c r="S5" s="40"/>
      <c r="T5" s="446"/>
      <c r="U5" s="444" t="s">
        <v>796</v>
      </c>
      <c r="V5" s="39"/>
      <c r="W5" s="406" t="s">
        <v>875</v>
      </c>
      <c r="X5" s="407"/>
      <c r="Y5" s="408"/>
      <c r="Z5"/>
      <c r="AA5"/>
      <c r="AB5"/>
    </row>
    <row r="6" spans="1:35" ht="45" customHeight="1">
      <c r="F6" s="169" t="s">
        <v>70</v>
      </c>
      <c r="G6" s="310" t="str">
        <f>VLOOKUP(G5,'Building Information'!E6:G9,2,FALSE)</f>
        <v>Fill in the Building Details</v>
      </c>
      <c r="H6"/>
      <c r="I6" s="23"/>
      <c r="J6" s="17"/>
      <c r="K6" s="56"/>
      <c r="L6" s="57"/>
      <c r="M6" s="29"/>
      <c r="N6" s="57"/>
      <c r="O6" s="57"/>
      <c r="P6" s="57"/>
      <c r="Q6" s="56"/>
      <c r="R6" s="56"/>
      <c r="S6" s="40"/>
      <c r="T6" s="38"/>
      <c r="U6" s="54"/>
      <c r="V6" s="39"/>
      <c r="W6" s="409"/>
      <c r="X6" s="410"/>
      <c r="Y6" s="411"/>
      <c r="Z6"/>
      <c r="AA6"/>
      <c r="AB6"/>
      <c r="AD6" s="39" t="s">
        <v>876</v>
      </c>
    </row>
    <row r="7" spans="1:35" ht="45" customHeight="1">
      <c r="F7" s="170" t="s">
        <v>702</v>
      </c>
      <c r="G7" s="327" t="s">
        <v>876</v>
      </c>
      <c r="H7"/>
      <c r="I7" s="23"/>
      <c r="J7" s="17"/>
      <c r="K7" s="56"/>
      <c r="L7" s="57"/>
      <c r="M7" s="29"/>
      <c r="N7" s="57"/>
      <c r="O7" s="57"/>
      <c r="P7" s="57"/>
      <c r="Q7" s="56"/>
      <c r="R7" s="56"/>
      <c r="S7" s="40"/>
      <c r="T7" s="38"/>
      <c r="U7" s="54"/>
      <c r="V7" s="39"/>
      <c r="W7" s="405" t="s">
        <v>877</v>
      </c>
      <c r="X7" s="405"/>
      <c r="Y7" s="405"/>
      <c r="Z7"/>
      <c r="AA7"/>
      <c r="AB7"/>
      <c r="AD7" s="39" t="s">
        <v>706</v>
      </c>
    </row>
    <row r="8" spans="1:35" ht="17.25" customHeight="1">
      <c r="G8" s="18"/>
      <c r="H8" s="19"/>
      <c r="I8" s="19"/>
      <c r="J8" s="18"/>
      <c r="K8" s="19"/>
      <c r="L8" s="32"/>
      <c r="M8" s="41"/>
      <c r="N8" s="19"/>
      <c r="O8" s="19"/>
      <c r="P8" s="19"/>
      <c r="Q8" s="19"/>
      <c r="R8" s="19"/>
      <c r="S8" s="32"/>
      <c r="T8" s="35"/>
      <c r="U8" s="55"/>
      <c r="V8" s="35"/>
      <c r="W8" s="412"/>
      <c r="X8" s="412"/>
      <c r="Y8" s="412"/>
      <c r="Z8"/>
      <c r="AA8"/>
      <c r="AB8"/>
      <c r="AD8" s="39" t="s">
        <v>708</v>
      </c>
    </row>
    <row r="9" spans="1:35" ht="45" customHeight="1">
      <c r="E9" s="82" t="s">
        <v>878</v>
      </c>
      <c r="F9" s="83" t="s">
        <v>879</v>
      </c>
      <c r="G9" s="83" t="s">
        <v>880</v>
      </c>
      <c r="H9" s="80" t="s">
        <v>881</v>
      </c>
      <c r="I9" s="80" t="s">
        <v>882</v>
      </c>
      <c r="J9" s="83" t="s">
        <v>883</v>
      </c>
      <c r="K9" s="80" t="s">
        <v>884</v>
      </c>
      <c r="L9" s="80" t="s">
        <v>885</v>
      </c>
      <c r="M9" s="41"/>
      <c r="N9" s="80" t="s">
        <v>886</v>
      </c>
      <c r="O9" s="80" t="s">
        <v>887</v>
      </c>
      <c r="P9" s="80" t="s">
        <v>110</v>
      </c>
      <c r="Q9" s="80" t="s">
        <v>888</v>
      </c>
      <c r="R9" s="80" t="s">
        <v>889</v>
      </c>
      <c r="S9" s="82" t="s">
        <v>890</v>
      </c>
      <c r="T9" s="84"/>
      <c r="U9" s="85" t="s">
        <v>891</v>
      </c>
      <c r="V9" s="35"/>
      <c r="W9" s="85" t="s">
        <v>892</v>
      </c>
      <c r="X9" s="85" t="s">
        <v>893</v>
      </c>
      <c r="Y9" s="85" t="s">
        <v>894</v>
      </c>
      <c r="Z9" s="85" t="s">
        <v>1066</v>
      </c>
      <c r="AA9" s="85" t="s">
        <v>896</v>
      </c>
      <c r="AB9" s="85" t="s">
        <v>897</v>
      </c>
    </row>
    <row r="10" spans="1:35" ht="45" customHeight="1">
      <c r="F10" s="24" t="s">
        <v>898</v>
      </c>
      <c r="G10" s="86"/>
      <c r="H10" s="86"/>
      <c r="I10" s="86"/>
      <c r="J10" s="86"/>
      <c r="K10" s="87"/>
      <c r="L10" s="87"/>
      <c r="M10" s="41"/>
      <c r="N10" s="87"/>
      <c r="O10" s="87"/>
      <c r="P10" s="87"/>
      <c r="Q10" s="87" t="str">
        <f ca="1">CONCATENATE(COUNTIF(Q11:Q26,"Comprehensive")," Comprehensive",CHAR(10),COUNTIF(Q11:Q26,"Core")," Core")</f>
        <v>0 Comprehensive
0 Core</v>
      </c>
      <c r="R10" s="87"/>
      <c r="S10" s="88"/>
      <c r="T10" s="84"/>
      <c r="U10" s="89"/>
      <c r="V10" s="35"/>
      <c r="W10" s="245"/>
      <c r="X10" s="245"/>
      <c r="Y10" s="245"/>
      <c r="Z10" s="245"/>
      <c r="AA10" s="245"/>
      <c r="AB10" s="245"/>
    </row>
    <row r="11" spans="1:35" ht="45" customHeight="1">
      <c r="F11" s="90" t="s">
        <v>899</v>
      </c>
      <c r="G11" s="91" t="s">
        <v>900</v>
      </c>
      <c r="H11" s="92">
        <v>1.1000000000000001</v>
      </c>
      <c r="I11" s="92" t="s">
        <v>901</v>
      </c>
      <c r="J11" s="93" t="s">
        <v>902</v>
      </c>
      <c r="K11" s="94">
        <v>1</v>
      </c>
      <c r="L11" s="95"/>
      <c r="M11" s="96"/>
      <c r="N11" s="97" t="str">
        <f t="shared" ref="N11:N26" si="0">IF(OR(S11=$AD$12,S11=$AD$13),L11,"")</f>
        <v/>
      </c>
      <c r="O11" s="97" t="str">
        <f t="shared" ref="O11:O26" si="1">IF(S11=$AD$14,L11,"")</f>
        <v/>
      </c>
      <c r="P11" s="97" t="str">
        <f t="shared" ref="P11:P26" ca="1" si="2">IF(OR(AND(K11="-",L11&lt;&gt;""),C11=TRUE),1,IF(OR(L11="",L11=0),"",RAND()))</f>
        <v/>
      </c>
      <c r="Q11" s="97" t="str">
        <f ca="1">IF(P11="","",IF(ROUNDUP(RANK(P11,$P$11:$P$26)/ROUND((COUNT($P$11:$P$26)/2),0),0)=1,"Comprehensive","Core"))</f>
        <v/>
      </c>
      <c r="R11" s="97"/>
      <c r="S11" s="98"/>
      <c r="T11" s="167"/>
      <c r="U11" s="99"/>
      <c r="V11" s="35"/>
      <c r="W11" s="246"/>
      <c r="X11" s="246"/>
      <c r="Y11" s="246"/>
      <c r="Z11" s="246"/>
      <c r="AA11" s="246"/>
      <c r="AB11" s="246"/>
    </row>
    <row r="12" spans="1:35" ht="45" customHeight="1">
      <c r="F12" s="387" t="s">
        <v>43</v>
      </c>
      <c r="G12" s="386" t="s">
        <v>903</v>
      </c>
      <c r="H12" s="92">
        <v>2.1</v>
      </c>
      <c r="I12" s="92" t="s">
        <v>901</v>
      </c>
      <c r="J12" s="93" t="s">
        <v>904</v>
      </c>
      <c r="K12" s="94">
        <v>1</v>
      </c>
      <c r="L12" s="95"/>
      <c r="M12" s="96"/>
      <c r="N12" s="97" t="str">
        <f t="shared" si="0"/>
        <v/>
      </c>
      <c r="O12" s="97" t="str">
        <f t="shared" si="1"/>
        <v/>
      </c>
      <c r="P12" s="97" t="str">
        <f t="shared" ca="1" si="2"/>
        <v/>
      </c>
      <c r="Q12" s="97" t="str">
        <f t="shared" ref="Q12:Q26" ca="1" si="3">IF(P12="","",IF(ROUNDUP(RANK(P12,$P$11:$P$26)/ROUND((COUNT($P$11:$P$26)/2),0),0)=1,"Comprehensive","Core"))</f>
        <v/>
      </c>
      <c r="R12" s="97"/>
      <c r="S12" s="98"/>
      <c r="T12" s="39"/>
      <c r="U12" s="99"/>
      <c r="V12" s="35"/>
      <c r="W12" s="246"/>
      <c r="X12" s="246"/>
      <c r="Y12" s="246"/>
      <c r="Z12" s="246"/>
      <c r="AA12" s="246"/>
      <c r="AB12" s="246"/>
      <c r="AD12" s="250" t="s">
        <v>905</v>
      </c>
    </row>
    <row r="13" spans="1:35" ht="45" customHeight="1">
      <c r="F13" s="387"/>
      <c r="G13" s="386"/>
      <c r="H13" s="92">
        <v>2.2000000000000002</v>
      </c>
      <c r="I13" s="92" t="s">
        <v>901</v>
      </c>
      <c r="J13" s="93" t="s">
        <v>906</v>
      </c>
      <c r="K13" s="94">
        <v>1</v>
      </c>
      <c r="L13" s="95"/>
      <c r="M13" s="96"/>
      <c r="N13" s="97" t="str">
        <f t="shared" si="0"/>
        <v/>
      </c>
      <c r="O13" s="97" t="str">
        <f t="shared" si="1"/>
        <v/>
      </c>
      <c r="P13" s="97" t="str">
        <f t="shared" ca="1" si="2"/>
        <v/>
      </c>
      <c r="Q13" s="97" t="str">
        <f t="shared" ca="1" si="3"/>
        <v/>
      </c>
      <c r="R13" s="97"/>
      <c r="S13" s="98"/>
      <c r="T13" s="39"/>
      <c r="U13" s="99"/>
      <c r="V13" s="35"/>
      <c r="W13" s="247"/>
      <c r="X13" s="247"/>
      <c r="Y13" s="246"/>
      <c r="Z13" s="246"/>
      <c r="AA13" s="247"/>
      <c r="AB13" s="246"/>
      <c r="AD13" s="250" t="s">
        <v>907</v>
      </c>
    </row>
    <row r="14" spans="1:35" ht="45" customHeight="1">
      <c r="F14" s="387" t="s">
        <v>908</v>
      </c>
      <c r="G14" s="386" t="s">
        <v>909</v>
      </c>
      <c r="H14" s="92">
        <v>3.1</v>
      </c>
      <c r="I14" s="92" t="s">
        <v>910</v>
      </c>
      <c r="J14" s="93" t="s">
        <v>911</v>
      </c>
      <c r="K14" s="94">
        <v>1</v>
      </c>
      <c r="L14" s="95"/>
      <c r="M14" s="96"/>
      <c r="N14" s="97" t="str">
        <f t="shared" si="0"/>
        <v/>
      </c>
      <c r="O14" s="97" t="str">
        <f t="shared" si="1"/>
        <v/>
      </c>
      <c r="P14" s="97" t="str">
        <f t="shared" ca="1" si="2"/>
        <v/>
      </c>
      <c r="Q14" s="97" t="str">
        <f t="shared" ca="1" si="3"/>
        <v/>
      </c>
      <c r="R14" s="97"/>
      <c r="S14" s="98"/>
      <c r="T14" s="39"/>
      <c r="U14" s="99"/>
      <c r="V14" s="35"/>
      <c r="W14" s="246"/>
      <c r="X14" s="246"/>
      <c r="Y14" s="246"/>
      <c r="Z14" s="246"/>
      <c r="AA14" s="246"/>
      <c r="AB14" s="246"/>
      <c r="AD14" s="250" t="s">
        <v>912</v>
      </c>
    </row>
    <row r="15" spans="1:35" ht="45" customHeight="1">
      <c r="F15" s="387"/>
      <c r="G15" s="386"/>
      <c r="H15" s="92">
        <v>3.2</v>
      </c>
      <c r="I15" s="92" t="s">
        <v>901</v>
      </c>
      <c r="J15" s="93" t="s">
        <v>913</v>
      </c>
      <c r="K15" s="94">
        <v>1</v>
      </c>
      <c r="L15" s="95"/>
      <c r="M15" s="96"/>
      <c r="N15" s="97" t="str">
        <f t="shared" si="0"/>
        <v/>
      </c>
      <c r="O15" s="97" t="str">
        <f t="shared" si="1"/>
        <v/>
      </c>
      <c r="P15" s="97" t="str">
        <f t="shared" ca="1" si="2"/>
        <v/>
      </c>
      <c r="Q15" s="97" t="str">
        <f t="shared" ca="1" si="3"/>
        <v/>
      </c>
      <c r="R15" s="97"/>
      <c r="S15" s="98"/>
      <c r="T15" s="39"/>
      <c r="U15" s="99"/>
      <c r="V15" s="35"/>
      <c r="W15" s="246"/>
      <c r="X15" s="246"/>
      <c r="Y15" s="246"/>
      <c r="Z15" s="246"/>
      <c r="AA15" s="246"/>
      <c r="AB15" s="246"/>
      <c r="AE15" s="251"/>
    </row>
    <row r="16" spans="1:35" ht="45" customHeight="1">
      <c r="F16" s="387" t="s">
        <v>914</v>
      </c>
      <c r="G16" s="386" t="s">
        <v>915</v>
      </c>
      <c r="H16" s="92">
        <v>4.0999999999999996</v>
      </c>
      <c r="I16" s="92" t="s">
        <v>901</v>
      </c>
      <c r="J16" s="93" t="s">
        <v>916</v>
      </c>
      <c r="K16" s="94">
        <v>1</v>
      </c>
      <c r="L16" s="95"/>
      <c r="M16" s="96"/>
      <c r="N16" s="97" t="str">
        <f t="shared" si="0"/>
        <v/>
      </c>
      <c r="O16" s="97" t="str">
        <f t="shared" si="1"/>
        <v/>
      </c>
      <c r="P16" s="97" t="str">
        <f t="shared" ca="1" si="2"/>
        <v/>
      </c>
      <c r="Q16" s="97" t="str">
        <f t="shared" ca="1" si="3"/>
        <v/>
      </c>
      <c r="R16" s="97"/>
      <c r="S16" s="98"/>
      <c r="T16" s="39"/>
      <c r="U16" s="99"/>
      <c r="V16" s="35"/>
      <c r="W16" s="246"/>
      <c r="X16" s="246"/>
      <c r="Y16" s="246"/>
      <c r="Z16" s="246"/>
      <c r="AA16" s="246"/>
      <c r="AB16" s="246"/>
      <c r="AE16" s="251"/>
    </row>
    <row r="17" spans="6:32" ht="45" customHeight="1">
      <c r="F17" s="387"/>
      <c r="G17" s="386"/>
      <c r="H17" s="92">
        <v>4.2</v>
      </c>
      <c r="I17" s="92" t="s">
        <v>901</v>
      </c>
      <c r="J17" s="93" t="s">
        <v>917</v>
      </c>
      <c r="K17" s="94">
        <v>1</v>
      </c>
      <c r="L17" s="95"/>
      <c r="M17" s="96"/>
      <c r="N17" s="97" t="str">
        <f t="shared" si="0"/>
        <v/>
      </c>
      <c r="O17" s="97" t="str">
        <f t="shared" si="1"/>
        <v/>
      </c>
      <c r="P17" s="97" t="str">
        <f t="shared" ca="1" si="2"/>
        <v/>
      </c>
      <c r="Q17" s="97" t="str">
        <f t="shared" ca="1" si="3"/>
        <v/>
      </c>
      <c r="R17" s="97"/>
      <c r="S17" s="98"/>
      <c r="T17" s="39"/>
      <c r="U17" s="99"/>
      <c r="V17" s="35"/>
      <c r="W17" s="246"/>
      <c r="X17" s="246"/>
      <c r="Y17" s="246"/>
      <c r="Z17" s="246"/>
      <c r="AA17" s="246"/>
      <c r="AB17" s="246"/>
    </row>
    <row r="18" spans="6:32" ht="45" customHeight="1">
      <c r="F18" s="387" t="s">
        <v>918</v>
      </c>
      <c r="G18" s="386" t="s">
        <v>919</v>
      </c>
      <c r="H18" s="92">
        <v>5.0999999999999996</v>
      </c>
      <c r="I18" s="92" t="s">
        <v>920</v>
      </c>
      <c r="J18" s="93" t="s">
        <v>921</v>
      </c>
      <c r="K18" s="94">
        <v>1</v>
      </c>
      <c r="L18" s="95"/>
      <c r="M18" s="96"/>
      <c r="N18" s="97" t="str">
        <f t="shared" si="0"/>
        <v/>
      </c>
      <c r="O18" s="97" t="str">
        <f t="shared" si="1"/>
        <v/>
      </c>
      <c r="P18" s="97" t="str">
        <f t="shared" ca="1" si="2"/>
        <v/>
      </c>
      <c r="Q18" s="97" t="str">
        <f t="shared" ca="1" si="3"/>
        <v/>
      </c>
      <c r="R18" s="97"/>
      <c r="S18" s="98"/>
      <c r="T18" s="39"/>
      <c r="U18" s="99"/>
      <c r="V18" s="35"/>
      <c r="W18" s="246"/>
      <c r="X18" s="246"/>
      <c r="Y18" s="246"/>
      <c r="Z18" s="246"/>
      <c r="AA18" s="246"/>
      <c r="AB18" s="246"/>
      <c r="AE18" s="250" t="s">
        <v>478</v>
      </c>
      <c r="AF18" s="256">
        <v>1</v>
      </c>
    </row>
    <row r="19" spans="6:32" ht="45" customHeight="1">
      <c r="F19" s="387"/>
      <c r="G19" s="386"/>
      <c r="H19" s="92">
        <v>5.2</v>
      </c>
      <c r="I19" s="92" t="s">
        <v>901</v>
      </c>
      <c r="J19" s="93" t="s">
        <v>922</v>
      </c>
      <c r="K19" s="94">
        <v>1</v>
      </c>
      <c r="L19" s="95"/>
      <c r="M19" s="96"/>
      <c r="N19" s="97" t="str">
        <f t="shared" si="0"/>
        <v/>
      </c>
      <c r="O19" s="97" t="str">
        <f t="shared" si="1"/>
        <v/>
      </c>
      <c r="P19" s="97" t="str">
        <f t="shared" ca="1" si="2"/>
        <v/>
      </c>
      <c r="Q19" s="97" t="str">
        <f t="shared" ca="1" si="3"/>
        <v/>
      </c>
      <c r="R19" s="97"/>
      <c r="S19" s="98"/>
      <c r="T19" s="39"/>
      <c r="U19" s="99"/>
      <c r="V19" s="35"/>
      <c r="W19" s="246"/>
      <c r="X19" s="246"/>
      <c r="Y19" s="246"/>
      <c r="Z19" s="246"/>
      <c r="AA19" s="246"/>
      <c r="AB19" s="246"/>
      <c r="AE19" s="250" t="s">
        <v>923</v>
      </c>
      <c r="AF19" s="256">
        <v>2</v>
      </c>
    </row>
    <row r="20" spans="6:32" ht="45" customHeight="1">
      <c r="F20" s="387"/>
      <c r="G20" s="386"/>
      <c r="H20" s="92">
        <v>5.3</v>
      </c>
      <c r="I20" s="92" t="s">
        <v>901</v>
      </c>
      <c r="J20" s="93" t="s">
        <v>924</v>
      </c>
      <c r="K20" s="94">
        <v>1</v>
      </c>
      <c r="L20" s="95"/>
      <c r="M20" s="96"/>
      <c r="N20" s="97" t="str">
        <f t="shared" si="0"/>
        <v/>
      </c>
      <c r="O20" s="97" t="str">
        <f t="shared" si="1"/>
        <v/>
      </c>
      <c r="P20" s="97" t="str">
        <f t="shared" ca="1" si="2"/>
        <v/>
      </c>
      <c r="Q20" s="97" t="str">
        <f t="shared" ca="1" si="3"/>
        <v/>
      </c>
      <c r="R20" s="97"/>
      <c r="S20" s="98"/>
      <c r="T20" s="39"/>
      <c r="U20" s="99"/>
      <c r="V20" s="35"/>
      <c r="W20" s="246"/>
      <c r="X20" s="246"/>
      <c r="Y20" s="246"/>
      <c r="Z20" s="246"/>
      <c r="AA20" s="246"/>
      <c r="AB20" s="246"/>
      <c r="AF20" s="256">
        <v>3</v>
      </c>
    </row>
    <row r="21" spans="6:32" ht="45" customHeight="1">
      <c r="F21" s="379" t="s">
        <v>925</v>
      </c>
      <c r="G21" s="388" t="s">
        <v>926</v>
      </c>
      <c r="H21" s="92">
        <v>6.1</v>
      </c>
      <c r="I21" s="92" t="s">
        <v>920</v>
      </c>
      <c r="J21" s="93" t="s">
        <v>927</v>
      </c>
      <c r="K21" s="94">
        <v>1</v>
      </c>
      <c r="L21" s="95"/>
      <c r="M21" s="96"/>
      <c r="N21" s="97" t="str">
        <f t="shared" si="0"/>
        <v/>
      </c>
      <c r="O21" s="97" t="str">
        <f t="shared" si="1"/>
        <v/>
      </c>
      <c r="P21" s="97" t="str">
        <f t="shared" ca="1" si="2"/>
        <v/>
      </c>
      <c r="Q21" s="97" t="str">
        <f t="shared" ca="1" si="3"/>
        <v/>
      </c>
      <c r="R21" s="97"/>
      <c r="S21" s="98"/>
      <c r="T21" s="39"/>
      <c r="U21" s="99"/>
      <c r="V21" s="35"/>
      <c r="W21" s="246"/>
      <c r="X21" s="246"/>
      <c r="Y21" s="246"/>
      <c r="Z21" s="246"/>
      <c r="AA21" s="246"/>
      <c r="AB21" s="246"/>
    </row>
    <row r="22" spans="6:32" ht="45" customHeight="1">
      <c r="F22" s="379"/>
      <c r="G22" s="388"/>
      <c r="H22" s="92">
        <v>6.2</v>
      </c>
      <c r="I22" s="92" t="s">
        <v>901</v>
      </c>
      <c r="J22" s="93" t="s">
        <v>928</v>
      </c>
      <c r="K22" s="94">
        <v>1</v>
      </c>
      <c r="L22" s="95"/>
      <c r="M22" s="96"/>
      <c r="N22" s="97" t="str">
        <f t="shared" si="0"/>
        <v/>
      </c>
      <c r="O22" s="97" t="str">
        <f t="shared" si="1"/>
        <v/>
      </c>
      <c r="P22" s="97" t="str">
        <f t="shared" ca="1" si="2"/>
        <v/>
      </c>
      <c r="Q22" s="97" t="str">
        <f t="shared" ca="1" si="3"/>
        <v/>
      </c>
      <c r="R22" s="97"/>
      <c r="S22" s="98"/>
      <c r="T22" s="39"/>
      <c r="U22" s="99"/>
      <c r="V22" s="35"/>
      <c r="W22" s="246"/>
      <c r="X22" s="246"/>
      <c r="Y22" s="246"/>
      <c r="Z22" s="246"/>
      <c r="AA22" s="246"/>
      <c r="AB22" s="246"/>
    </row>
    <row r="23" spans="6:32" ht="45" customHeight="1">
      <c r="F23" s="379"/>
      <c r="G23" s="388"/>
      <c r="H23" s="92">
        <v>6.3</v>
      </c>
      <c r="I23" s="92" t="s">
        <v>901</v>
      </c>
      <c r="J23" s="93" t="s">
        <v>929</v>
      </c>
      <c r="K23" s="94">
        <v>1</v>
      </c>
      <c r="L23" s="95"/>
      <c r="M23" s="96"/>
      <c r="N23" s="97" t="str">
        <f t="shared" si="0"/>
        <v/>
      </c>
      <c r="O23" s="97" t="str">
        <f t="shared" si="1"/>
        <v/>
      </c>
      <c r="P23" s="97" t="str">
        <f t="shared" ca="1" si="2"/>
        <v/>
      </c>
      <c r="Q23" s="97" t="str">
        <f t="shared" ca="1" si="3"/>
        <v/>
      </c>
      <c r="R23" s="97"/>
      <c r="S23" s="98"/>
      <c r="T23" s="39"/>
      <c r="U23" s="99"/>
      <c r="V23" s="35"/>
      <c r="W23" s="246"/>
      <c r="X23" s="246"/>
      <c r="Y23" s="246"/>
      <c r="Z23" s="246"/>
      <c r="AA23" s="246"/>
      <c r="AB23" s="246"/>
    </row>
    <row r="24" spans="6:32" ht="45" customHeight="1">
      <c r="F24" s="387" t="s">
        <v>930</v>
      </c>
      <c r="G24" s="386" t="s">
        <v>931</v>
      </c>
      <c r="H24" s="92">
        <v>7.1</v>
      </c>
      <c r="I24" s="92" t="s">
        <v>920</v>
      </c>
      <c r="J24" s="93" t="s">
        <v>932</v>
      </c>
      <c r="K24" s="94">
        <v>2</v>
      </c>
      <c r="L24" s="95"/>
      <c r="M24" s="96"/>
      <c r="N24" s="97" t="str">
        <f t="shared" si="0"/>
        <v/>
      </c>
      <c r="O24" s="97" t="str">
        <f t="shared" si="1"/>
        <v/>
      </c>
      <c r="P24" s="97" t="str">
        <f t="shared" ca="1" si="2"/>
        <v/>
      </c>
      <c r="Q24" s="97" t="str">
        <f t="shared" ca="1" si="3"/>
        <v/>
      </c>
      <c r="R24" s="97"/>
      <c r="S24" s="98"/>
      <c r="T24" s="39"/>
      <c r="U24" s="99"/>
      <c r="V24" s="35"/>
      <c r="W24" s="246"/>
      <c r="X24" s="246"/>
      <c r="Y24" s="246"/>
      <c r="Z24" s="246"/>
      <c r="AA24" s="246"/>
      <c r="AB24" s="246"/>
    </row>
    <row r="25" spans="6:32" ht="45" customHeight="1">
      <c r="F25" s="387"/>
      <c r="G25" s="386"/>
      <c r="H25" s="92">
        <v>7.2</v>
      </c>
      <c r="I25" s="92" t="s">
        <v>920</v>
      </c>
      <c r="J25" s="93" t="s">
        <v>933</v>
      </c>
      <c r="K25" s="94">
        <v>1</v>
      </c>
      <c r="L25" s="95"/>
      <c r="M25" s="41"/>
      <c r="N25" s="97" t="str">
        <f t="shared" si="0"/>
        <v/>
      </c>
      <c r="O25" s="97" t="str">
        <f t="shared" si="1"/>
        <v/>
      </c>
      <c r="P25" s="97" t="str">
        <f t="shared" ca="1" si="2"/>
        <v/>
      </c>
      <c r="Q25" s="97" t="str">
        <f t="shared" ca="1" si="3"/>
        <v/>
      </c>
      <c r="R25" s="97"/>
      <c r="S25" s="98"/>
      <c r="T25" s="39"/>
      <c r="U25" s="99"/>
      <c r="V25" s="35"/>
      <c r="W25" s="246"/>
      <c r="X25" s="246"/>
      <c r="Y25" s="246"/>
      <c r="Z25" s="246"/>
      <c r="AA25" s="246"/>
      <c r="AB25" s="246"/>
    </row>
    <row r="26" spans="6:32" ht="45" customHeight="1">
      <c r="F26" s="387"/>
      <c r="G26" s="386"/>
      <c r="H26" s="92">
        <v>7.3</v>
      </c>
      <c r="I26" s="92" t="s">
        <v>920</v>
      </c>
      <c r="J26" s="93" t="s">
        <v>934</v>
      </c>
      <c r="K26" s="94">
        <v>1</v>
      </c>
      <c r="L26" s="95"/>
      <c r="M26" s="41"/>
      <c r="N26" s="97" t="str">
        <f t="shared" si="0"/>
        <v/>
      </c>
      <c r="O26" s="97" t="str">
        <f t="shared" si="1"/>
        <v/>
      </c>
      <c r="P26" s="97" t="str">
        <f t="shared" ca="1" si="2"/>
        <v/>
      </c>
      <c r="Q26" s="97" t="str">
        <f t="shared" ca="1" si="3"/>
        <v/>
      </c>
      <c r="R26" s="97"/>
      <c r="S26" s="98"/>
      <c r="T26" s="39"/>
      <c r="U26" s="99"/>
      <c r="V26" s="35"/>
      <c r="W26" s="246"/>
      <c r="X26" s="246"/>
      <c r="Y26" s="246"/>
      <c r="Z26" s="246"/>
      <c r="AA26" s="246"/>
      <c r="AB26" s="246"/>
    </row>
    <row r="27" spans="6:32" ht="45" customHeight="1">
      <c r="F27" s="100" t="s">
        <v>486</v>
      </c>
      <c r="G27" s="100"/>
      <c r="H27" s="101"/>
      <c r="I27" s="101"/>
      <c r="J27" s="100"/>
      <c r="K27" s="101">
        <f>SUM(K11:K26)</f>
        <v>17</v>
      </c>
      <c r="L27" s="102">
        <f>SUM(L11:L26)</f>
        <v>0</v>
      </c>
      <c r="M27" s="41"/>
      <c r="N27" s="103">
        <f>SUM(N11:N26)</f>
        <v>0</v>
      </c>
      <c r="O27" s="101">
        <f>SUM(O11:O26)</f>
        <v>0</v>
      </c>
      <c r="P27" s="104"/>
      <c r="Q27" s="105"/>
      <c r="R27" s="105"/>
      <c r="S27" s="106"/>
      <c r="T27" s="107"/>
      <c r="U27" s="108"/>
      <c r="V27" s="35"/>
      <c r="W27" s="39"/>
      <c r="X27" s="39"/>
      <c r="Y27" s="39"/>
      <c r="Z27" s="39"/>
      <c r="AA27" s="39"/>
      <c r="AB27" s="39"/>
    </row>
    <row r="28" spans="6:32" ht="45" customHeight="1">
      <c r="F28" s="109"/>
      <c r="G28" s="110"/>
      <c r="H28" s="111"/>
      <c r="I28" s="111"/>
      <c r="J28" s="110"/>
      <c r="K28" s="112"/>
      <c r="L28" s="113"/>
      <c r="M28" s="41"/>
      <c r="N28" s="114"/>
      <c r="O28" s="115"/>
      <c r="P28" s="115"/>
      <c r="Q28" s="112"/>
      <c r="R28" s="112"/>
      <c r="S28" s="116"/>
      <c r="T28" s="39"/>
      <c r="U28" s="54"/>
      <c r="V28" s="35"/>
      <c r="W28" s="39"/>
      <c r="X28" s="39"/>
      <c r="Y28" s="39"/>
      <c r="Z28" s="39"/>
      <c r="AA28" s="39"/>
      <c r="AB28" s="39"/>
    </row>
    <row r="29" spans="6:32" ht="45" customHeight="1">
      <c r="F29" s="25" t="s">
        <v>935</v>
      </c>
      <c r="G29" s="117"/>
      <c r="H29" s="117"/>
      <c r="I29" s="117"/>
      <c r="J29" s="117"/>
      <c r="K29" s="117"/>
      <c r="L29" s="118"/>
      <c r="M29" s="41"/>
      <c r="N29" s="119"/>
      <c r="O29" s="119"/>
      <c r="P29" s="87"/>
      <c r="Q29" s="87" t="str">
        <f ca="1">CONCATENATE(COUNTIF(Q30:Q45,"Comprehensive")," Comprehensive",CHAR(10),COUNTIF(Q30:Q45,"Core")," Core")</f>
        <v>0 Comprehensive
0 Core</v>
      </c>
      <c r="R29" s="120"/>
      <c r="S29" s="121"/>
      <c r="T29" s="39"/>
      <c r="U29" s="122"/>
      <c r="V29" s="35"/>
      <c r="W29" s="245"/>
      <c r="X29" s="245"/>
      <c r="Y29" s="245"/>
      <c r="Z29" s="245"/>
      <c r="AA29" s="245"/>
      <c r="AB29" s="245"/>
    </row>
    <row r="30" spans="6:32" ht="45" customHeight="1">
      <c r="F30" s="400" t="s">
        <v>936</v>
      </c>
      <c r="G30" s="401" t="s">
        <v>937</v>
      </c>
      <c r="H30" s="123">
        <v>8.1</v>
      </c>
      <c r="I30" s="123" t="s">
        <v>901</v>
      </c>
      <c r="J30" s="124" t="s">
        <v>938</v>
      </c>
      <c r="K30" s="125">
        <v>1</v>
      </c>
      <c r="L30" s="126"/>
      <c r="M30" s="41"/>
      <c r="N30" s="97" t="str">
        <f t="shared" ref="N30:N45" si="4">IF(OR(S30=$AD$12,S30=$AD$13),L30,"")</f>
        <v/>
      </c>
      <c r="O30" s="97" t="str">
        <f t="shared" ref="O30:O45" si="5">IF(S30=$AD$14,L30,"")</f>
        <v/>
      </c>
      <c r="P30" s="97" t="str">
        <f t="shared" ref="P30:P32" ca="1" si="6">IF(OR(AND(K30="-",L30&lt;&gt;""),C30=TRUE),1,IF(OR(L30="",L30=0),"",RAND()))</f>
        <v/>
      </c>
      <c r="Q30" s="97" t="str">
        <f ca="1">IF(P30="","",IF(ROUNDUP(RANK(P30,$P$30:$P$45)/ROUND((COUNT($P$30:$P$45)/2),0),0)=1,"Comprehensive","Core"))</f>
        <v/>
      </c>
      <c r="R30" s="97"/>
      <c r="S30" s="127"/>
      <c r="T30" s="39"/>
      <c r="U30" s="99"/>
      <c r="V30" s="35"/>
      <c r="W30" s="246"/>
      <c r="X30" s="246"/>
      <c r="Y30" s="246"/>
      <c r="Z30" s="246"/>
      <c r="AA30" s="246"/>
      <c r="AB30" s="246"/>
    </row>
    <row r="31" spans="6:32" ht="45" customHeight="1">
      <c r="F31" s="400"/>
      <c r="G31" s="402"/>
      <c r="H31" s="123">
        <v>8.1999999999999993</v>
      </c>
      <c r="I31" s="123" t="s">
        <v>901</v>
      </c>
      <c r="J31" s="124" t="s">
        <v>939</v>
      </c>
      <c r="K31" s="125">
        <v>1</v>
      </c>
      <c r="L31" s="126"/>
      <c r="M31" s="41"/>
      <c r="N31" s="97" t="str">
        <f t="shared" si="4"/>
        <v/>
      </c>
      <c r="O31" s="97" t="str">
        <f t="shared" si="5"/>
        <v/>
      </c>
      <c r="P31" s="97" t="str">
        <f t="shared" ca="1" si="6"/>
        <v/>
      </c>
      <c r="Q31" s="97" t="str">
        <f t="shared" ref="Q31:Q45" ca="1" si="7">IF(P31="","",IF(ROUNDUP(RANK(P31,$P$30:$P$45)/ROUND((COUNT($P$30:$P$45)/2),0),0)=1,"Comprehensive","Core"))</f>
        <v/>
      </c>
      <c r="R31" s="97"/>
      <c r="S31" s="98"/>
      <c r="T31" s="39"/>
      <c r="U31" s="99"/>
      <c r="V31" s="35"/>
      <c r="W31" s="246"/>
      <c r="X31" s="246"/>
      <c r="Y31" s="246"/>
      <c r="Z31" s="246"/>
      <c r="AA31" s="246"/>
      <c r="AB31" s="246"/>
    </row>
    <row r="32" spans="6:32" ht="45" customHeight="1">
      <c r="F32" s="400"/>
      <c r="G32" s="403"/>
      <c r="H32" s="123">
        <v>8.3000000000000007</v>
      </c>
      <c r="I32" s="123" t="s">
        <v>56</v>
      </c>
      <c r="J32" s="124" t="s">
        <v>940</v>
      </c>
      <c r="K32" s="125">
        <v>2</v>
      </c>
      <c r="L32" s="126"/>
      <c r="M32" s="41"/>
      <c r="N32" s="97" t="str">
        <f t="shared" si="4"/>
        <v/>
      </c>
      <c r="O32" s="97" t="str">
        <f t="shared" si="5"/>
        <v/>
      </c>
      <c r="P32" s="97" t="str">
        <f t="shared" ca="1" si="6"/>
        <v/>
      </c>
      <c r="Q32" s="97" t="str">
        <f t="shared" ca="1" si="7"/>
        <v/>
      </c>
      <c r="R32" s="97"/>
      <c r="S32" s="98"/>
      <c r="T32" s="39"/>
      <c r="U32" s="99"/>
      <c r="V32" s="35"/>
      <c r="W32" s="246"/>
      <c r="X32" s="246"/>
      <c r="Y32" s="246"/>
      <c r="Z32" s="246"/>
      <c r="AA32" s="246"/>
      <c r="AB32" s="246"/>
    </row>
    <row r="33" spans="1:35" ht="45" customHeight="1">
      <c r="A33" s="26">
        <v>1</v>
      </c>
      <c r="B33" s="26">
        <f>IF(C33=TRUE,A33,0)</f>
        <v>0</v>
      </c>
      <c r="C33" s="26" t="b">
        <v>0</v>
      </c>
      <c r="F33" s="400" t="s">
        <v>941</v>
      </c>
      <c r="G33" s="401" t="s">
        <v>942</v>
      </c>
      <c r="H33" s="123">
        <v>9.1</v>
      </c>
      <c r="I33" s="123" t="s">
        <v>901</v>
      </c>
      <c r="J33" s="124" t="s">
        <v>943</v>
      </c>
      <c r="K33" s="125">
        <f>IF(C33=FALSE,A33,0)</f>
        <v>1</v>
      </c>
      <c r="L33" s="126"/>
      <c r="M33" s="41"/>
      <c r="N33" s="97" t="str">
        <f t="shared" si="4"/>
        <v/>
      </c>
      <c r="O33" s="97" t="str">
        <f t="shared" si="5"/>
        <v/>
      </c>
      <c r="P33" s="97" t="str">
        <f ca="1">IF(OR(AND(K33="-",L33&lt;&gt;""),C33=TRUE),1,IF(OR(L33="",L33=0),"",RAND()))</f>
        <v/>
      </c>
      <c r="Q33" s="97" t="str">
        <f t="shared" ca="1" si="7"/>
        <v/>
      </c>
      <c r="R33" s="97"/>
      <c r="S33" s="98"/>
      <c r="T33" s="39"/>
      <c r="U33" s="99"/>
      <c r="V33" s="35"/>
      <c r="W33" s="246"/>
      <c r="X33" s="246"/>
      <c r="Y33" s="246"/>
      <c r="Z33" s="246"/>
      <c r="AA33" s="246"/>
      <c r="AB33" s="246"/>
    </row>
    <row r="34" spans="1:35" ht="45" customHeight="1">
      <c r="A34" s="26">
        <v>1</v>
      </c>
      <c r="B34" s="26">
        <f>IF(C34=TRUE,A34,0)</f>
        <v>0</v>
      </c>
      <c r="C34" s="26" t="b">
        <v>0</v>
      </c>
      <c r="F34" s="400"/>
      <c r="G34" s="403"/>
      <c r="H34" s="123">
        <v>9.1999999999999993</v>
      </c>
      <c r="I34" s="123" t="s">
        <v>901</v>
      </c>
      <c r="J34" s="124" t="s">
        <v>944</v>
      </c>
      <c r="K34" s="125">
        <f>IF(C34=FALSE,A34,0)</f>
        <v>1</v>
      </c>
      <c r="L34" s="126"/>
      <c r="M34" s="41"/>
      <c r="N34" s="97" t="str">
        <f t="shared" si="4"/>
        <v/>
      </c>
      <c r="O34" s="97" t="str">
        <f t="shared" si="5"/>
        <v/>
      </c>
      <c r="P34" s="97" t="str">
        <f t="shared" ref="P34:P45" ca="1" si="8">IF(OR(AND(K34="-",L34&lt;&gt;""),C34=TRUE),1,IF(OR(L34="",L34=0),"",RAND()))</f>
        <v/>
      </c>
      <c r="Q34" s="97" t="str">
        <f t="shared" ca="1" si="7"/>
        <v/>
      </c>
      <c r="R34" s="97"/>
      <c r="S34" s="98"/>
      <c r="T34" s="39"/>
      <c r="U34" s="99"/>
      <c r="V34" s="35"/>
      <c r="W34" s="246"/>
      <c r="X34" s="246"/>
      <c r="Y34" s="246"/>
      <c r="Z34" s="246"/>
      <c r="AA34" s="246"/>
      <c r="AB34" s="246"/>
    </row>
    <row r="35" spans="1:35" ht="45" customHeight="1">
      <c r="F35" s="400" t="s">
        <v>945</v>
      </c>
      <c r="G35" s="401" t="s">
        <v>946</v>
      </c>
      <c r="H35" s="123">
        <v>10.1</v>
      </c>
      <c r="I35" s="123" t="s">
        <v>901</v>
      </c>
      <c r="J35" s="124" t="s">
        <v>947</v>
      </c>
      <c r="K35" s="125">
        <v>1</v>
      </c>
      <c r="L35" s="126"/>
      <c r="M35" s="41"/>
      <c r="N35" s="97" t="str">
        <f t="shared" si="4"/>
        <v/>
      </c>
      <c r="O35" s="97" t="str">
        <f t="shared" si="5"/>
        <v/>
      </c>
      <c r="P35" s="97" t="str">
        <f t="shared" ca="1" si="8"/>
        <v/>
      </c>
      <c r="Q35" s="97" t="str">
        <f t="shared" ca="1" si="7"/>
        <v/>
      </c>
      <c r="R35" s="97"/>
      <c r="S35" s="98"/>
      <c r="T35" s="39"/>
      <c r="U35" s="99"/>
      <c r="V35" s="35"/>
      <c r="W35" s="246"/>
      <c r="X35" s="246"/>
      <c r="Y35" s="246"/>
      <c r="Z35" s="246"/>
      <c r="AA35" s="246"/>
      <c r="AB35" s="246"/>
    </row>
    <row r="36" spans="1:35" ht="45" customHeight="1">
      <c r="F36" s="400"/>
      <c r="G36" s="403"/>
      <c r="H36" s="123">
        <v>10.199999999999999</v>
      </c>
      <c r="I36" s="123" t="s">
        <v>56</v>
      </c>
      <c r="J36" s="124" t="s">
        <v>948</v>
      </c>
      <c r="K36" s="125">
        <v>1</v>
      </c>
      <c r="L36" s="126"/>
      <c r="M36" s="41"/>
      <c r="N36" s="97" t="str">
        <f t="shared" si="4"/>
        <v/>
      </c>
      <c r="O36" s="97" t="str">
        <f t="shared" si="5"/>
        <v/>
      </c>
      <c r="P36" s="97" t="str">
        <f t="shared" ca="1" si="8"/>
        <v/>
      </c>
      <c r="Q36" s="97" t="str">
        <f t="shared" ca="1" si="7"/>
        <v/>
      </c>
      <c r="R36" s="97"/>
      <c r="S36" s="98"/>
      <c r="T36" s="39"/>
      <c r="U36" s="99"/>
      <c r="V36" s="35"/>
      <c r="W36" s="246"/>
      <c r="X36" s="246"/>
      <c r="Y36" s="246"/>
      <c r="Z36" s="246"/>
      <c r="AA36" s="246"/>
      <c r="AB36" s="246"/>
    </row>
    <row r="37" spans="1:35" ht="45" customHeight="1">
      <c r="F37" s="400" t="s">
        <v>949</v>
      </c>
      <c r="G37" s="401" t="s">
        <v>950</v>
      </c>
      <c r="H37" s="123">
        <v>11.1</v>
      </c>
      <c r="I37" s="123" t="s">
        <v>910</v>
      </c>
      <c r="J37" s="124" t="s">
        <v>951</v>
      </c>
      <c r="K37" s="125">
        <v>1</v>
      </c>
      <c r="L37" s="126"/>
      <c r="M37" s="41"/>
      <c r="N37" s="97" t="str">
        <f t="shared" si="4"/>
        <v/>
      </c>
      <c r="O37" s="97" t="str">
        <f t="shared" si="5"/>
        <v/>
      </c>
      <c r="P37" s="97" t="str">
        <f t="shared" ca="1" si="8"/>
        <v/>
      </c>
      <c r="Q37" s="97" t="str">
        <f t="shared" ca="1" si="7"/>
        <v/>
      </c>
      <c r="R37" s="97"/>
      <c r="S37" s="98"/>
      <c r="T37" s="39"/>
      <c r="U37" s="99"/>
      <c r="V37" s="35"/>
      <c r="W37" s="246"/>
      <c r="X37" s="246"/>
      <c r="Y37" s="246"/>
      <c r="Z37" s="246"/>
      <c r="AA37" s="246"/>
      <c r="AB37" s="246"/>
    </row>
    <row r="38" spans="1:35" ht="45" customHeight="1">
      <c r="F38" s="400"/>
      <c r="G38" s="403"/>
      <c r="H38" s="123">
        <v>11.2</v>
      </c>
      <c r="I38" s="123" t="s">
        <v>910</v>
      </c>
      <c r="J38" s="124" t="s">
        <v>952</v>
      </c>
      <c r="K38" s="125">
        <v>1</v>
      </c>
      <c r="L38" s="126"/>
      <c r="M38" s="41"/>
      <c r="N38" s="97" t="str">
        <f t="shared" si="4"/>
        <v/>
      </c>
      <c r="O38" s="97" t="str">
        <f t="shared" si="5"/>
        <v/>
      </c>
      <c r="P38" s="97" t="str">
        <f t="shared" ca="1" si="8"/>
        <v/>
      </c>
      <c r="Q38" s="97" t="str">
        <f t="shared" ca="1" si="7"/>
        <v/>
      </c>
      <c r="R38" s="97"/>
      <c r="S38" s="98"/>
      <c r="T38" s="39"/>
      <c r="U38" s="99"/>
      <c r="V38" s="35"/>
      <c r="W38" s="246"/>
      <c r="X38" s="246"/>
      <c r="Y38" s="246"/>
      <c r="Z38" s="246"/>
      <c r="AA38" s="246"/>
      <c r="AB38" s="246"/>
    </row>
    <row r="39" spans="1:35" ht="45" customHeight="1">
      <c r="F39" s="400" t="s">
        <v>953</v>
      </c>
      <c r="G39" s="383" t="s">
        <v>954</v>
      </c>
      <c r="H39" s="123" t="s">
        <v>955</v>
      </c>
      <c r="I39" s="123" t="s">
        <v>56</v>
      </c>
      <c r="J39" s="124" t="s">
        <v>956</v>
      </c>
      <c r="K39" s="125">
        <f>IF($G$39=$AD$39,2,0)</f>
        <v>2</v>
      </c>
      <c r="L39" s="126"/>
      <c r="M39" s="41"/>
      <c r="N39" s="97" t="str">
        <f t="shared" si="4"/>
        <v/>
      </c>
      <c r="O39" s="97" t="str">
        <f t="shared" si="5"/>
        <v/>
      </c>
      <c r="P39" s="97" t="str">
        <f t="shared" ca="1" si="8"/>
        <v/>
      </c>
      <c r="Q39" s="97" t="str">
        <f t="shared" ca="1" si="7"/>
        <v/>
      </c>
      <c r="R39" s="97"/>
      <c r="S39" s="98"/>
      <c r="T39" s="39"/>
      <c r="U39" s="99"/>
      <c r="V39" s="35"/>
      <c r="W39" s="246"/>
      <c r="X39" s="246"/>
      <c r="Y39" s="246"/>
      <c r="Z39" s="246"/>
      <c r="AA39" s="246"/>
      <c r="AB39" s="246"/>
      <c r="AD39" s="250" t="s">
        <v>954</v>
      </c>
    </row>
    <row r="40" spans="1:35" ht="45" customHeight="1">
      <c r="F40" s="400"/>
      <c r="G40" s="384"/>
      <c r="H40" s="123" t="s">
        <v>957</v>
      </c>
      <c r="I40" s="123" t="s">
        <v>56</v>
      </c>
      <c r="J40" s="124" t="s">
        <v>958</v>
      </c>
      <c r="K40" s="125">
        <f>IF($G$39=$AD$39,1,0)</f>
        <v>1</v>
      </c>
      <c r="L40" s="126"/>
      <c r="M40" s="41"/>
      <c r="N40" s="97" t="str">
        <f t="shared" si="4"/>
        <v/>
      </c>
      <c r="O40" s="97" t="str">
        <f t="shared" si="5"/>
        <v/>
      </c>
      <c r="P40" s="97" t="str">
        <f t="shared" ca="1" si="8"/>
        <v/>
      </c>
      <c r="Q40" s="97" t="str">
        <f t="shared" ca="1" si="7"/>
        <v/>
      </c>
      <c r="R40" s="97"/>
      <c r="S40" s="98"/>
      <c r="T40" s="39"/>
      <c r="U40" s="99"/>
      <c r="V40" s="35"/>
      <c r="W40" s="246"/>
      <c r="X40" s="246"/>
      <c r="Y40" s="246"/>
      <c r="Z40" s="246"/>
      <c r="AA40" s="246"/>
      <c r="AB40" s="246"/>
      <c r="AD40" s="250" t="s">
        <v>959</v>
      </c>
    </row>
    <row r="41" spans="1:35" ht="45" customHeight="1">
      <c r="F41" s="400"/>
      <c r="G41" s="384"/>
      <c r="H41" s="123" t="s">
        <v>960</v>
      </c>
      <c r="I41" s="123" t="s">
        <v>56</v>
      </c>
      <c r="J41" s="124" t="s">
        <v>961</v>
      </c>
      <c r="K41" s="125">
        <f>IF($G$39=$AD$40,2,0)</f>
        <v>0</v>
      </c>
      <c r="L41" s="126"/>
      <c r="M41" s="41"/>
      <c r="N41" s="97" t="str">
        <f t="shared" si="4"/>
        <v/>
      </c>
      <c r="O41" s="97" t="str">
        <f t="shared" si="5"/>
        <v/>
      </c>
      <c r="P41" s="97" t="str">
        <f t="shared" ca="1" si="8"/>
        <v/>
      </c>
      <c r="Q41" s="97" t="str">
        <f t="shared" ca="1" si="7"/>
        <v/>
      </c>
      <c r="R41" s="97"/>
      <c r="S41" s="98"/>
      <c r="T41" s="39"/>
      <c r="U41" s="99"/>
      <c r="V41" s="35"/>
      <c r="W41" s="246"/>
      <c r="X41" s="246"/>
      <c r="Y41" s="246"/>
      <c r="Z41" s="246"/>
      <c r="AA41" s="246"/>
      <c r="AB41" s="246"/>
    </row>
    <row r="42" spans="1:35" ht="45" customHeight="1">
      <c r="F42" s="400"/>
      <c r="G42" s="385"/>
      <c r="H42" s="123" t="s">
        <v>962</v>
      </c>
      <c r="I42" s="123" t="s">
        <v>56</v>
      </c>
      <c r="J42" s="124" t="s">
        <v>963</v>
      </c>
      <c r="K42" s="125">
        <f>IF($G$39=$AD$40,1,0)</f>
        <v>0</v>
      </c>
      <c r="L42" s="126"/>
      <c r="M42" s="41"/>
      <c r="N42" s="97" t="str">
        <f t="shared" si="4"/>
        <v/>
      </c>
      <c r="O42" s="97" t="str">
        <f t="shared" si="5"/>
        <v/>
      </c>
      <c r="P42" s="97" t="str">
        <f t="shared" ca="1" si="8"/>
        <v/>
      </c>
      <c r="Q42" s="97" t="str">
        <f t="shared" ca="1" si="7"/>
        <v/>
      </c>
      <c r="R42" s="97"/>
      <c r="S42" s="98"/>
      <c r="T42" s="39"/>
      <c r="U42" s="99"/>
      <c r="V42" s="35"/>
      <c r="W42" s="246"/>
      <c r="X42" s="246"/>
      <c r="Y42" s="246"/>
      <c r="Z42" s="246"/>
      <c r="AA42" s="246"/>
      <c r="AB42" s="246"/>
    </row>
    <row r="43" spans="1:35" ht="45" customHeight="1">
      <c r="F43" s="128" t="s">
        <v>964</v>
      </c>
      <c r="G43" s="124" t="s">
        <v>965</v>
      </c>
      <c r="H43" s="123">
        <v>13.1</v>
      </c>
      <c r="I43" s="123" t="s">
        <v>56</v>
      </c>
      <c r="J43" s="124" t="s">
        <v>966</v>
      </c>
      <c r="K43" s="125">
        <v>1</v>
      </c>
      <c r="L43" s="126"/>
      <c r="M43" s="41"/>
      <c r="N43" s="97" t="str">
        <f t="shared" si="4"/>
        <v/>
      </c>
      <c r="O43" s="97" t="str">
        <f t="shared" si="5"/>
        <v/>
      </c>
      <c r="P43" s="97" t="str">
        <f t="shared" ca="1" si="8"/>
        <v/>
      </c>
      <c r="Q43" s="97" t="str">
        <f t="shared" ca="1" si="7"/>
        <v/>
      </c>
      <c r="R43" s="97"/>
      <c r="S43" s="98"/>
      <c r="T43" s="39"/>
      <c r="U43" s="99"/>
      <c r="V43" s="35"/>
      <c r="W43" s="246"/>
      <c r="X43" s="246"/>
      <c r="Y43" s="246"/>
      <c r="Z43" s="246"/>
      <c r="AA43" s="246"/>
      <c r="AB43" s="246"/>
    </row>
    <row r="44" spans="1:35" ht="45" customHeight="1">
      <c r="F44" s="400" t="s">
        <v>967</v>
      </c>
      <c r="G44" s="401" t="s">
        <v>968</v>
      </c>
      <c r="H44" s="123">
        <v>14.1</v>
      </c>
      <c r="I44" s="123" t="s">
        <v>901</v>
      </c>
      <c r="J44" s="124" t="s">
        <v>969</v>
      </c>
      <c r="K44" s="125">
        <v>1</v>
      </c>
      <c r="L44" s="126"/>
      <c r="M44" s="41"/>
      <c r="N44" s="97" t="str">
        <f t="shared" si="4"/>
        <v/>
      </c>
      <c r="O44" s="97" t="str">
        <f t="shared" si="5"/>
        <v/>
      </c>
      <c r="P44" s="97" t="str">
        <f t="shared" ca="1" si="8"/>
        <v/>
      </c>
      <c r="Q44" s="97" t="str">
        <f t="shared" ca="1" si="7"/>
        <v/>
      </c>
      <c r="R44" s="97"/>
      <c r="S44" s="98"/>
      <c r="T44" s="39"/>
      <c r="U44" s="99"/>
      <c r="V44" s="35"/>
      <c r="W44" s="246"/>
      <c r="X44" s="246"/>
      <c r="Y44" s="246"/>
      <c r="Z44" s="246"/>
      <c r="AA44" s="246"/>
      <c r="AB44" s="246"/>
    </row>
    <row r="45" spans="1:35" ht="45" customHeight="1">
      <c r="F45" s="400"/>
      <c r="G45" s="403"/>
      <c r="H45" s="123">
        <v>14.2</v>
      </c>
      <c r="I45" s="123" t="s">
        <v>56</v>
      </c>
      <c r="J45" s="124" t="s">
        <v>970</v>
      </c>
      <c r="K45" s="125">
        <v>3</v>
      </c>
      <c r="L45" s="126"/>
      <c r="M45" s="41"/>
      <c r="N45" s="97" t="str">
        <f t="shared" si="4"/>
        <v/>
      </c>
      <c r="O45" s="97" t="str">
        <f t="shared" si="5"/>
        <v/>
      </c>
      <c r="P45" s="97" t="str">
        <f t="shared" ca="1" si="8"/>
        <v/>
      </c>
      <c r="Q45" s="97" t="str">
        <f t="shared" ca="1" si="7"/>
        <v/>
      </c>
      <c r="R45" s="97"/>
      <c r="S45" s="98"/>
      <c r="T45" s="39"/>
      <c r="U45" s="99"/>
      <c r="V45" s="35"/>
      <c r="W45" s="246"/>
      <c r="X45" s="246"/>
      <c r="Y45" s="246"/>
      <c r="Z45" s="246"/>
      <c r="AA45" s="246"/>
      <c r="AB45" s="246"/>
    </row>
    <row r="46" spans="1:35" ht="45" customHeight="1">
      <c r="F46" s="83" t="s">
        <v>486</v>
      </c>
      <c r="G46" s="129"/>
      <c r="H46" s="130"/>
      <c r="I46" s="130"/>
      <c r="J46" s="129"/>
      <c r="K46" s="131">
        <f>SUM(K30:K45)</f>
        <v>18</v>
      </c>
      <c r="L46" s="132">
        <f>SUM(L30:L45)</f>
        <v>0</v>
      </c>
      <c r="M46" s="40"/>
      <c r="N46" s="132">
        <f t="shared" ref="N46:O46" si="9">SUM(N30:N45)</f>
        <v>0</v>
      </c>
      <c r="O46" s="131">
        <f t="shared" si="9"/>
        <v>0</v>
      </c>
      <c r="P46" s="104"/>
      <c r="Q46" s="15"/>
      <c r="R46" s="15"/>
      <c r="S46" s="116"/>
      <c r="T46" s="39"/>
      <c r="U46" s="54"/>
      <c r="V46" s="35"/>
      <c r="W46" s="39"/>
      <c r="X46" s="39"/>
      <c r="Y46" s="39"/>
      <c r="Z46" s="39"/>
      <c r="AA46" s="39"/>
      <c r="AB46" s="39"/>
    </row>
    <row r="47" spans="1:35" ht="45" customHeight="1">
      <c r="F47" s="109"/>
      <c r="G47" s="110"/>
      <c r="H47" s="111"/>
      <c r="I47" s="111"/>
      <c r="J47" s="110"/>
      <c r="K47" s="112"/>
      <c r="L47" s="113"/>
      <c r="M47" s="41"/>
      <c r="N47" s="114"/>
      <c r="O47" s="115"/>
      <c r="P47" s="115"/>
      <c r="Q47" s="112"/>
      <c r="R47" s="112"/>
      <c r="S47" s="116"/>
      <c r="T47" s="39"/>
      <c r="U47" s="54"/>
      <c r="V47" s="35"/>
      <c r="W47" s="39"/>
      <c r="X47" s="39"/>
      <c r="Y47" s="39"/>
      <c r="Z47" s="39"/>
      <c r="AA47" s="39"/>
      <c r="AB47" s="39"/>
    </row>
    <row r="48" spans="1:35" ht="45" customHeight="1">
      <c r="F48" s="25" t="s">
        <v>655</v>
      </c>
      <c r="G48" s="117"/>
      <c r="H48" s="117"/>
      <c r="I48" s="117"/>
      <c r="J48" s="117"/>
      <c r="K48" s="117"/>
      <c r="L48" s="118"/>
      <c r="M48" s="41"/>
      <c r="N48" s="119"/>
      <c r="O48" s="119"/>
      <c r="P48" s="119"/>
      <c r="Q48" s="87" t="str">
        <f>CONCATENATE(COUNTIF(Q49:Q55,"Comprehensive")," Comprehensive",CHAR(10),COUNTIF(Q49:Q55,"Core")," Core")</f>
        <v>0 Comprehensive
0 Core</v>
      </c>
      <c r="R48" s="120"/>
      <c r="S48" s="121"/>
      <c r="T48" s="39"/>
      <c r="U48" s="122"/>
      <c r="V48" s="35"/>
      <c r="W48" s="245"/>
      <c r="X48" s="245"/>
      <c r="Y48" s="245"/>
      <c r="Z48" s="245"/>
      <c r="AA48" s="245"/>
      <c r="AB48" s="245"/>
      <c r="AF48" s="311" t="s">
        <v>706</v>
      </c>
      <c r="AG48" s="311" t="s">
        <v>708</v>
      </c>
      <c r="AH48" s="441" t="s">
        <v>714</v>
      </c>
      <c r="AI48" s="258"/>
    </row>
    <row r="49" spans="6:35" ht="45" customHeight="1">
      <c r="F49" s="397" t="s">
        <v>971</v>
      </c>
      <c r="G49" s="383" t="s">
        <v>972</v>
      </c>
      <c r="H49" s="133" t="s">
        <v>717</v>
      </c>
      <c r="I49" s="134" t="s">
        <v>56</v>
      </c>
      <c r="J49" s="135" t="s">
        <v>973</v>
      </c>
      <c r="K49" s="137">
        <f>IF($G$49=AD49,23,0)</f>
        <v>0</v>
      </c>
      <c r="L49" s="95"/>
      <c r="M49" s="41"/>
      <c r="N49" s="97" t="str">
        <f t="shared" ref="N49:N54" si="10">IF(OR(S49=$AD$12,S49=$AD$13),L49,"")</f>
        <v/>
      </c>
      <c r="O49" s="97" t="str">
        <f t="shared" ref="O49:O54" si="11">IF(S49=$AD$14,L49,"")</f>
        <v/>
      </c>
      <c r="P49" s="97" t="str">
        <f t="shared" ref="P49:P55" si="12">IF(L49="","",1)</f>
        <v/>
      </c>
      <c r="Q49" s="97" t="str">
        <f>IF(P49="","",IF(ROUNDUP(RANK(P49,$P$49:$P$55)/ROUND((COUNT($P$49:$P$55)/2),0),0)=1,"Comprehensive","Core"))</f>
        <v/>
      </c>
      <c r="R49" s="97"/>
      <c r="S49" s="127"/>
      <c r="T49" s="167"/>
      <c r="U49" s="99"/>
      <c r="V49" s="35"/>
      <c r="W49" s="246"/>
      <c r="X49" s="246"/>
      <c r="Y49" s="246"/>
      <c r="Z49" s="246"/>
      <c r="AA49" s="246"/>
      <c r="AB49" s="246"/>
      <c r="AD49" s="250" t="s">
        <v>974</v>
      </c>
      <c r="AE49" s="253" t="s">
        <v>717</v>
      </c>
      <c r="AF49" s="256">
        <v>8</v>
      </c>
      <c r="AG49" s="256">
        <v>9</v>
      </c>
      <c r="AH49" s="250" t="s">
        <v>738</v>
      </c>
      <c r="AI49" s="254" t="str">
        <f>VLOOKUP(G49,AD49:AE52,2,FALSE)</f>
        <v>15B</v>
      </c>
    </row>
    <row r="50" spans="6:35" ht="45" customHeight="1">
      <c r="F50" s="398"/>
      <c r="G50" s="384"/>
      <c r="H50" s="133" t="s">
        <v>720</v>
      </c>
      <c r="I50" s="134" t="s">
        <v>56</v>
      </c>
      <c r="J50" s="135" t="s">
        <v>975</v>
      </c>
      <c r="K50" s="137">
        <f>IF($G$49=AD50,23,0)</f>
        <v>23</v>
      </c>
      <c r="L50" s="95"/>
      <c r="M50" s="41"/>
      <c r="N50" s="97" t="str">
        <f t="shared" si="10"/>
        <v/>
      </c>
      <c r="O50" s="97" t="str">
        <f t="shared" si="11"/>
        <v/>
      </c>
      <c r="P50" s="97" t="str">
        <f t="shared" si="12"/>
        <v/>
      </c>
      <c r="Q50" s="97" t="str">
        <f t="shared" ref="Q50:Q55" si="13">IF(P50="","",IF(ROUNDUP(RANK(P50,$P$49:$P$55)/ROUND((COUNT($P$49:$P$55)/2),0),0)=1,"Comprehensive","Core"))</f>
        <v/>
      </c>
      <c r="R50" s="97"/>
      <c r="S50" s="98"/>
      <c r="T50" s="39"/>
      <c r="U50" s="99"/>
      <c r="V50" s="35"/>
      <c r="W50" s="246"/>
      <c r="X50" s="246"/>
      <c r="Y50" s="246"/>
      <c r="Z50" s="246"/>
      <c r="AA50" s="246"/>
      <c r="AB50" s="246"/>
      <c r="AD50" s="250" t="s">
        <v>972</v>
      </c>
      <c r="AE50" s="253" t="s">
        <v>720</v>
      </c>
      <c r="AF50" s="256">
        <v>8</v>
      </c>
      <c r="AG50" s="256">
        <v>9</v>
      </c>
      <c r="AH50" s="250" t="s">
        <v>743</v>
      </c>
      <c r="AI50" s="254">
        <f>VLOOKUP(AI49,AE49:AF52,2,FALSE)</f>
        <v>8</v>
      </c>
    </row>
    <row r="51" spans="6:35" ht="45" customHeight="1">
      <c r="F51" s="398"/>
      <c r="G51" s="384"/>
      <c r="H51" s="133" t="s">
        <v>722</v>
      </c>
      <c r="I51" s="134" t="s">
        <v>56</v>
      </c>
      <c r="J51" s="135" t="s">
        <v>976</v>
      </c>
      <c r="K51" s="137">
        <f>IF($G$49=AD51,23,0)</f>
        <v>0</v>
      </c>
      <c r="L51" s="95"/>
      <c r="M51" s="41"/>
      <c r="N51" s="97" t="str">
        <f t="shared" si="10"/>
        <v/>
      </c>
      <c r="O51" s="97" t="str">
        <f t="shared" si="11"/>
        <v/>
      </c>
      <c r="P51" s="97" t="str">
        <f t="shared" si="12"/>
        <v/>
      </c>
      <c r="Q51" s="97" t="str">
        <f t="shared" si="13"/>
        <v/>
      </c>
      <c r="R51" s="97"/>
      <c r="S51" s="98"/>
      <c r="T51" s="39"/>
      <c r="U51" s="99"/>
      <c r="V51" s="35"/>
      <c r="W51" s="246"/>
      <c r="X51" s="246"/>
      <c r="Y51" s="246"/>
      <c r="Z51" s="246"/>
      <c r="AA51" s="246"/>
      <c r="AB51" s="246"/>
      <c r="AD51" s="250" t="s">
        <v>977</v>
      </c>
      <c r="AE51" s="253" t="s">
        <v>722</v>
      </c>
      <c r="AF51" s="256">
        <v>8</v>
      </c>
      <c r="AG51" s="256">
        <v>9</v>
      </c>
      <c r="AH51" s="250" t="s">
        <v>748</v>
      </c>
      <c r="AI51" s="254">
        <f>VLOOKUP(AI49,H49:L52,5,FALSE)</f>
        <v>0</v>
      </c>
    </row>
    <row r="52" spans="6:35" ht="45" customHeight="1">
      <c r="F52" s="399"/>
      <c r="G52" s="385"/>
      <c r="H52" s="133" t="s">
        <v>724</v>
      </c>
      <c r="I52" s="134" t="s">
        <v>56</v>
      </c>
      <c r="J52" s="135" t="s">
        <v>978</v>
      </c>
      <c r="K52" s="137">
        <f>IF($G$49=AD52,23,0)</f>
        <v>0</v>
      </c>
      <c r="L52" s="95"/>
      <c r="M52" s="41"/>
      <c r="N52" s="97" t="str">
        <f t="shared" si="10"/>
        <v/>
      </c>
      <c r="O52" s="97" t="str">
        <f t="shared" si="11"/>
        <v/>
      </c>
      <c r="P52" s="97" t="str">
        <f t="shared" si="12"/>
        <v/>
      </c>
      <c r="Q52" s="97" t="str">
        <f t="shared" si="13"/>
        <v/>
      </c>
      <c r="R52" s="97"/>
      <c r="S52" s="98"/>
      <c r="T52" s="39"/>
      <c r="U52" s="99"/>
      <c r="V52" s="35"/>
      <c r="W52" s="246"/>
      <c r="X52" s="246"/>
      <c r="Y52" s="246"/>
      <c r="Z52" s="246"/>
      <c r="AA52" s="246"/>
      <c r="AB52" s="246"/>
      <c r="AD52" s="250" t="s">
        <v>979</v>
      </c>
      <c r="AE52" s="253" t="s">
        <v>724</v>
      </c>
      <c r="AF52" s="256">
        <v>8</v>
      </c>
      <c r="AG52" s="256">
        <v>9</v>
      </c>
      <c r="AH52" s="331" t="s">
        <v>753</v>
      </c>
      <c r="AI52" s="254" t="str">
        <f>IF(AND($L$4&gt;=44.5,OR(AI51&lt;=AI50,AI51=0)),"No","")</f>
        <v/>
      </c>
    </row>
    <row r="53" spans="6:35" ht="45" customHeight="1">
      <c r="F53" s="380" t="s">
        <v>980</v>
      </c>
      <c r="G53" s="383" t="s">
        <v>983</v>
      </c>
      <c r="H53" s="133" t="s">
        <v>982</v>
      </c>
      <c r="I53" s="134" t="s">
        <v>56</v>
      </c>
      <c r="J53" s="135" t="s">
        <v>976</v>
      </c>
      <c r="K53" s="137">
        <f>IF(G53=AD53,1,0)</f>
        <v>1</v>
      </c>
      <c r="L53" s="95"/>
      <c r="M53" s="41"/>
      <c r="N53" s="97" t="str">
        <f t="shared" si="10"/>
        <v/>
      </c>
      <c r="O53" s="97" t="str">
        <f t="shared" si="11"/>
        <v/>
      </c>
      <c r="P53" s="97" t="str">
        <f>IF(L53="","",1)</f>
        <v/>
      </c>
      <c r="Q53" s="97" t="str">
        <f t="shared" si="13"/>
        <v/>
      </c>
      <c r="R53" s="97"/>
      <c r="S53" s="98"/>
      <c r="T53" s="39"/>
      <c r="U53" s="99"/>
      <c r="V53" s="35"/>
      <c r="W53" s="246"/>
      <c r="X53" s="246"/>
      <c r="Y53" s="246"/>
      <c r="Z53" s="246"/>
      <c r="AA53" s="246"/>
      <c r="AB53" s="246"/>
      <c r="AD53" s="250" t="s">
        <v>983</v>
      </c>
    </row>
    <row r="54" spans="6:35" ht="45" customHeight="1">
      <c r="F54" s="381"/>
      <c r="G54" s="384"/>
      <c r="H54" s="123" t="s">
        <v>984</v>
      </c>
      <c r="I54" s="125" t="s">
        <v>56</v>
      </c>
      <c r="J54" s="124" t="s">
        <v>978</v>
      </c>
      <c r="K54" s="137">
        <f>IF(G53=AD54,1,0)</f>
        <v>0</v>
      </c>
      <c r="L54" s="95"/>
      <c r="M54" s="41"/>
      <c r="N54" s="97" t="str">
        <f t="shared" si="10"/>
        <v/>
      </c>
      <c r="O54" s="97" t="str">
        <f t="shared" si="11"/>
        <v/>
      </c>
      <c r="P54" s="97" t="str">
        <f t="shared" si="12"/>
        <v/>
      </c>
      <c r="Q54" s="97" t="str">
        <f>IF(P54="","",IF(ROUNDUP(RANK(P54,$P$49:$P$55)/ROUND((COUNT($P$49:$P$55)/2),0),0)=1,"Comprehensive","Core"))</f>
        <v/>
      </c>
      <c r="R54" s="97"/>
      <c r="S54" s="98"/>
      <c r="T54" s="39"/>
      <c r="U54" s="99"/>
      <c r="V54" s="35"/>
      <c r="W54" s="246"/>
      <c r="X54" s="246"/>
      <c r="Y54" s="246"/>
      <c r="Z54" s="246"/>
      <c r="AA54" s="246"/>
      <c r="AB54" s="246"/>
      <c r="AD54" s="250" t="s">
        <v>981</v>
      </c>
    </row>
    <row r="55" spans="6:35" ht="45" customHeight="1">
      <c r="F55" s="382"/>
      <c r="G55" s="385"/>
      <c r="H55" s="123" t="s">
        <v>53</v>
      </c>
      <c r="I55" s="125" t="s">
        <v>56</v>
      </c>
      <c r="J55" s="124" t="s">
        <v>985</v>
      </c>
      <c r="K55" s="137">
        <f>IF(G53=AD55,1,0)</f>
        <v>0</v>
      </c>
      <c r="L55" s="95"/>
      <c r="M55" s="41"/>
      <c r="N55" s="97" t="str">
        <f t="shared" ref="N55" si="14">IF(OR(S55=$AD$12,S55=$AD$13),L55,"")</f>
        <v/>
      </c>
      <c r="O55" s="97" t="str">
        <f t="shared" ref="O55" si="15">IF(S55=$AD$14,L55,"")</f>
        <v/>
      </c>
      <c r="P55" s="97" t="str">
        <f t="shared" si="12"/>
        <v/>
      </c>
      <c r="Q55" s="97" t="str">
        <f t="shared" si="13"/>
        <v/>
      </c>
      <c r="R55" s="97"/>
      <c r="S55" s="98"/>
      <c r="T55" s="39"/>
      <c r="U55" s="99"/>
      <c r="V55" s="35"/>
      <c r="W55" s="246"/>
      <c r="X55" s="246"/>
      <c r="Y55" s="246"/>
      <c r="Z55" s="246"/>
      <c r="AA55" s="246"/>
      <c r="AB55" s="246"/>
      <c r="AD55" s="252" t="s">
        <v>986</v>
      </c>
    </row>
    <row r="56" spans="6:35" ht="45" customHeight="1">
      <c r="F56" s="83" t="s">
        <v>486</v>
      </c>
      <c r="G56" s="83"/>
      <c r="H56" s="83"/>
      <c r="I56" s="83"/>
      <c r="J56" s="83"/>
      <c r="K56" s="80">
        <f>SUM(K49:K55)</f>
        <v>24</v>
      </c>
      <c r="L56" s="138">
        <f>SUM(L49:L55)</f>
        <v>0</v>
      </c>
      <c r="M56" s="139"/>
      <c r="N56" s="138">
        <f>SUM(N49:N55)</f>
        <v>0</v>
      </c>
      <c r="O56" s="80">
        <f>SUM(O49:O55)</f>
        <v>0</v>
      </c>
      <c r="P56" s="104"/>
      <c r="Q56" s="70"/>
      <c r="R56" s="70"/>
      <c r="S56" s="116"/>
      <c r="T56" s="39"/>
      <c r="U56" s="54"/>
      <c r="V56" s="35"/>
      <c r="W56" s="39"/>
      <c r="X56" s="39"/>
      <c r="Y56" s="39"/>
      <c r="Z56" s="39"/>
      <c r="AA56" s="39"/>
      <c r="AB56" s="39"/>
    </row>
    <row r="57" spans="6:35" ht="45" customHeight="1">
      <c r="F57" s="109"/>
      <c r="G57" s="110"/>
      <c r="H57" s="111"/>
      <c r="I57" s="111"/>
      <c r="J57" s="110"/>
      <c r="K57" s="112"/>
      <c r="L57" s="113"/>
      <c r="M57" s="41"/>
      <c r="N57" s="114"/>
      <c r="O57" s="115"/>
      <c r="P57" s="115"/>
      <c r="Q57" s="112"/>
      <c r="R57" s="112"/>
      <c r="S57" s="116"/>
      <c r="T57" s="39"/>
      <c r="U57" s="54"/>
      <c r="V57" s="35"/>
      <c r="W57" s="39"/>
      <c r="X57" s="39"/>
      <c r="Y57" s="39"/>
      <c r="Z57" s="39"/>
      <c r="AA57" s="39"/>
      <c r="AB57" s="39"/>
    </row>
    <row r="58" spans="6:35" ht="45" customHeight="1">
      <c r="F58" s="25" t="s">
        <v>987</v>
      </c>
      <c r="G58" s="117"/>
      <c r="H58" s="117"/>
      <c r="I58" s="117"/>
      <c r="J58" s="117"/>
      <c r="K58" s="117"/>
      <c r="L58" s="118"/>
      <c r="M58" s="41"/>
      <c r="N58" s="119"/>
      <c r="O58" s="119"/>
      <c r="P58" s="87"/>
      <c r="Q58" s="87" t="str">
        <f ca="1">CONCATENATE(COUNTIF(Q59:Q64,"Comprehensive")," Comprehensive",CHAR(10),COUNTIF(Q59:Q64,"Core")," Core")</f>
        <v>0 Comprehensive
0 Core</v>
      </c>
      <c r="R58" s="120"/>
      <c r="S58" s="121"/>
      <c r="T58" s="39"/>
      <c r="U58" s="122"/>
      <c r="V58" s="35"/>
      <c r="W58" s="245"/>
      <c r="X58" s="245"/>
      <c r="Y58" s="245"/>
      <c r="Z58" s="245"/>
      <c r="AA58" s="245"/>
      <c r="AB58" s="245"/>
    </row>
    <row r="59" spans="6:35" ht="45" customHeight="1">
      <c r="F59" s="379" t="s">
        <v>988</v>
      </c>
      <c r="G59" s="388" t="s">
        <v>989</v>
      </c>
      <c r="H59" s="125">
        <v>17.100000000000001</v>
      </c>
      <c r="I59" s="125" t="s">
        <v>920</v>
      </c>
      <c r="J59" s="124" t="s">
        <v>990</v>
      </c>
      <c r="K59" s="137">
        <v>1</v>
      </c>
      <c r="L59" s="95"/>
      <c r="M59" s="41"/>
      <c r="N59" s="97" t="str">
        <f t="shared" ref="N59:N64" si="16">IF(OR(S59=$AD$12,S59=$AD$13),L59,"")</f>
        <v/>
      </c>
      <c r="O59" s="97" t="str">
        <f t="shared" ref="O59:O64" si="17">IF(S59=$AD$14,L59,"")</f>
        <v/>
      </c>
      <c r="P59" s="97" t="str">
        <f t="shared" ref="P59:P64" ca="1" si="18">IF(OR(AND(K59="-",L59&lt;&gt;""),C59=TRUE),1,IF(OR(L59="",L59=0),"",RAND()))</f>
        <v/>
      </c>
      <c r="Q59" s="97" t="str">
        <f ca="1">IF(P59="","",IF(ROUNDUP(RANK(P59,$P$59:$P$64)/ROUND((COUNT($P$59:$P$64)/2),0),0)=1,"Comprehensive","Core"))</f>
        <v/>
      </c>
      <c r="R59" s="97"/>
      <c r="S59" s="127"/>
      <c r="T59" s="39"/>
      <c r="U59" s="99"/>
      <c r="V59" s="35"/>
      <c r="W59" s="246"/>
      <c r="X59" s="246"/>
      <c r="Y59" s="246"/>
      <c r="Z59" s="246"/>
      <c r="AA59" s="246"/>
      <c r="AB59" s="246"/>
    </row>
    <row r="60" spans="6:35" ht="45" customHeight="1">
      <c r="F60" s="379"/>
      <c r="G60" s="388"/>
      <c r="H60" s="125">
        <v>17.2</v>
      </c>
      <c r="I60" s="125" t="s">
        <v>920</v>
      </c>
      <c r="J60" s="124" t="s">
        <v>991</v>
      </c>
      <c r="K60" s="137">
        <v>1</v>
      </c>
      <c r="L60" s="95"/>
      <c r="M60" s="41"/>
      <c r="N60" s="97" t="str">
        <f t="shared" si="16"/>
        <v/>
      </c>
      <c r="O60" s="97" t="str">
        <f t="shared" si="17"/>
        <v/>
      </c>
      <c r="P60" s="97" t="str">
        <f t="shared" ca="1" si="18"/>
        <v/>
      </c>
      <c r="Q60" s="97" t="str">
        <f t="shared" ref="Q60:Q64" ca="1" si="19">IF(P60="","",IF(ROUNDUP(RANK(P60,$P$59:$P$64)/ROUND((COUNT($P$59:$P$64)/2),0),0)=1,"Comprehensive","Core"))</f>
        <v/>
      </c>
      <c r="R60" s="97"/>
      <c r="S60" s="127"/>
      <c r="T60" s="39"/>
      <c r="U60" s="99"/>
      <c r="V60" s="35"/>
      <c r="W60" s="246"/>
      <c r="X60" s="246"/>
      <c r="Y60" s="246"/>
      <c r="Z60" s="246"/>
      <c r="AA60" s="246"/>
      <c r="AB60" s="246"/>
    </row>
    <row r="61" spans="6:35" ht="45" customHeight="1">
      <c r="F61" s="379"/>
      <c r="G61" s="388"/>
      <c r="H61" s="125">
        <v>17.3</v>
      </c>
      <c r="I61" s="125" t="s">
        <v>901</v>
      </c>
      <c r="J61" s="124" t="s">
        <v>992</v>
      </c>
      <c r="K61" s="137">
        <v>1</v>
      </c>
      <c r="L61" s="95"/>
      <c r="M61" s="41"/>
      <c r="N61" s="97" t="str">
        <f t="shared" si="16"/>
        <v/>
      </c>
      <c r="O61" s="97" t="str">
        <f t="shared" si="17"/>
        <v/>
      </c>
      <c r="P61" s="97" t="str">
        <f t="shared" ca="1" si="18"/>
        <v/>
      </c>
      <c r="Q61" s="97" t="str">
        <f t="shared" ca="1" si="19"/>
        <v/>
      </c>
      <c r="R61" s="97"/>
      <c r="S61" s="127"/>
      <c r="T61" s="39"/>
      <c r="U61" s="99"/>
      <c r="V61" s="35"/>
      <c r="W61" s="246"/>
      <c r="X61" s="246"/>
      <c r="Y61" s="246"/>
      <c r="Z61" s="246"/>
      <c r="AA61" s="246"/>
      <c r="AB61" s="246"/>
    </row>
    <row r="62" spans="6:35" ht="45" customHeight="1">
      <c r="F62" s="379"/>
      <c r="G62" s="388"/>
      <c r="H62" s="125">
        <v>17.399999999999999</v>
      </c>
      <c r="I62" s="125" t="s">
        <v>901</v>
      </c>
      <c r="J62" s="124" t="s">
        <v>993</v>
      </c>
      <c r="K62" s="137">
        <v>1</v>
      </c>
      <c r="L62" s="95"/>
      <c r="M62" s="41"/>
      <c r="N62" s="97" t="str">
        <f t="shared" si="16"/>
        <v/>
      </c>
      <c r="O62" s="97" t="str">
        <f t="shared" si="17"/>
        <v/>
      </c>
      <c r="P62" s="97" t="str">
        <f t="shared" ca="1" si="18"/>
        <v/>
      </c>
      <c r="Q62" s="97" t="str">
        <f t="shared" ca="1" si="19"/>
        <v/>
      </c>
      <c r="R62" s="97"/>
      <c r="S62" s="127"/>
      <c r="T62" s="39"/>
      <c r="U62" s="99"/>
      <c r="V62" s="35"/>
      <c r="W62" s="246"/>
      <c r="X62" s="246"/>
      <c r="Y62" s="246"/>
      <c r="Z62" s="246"/>
      <c r="AA62" s="246"/>
      <c r="AB62" s="246"/>
    </row>
    <row r="63" spans="6:35" ht="45" customHeight="1">
      <c r="F63" s="379" t="s">
        <v>994</v>
      </c>
      <c r="G63" s="388" t="s">
        <v>995</v>
      </c>
      <c r="H63" s="125">
        <v>18.100000000000001</v>
      </c>
      <c r="I63" s="125" t="s">
        <v>901</v>
      </c>
      <c r="J63" s="124" t="s">
        <v>996</v>
      </c>
      <c r="K63" s="137">
        <v>1</v>
      </c>
      <c r="L63" s="95"/>
      <c r="M63" s="41"/>
      <c r="N63" s="97" t="str">
        <f t="shared" si="16"/>
        <v/>
      </c>
      <c r="O63" s="97" t="str">
        <f t="shared" si="17"/>
        <v/>
      </c>
      <c r="P63" s="97" t="str">
        <f t="shared" ca="1" si="18"/>
        <v/>
      </c>
      <c r="Q63" s="97" t="str">
        <f t="shared" ca="1" si="19"/>
        <v/>
      </c>
      <c r="R63" s="97"/>
      <c r="S63" s="127"/>
      <c r="T63" s="39"/>
      <c r="U63" s="99"/>
      <c r="V63" s="35"/>
      <c r="W63" s="246"/>
      <c r="X63" s="246"/>
      <c r="Y63" s="246"/>
      <c r="Z63" s="246"/>
      <c r="AA63" s="246"/>
      <c r="AB63" s="246"/>
    </row>
    <row r="64" spans="6:35" ht="45" customHeight="1">
      <c r="F64" s="379"/>
      <c r="G64" s="388"/>
      <c r="H64" s="125">
        <v>18.2</v>
      </c>
      <c r="I64" s="125" t="s">
        <v>56</v>
      </c>
      <c r="J64" s="124" t="s">
        <v>997</v>
      </c>
      <c r="K64" s="137">
        <v>2</v>
      </c>
      <c r="L64" s="95"/>
      <c r="M64" s="41"/>
      <c r="N64" s="97" t="str">
        <f t="shared" si="16"/>
        <v/>
      </c>
      <c r="O64" s="97" t="str">
        <f t="shared" si="17"/>
        <v/>
      </c>
      <c r="P64" s="97" t="str">
        <f t="shared" ca="1" si="18"/>
        <v/>
      </c>
      <c r="Q64" s="97" t="str">
        <f t="shared" ca="1" si="19"/>
        <v/>
      </c>
      <c r="R64" s="97"/>
      <c r="S64" s="127"/>
      <c r="T64" s="39"/>
      <c r="U64" s="99"/>
      <c r="V64" s="35"/>
      <c r="W64" s="246"/>
      <c r="X64" s="246"/>
      <c r="Y64" s="246"/>
      <c r="Z64" s="246"/>
      <c r="AA64" s="246"/>
      <c r="AB64" s="246"/>
    </row>
    <row r="65" spans="1:35" ht="45" customHeight="1">
      <c r="F65" s="83" t="s">
        <v>486</v>
      </c>
      <c r="G65" s="83"/>
      <c r="H65" s="83"/>
      <c r="I65" s="83"/>
      <c r="J65" s="83"/>
      <c r="K65" s="80">
        <f>SUM(K59:K64)</f>
        <v>7</v>
      </c>
      <c r="L65" s="138">
        <f>SUM(L59:L64)</f>
        <v>0</v>
      </c>
      <c r="M65" s="139"/>
      <c r="N65" s="138">
        <f t="shared" ref="N65:O65" si="20">SUM(N59:N64)</f>
        <v>0</v>
      </c>
      <c r="O65" s="80">
        <f t="shared" si="20"/>
        <v>0</v>
      </c>
      <c r="P65" s="104"/>
      <c r="Q65" s="70"/>
      <c r="R65" s="70"/>
      <c r="S65" s="116"/>
      <c r="T65" s="39"/>
      <c r="U65" s="54"/>
      <c r="V65" s="35"/>
      <c r="W65" s="39"/>
      <c r="X65" s="39"/>
      <c r="Y65" s="39"/>
      <c r="Z65" s="39"/>
      <c r="AA65" s="39"/>
      <c r="AB65" s="39"/>
    </row>
    <row r="66" spans="1:35" ht="45" customHeight="1">
      <c r="F66" s="109"/>
      <c r="G66" s="110"/>
      <c r="H66" s="111"/>
      <c r="I66" s="111"/>
      <c r="J66" s="110"/>
      <c r="K66" s="112"/>
      <c r="L66" s="113"/>
      <c r="M66" s="41"/>
      <c r="N66" s="114"/>
      <c r="O66" s="115"/>
      <c r="P66" s="115"/>
      <c r="Q66" s="112"/>
      <c r="R66" s="112"/>
      <c r="S66" s="116"/>
      <c r="T66" s="39"/>
      <c r="U66" s="54"/>
      <c r="V66" s="35"/>
      <c r="W66" s="39"/>
      <c r="X66" s="39"/>
      <c r="Y66" s="39"/>
      <c r="Z66" s="39"/>
      <c r="AA66" s="39"/>
      <c r="AB66" s="39"/>
    </row>
    <row r="67" spans="1:35" ht="45" customHeight="1">
      <c r="F67" s="25" t="s">
        <v>668</v>
      </c>
      <c r="G67" s="117"/>
      <c r="H67" s="117"/>
      <c r="I67" s="117"/>
      <c r="J67" s="117"/>
      <c r="K67" s="117"/>
      <c r="L67" s="118"/>
      <c r="M67" s="41"/>
      <c r="N67" s="119"/>
      <c r="O67" s="119"/>
      <c r="P67" s="87"/>
      <c r="Q67" s="87" t="str">
        <f ca="1">CONCATENATE(COUNTIF(Q68:Q73,"Comprehensive")," Comprehensive",CHAR(10),COUNTIF(Q68:Q73,"Core")," Core")</f>
        <v>2 Comprehensive
0 Core</v>
      </c>
      <c r="R67" s="120"/>
      <c r="S67" s="121"/>
      <c r="T67" s="39"/>
      <c r="U67" s="122"/>
      <c r="V67" s="35"/>
      <c r="W67" s="245"/>
      <c r="X67" s="245"/>
      <c r="Y67" s="245"/>
      <c r="Z67" s="245"/>
      <c r="AA67" s="245"/>
      <c r="AB67" s="245"/>
      <c r="AF67" s="311" t="s">
        <v>706</v>
      </c>
      <c r="AG67" s="311" t="s">
        <v>708</v>
      </c>
      <c r="AH67" s="441" t="s">
        <v>758</v>
      </c>
      <c r="AI67" s="257"/>
    </row>
    <row r="68" spans="1:35" ht="45" customHeight="1">
      <c r="F68" s="394" t="s">
        <v>998</v>
      </c>
      <c r="G68" s="383" t="s">
        <v>1002</v>
      </c>
      <c r="H68" s="140" t="s">
        <v>760</v>
      </c>
      <c r="I68" s="123" t="s">
        <v>56</v>
      </c>
      <c r="J68" s="141" t="s">
        <v>999</v>
      </c>
      <c r="K68" s="137">
        <f>IF($G$68=AD68,10,0)</f>
        <v>0</v>
      </c>
      <c r="L68" s="95"/>
      <c r="M68" s="41"/>
      <c r="N68" s="97" t="str">
        <f t="shared" ref="N68:N73" si="21">IF(OR(S68=$AD$12,S68=$AD$13),L68,"")</f>
        <v/>
      </c>
      <c r="O68" s="97" t="str">
        <f t="shared" ref="O68:O73" si="22">IF(S68=$AD$14,L68,"")</f>
        <v/>
      </c>
      <c r="P68" s="97" t="str">
        <f t="shared" ref="P68:P73" ca="1" si="23">IF(OR(AND(K68="-",L68&lt;&gt;""),C68=TRUE),1,IF(OR(L68="",L68=0),"",RAND()))</f>
        <v/>
      </c>
      <c r="Q68" s="97" t="str">
        <f ca="1">IF(P68="","",IF(ROUNDUP(RANK(P68,$P$68:$P$73)/ROUND((COUNT($P$68:$P$73)/2),0),0)=1,"Comprehensive","Core"))</f>
        <v/>
      </c>
      <c r="R68" s="97"/>
      <c r="S68" s="127"/>
      <c r="T68" s="39"/>
      <c r="U68" s="99"/>
      <c r="V68" s="35"/>
      <c r="W68" s="246"/>
      <c r="X68" s="246"/>
      <c r="Y68" s="246"/>
      <c r="Z68" s="246"/>
      <c r="AA68" s="246"/>
      <c r="AB68" s="246"/>
      <c r="AD68" s="250" t="s">
        <v>1000</v>
      </c>
      <c r="AE68" s="255" t="s">
        <v>760</v>
      </c>
      <c r="AF68" s="256">
        <v>3.5</v>
      </c>
      <c r="AG68" s="256">
        <v>3.5</v>
      </c>
      <c r="AH68" s="250" t="s">
        <v>738</v>
      </c>
      <c r="AI68" s="254" t="str">
        <f>VLOOKUP(G68,AD68:AE71,2,FALSE)</f>
        <v>19B</v>
      </c>
    </row>
    <row r="69" spans="1:35" ht="45" customHeight="1">
      <c r="F69" s="395"/>
      <c r="G69" s="384"/>
      <c r="H69" s="140" t="s">
        <v>762</v>
      </c>
      <c r="I69" s="123" t="s">
        <v>56</v>
      </c>
      <c r="J69" s="141" t="s">
        <v>1001</v>
      </c>
      <c r="K69" s="137">
        <f>IF($G$68=AD69,10,0)</f>
        <v>10</v>
      </c>
      <c r="L69" s="95"/>
      <c r="M69" s="41"/>
      <c r="N69" s="97" t="str">
        <f t="shared" si="21"/>
        <v/>
      </c>
      <c r="O69" s="97" t="str">
        <f t="shared" si="22"/>
        <v/>
      </c>
      <c r="P69" s="97" t="str">
        <f t="shared" ca="1" si="23"/>
        <v/>
      </c>
      <c r="Q69" s="97" t="str">
        <f t="shared" ref="Q69:Q73" ca="1" si="24">IF(P69="","",IF(ROUNDUP(RANK(P69,$P$68:$P$73)/ROUND((COUNT($P$68:$P$73)/2),0),0)=1,"Comprehensive","Core"))</f>
        <v/>
      </c>
      <c r="R69" s="97"/>
      <c r="S69" s="127"/>
      <c r="T69" s="39"/>
      <c r="U69" s="99"/>
      <c r="V69" s="35"/>
      <c r="W69" s="246"/>
      <c r="X69" s="246"/>
      <c r="Y69" s="246"/>
      <c r="Z69" s="246"/>
      <c r="AA69" s="246"/>
      <c r="AB69" s="246"/>
      <c r="AD69" s="250" t="s">
        <v>1002</v>
      </c>
      <c r="AE69" s="255" t="s">
        <v>762</v>
      </c>
      <c r="AF69" s="256">
        <v>3.5</v>
      </c>
      <c r="AG69" s="256">
        <v>3.5</v>
      </c>
      <c r="AH69" s="250" t="s">
        <v>743</v>
      </c>
      <c r="AI69" s="254">
        <f>VLOOKUP(AI68,AE68:AF71,2,FALSE)</f>
        <v>3.5</v>
      </c>
    </row>
    <row r="70" spans="1:35" ht="45" customHeight="1">
      <c r="F70" s="395"/>
      <c r="G70" s="384"/>
      <c r="H70" s="140" t="s">
        <v>764</v>
      </c>
      <c r="I70" s="123" t="s">
        <v>56</v>
      </c>
      <c r="J70" s="141" t="s">
        <v>976</v>
      </c>
      <c r="K70" s="137">
        <f>IF($G$68=AD70,10,0)</f>
        <v>0</v>
      </c>
      <c r="L70" s="95"/>
      <c r="M70" s="41"/>
      <c r="N70" s="97" t="str">
        <f t="shared" si="21"/>
        <v/>
      </c>
      <c r="O70" s="97" t="str">
        <f t="shared" si="22"/>
        <v/>
      </c>
      <c r="P70" s="97" t="str">
        <f t="shared" ca="1" si="23"/>
        <v/>
      </c>
      <c r="Q70" s="97" t="str">
        <f t="shared" ca="1" si="24"/>
        <v/>
      </c>
      <c r="R70" s="97"/>
      <c r="S70" s="127"/>
      <c r="T70" s="39"/>
      <c r="U70" s="99"/>
      <c r="V70" s="35"/>
      <c r="W70" s="246"/>
      <c r="X70" s="246"/>
      <c r="Y70" s="246"/>
      <c r="Z70" s="246"/>
      <c r="AA70" s="246"/>
      <c r="AB70" s="246"/>
      <c r="AD70" s="250" t="s">
        <v>977</v>
      </c>
      <c r="AE70" s="255" t="s">
        <v>764</v>
      </c>
      <c r="AF70" s="256">
        <v>3.5</v>
      </c>
      <c r="AG70" s="256">
        <v>3.5</v>
      </c>
      <c r="AH70" s="250" t="s">
        <v>748</v>
      </c>
      <c r="AI70" s="254">
        <f>VLOOKUP(AI68,H68:L71,5,FALSE)</f>
        <v>0</v>
      </c>
    </row>
    <row r="71" spans="1:35" ht="45" customHeight="1">
      <c r="F71" s="396"/>
      <c r="G71" s="385"/>
      <c r="H71" s="140" t="s">
        <v>766</v>
      </c>
      <c r="I71" s="123" t="s">
        <v>56</v>
      </c>
      <c r="J71" s="141" t="s">
        <v>978</v>
      </c>
      <c r="K71" s="137">
        <f>IF($G$68=AD71,10,0)</f>
        <v>0</v>
      </c>
      <c r="L71" s="95"/>
      <c r="M71" s="41"/>
      <c r="N71" s="97" t="str">
        <f t="shared" si="21"/>
        <v/>
      </c>
      <c r="O71" s="97" t="str">
        <f t="shared" si="22"/>
        <v/>
      </c>
      <c r="P71" s="97" t="str">
        <f t="shared" ca="1" si="23"/>
        <v/>
      </c>
      <c r="Q71" s="97" t="str">
        <f t="shared" ca="1" si="24"/>
        <v/>
      </c>
      <c r="R71" s="97"/>
      <c r="S71" s="127"/>
      <c r="T71" s="39"/>
      <c r="U71" s="99"/>
      <c r="V71" s="35"/>
      <c r="W71" s="246"/>
      <c r="X71" s="246"/>
      <c r="Y71" s="246"/>
      <c r="Z71" s="246"/>
      <c r="AA71" s="246"/>
      <c r="AB71" s="246"/>
      <c r="AD71" s="250" t="s">
        <v>979</v>
      </c>
      <c r="AE71" s="255" t="s">
        <v>766</v>
      </c>
      <c r="AF71" s="256">
        <v>3.5</v>
      </c>
      <c r="AG71" s="256">
        <v>3.5</v>
      </c>
      <c r="AH71" s="331" t="s">
        <v>753</v>
      </c>
      <c r="AI71" s="254" t="str">
        <f>IF(AND($L$4&gt;=44.5,OR(AI70&lt;=AI69,AI70=0)),"No","")</f>
        <v/>
      </c>
    </row>
    <row r="72" spans="1:35" ht="45" customHeight="1">
      <c r="A72" s="26">
        <v>2</v>
      </c>
      <c r="B72" s="26">
        <f>IF(C72=TRUE,A72,0)</f>
        <v>2</v>
      </c>
      <c r="C72" s="26" t="b">
        <v>1</v>
      </c>
      <c r="F72" s="397" t="s">
        <v>1003</v>
      </c>
      <c r="G72" s="388" t="s">
        <v>1004</v>
      </c>
      <c r="H72" s="142">
        <v>20.100000000000001</v>
      </c>
      <c r="I72" s="123" t="s">
        <v>901</v>
      </c>
      <c r="J72" s="141" t="s">
        <v>1005</v>
      </c>
      <c r="K72" s="137">
        <f>IF($C$72=FALSE,1,0)</f>
        <v>0</v>
      </c>
      <c r="L72" s="95"/>
      <c r="M72" s="41"/>
      <c r="N72" s="97" t="str">
        <f t="shared" si="21"/>
        <v/>
      </c>
      <c r="O72" s="97" t="str">
        <f t="shared" si="22"/>
        <v/>
      </c>
      <c r="P72" s="97">
        <f t="shared" ca="1" si="23"/>
        <v>1</v>
      </c>
      <c r="Q72" s="97" t="str">
        <f t="shared" ca="1" si="24"/>
        <v>Comprehensive</v>
      </c>
      <c r="R72" s="97"/>
      <c r="S72" s="127"/>
      <c r="T72" s="39"/>
      <c r="U72" s="99"/>
      <c r="V72" s="35"/>
      <c r="W72" s="246"/>
      <c r="X72" s="246"/>
      <c r="Y72" s="246"/>
      <c r="Z72" s="246"/>
      <c r="AA72" s="246"/>
      <c r="AB72" s="246"/>
    </row>
    <row r="73" spans="1:35" ht="45" customHeight="1">
      <c r="C73" s="26" t="b">
        <f>C72</f>
        <v>1</v>
      </c>
      <c r="F73" s="399"/>
      <c r="G73" s="388"/>
      <c r="H73" s="125">
        <v>20.2</v>
      </c>
      <c r="I73" s="123" t="s">
        <v>910</v>
      </c>
      <c r="J73" s="141" t="s">
        <v>1006</v>
      </c>
      <c r="K73" s="137">
        <f>IF($C$72=FALSE,1,0)</f>
        <v>0</v>
      </c>
      <c r="L73" s="95"/>
      <c r="M73" s="41"/>
      <c r="N73" s="97" t="str">
        <f t="shared" si="21"/>
        <v/>
      </c>
      <c r="O73" s="97" t="str">
        <f t="shared" si="22"/>
        <v/>
      </c>
      <c r="P73" s="97">
        <f t="shared" ca="1" si="23"/>
        <v>1</v>
      </c>
      <c r="Q73" s="97" t="str">
        <f t="shared" ca="1" si="24"/>
        <v>Comprehensive</v>
      </c>
      <c r="R73" s="97"/>
      <c r="S73" s="127"/>
      <c r="T73" s="39"/>
      <c r="U73" s="99"/>
      <c r="V73" s="35"/>
      <c r="W73" s="246"/>
      <c r="X73" s="246"/>
      <c r="Y73" s="246"/>
      <c r="Z73" s="246"/>
      <c r="AA73" s="246"/>
      <c r="AB73" s="246"/>
    </row>
    <row r="74" spans="1:35" ht="45" customHeight="1">
      <c r="F74" s="83" t="s">
        <v>486</v>
      </c>
      <c r="G74" s="83"/>
      <c r="H74" s="83"/>
      <c r="I74" s="83"/>
      <c r="J74" s="83"/>
      <c r="K74" s="80">
        <f>SUM(K68:K73)</f>
        <v>10</v>
      </c>
      <c r="L74" s="138">
        <f>SUM(L68:L73)</f>
        <v>0</v>
      </c>
      <c r="M74" s="139"/>
      <c r="N74" s="138">
        <f t="shared" ref="N74:O74" si="25">SUM(N68:N73)</f>
        <v>0</v>
      </c>
      <c r="O74" s="80">
        <f t="shared" si="25"/>
        <v>0</v>
      </c>
      <c r="P74" s="104"/>
      <c r="Q74" s="70"/>
      <c r="R74" s="70"/>
      <c r="S74" s="116"/>
      <c r="T74" s="39"/>
      <c r="U74" s="54"/>
      <c r="V74" s="35"/>
      <c r="W74" s="39"/>
      <c r="X74" s="39"/>
      <c r="Y74" s="39"/>
      <c r="Z74" s="39"/>
      <c r="AA74" s="39"/>
      <c r="AB74" s="39"/>
    </row>
    <row r="75" spans="1:35" ht="45" customHeight="1">
      <c r="F75" s="109"/>
      <c r="G75" s="110"/>
      <c r="H75" s="111"/>
      <c r="I75" s="111"/>
      <c r="J75" s="110"/>
      <c r="K75" s="112"/>
      <c r="L75" s="113"/>
      <c r="M75" s="41"/>
      <c r="N75" s="114"/>
      <c r="O75" s="115"/>
      <c r="P75" s="115"/>
      <c r="Q75" s="112"/>
      <c r="R75" s="112"/>
      <c r="S75" s="116"/>
      <c r="T75" s="39"/>
      <c r="U75" s="54"/>
      <c r="V75" s="35"/>
      <c r="W75" s="39"/>
      <c r="X75" s="39"/>
      <c r="Y75" s="39"/>
      <c r="Z75" s="39"/>
      <c r="AA75" s="39"/>
      <c r="AB75" s="39"/>
    </row>
    <row r="76" spans="1:35" ht="45" customHeight="1">
      <c r="F76" s="25" t="s">
        <v>1007</v>
      </c>
      <c r="G76" s="117"/>
      <c r="H76" s="117"/>
      <c r="I76" s="117"/>
      <c r="J76" s="117"/>
      <c r="K76" s="117"/>
      <c r="L76" s="118"/>
      <c r="M76" s="41"/>
      <c r="N76" s="119"/>
      <c r="O76" s="119"/>
      <c r="P76" s="87"/>
      <c r="Q76" s="87" t="str">
        <f ca="1">CONCATENATE(COUNTIF(Q77:Q83,"Comprehensive")," Comprehensive",CHAR(10),COUNTIF(Q77:Q83,"Core")," Core")</f>
        <v>0 Comprehensive
0 Core</v>
      </c>
      <c r="R76" s="120"/>
      <c r="S76" s="121"/>
      <c r="T76" s="39"/>
      <c r="U76" s="122"/>
      <c r="V76" s="35"/>
      <c r="W76" s="245"/>
      <c r="X76" s="245"/>
      <c r="Y76" s="245"/>
      <c r="Z76" s="245"/>
      <c r="AA76" s="245"/>
      <c r="AB76" s="245"/>
    </row>
    <row r="77" spans="1:35" ht="45" customHeight="1">
      <c r="F77" s="379" t="s">
        <v>1008</v>
      </c>
      <c r="G77" s="393" t="s">
        <v>1009</v>
      </c>
      <c r="H77" s="125">
        <v>21.1</v>
      </c>
      <c r="I77" s="125" t="s">
        <v>920</v>
      </c>
      <c r="J77" s="124" t="s">
        <v>1010</v>
      </c>
      <c r="K77" s="137">
        <v>1</v>
      </c>
      <c r="L77" s="95"/>
      <c r="M77" s="41"/>
      <c r="N77" s="97" t="str">
        <f t="shared" ref="N77:N83" si="26">IF(OR(S77=$AD$12,S77=$AD$13),L77,"")</f>
        <v/>
      </c>
      <c r="O77" s="97" t="str">
        <f t="shared" ref="O77:O83" si="27">IF(S77=$AD$14,L77,"")</f>
        <v/>
      </c>
      <c r="P77" s="97" t="str">
        <f t="shared" ref="P77:P83" ca="1" si="28">IF(OR(AND(K77="-",L77&lt;&gt;""),C77=TRUE),1,IF(OR(L77="",L77=0),"",RAND()))</f>
        <v/>
      </c>
      <c r="Q77" s="97" t="str">
        <f ca="1">IF(P77="","",IF(ROUNDUP(RANK(P77,$P$77:$P$83)/ROUND((COUNT($P$77:$P$83)/2),0),0)=1,"Comprehensive","Core"))</f>
        <v/>
      </c>
      <c r="R77" s="97"/>
      <c r="S77" s="127"/>
      <c r="T77" s="39"/>
      <c r="U77" s="99"/>
      <c r="V77" s="35"/>
      <c r="W77" s="246"/>
      <c r="X77" s="246"/>
      <c r="Y77" s="246"/>
      <c r="Z77" s="246"/>
      <c r="AA77" s="246"/>
      <c r="AB77" s="246"/>
    </row>
    <row r="78" spans="1:35" ht="45" customHeight="1">
      <c r="F78" s="379"/>
      <c r="G78" s="393"/>
      <c r="H78" s="125">
        <v>21.2</v>
      </c>
      <c r="I78" s="125" t="s">
        <v>56</v>
      </c>
      <c r="J78" s="124" t="s">
        <v>1011</v>
      </c>
      <c r="K78" s="137">
        <v>1</v>
      </c>
      <c r="L78" s="95"/>
      <c r="M78" s="41"/>
      <c r="N78" s="97" t="str">
        <f t="shared" si="26"/>
        <v/>
      </c>
      <c r="O78" s="97" t="str">
        <f t="shared" si="27"/>
        <v/>
      </c>
      <c r="P78" s="97" t="str">
        <f t="shared" ca="1" si="28"/>
        <v/>
      </c>
      <c r="Q78" s="97" t="str">
        <f t="shared" ref="Q78:Q83" ca="1" si="29">IF(P78="","",IF(ROUNDUP(RANK(P78,$P$77:$P$83)/ROUND((COUNT($P$77:$P$83)/2),0),0)=1,"Comprehensive","Core"))</f>
        <v/>
      </c>
      <c r="R78" s="97"/>
      <c r="S78" s="127"/>
      <c r="T78" s="39"/>
      <c r="U78" s="99"/>
      <c r="V78" s="35"/>
      <c r="W78" s="246"/>
      <c r="X78" s="246"/>
      <c r="Y78" s="246"/>
      <c r="Z78" s="246"/>
      <c r="AA78" s="246"/>
      <c r="AB78" s="246"/>
    </row>
    <row r="79" spans="1:35" ht="45" customHeight="1">
      <c r="A79" s="26">
        <v>1</v>
      </c>
      <c r="B79" s="26">
        <f>IF(C79=TRUE,A79,0)</f>
        <v>0</v>
      </c>
      <c r="C79" s="26" t="b">
        <v>0</v>
      </c>
      <c r="F79" s="379"/>
      <c r="G79" s="393"/>
      <c r="H79" s="125">
        <v>21.3</v>
      </c>
      <c r="I79" s="125" t="s">
        <v>56</v>
      </c>
      <c r="J79" s="124" t="s">
        <v>1012</v>
      </c>
      <c r="K79" s="137">
        <f>IF(C79=FALSE,A79,0)</f>
        <v>1</v>
      </c>
      <c r="L79" s="95"/>
      <c r="M79" s="41"/>
      <c r="N79" s="97" t="str">
        <f t="shared" si="26"/>
        <v/>
      </c>
      <c r="O79" s="97" t="str">
        <f t="shared" si="27"/>
        <v/>
      </c>
      <c r="P79" s="97" t="str">
        <f t="shared" ca="1" si="28"/>
        <v/>
      </c>
      <c r="Q79" s="97" t="str">
        <f t="shared" ca="1" si="29"/>
        <v/>
      </c>
      <c r="R79" s="97"/>
      <c r="S79" s="127"/>
      <c r="T79" s="39"/>
      <c r="U79" s="99"/>
      <c r="V79" s="35"/>
      <c r="W79" s="246"/>
      <c r="X79" s="246"/>
      <c r="Y79" s="246"/>
      <c r="Z79" s="246"/>
      <c r="AA79" s="246"/>
      <c r="AB79" s="246"/>
    </row>
    <row r="80" spans="1:35" ht="45" customHeight="1">
      <c r="F80" s="379" t="s">
        <v>1013</v>
      </c>
      <c r="G80" s="393" t="s">
        <v>1014</v>
      </c>
      <c r="H80" s="125">
        <v>22.1</v>
      </c>
      <c r="I80" s="125" t="s">
        <v>920</v>
      </c>
      <c r="J80" s="124" t="s">
        <v>1015</v>
      </c>
      <c r="K80" s="137">
        <v>1</v>
      </c>
      <c r="L80" s="95"/>
      <c r="M80" s="41"/>
      <c r="N80" s="97" t="str">
        <f t="shared" si="26"/>
        <v/>
      </c>
      <c r="O80" s="97" t="str">
        <f t="shared" si="27"/>
        <v/>
      </c>
      <c r="P80" s="97" t="str">
        <f t="shared" ca="1" si="28"/>
        <v/>
      </c>
      <c r="Q80" s="97" t="str">
        <f t="shared" ca="1" si="29"/>
        <v/>
      </c>
      <c r="R80" s="97"/>
      <c r="S80" s="127"/>
      <c r="T80" s="39"/>
      <c r="U80" s="99"/>
      <c r="V80" s="35"/>
      <c r="W80" s="246"/>
      <c r="X80" s="246"/>
      <c r="Y80" s="246"/>
      <c r="Z80" s="246"/>
      <c r="AA80" s="246"/>
      <c r="AB80" s="246"/>
    </row>
    <row r="81" spans="1:28" ht="45" customHeight="1">
      <c r="F81" s="379"/>
      <c r="G81" s="393"/>
      <c r="H81" s="125">
        <v>22.2</v>
      </c>
      <c r="I81" s="125" t="s">
        <v>56</v>
      </c>
      <c r="J81" s="124" t="s">
        <v>1016</v>
      </c>
      <c r="K81" s="137">
        <v>3</v>
      </c>
      <c r="L81" s="95"/>
      <c r="M81" s="41"/>
      <c r="N81" s="97" t="str">
        <f t="shared" si="26"/>
        <v/>
      </c>
      <c r="O81" s="97" t="str">
        <f t="shared" si="27"/>
        <v/>
      </c>
      <c r="P81" s="97" t="str">
        <f t="shared" ca="1" si="28"/>
        <v/>
      </c>
      <c r="Q81" s="97" t="str">
        <f t="shared" ca="1" si="29"/>
        <v/>
      </c>
      <c r="R81" s="97"/>
      <c r="S81" s="127"/>
      <c r="T81" s="39"/>
      <c r="U81" s="99"/>
      <c r="V81" s="35"/>
      <c r="W81" s="246"/>
      <c r="X81" s="246"/>
      <c r="Y81" s="246"/>
      <c r="Z81" s="246"/>
      <c r="AA81" s="246"/>
      <c r="AB81" s="246"/>
    </row>
    <row r="82" spans="1:28" ht="45" customHeight="1">
      <c r="A82" s="26">
        <v>1</v>
      </c>
      <c r="B82" s="26">
        <f>IF(C82=TRUE,A82,0)</f>
        <v>0</v>
      </c>
      <c r="C82" s="26" t="b">
        <v>0</v>
      </c>
      <c r="F82" s="379" t="s">
        <v>1017</v>
      </c>
      <c r="G82" s="393" t="s">
        <v>1018</v>
      </c>
      <c r="H82" s="125">
        <v>23.1</v>
      </c>
      <c r="I82" s="125" t="s">
        <v>920</v>
      </c>
      <c r="J82" s="124" t="s">
        <v>1019</v>
      </c>
      <c r="K82" s="137">
        <f>IF(C82=FALSE,A82,0)</f>
        <v>1</v>
      </c>
      <c r="L82" s="95"/>
      <c r="M82" s="41"/>
      <c r="N82" s="97" t="str">
        <f t="shared" si="26"/>
        <v/>
      </c>
      <c r="O82" s="97" t="str">
        <f t="shared" si="27"/>
        <v/>
      </c>
      <c r="P82" s="97" t="str">
        <f t="shared" ca="1" si="28"/>
        <v/>
      </c>
      <c r="Q82" s="97" t="str">
        <f t="shared" ca="1" si="29"/>
        <v/>
      </c>
      <c r="R82" s="97"/>
      <c r="S82" s="127"/>
      <c r="T82" s="39"/>
      <c r="U82" s="99"/>
      <c r="V82" s="35"/>
      <c r="W82" s="246"/>
      <c r="X82" s="246"/>
      <c r="Y82" s="246"/>
      <c r="Z82" s="246"/>
      <c r="AA82" s="246"/>
      <c r="AB82" s="246"/>
    </row>
    <row r="83" spans="1:28" ht="45" customHeight="1">
      <c r="A83" s="26">
        <v>2</v>
      </c>
      <c r="B83" s="26">
        <f>IF(C83=TRUE,A83,0)</f>
        <v>0</v>
      </c>
      <c r="C83" s="26" t="b">
        <v>0</v>
      </c>
      <c r="F83" s="379"/>
      <c r="G83" s="393"/>
      <c r="H83" s="125">
        <v>23.2</v>
      </c>
      <c r="I83" s="125" t="s">
        <v>56</v>
      </c>
      <c r="J83" s="124" t="s">
        <v>1020</v>
      </c>
      <c r="K83" s="137">
        <f>IF(C83=FALSE,A83,0)</f>
        <v>2</v>
      </c>
      <c r="L83" s="95"/>
      <c r="M83" s="41"/>
      <c r="N83" s="97" t="str">
        <f t="shared" si="26"/>
        <v/>
      </c>
      <c r="O83" s="97" t="str">
        <f t="shared" si="27"/>
        <v/>
      </c>
      <c r="P83" s="97" t="str">
        <f t="shared" ca="1" si="28"/>
        <v/>
      </c>
      <c r="Q83" s="97" t="str">
        <f t="shared" ca="1" si="29"/>
        <v/>
      </c>
      <c r="R83" s="97"/>
      <c r="S83" s="127"/>
      <c r="T83" s="39"/>
      <c r="U83" s="99"/>
      <c r="V83" s="35"/>
      <c r="W83" s="246"/>
      <c r="X83" s="246"/>
      <c r="Y83" s="246"/>
      <c r="Z83" s="246"/>
      <c r="AA83" s="246"/>
      <c r="AB83" s="246"/>
    </row>
    <row r="84" spans="1:28" ht="45" customHeight="1">
      <c r="F84" s="83" t="s">
        <v>486</v>
      </c>
      <c r="G84" s="83"/>
      <c r="H84" s="83"/>
      <c r="I84" s="83"/>
      <c r="J84" s="83"/>
      <c r="K84" s="80">
        <f>SUM(K77:K83)</f>
        <v>10</v>
      </c>
      <c r="L84" s="138">
        <f>SUM(L77:L83)</f>
        <v>0</v>
      </c>
      <c r="M84" s="139"/>
      <c r="N84" s="138">
        <f t="shared" ref="N84:O84" si="30">SUM(N77:N83)</f>
        <v>0</v>
      </c>
      <c r="O84" s="80">
        <f t="shared" si="30"/>
        <v>0</v>
      </c>
      <c r="P84" s="104"/>
      <c r="Q84" s="70"/>
      <c r="R84" s="70"/>
      <c r="S84" s="116"/>
      <c r="T84" s="39"/>
      <c r="U84" s="54"/>
      <c r="V84" s="35"/>
      <c r="W84" s="39"/>
      <c r="X84" s="39"/>
      <c r="Y84" s="39"/>
      <c r="Z84" s="39"/>
      <c r="AA84" s="39"/>
      <c r="AB84" s="39"/>
    </row>
    <row r="85" spans="1:28" ht="45" customHeight="1">
      <c r="F85" s="109"/>
      <c r="G85" s="110"/>
      <c r="H85" s="111"/>
      <c r="I85" s="111"/>
      <c r="J85" s="110"/>
      <c r="K85" s="112"/>
      <c r="L85" s="113"/>
      <c r="M85" s="41"/>
      <c r="N85" s="114"/>
      <c r="O85" s="115"/>
      <c r="P85" s="115"/>
      <c r="Q85" s="112"/>
      <c r="R85" s="112"/>
      <c r="S85" s="116"/>
      <c r="T85" s="39"/>
      <c r="U85" s="54"/>
      <c r="V85" s="35"/>
      <c r="W85" s="39"/>
      <c r="X85" s="39"/>
      <c r="Y85" s="39"/>
      <c r="Z85" s="39"/>
      <c r="AA85" s="39"/>
      <c r="AB85" s="39"/>
    </row>
    <row r="86" spans="1:28" ht="45" customHeight="1">
      <c r="F86" s="25" t="s">
        <v>1021</v>
      </c>
      <c r="G86" s="117"/>
      <c r="H86" s="117"/>
      <c r="I86" s="117"/>
      <c r="J86" s="117"/>
      <c r="K86" s="117"/>
      <c r="L86" s="118"/>
      <c r="M86" s="41"/>
      <c r="N86" s="119"/>
      <c r="O86" s="119"/>
      <c r="P86" s="87"/>
      <c r="Q86" s="87" t="str">
        <f>CONCATENATE(COUNTIF(Q87:Q91,"Comprehensive")," Comprehensive",CHAR(10),COUNTIF(Q87:Q91,"Core")," Core")</f>
        <v>0 Comprehensive
0 Core</v>
      </c>
      <c r="R86" s="120"/>
      <c r="S86" s="121"/>
      <c r="T86" s="39"/>
      <c r="U86" s="122"/>
      <c r="V86" s="35"/>
      <c r="W86" s="245"/>
      <c r="X86" s="245"/>
      <c r="Y86" s="245"/>
      <c r="Z86" s="245"/>
      <c r="AA86" s="245"/>
      <c r="AB86" s="245"/>
    </row>
    <row r="87" spans="1:28" ht="45" customHeight="1">
      <c r="F87" s="392" t="s">
        <v>1022</v>
      </c>
      <c r="G87" s="388" t="s">
        <v>1023</v>
      </c>
      <c r="H87" s="125">
        <v>24.1</v>
      </c>
      <c r="I87" s="125" t="s">
        <v>920</v>
      </c>
      <c r="J87" s="93" t="s">
        <v>1024</v>
      </c>
      <c r="K87" s="137">
        <v>1</v>
      </c>
      <c r="L87" s="95"/>
      <c r="M87" s="41"/>
      <c r="N87" s="97" t="str">
        <f>IF(OR(S87=$AD$12,S87=$AD$13),L87,"")</f>
        <v/>
      </c>
      <c r="O87" s="97" t="str">
        <f>IF(S87=$AD$14,L87,"")</f>
        <v/>
      </c>
      <c r="P87" s="97" t="str">
        <f t="shared" ref="P87:P91" si="31">IF(L87="","",1)</f>
        <v/>
      </c>
      <c r="Q87" s="97" t="str">
        <f>IF(P87="","",IF(ROUNDUP(RANK(P87,$P$87:$P$91)/ROUND((COUNT($P$87:$P$91)/2),0),0)=1,"Comprehensive","Core"))</f>
        <v/>
      </c>
      <c r="R87" s="97"/>
      <c r="S87" s="127"/>
      <c r="T87" s="39"/>
      <c r="U87" s="99"/>
      <c r="V87" s="35"/>
      <c r="W87" s="246"/>
      <c r="X87" s="246"/>
      <c r="Y87" s="246"/>
      <c r="Z87" s="246"/>
      <c r="AA87" s="246"/>
      <c r="AB87" s="246"/>
    </row>
    <row r="88" spans="1:28" ht="45" customHeight="1">
      <c r="F88" s="392"/>
      <c r="G88" s="388"/>
      <c r="H88" s="125">
        <v>24.2</v>
      </c>
      <c r="I88" s="125" t="s">
        <v>910</v>
      </c>
      <c r="J88" s="93" t="s">
        <v>1025</v>
      </c>
      <c r="K88" s="137">
        <v>2</v>
      </c>
      <c r="L88" s="95"/>
      <c r="M88" s="41"/>
      <c r="N88" s="97" t="str">
        <f>IF(OR(S88=$AD$12,S88=$AD$13),L88,"")</f>
        <v/>
      </c>
      <c r="O88" s="97" t="str">
        <f>IF(S88=$AD$14,L88,"")</f>
        <v/>
      </c>
      <c r="P88" s="97" t="str">
        <f t="shared" si="31"/>
        <v/>
      </c>
      <c r="Q88" s="97" t="str">
        <f t="shared" ref="Q88:Q91" si="32">IF(P88="","",IF(ROUNDUP(RANK(P88,$P$87:$P$91)/ROUND((COUNT($P$87:$P$91)/2),0),0)=1,"Comprehensive","Core"))</f>
        <v/>
      </c>
      <c r="R88" s="97"/>
      <c r="S88" s="127"/>
      <c r="T88" s="39"/>
      <c r="U88" s="99"/>
      <c r="V88" s="35"/>
      <c r="W88" s="246"/>
      <c r="X88" s="246"/>
      <c r="Y88" s="246"/>
      <c r="Z88" s="246"/>
      <c r="AA88" s="246"/>
      <c r="AB88" s="246"/>
    </row>
    <row r="89" spans="1:28" ht="45" customHeight="1">
      <c r="F89" s="392" t="s">
        <v>1026</v>
      </c>
      <c r="G89" s="388" t="s">
        <v>1027</v>
      </c>
      <c r="H89" s="125">
        <v>25.1</v>
      </c>
      <c r="I89" s="125" t="s">
        <v>920</v>
      </c>
      <c r="J89" s="93" t="s">
        <v>1028</v>
      </c>
      <c r="K89" s="137">
        <v>1</v>
      </c>
      <c r="L89" s="95"/>
      <c r="M89" s="41"/>
      <c r="N89" s="97" t="str">
        <f>IF(OR(S89=$AD$12,S89=$AD$13),L89,"")</f>
        <v/>
      </c>
      <c r="O89" s="97" t="str">
        <f>IF(S89=$AD$14,L89,"")</f>
        <v/>
      </c>
      <c r="P89" s="97" t="str">
        <f t="shared" si="31"/>
        <v/>
      </c>
      <c r="Q89" s="97" t="str">
        <f t="shared" si="32"/>
        <v/>
      </c>
      <c r="R89" s="97"/>
      <c r="S89" s="127"/>
      <c r="T89" s="39"/>
      <c r="U89" s="99"/>
      <c r="V89" s="35"/>
      <c r="W89" s="246"/>
      <c r="X89" s="246"/>
      <c r="Y89" s="246"/>
      <c r="Z89" s="246"/>
      <c r="AA89" s="246"/>
      <c r="AB89" s="246"/>
    </row>
    <row r="90" spans="1:28" ht="45" customHeight="1">
      <c r="A90" s="26">
        <v>1</v>
      </c>
      <c r="B90" s="26">
        <f>IF(C90=TRUE,A90,0)</f>
        <v>0</v>
      </c>
      <c r="C90" s="26" t="b">
        <v>0</v>
      </c>
      <c r="F90" s="392"/>
      <c r="G90" s="388"/>
      <c r="H90" s="125">
        <v>25.2</v>
      </c>
      <c r="I90" s="125" t="s">
        <v>901</v>
      </c>
      <c r="J90" s="93" t="s">
        <v>1029</v>
      </c>
      <c r="K90" s="137">
        <f>IF(C90=FALSE,A90,0)</f>
        <v>1</v>
      </c>
      <c r="L90" s="95"/>
      <c r="M90" s="41"/>
      <c r="N90" s="97" t="str">
        <f>IF(OR(S90=$AD$12,S90=$AD$13),L90,"")</f>
        <v/>
      </c>
      <c r="O90" s="97" t="str">
        <f>IF(S90=$AD$14,L90,"")</f>
        <v/>
      </c>
      <c r="P90" s="97" t="str">
        <f t="shared" si="31"/>
        <v/>
      </c>
      <c r="Q90" s="97" t="str">
        <f t="shared" si="32"/>
        <v/>
      </c>
      <c r="R90" s="97"/>
      <c r="S90" s="127"/>
      <c r="T90" s="39"/>
      <c r="U90" s="99"/>
      <c r="V90" s="35"/>
      <c r="W90" s="246"/>
      <c r="X90" s="246"/>
      <c r="Y90" s="246"/>
      <c r="Z90" s="246"/>
      <c r="AA90" s="246"/>
      <c r="AB90" s="246"/>
    </row>
    <row r="91" spans="1:28" ht="45" customHeight="1">
      <c r="F91" s="392"/>
      <c r="G91" s="388"/>
      <c r="H91" s="125">
        <v>25.3</v>
      </c>
      <c r="I91" s="125" t="s">
        <v>901</v>
      </c>
      <c r="J91" s="93" t="s">
        <v>1030</v>
      </c>
      <c r="K91" s="137">
        <v>1</v>
      </c>
      <c r="L91" s="95"/>
      <c r="M91" s="41"/>
      <c r="N91" s="97" t="str">
        <f>IF(OR(S91=$AD$12,S91=$AD$13),L91,"")</f>
        <v/>
      </c>
      <c r="O91" s="97" t="str">
        <f>IF(S91=$AD$14,L91,"")</f>
        <v/>
      </c>
      <c r="P91" s="97" t="str">
        <f t="shared" si="31"/>
        <v/>
      </c>
      <c r="Q91" s="97" t="str">
        <f t="shared" si="32"/>
        <v/>
      </c>
      <c r="R91" s="97"/>
      <c r="S91" s="127"/>
      <c r="T91" s="39"/>
      <c r="U91" s="99"/>
      <c r="V91" s="35"/>
      <c r="W91" s="246"/>
      <c r="X91" s="246"/>
      <c r="Y91" s="246"/>
      <c r="Z91" s="246"/>
      <c r="AA91" s="246"/>
      <c r="AB91" s="246"/>
    </row>
    <row r="92" spans="1:28" ht="45" customHeight="1">
      <c r="F92" s="83" t="s">
        <v>486</v>
      </c>
      <c r="G92" s="83"/>
      <c r="H92" s="83"/>
      <c r="I92" s="83"/>
      <c r="J92" s="83"/>
      <c r="K92" s="80">
        <f>SUM(K87:K91)</f>
        <v>6</v>
      </c>
      <c r="L92" s="138">
        <f>SUM(L87:L91)</f>
        <v>0</v>
      </c>
      <c r="M92" s="139"/>
      <c r="N92" s="138">
        <f t="shared" ref="N92:O92" si="33">SUM(N87:N91)</f>
        <v>0</v>
      </c>
      <c r="O92" s="80">
        <f t="shared" si="33"/>
        <v>0</v>
      </c>
      <c r="P92" s="104"/>
      <c r="Q92" s="70"/>
      <c r="R92" s="70"/>
      <c r="S92" s="116"/>
      <c r="T92" s="39"/>
      <c r="U92" s="54"/>
      <c r="V92" s="35"/>
      <c r="W92" s="39"/>
      <c r="X92" s="39"/>
      <c r="Y92" s="39"/>
      <c r="Z92" s="39"/>
      <c r="AA92" s="39"/>
      <c r="AB92" s="39"/>
    </row>
    <row r="93" spans="1:28" ht="45" customHeight="1">
      <c r="F93" s="109"/>
      <c r="G93" s="110"/>
      <c r="H93" s="111"/>
      <c r="I93" s="111"/>
      <c r="J93" s="110"/>
      <c r="K93" s="112"/>
      <c r="L93" s="113"/>
      <c r="M93" s="41"/>
      <c r="N93" s="114"/>
      <c r="O93" s="115"/>
      <c r="P93" s="115"/>
      <c r="Q93" s="112"/>
      <c r="R93" s="112"/>
      <c r="S93" s="116"/>
      <c r="T93" s="39"/>
      <c r="U93" s="54"/>
      <c r="V93" s="35"/>
      <c r="W93" s="39"/>
      <c r="X93" s="39"/>
      <c r="Y93" s="39"/>
      <c r="Z93" s="39"/>
      <c r="AA93" s="39"/>
      <c r="AB93" s="39"/>
    </row>
    <row r="94" spans="1:28" ht="45" customHeight="1">
      <c r="F94" s="25" t="s">
        <v>1031</v>
      </c>
      <c r="G94" s="117"/>
      <c r="H94" s="117"/>
      <c r="I94" s="117"/>
      <c r="J94" s="117"/>
      <c r="K94" s="117"/>
      <c r="L94" s="118"/>
      <c r="M94" s="41"/>
      <c r="N94" s="119"/>
      <c r="O94" s="119"/>
      <c r="P94" s="87"/>
      <c r="Q94" s="87" t="str">
        <f ca="1">CONCATENATE(COUNTIF(Q95:Q100,"Comprehensive")," Comprehensive",CHAR(10),COUNTIF(Q95:Q100,"Core")," Core")</f>
        <v>0 Comprehensive
0 Core</v>
      </c>
      <c r="R94" s="120"/>
      <c r="S94" s="121"/>
      <c r="T94" s="39"/>
      <c r="U94" s="122"/>
      <c r="V94" s="35"/>
      <c r="W94" s="245"/>
      <c r="X94" s="245"/>
      <c r="Y94" s="245"/>
      <c r="Z94" s="245"/>
      <c r="AA94" s="245"/>
      <c r="AB94" s="245"/>
    </row>
    <row r="95" spans="1:28" ht="45" customHeight="1">
      <c r="F95" s="392" t="s">
        <v>1032</v>
      </c>
      <c r="G95" s="393" t="s">
        <v>1033</v>
      </c>
      <c r="H95" s="125">
        <v>26.1</v>
      </c>
      <c r="I95" s="125" t="s">
        <v>920</v>
      </c>
      <c r="J95" s="93" t="s">
        <v>1034</v>
      </c>
      <c r="K95" s="137">
        <v>1</v>
      </c>
      <c r="L95" s="95"/>
      <c r="M95" s="41"/>
      <c r="N95" s="97" t="str">
        <f t="shared" ref="N95:N100" si="34">IF(OR(S95=$AD$12,S95=$AD$13),L95,"")</f>
        <v/>
      </c>
      <c r="O95" s="97" t="str">
        <f t="shared" ref="O95:O100" si="35">IF(S95=$AD$14,L95,"")</f>
        <v/>
      </c>
      <c r="P95" s="97" t="str">
        <f t="shared" ref="P95:P100" ca="1" si="36">IF(OR(AND(K95="-",L95&lt;&gt;""),C95=TRUE),1,IF(OR(L95="",L95=0),"",RAND()))</f>
        <v/>
      </c>
      <c r="Q95" s="97" t="str">
        <f ca="1">IF(P95="","",IF(ROUNDUP(RANK(P95,$P$95:$P$100)/ROUND((COUNT($P$95:$P$100)/2),0),0)=1,"Comprehensive","Core"))</f>
        <v/>
      </c>
      <c r="R95" s="97"/>
      <c r="S95" s="127"/>
      <c r="T95" s="39"/>
      <c r="U95" s="99"/>
      <c r="V95" s="35"/>
      <c r="W95" s="246"/>
      <c r="X95" s="246"/>
      <c r="Y95" s="246"/>
      <c r="Z95" s="246"/>
      <c r="AA95" s="246"/>
      <c r="AB95" s="246"/>
    </row>
    <row r="96" spans="1:28" ht="45" customHeight="1">
      <c r="F96" s="392"/>
      <c r="G96" s="393"/>
      <c r="H96" s="125">
        <v>26.2</v>
      </c>
      <c r="I96" s="125" t="s">
        <v>901</v>
      </c>
      <c r="J96" s="93" t="s">
        <v>1035</v>
      </c>
      <c r="K96" s="137">
        <v>1</v>
      </c>
      <c r="L96" s="95"/>
      <c r="M96" s="41"/>
      <c r="N96" s="97" t="str">
        <f t="shared" si="34"/>
        <v/>
      </c>
      <c r="O96" s="97" t="str">
        <f t="shared" si="35"/>
        <v/>
      </c>
      <c r="P96" s="97" t="str">
        <f t="shared" ca="1" si="36"/>
        <v/>
      </c>
      <c r="Q96" s="97" t="str">
        <f t="shared" ref="Q96:Q100" ca="1" si="37">IF(P96="","",IF(ROUNDUP(RANK(P96,$P$95:$P$100)/ROUND((COUNT($P$95:$P$100)/2),0),0)=1,"Comprehensive","Core"))</f>
        <v/>
      </c>
      <c r="R96" s="97"/>
      <c r="S96" s="127"/>
      <c r="T96" s="39"/>
      <c r="U96" s="99"/>
      <c r="V96" s="35"/>
      <c r="W96" s="246"/>
      <c r="X96" s="246"/>
      <c r="Y96" s="246"/>
      <c r="Z96" s="246"/>
      <c r="AA96" s="246"/>
      <c r="AB96" s="246"/>
    </row>
    <row r="97" spans="1:28" ht="45" customHeight="1">
      <c r="F97" s="392" t="s">
        <v>1036</v>
      </c>
      <c r="G97" s="393" t="s">
        <v>1037</v>
      </c>
      <c r="H97" s="125">
        <v>27.1</v>
      </c>
      <c r="I97" s="125" t="s">
        <v>901</v>
      </c>
      <c r="J97" s="93" t="s">
        <v>1038</v>
      </c>
      <c r="K97" s="137">
        <v>1</v>
      </c>
      <c r="L97" s="95"/>
      <c r="M97" s="41"/>
      <c r="N97" s="97" t="str">
        <f t="shared" si="34"/>
        <v/>
      </c>
      <c r="O97" s="97" t="str">
        <f t="shared" si="35"/>
        <v/>
      </c>
      <c r="P97" s="97" t="str">
        <f t="shared" ca="1" si="36"/>
        <v/>
      </c>
      <c r="Q97" s="97" t="str">
        <f t="shared" ca="1" si="37"/>
        <v/>
      </c>
      <c r="R97" s="97"/>
      <c r="S97" s="127"/>
      <c r="T97" s="39"/>
      <c r="U97" s="99"/>
      <c r="V97" s="35"/>
      <c r="W97" s="246"/>
      <c r="X97" s="246"/>
      <c r="Y97" s="246"/>
      <c r="Z97" s="246"/>
      <c r="AA97" s="246"/>
      <c r="AB97" s="246"/>
    </row>
    <row r="98" spans="1:28" ht="45" customHeight="1">
      <c r="A98" s="26">
        <v>1</v>
      </c>
      <c r="B98" s="26">
        <f>IF(C98=TRUE,A98,0)</f>
        <v>0</v>
      </c>
      <c r="C98" s="26" t="b">
        <v>0</v>
      </c>
      <c r="F98" s="392"/>
      <c r="G98" s="393"/>
      <c r="H98" s="125">
        <v>27.2</v>
      </c>
      <c r="I98" s="125" t="s">
        <v>901</v>
      </c>
      <c r="J98" s="93" t="s">
        <v>1039</v>
      </c>
      <c r="K98" s="137">
        <f>IF(C98=FALSE,A98,0)</f>
        <v>1</v>
      </c>
      <c r="L98" s="95"/>
      <c r="M98" s="41"/>
      <c r="N98" s="97" t="str">
        <f t="shared" si="34"/>
        <v/>
      </c>
      <c r="O98" s="97" t="str">
        <f t="shared" si="35"/>
        <v/>
      </c>
      <c r="P98" s="97" t="str">
        <f t="shared" ca="1" si="36"/>
        <v/>
      </c>
      <c r="Q98" s="97" t="str">
        <f t="shared" ca="1" si="37"/>
        <v/>
      </c>
      <c r="R98" s="97"/>
      <c r="S98" s="127"/>
      <c r="T98" s="39"/>
      <c r="U98" s="99"/>
      <c r="V98" s="35"/>
      <c r="W98" s="246"/>
      <c r="X98" s="246"/>
      <c r="Y98" s="246"/>
      <c r="Z98" s="246"/>
      <c r="AA98" s="246"/>
      <c r="AB98" s="246"/>
    </row>
    <row r="99" spans="1:28" ht="45" customHeight="1">
      <c r="F99" s="143" t="s">
        <v>1040</v>
      </c>
      <c r="G99" s="93" t="s">
        <v>1041</v>
      </c>
      <c r="H99" s="125">
        <v>28.1</v>
      </c>
      <c r="I99" s="125" t="s">
        <v>910</v>
      </c>
      <c r="J99" s="93" t="s">
        <v>1040</v>
      </c>
      <c r="K99" s="137">
        <v>1</v>
      </c>
      <c r="L99" s="95"/>
      <c r="M99" s="41"/>
      <c r="N99" s="97" t="str">
        <f t="shared" si="34"/>
        <v/>
      </c>
      <c r="O99" s="97" t="str">
        <f t="shared" si="35"/>
        <v/>
      </c>
      <c r="P99" s="97" t="str">
        <f t="shared" ca="1" si="36"/>
        <v/>
      </c>
      <c r="Q99" s="97" t="str">
        <f t="shared" ca="1" si="37"/>
        <v/>
      </c>
      <c r="R99" s="97"/>
      <c r="S99" s="127"/>
      <c r="T99" s="39"/>
      <c r="U99" s="99"/>
      <c r="V99" s="35"/>
      <c r="W99" s="246"/>
      <c r="X99" s="246"/>
      <c r="Y99" s="246"/>
      <c r="Z99" s="246"/>
      <c r="AA99" s="246"/>
      <c r="AB99" s="246"/>
    </row>
    <row r="100" spans="1:28" ht="45" customHeight="1">
      <c r="F100" s="143" t="s">
        <v>1042</v>
      </c>
      <c r="G100" s="93" t="s">
        <v>1043</v>
      </c>
      <c r="H100" s="125">
        <v>29.1</v>
      </c>
      <c r="I100" s="125" t="s">
        <v>901</v>
      </c>
      <c r="J100" s="93" t="s">
        <v>1042</v>
      </c>
      <c r="K100" s="137">
        <v>1</v>
      </c>
      <c r="L100" s="95"/>
      <c r="M100" s="41"/>
      <c r="N100" s="97" t="str">
        <f t="shared" si="34"/>
        <v/>
      </c>
      <c r="O100" s="97" t="str">
        <f t="shared" si="35"/>
        <v/>
      </c>
      <c r="P100" s="97" t="str">
        <f t="shared" ca="1" si="36"/>
        <v/>
      </c>
      <c r="Q100" s="97" t="str">
        <f t="shared" ca="1" si="37"/>
        <v/>
      </c>
      <c r="R100" s="97"/>
      <c r="S100" s="127"/>
      <c r="T100" s="39"/>
      <c r="U100" s="99"/>
      <c r="V100" s="35"/>
      <c r="W100" s="246"/>
      <c r="X100" s="246"/>
      <c r="Y100" s="246"/>
      <c r="Z100" s="246"/>
      <c r="AA100" s="246"/>
      <c r="AB100" s="246"/>
    </row>
    <row r="101" spans="1:28" ht="45" customHeight="1">
      <c r="F101" s="83" t="s">
        <v>486</v>
      </c>
      <c r="G101" s="83"/>
      <c r="H101" s="83"/>
      <c r="I101" s="83"/>
      <c r="J101" s="83"/>
      <c r="K101" s="80">
        <f>SUM(K95:K100)</f>
        <v>6</v>
      </c>
      <c r="L101" s="138">
        <f>SUM(L95:L100)</f>
        <v>0</v>
      </c>
      <c r="M101" s="139"/>
      <c r="N101" s="138">
        <f t="shared" ref="N101:O101" si="38">SUM(N95:N100)</f>
        <v>0</v>
      </c>
      <c r="O101" s="80">
        <f t="shared" si="38"/>
        <v>0</v>
      </c>
      <c r="P101" s="104"/>
      <c r="Q101" s="70"/>
      <c r="R101" s="70"/>
      <c r="S101" s="116"/>
      <c r="T101" s="39"/>
      <c r="U101" s="54"/>
      <c r="V101" s="35"/>
      <c r="W101" s="39"/>
      <c r="X101" s="39"/>
      <c r="Y101" s="39"/>
      <c r="Z101" s="39"/>
      <c r="AA101" s="39"/>
      <c r="AB101" s="39"/>
    </row>
    <row r="102" spans="1:28" ht="45" customHeight="1">
      <c r="F102" s="109"/>
      <c r="G102" s="110"/>
      <c r="H102" s="111"/>
      <c r="I102" s="111"/>
      <c r="J102" s="110"/>
      <c r="K102" s="112"/>
      <c r="L102" s="113"/>
      <c r="M102" s="41"/>
      <c r="N102" s="114"/>
      <c r="O102" s="115"/>
      <c r="P102" s="115"/>
      <c r="Q102" s="112"/>
      <c r="R102" s="112"/>
      <c r="S102" s="116"/>
      <c r="T102" s="39"/>
      <c r="U102" s="54"/>
      <c r="V102" s="35"/>
      <c r="W102" s="39"/>
      <c r="X102" s="39"/>
      <c r="Y102" s="39"/>
      <c r="Z102" s="39"/>
      <c r="AA102" s="39"/>
      <c r="AB102" s="39"/>
    </row>
    <row r="103" spans="1:28" ht="45" customHeight="1">
      <c r="F103" s="25" t="s">
        <v>1044</v>
      </c>
      <c r="G103" s="117"/>
      <c r="H103" s="117"/>
      <c r="I103" s="117"/>
      <c r="J103" s="117"/>
      <c r="K103" s="117"/>
      <c r="L103" s="118"/>
      <c r="M103" s="41"/>
      <c r="N103" s="119"/>
      <c r="O103" s="119"/>
      <c r="P103" s="87"/>
      <c r="Q103" s="87" t="str">
        <f>CONCATENATE(COUNTIF(Q104:Q108,"Comprehensive")," Comprehensive",CHAR(10),COUNTIF(Q104:Q108,"Core")," Core")</f>
        <v>0 Comprehensive
0 Core</v>
      </c>
      <c r="R103" s="120"/>
      <c r="S103" s="121"/>
      <c r="T103" s="39"/>
      <c r="U103" s="122"/>
      <c r="V103" s="35"/>
      <c r="W103" s="245"/>
      <c r="X103" s="245"/>
      <c r="Y103" s="245"/>
      <c r="Z103" s="245"/>
      <c r="AA103" s="245"/>
      <c r="AB103" s="245"/>
    </row>
    <row r="104" spans="1:28" ht="45" customHeight="1">
      <c r="F104" s="400" t="s">
        <v>1044</v>
      </c>
      <c r="G104" s="401" t="s">
        <v>1045</v>
      </c>
      <c r="H104" s="123" t="s">
        <v>1046</v>
      </c>
      <c r="I104" s="123" t="s">
        <v>1047</v>
      </c>
      <c r="J104" s="93" t="s">
        <v>1048</v>
      </c>
      <c r="K104" s="389">
        <v>10</v>
      </c>
      <c r="L104" s="95"/>
      <c r="M104" s="41"/>
      <c r="N104" s="97" t="str">
        <f>IF(OR(S104=$AD$12,S104=$AD$13),L104,"")</f>
        <v/>
      </c>
      <c r="O104" s="97" t="str">
        <f>IF(S104=$AD$14,L104,"")</f>
        <v/>
      </c>
      <c r="P104" s="97" t="str">
        <f t="shared" ref="P104:P108" si="39">IF(L104="","",1)</f>
        <v/>
      </c>
      <c r="Q104" s="97" t="str">
        <f>IF(P104="","",IF(ROUNDUP(RANK(P104,$P$104:$P$108)/ROUND((COUNT($P$104:$P$108)/2),0),0)=1,"Comprehensive","Core"))</f>
        <v/>
      </c>
      <c r="R104" s="97"/>
      <c r="S104" s="127"/>
      <c r="T104" s="39"/>
      <c r="U104" s="99"/>
      <c r="V104" s="35"/>
      <c r="W104" s="246"/>
      <c r="X104" s="246"/>
      <c r="Y104" s="246"/>
      <c r="Z104" s="246"/>
      <c r="AA104" s="246"/>
      <c r="AB104" s="246"/>
    </row>
    <row r="105" spans="1:28" ht="45" customHeight="1">
      <c r="F105" s="400"/>
      <c r="G105" s="402"/>
      <c r="H105" s="123" t="s">
        <v>1049</v>
      </c>
      <c r="I105" s="123" t="s">
        <v>1047</v>
      </c>
      <c r="J105" s="93" t="s">
        <v>1050</v>
      </c>
      <c r="K105" s="390"/>
      <c r="L105" s="95"/>
      <c r="M105" s="41"/>
      <c r="N105" s="97" t="str">
        <f>IF(OR(S105=$AD$12,S105=$AD$13),L105,"")</f>
        <v/>
      </c>
      <c r="O105" s="97" t="str">
        <f>IF(S105=$AD$14,L105,"")</f>
        <v/>
      </c>
      <c r="P105" s="97" t="str">
        <f t="shared" si="39"/>
        <v/>
      </c>
      <c r="Q105" s="97" t="str">
        <f t="shared" ref="Q105:Q108" si="40">IF(P105="","",IF(ROUNDUP(RANK(P105,$P$104:$P$108)/ROUND((COUNT($P$104:$P$108)/2),0),0)=1,"Comprehensive","Core"))</f>
        <v/>
      </c>
      <c r="R105" s="97"/>
      <c r="S105" s="127"/>
      <c r="T105" s="39"/>
      <c r="U105" s="99"/>
      <c r="V105" s="35"/>
      <c r="W105" s="246"/>
      <c r="X105" s="246"/>
      <c r="Y105" s="246"/>
      <c r="Z105" s="246"/>
      <c r="AA105" s="246"/>
      <c r="AB105" s="246"/>
    </row>
    <row r="106" spans="1:28" ht="45" customHeight="1">
      <c r="F106" s="400"/>
      <c r="G106" s="402"/>
      <c r="H106" s="123" t="s">
        <v>1051</v>
      </c>
      <c r="I106" s="123" t="s">
        <v>1047</v>
      </c>
      <c r="J106" s="93" t="s">
        <v>1052</v>
      </c>
      <c r="K106" s="390"/>
      <c r="L106" s="95"/>
      <c r="M106" s="41"/>
      <c r="N106" s="97" t="str">
        <f>IF(OR(S106=$AD$12,S106=$AD$13),L106,"")</f>
        <v/>
      </c>
      <c r="O106" s="97" t="str">
        <f>IF(S106=$AD$14,L106,"")</f>
        <v/>
      </c>
      <c r="P106" s="97" t="str">
        <f t="shared" si="39"/>
        <v/>
      </c>
      <c r="Q106" s="97" t="str">
        <f t="shared" si="40"/>
        <v/>
      </c>
      <c r="R106" s="97"/>
      <c r="S106" s="127"/>
      <c r="T106" s="39"/>
      <c r="U106" s="99"/>
      <c r="V106" s="35"/>
      <c r="W106" s="246"/>
      <c r="X106" s="246"/>
      <c r="Y106" s="246"/>
      <c r="Z106" s="246"/>
      <c r="AA106" s="246"/>
      <c r="AB106" s="246"/>
    </row>
    <row r="107" spans="1:28" ht="45" customHeight="1">
      <c r="F107" s="400"/>
      <c r="G107" s="402"/>
      <c r="H107" s="123" t="s">
        <v>1053</v>
      </c>
      <c r="I107" s="123" t="s">
        <v>1047</v>
      </c>
      <c r="J107" s="93" t="s">
        <v>1054</v>
      </c>
      <c r="K107" s="390"/>
      <c r="L107" s="95"/>
      <c r="M107" s="41"/>
      <c r="N107" s="97" t="str">
        <f>IF(OR(S107=$AD$12,S107=$AD$13),L107,"")</f>
        <v/>
      </c>
      <c r="O107" s="97" t="str">
        <f>IF(S107=$AD$14,L107,"")</f>
        <v/>
      </c>
      <c r="P107" s="97" t="str">
        <f t="shared" si="39"/>
        <v/>
      </c>
      <c r="Q107" s="97" t="str">
        <f t="shared" si="40"/>
        <v/>
      </c>
      <c r="R107" s="97"/>
      <c r="S107" s="127"/>
      <c r="T107" s="39"/>
      <c r="U107" s="99"/>
      <c r="V107" s="35"/>
      <c r="W107" s="246"/>
      <c r="X107" s="246"/>
      <c r="Y107" s="246"/>
      <c r="Z107" s="246"/>
      <c r="AA107" s="246"/>
      <c r="AB107" s="246"/>
    </row>
    <row r="108" spans="1:28" ht="45" customHeight="1">
      <c r="F108" s="400"/>
      <c r="G108" s="403"/>
      <c r="H108" s="123" t="s">
        <v>1055</v>
      </c>
      <c r="I108" s="123" t="s">
        <v>1047</v>
      </c>
      <c r="J108" s="93" t="s">
        <v>1056</v>
      </c>
      <c r="K108" s="391"/>
      <c r="L108" s="95"/>
      <c r="M108" s="41"/>
      <c r="N108" s="97" t="str">
        <f>IF(OR(S108=$AD$12,S108=$AD$13),L108,"")</f>
        <v/>
      </c>
      <c r="O108" s="97" t="str">
        <f>IF(S108=$AD$14,L108,"")</f>
        <v/>
      </c>
      <c r="P108" s="97" t="str">
        <f t="shared" si="39"/>
        <v/>
      </c>
      <c r="Q108" s="97" t="str">
        <f t="shared" si="40"/>
        <v/>
      </c>
      <c r="R108" s="97"/>
      <c r="S108" s="127"/>
      <c r="T108" s="39"/>
      <c r="U108" s="99"/>
      <c r="V108" s="35"/>
      <c r="W108" s="246"/>
      <c r="X108" s="246"/>
      <c r="Y108" s="246"/>
      <c r="Z108" s="246"/>
      <c r="AA108" s="246"/>
      <c r="AB108" s="246"/>
    </row>
    <row r="109" spans="1:28" ht="45" customHeight="1">
      <c r="F109" s="83" t="s">
        <v>486</v>
      </c>
      <c r="G109" s="83"/>
      <c r="H109" s="83"/>
      <c r="I109" s="83"/>
      <c r="J109" s="83"/>
      <c r="K109" s="80">
        <v>10</v>
      </c>
      <c r="L109" s="80">
        <f>IF(SUM(L104:L108)&gt;10,10,SUM(L104:L108))</f>
        <v>0</v>
      </c>
      <c r="M109" s="139"/>
      <c r="N109" s="80">
        <f t="shared" ref="N109:O109" si="41">IF(SUM(N104:N108)&gt;10,10,SUM(N104:N108))</f>
        <v>0</v>
      </c>
      <c r="O109" s="80">
        <f t="shared" si="41"/>
        <v>0</v>
      </c>
      <c r="P109" s="104"/>
      <c r="Q109" s="144"/>
      <c r="R109" s="144"/>
      <c r="S109" s="107"/>
      <c r="T109" s="39"/>
      <c r="U109" s="54"/>
      <c r="V109" s="35"/>
      <c r="W109" s="35"/>
      <c r="X109" s="35"/>
      <c r="Y109" s="35"/>
      <c r="Z109" s="35"/>
      <c r="AA109" s="35"/>
      <c r="AB109" s="35"/>
    </row>
    <row r="110" spans="1:28" ht="45" customHeight="1">
      <c r="F110" s="145"/>
      <c r="G110" s="145"/>
      <c r="H110" s="115"/>
      <c r="I110" s="115"/>
      <c r="J110" s="145"/>
      <c r="K110" s="115"/>
      <c r="L110" s="107"/>
      <c r="M110" s="39"/>
      <c r="N110" s="115"/>
      <c r="O110" s="115"/>
      <c r="P110" s="115"/>
      <c r="Q110" s="115"/>
      <c r="R110" s="107"/>
      <c r="S110" s="107"/>
      <c r="T110" s="146"/>
      <c r="U110" s="54"/>
    </row>
    <row r="111" spans="1:28" ht="45" customHeight="1">
      <c r="B111" s="20" t="s">
        <v>1057</v>
      </c>
      <c r="F111" s="147"/>
      <c r="G111" s="148"/>
      <c r="H111" s="149"/>
      <c r="I111" s="149"/>
      <c r="J111" s="100" t="s">
        <v>440</v>
      </c>
      <c r="K111" s="80" t="s">
        <v>1058</v>
      </c>
      <c r="L111" s="80" t="s">
        <v>1059</v>
      </c>
      <c r="M111" s="106"/>
      <c r="N111" s="80" t="s">
        <v>1060</v>
      </c>
      <c r="O111" s="80" t="s">
        <v>1061</v>
      </c>
      <c r="P111" s="144"/>
      <c r="Q111" s="144"/>
      <c r="R111" s="107"/>
      <c r="S111" s="107"/>
      <c r="T111" s="39"/>
      <c r="U111" s="54"/>
      <c r="V111" s="47"/>
      <c r="W111" s="47"/>
      <c r="X111" s="47"/>
      <c r="Y111" s="47"/>
      <c r="Z111" s="47"/>
      <c r="AA111" s="47"/>
      <c r="AB111" s="47"/>
    </row>
    <row r="112" spans="1:28" ht="45" customHeight="1">
      <c r="B112" s="20">
        <f>SUM(B30:B100)</f>
        <v>2</v>
      </c>
      <c r="F112" s="147"/>
      <c r="G112" s="148"/>
      <c r="H112" s="149"/>
      <c r="I112" s="149"/>
      <c r="J112" s="83" t="s">
        <v>1062</v>
      </c>
      <c r="K112" s="150">
        <f>100-B112</f>
        <v>98</v>
      </c>
      <c r="L112" s="151">
        <f>L27+L46+L56+L65+L74+L84+L92+L101</f>
        <v>0</v>
      </c>
      <c r="M112" s="112"/>
      <c r="N112" s="151">
        <f>((N27+N46+N56+N65+N74+N84+N92+N101)/$K$112)*100+N109</f>
        <v>0</v>
      </c>
      <c r="O112" s="151">
        <f>(O27+O46+O56+O65+O74+O84+O92+O101)/$K$112*100+O109</f>
        <v>0</v>
      </c>
      <c r="P112" s="56"/>
      <c r="Q112" s="56"/>
      <c r="R112" s="107"/>
      <c r="S112" s="107"/>
      <c r="T112" s="39"/>
      <c r="U112" s="54"/>
      <c r="V112" s="47"/>
      <c r="W112" s="47"/>
      <c r="X112" s="47"/>
      <c r="Y112" s="47"/>
      <c r="Z112" s="47"/>
      <c r="AA112" s="47"/>
      <c r="AB112" s="47"/>
    </row>
    <row r="113" spans="6:28" ht="45" customHeight="1">
      <c r="F113" s="109"/>
      <c r="G113" s="109"/>
      <c r="H113" s="115"/>
      <c r="I113" s="115"/>
      <c r="J113" s="83" t="s">
        <v>1063</v>
      </c>
      <c r="K113" s="152"/>
      <c r="L113" s="153">
        <f>(L112/K112)*100</f>
        <v>0</v>
      </c>
      <c r="M113" s="48"/>
      <c r="N113" s="112"/>
      <c r="O113" s="404"/>
      <c r="P113" s="70"/>
      <c r="Q113" s="70"/>
      <c r="R113" s="107"/>
      <c r="S113" s="107"/>
      <c r="T113" s="154"/>
      <c r="U113" s="155"/>
      <c r="V113" s="35"/>
      <c r="W113" s="35"/>
      <c r="X113" s="35"/>
      <c r="Y113" s="35"/>
      <c r="Z113" s="35"/>
      <c r="AA113" s="35"/>
      <c r="AB113" s="35"/>
    </row>
    <row r="114" spans="6:28" ht="45" customHeight="1">
      <c r="F114" s="109"/>
      <c r="G114" s="109"/>
      <c r="H114" s="115"/>
      <c r="I114" s="115"/>
      <c r="J114" s="83" t="s">
        <v>1064</v>
      </c>
      <c r="K114" s="150">
        <v>10</v>
      </c>
      <c r="L114" s="151">
        <f>L109</f>
        <v>0</v>
      </c>
      <c r="M114" s="48"/>
      <c r="N114" s="112"/>
      <c r="O114" s="404"/>
      <c r="P114" s="70"/>
      <c r="Q114" s="70"/>
      <c r="R114" s="48"/>
      <c r="S114" s="48"/>
      <c r="T114" s="154"/>
      <c r="U114" s="155"/>
      <c r="V114" s="35"/>
      <c r="W114" s="35"/>
      <c r="X114" s="35"/>
      <c r="Y114" s="35"/>
      <c r="Z114" s="35"/>
      <c r="AA114" s="35"/>
      <c r="AB114" s="35"/>
    </row>
    <row r="115" spans="6:28" ht="45" customHeight="1">
      <c r="F115" s="145"/>
      <c r="G115" s="145"/>
      <c r="H115" s="115"/>
      <c r="I115" s="115"/>
      <c r="J115" s="83" t="s">
        <v>1065</v>
      </c>
      <c r="K115" s="156"/>
      <c r="L115" s="153">
        <f>L113+L114</f>
        <v>0</v>
      </c>
      <c r="M115" s="146"/>
      <c r="N115" s="115"/>
      <c r="O115" s="115"/>
      <c r="P115" s="115"/>
      <c r="Q115" s="115"/>
      <c r="R115" s="107"/>
      <c r="S115" s="107"/>
      <c r="T115" s="146"/>
      <c r="U115" s="54"/>
    </row>
    <row r="116" spans="6:28">
      <c r="R116" s="34"/>
    </row>
    <row r="117" spans="6:28">
      <c r="P117" s="59"/>
      <c r="Q117" s="445" t="s">
        <v>440</v>
      </c>
      <c r="R117" s="60"/>
    </row>
    <row r="118" spans="6:28" ht="45" customHeight="1">
      <c r="P118" s="59"/>
      <c r="Q118" s="61" t="s">
        <v>442</v>
      </c>
      <c r="R118" s="62" t="s">
        <v>444</v>
      </c>
    </row>
    <row r="119" spans="6:28" ht="45" customHeight="1">
      <c r="P119" s="62" t="s">
        <v>446</v>
      </c>
      <c r="Q119" s="61">
        <f ca="1">COUNTIF($Q$11:$Q$100,"Core")</f>
        <v>0</v>
      </c>
      <c r="R119" s="61">
        <f>COUNTIF($R$11:$R$100,"Core")</f>
        <v>0</v>
      </c>
    </row>
    <row r="120" spans="6:28" ht="45" customHeight="1">
      <c r="P120" s="62" t="s">
        <v>452</v>
      </c>
      <c r="Q120" s="61">
        <f ca="1">COUNTIF($Q$11:$Q$100,"Comprehensive")</f>
        <v>2</v>
      </c>
      <c r="R120" s="61">
        <f>COUNTIF($R$11:$R$100,"Comprehensive")</f>
        <v>0</v>
      </c>
    </row>
    <row r="121" spans="6:28" ht="45" customHeight="1">
      <c r="P121" s="63"/>
      <c r="Q121" s="64"/>
      <c r="R121" s="64"/>
    </row>
    <row r="122" spans="6:28" ht="45" customHeight="1">
      <c r="P122" s="65" t="s">
        <v>458</v>
      </c>
      <c r="Q122" s="61">
        <f>COUNTA($S$11:$S$100)</f>
        <v>0</v>
      </c>
      <c r="R122" s="63"/>
    </row>
    <row r="123" spans="6:28" ht="26.45">
      <c r="P123" s="65" t="s">
        <v>462</v>
      </c>
      <c r="Q123" s="61">
        <f>COUNTIF($S$11:$S$100,"Not Awarded - Major Non-compliance")</f>
        <v>0</v>
      </c>
      <c r="R123" s="66"/>
    </row>
    <row r="124" spans="6:28" ht="38.25" customHeight="1">
      <c r="P124" s="62" t="s">
        <v>466</v>
      </c>
      <c r="Q124" s="61">
        <f ca="1">COUNTIFS($Q$11:$Q$100,"Core",$R$11:$R$100,"Comprehensive")</f>
        <v>0</v>
      </c>
      <c r="R124" s="67"/>
      <c r="S124"/>
      <c r="T124"/>
    </row>
    <row r="125" spans="6:28" ht="38.25" customHeight="1">
      <c r="O125"/>
      <c r="P125" s="68" t="s">
        <v>471</v>
      </c>
      <c r="Q125" s="68" t="str">
        <f ca="1">IF(OR(Q122&lt;&gt;SUM(R119:R120),SUM(R119:R120)&lt;&gt;SUM(Q119:Q120)),"Complete the Staged Assessment",IF(AND(Q123&gt;=(Q122*0.5),Q124=0),"Assess Core as Comprehensive","Assessment Complete"))</f>
        <v>Complete the Staged Assessment</v>
      </c>
      <c r="R125" s="63"/>
      <c r="S125"/>
      <c r="T125"/>
    </row>
    <row r="126" spans="6:28" ht="38.25" customHeight="1">
      <c r="O126"/>
      <c r="P126"/>
      <c r="Q126"/>
      <c r="R126"/>
      <c r="S126"/>
      <c r="T126"/>
    </row>
    <row r="127" spans="6:28" ht="38.25" customHeight="1">
      <c r="O127"/>
      <c r="P127"/>
      <c r="Q127"/>
      <c r="R127"/>
      <c r="S127"/>
      <c r="T127"/>
    </row>
    <row r="128" spans="6:28" ht="38.25" customHeight="1">
      <c r="O128"/>
      <c r="P128"/>
      <c r="Q128"/>
      <c r="R128"/>
      <c r="S128"/>
      <c r="T128"/>
    </row>
    <row r="129" spans="15:20" ht="38.25" customHeight="1">
      <c r="O129"/>
      <c r="P129"/>
      <c r="Q129"/>
      <c r="R129"/>
      <c r="S129"/>
      <c r="T129"/>
    </row>
  </sheetData>
  <sheetProtection algorithmName="SHA-512" hashValue="ZduiNcg5W+a6ltFxgIXj54Y2UcTRf6zdfOE3p5tN18T9BpHPlJOiPN1IXyFLk56KcBzEmoGntvCb0xq1s2Eb/A==" saltValue="rR2hMB1V8XZQ0CL1SrtqfA==" spinCount="100000" sheet="1" objects="1" scenarios="1"/>
  <dataConsolidate/>
  <customSheetViews>
    <customSheetView guid="{E345A537-ABE6-4DCD-97C2-C197481B2A31}" scale="70" showGridLines="0" fitToPage="1" hiddenColumns="1" topLeftCell="D1">
      <pane ySplit="9" topLeftCell="A10" activePane="bottomLeft" state="frozen"/>
      <selection pane="bottomLeft" activeCell="L11" sqref="L11"/>
      <pageMargins left="0" right="0" top="0" bottom="0" header="0" footer="0"/>
      <pageSetup paperSize="9" scale="15" orientation="portrait" horizontalDpi="1200" verticalDpi="1200" r:id="rId1"/>
    </customSheetView>
  </customSheetViews>
  <mergeCells count="58">
    <mergeCell ref="F77:F79"/>
    <mergeCell ref="G77:G79"/>
    <mergeCell ref="F80:F81"/>
    <mergeCell ref="G80:G81"/>
    <mergeCell ref="F82:F83"/>
    <mergeCell ref="G82:G83"/>
    <mergeCell ref="O113:O114"/>
    <mergeCell ref="F87:F88"/>
    <mergeCell ref="G87:G88"/>
    <mergeCell ref="F89:F91"/>
    <mergeCell ref="G89:G91"/>
    <mergeCell ref="F95:F96"/>
    <mergeCell ref="G95:G96"/>
    <mergeCell ref="F97:F98"/>
    <mergeCell ref="G97:G98"/>
    <mergeCell ref="F104:F108"/>
    <mergeCell ref="G104:G108"/>
    <mergeCell ref="K104:K108"/>
    <mergeCell ref="F72:F73"/>
    <mergeCell ref="G72:G73"/>
    <mergeCell ref="F49:F52"/>
    <mergeCell ref="G49:G52"/>
    <mergeCell ref="F53:F55"/>
    <mergeCell ref="G53:G55"/>
    <mergeCell ref="F59:F62"/>
    <mergeCell ref="G59:G62"/>
    <mergeCell ref="F63:F64"/>
    <mergeCell ref="G63:G64"/>
    <mergeCell ref="F68:F71"/>
    <mergeCell ref="F39:F42"/>
    <mergeCell ref="G39:G42"/>
    <mergeCell ref="F44:F45"/>
    <mergeCell ref="G44:G45"/>
    <mergeCell ref="G68:G71"/>
    <mergeCell ref="F33:F34"/>
    <mergeCell ref="G33:G34"/>
    <mergeCell ref="F35:F36"/>
    <mergeCell ref="G35:G36"/>
    <mergeCell ref="F37:F38"/>
    <mergeCell ref="G37:G38"/>
    <mergeCell ref="F21:F23"/>
    <mergeCell ref="G21:G23"/>
    <mergeCell ref="F24:F26"/>
    <mergeCell ref="G24:G26"/>
    <mergeCell ref="F30:F32"/>
    <mergeCell ref="G30:G32"/>
    <mergeCell ref="F14:F15"/>
    <mergeCell ref="G14:G15"/>
    <mergeCell ref="F16:F17"/>
    <mergeCell ref="G16:G17"/>
    <mergeCell ref="F18:F20"/>
    <mergeCell ref="G18:G20"/>
    <mergeCell ref="W8:Y8"/>
    <mergeCell ref="W5:Y6"/>
    <mergeCell ref="W7:Y7"/>
    <mergeCell ref="F1:J1"/>
    <mergeCell ref="F12:F13"/>
    <mergeCell ref="G12:G13"/>
  </mergeCells>
  <conditionalFormatting sqref="F72:G73">
    <cfRule type="expression" dxfId="74" priority="1">
      <formula>$C$72=TRUE</formula>
    </cfRule>
  </conditionalFormatting>
  <conditionalFormatting sqref="G7">
    <cfRule type="expression" dxfId="73" priority="2">
      <formula>$G$7=$AD$6</formula>
    </cfRule>
  </conditionalFormatting>
  <conditionalFormatting sqref="H11:L108">
    <cfRule type="expression" dxfId="72" priority="21">
      <formula>$C11=TRUE</formula>
    </cfRule>
  </conditionalFormatting>
  <conditionalFormatting sqref="H39:L40 N39:S40 U39:U40">
    <cfRule type="expression" dxfId="71" priority="23">
      <formula>$G$39&lt;&gt;$AD$39</formula>
    </cfRule>
  </conditionalFormatting>
  <conditionalFormatting sqref="H41:L42 N41:S42 U41:U42">
    <cfRule type="expression" dxfId="70" priority="24">
      <formula>$G$39&lt;&gt;$AD$40</formula>
    </cfRule>
  </conditionalFormatting>
  <conditionalFormatting sqref="H49:L49 N49:S49 U49">
    <cfRule type="expression" dxfId="69" priority="25">
      <formula>$G$49&lt;&gt;$AD$49</formula>
    </cfRule>
  </conditionalFormatting>
  <conditionalFormatting sqref="H50:L50 N50:S50 U50">
    <cfRule type="expression" dxfId="68" priority="26">
      <formula>$G$49&lt;&gt;$AD$50</formula>
    </cfRule>
  </conditionalFormatting>
  <conditionalFormatting sqref="H51:L51 N51:S51 U51">
    <cfRule type="expression" dxfId="67" priority="27">
      <formula>$G$49&lt;&gt;$AD$51</formula>
    </cfRule>
  </conditionalFormatting>
  <conditionalFormatting sqref="H52:L52 N52:S52 U52">
    <cfRule type="expression" dxfId="66" priority="28">
      <formula>$G$49&lt;&gt;$AD$52</formula>
    </cfRule>
  </conditionalFormatting>
  <conditionalFormatting sqref="H53:L53 N53:S53 U53">
    <cfRule type="expression" dxfId="65" priority="30">
      <formula>$G$53&lt;&gt;$AD$53</formula>
    </cfRule>
  </conditionalFormatting>
  <conditionalFormatting sqref="H54:L54 N54:S54 U54">
    <cfRule type="expression" dxfId="64" priority="31">
      <formula>$G$53&lt;&gt;$AD$54</formula>
    </cfRule>
  </conditionalFormatting>
  <conditionalFormatting sqref="H55:L55 N55:S55 U55">
    <cfRule type="expression" dxfId="63" priority="32">
      <formula>$G$53&lt;&gt;$AD$55</formula>
    </cfRule>
  </conditionalFormatting>
  <conditionalFormatting sqref="H68:L68 N68:S68 U68">
    <cfRule type="expression" dxfId="62" priority="33">
      <formula>$G$68&lt;&gt;$AD$68</formula>
    </cfRule>
  </conditionalFormatting>
  <conditionalFormatting sqref="H69:L69 N69:S69 U69">
    <cfRule type="expression" dxfId="61" priority="34">
      <formula>$G$68&lt;&gt;$AD$69</formula>
    </cfRule>
  </conditionalFormatting>
  <conditionalFormatting sqref="H70:L70 N70:S70 U70">
    <cfRule type="expression" dxfId="60" priority="35">
      <formula>$G$68&lt;&gt;$AD$70</formula>
    </cfRule>
  </conditionalFormatting>
  <conditionalFormatting sqref="H71:L71 N71:S71 U71">
    <cfRule type="expression" dxfId="59" priority="36">
      <formula>$G$68&lt;&gt;$AD$71</formula>
    </cfRule>
  </conditionalFormatting>
  <conditionalFormatting sqref="L4">
    <cfRule type="expression" dxfId="58" priority="3">
      <formula>$G$2="verified"</formula>
    </cfRule>
    <cfRule type="expression" dxfId="57" priority="16">
      <formula>OR(AI52="No",AI71="No")</formula>
    </cfRule>
  </conditionalFormatting>
  <conditionalFormatting sqref="L49:L52">
    <cfRule type="expression" dxfId="56" priority="9">
      <formula>$G$2="verified"</formula>
    </cfRule>
    <cfRule type="expression" dxfId="55" priority="17">
      <formula>AND($G$49=$AD49,$AI$52="No")</formula>
    </cfRule>
  </conditionalFormatting>
  <conditionalFormatting sqref="L68:L71">
    <cfRule type="expression" dxfId="54" priority="10">
      <formula>$G$2="verified"</formula>
    </cfRule>
    <cfRule type="expression" dxfId="53" priority="18">
      <formula>$AI$71="no"</formula>
    </cfRule>
  </conditionalFormatting>
  <conditionalFormatting sqref="U11:U108">
    <cfRule type="expression" dxfId="52" priority="247">
      <formula>$S11=$AD$14</formula>
    </cfRule>
  </conditionalFormatting>
  <conditionalFormatting sqref="W11:AB108">
    <cfRule type="expression" dxfId="51" priority="248">
      <formula>$S11=$AD$14</formula>
    </cfRule>
  </conditionalFormatting>
  <dataValidations count="9">
    <dataValidation type="list" allowBlank="1" showInputMessage="1" showErrorMessage="1" sqref="R11:R26 R104:R108 R95:R100 R87:R91 R77:R83 R68:R73 R59:R64 R49:R55 R30:R45" xr:uid="{00000000-0002-0000-0500-000000000000}">
      <formula1>$AE$18:$AE$19</formula1>
    </dataValidation>
    <dataValidation type="list" allowBlank="1" showInputMessage="1" showErrorMessage="1" promptTitle="Selection Required" prompt="Please select the project's desired pathway." sqref="G53:G55" xr:uid="{00000000-0002-0000-0500-000001000000}">
      <formula1>$AD$53:$AD$55</formula1>
    </dataValidation>
    <dataValidation type="list" allowBlank="1" showInputMessage="1" showErrorMessage="1" sqref="W11:W26 W30:W45 W49:W55 W59:W64 W68:W73 W77:W83 W87:W91 W95:W100 W104:W108" xr:uid="{00000000-0002-0000-0500-000002000000}">
      <formula1>$AF$18:$AF$20</formula1>
    </dataValidation>
    <dataValidation type="list" allowBlank="1" showInputMessage="1" showErrorMessage="1" promptTitle="Selection Required" prompt="Please select the project's desired pathway." sqref="G68:G71" xr:uid="{00000000-0002-0000-0500-000003000000}">
      <formula1>$AD$68:$AD$71</formula1>
    </dataValidation>
    <dataValidation type="list" allowBlank="1" showInputMessage="1" showErrorMessage="1" promptTitle="Selection Required" prompt="Please select the project's desired pathway." sqref="G39:G42" xr:uid="{00000000-0002-0000-0500-000004000000}">
      <formula1>$AD$39:$AD$40</formula1>
    </dataValidation>
    <dataValidation type="list" allowBlank="1" showInputMessage="1" showErrorMessage="1" promptTitle="Selection Required" prompt="Please select the project's desired pathway." sqref="G49:G52" xr:uid="{00000000-0002-0000-0500-000005000000}">
      <formula1>$AD$49:$AD$52</formula1>
    </dataValidation>
    <dataValidation type="decimal" operator="lessThanOrEqual" allowBlank="1" showInputMessage="1" showErrorMessage="1" sqref="L11:L26 L95:L100 L87:L91 L77:L83 L49:L55 L59:L64 L104:L108 L30:L45 L68:L73" xr:uid="{00000000-0002-0000-0500-000006000000}">
      <formula1>K11</formula1>
    </dataValidation>
    <dataValidation type="list" allowBlank="1" showInputMessage="1" showErrorMessage="1" sqref="G7" xr:uid="{00000000-0002-0000-0500-000007000000}">
      <formula1>$AD$6:$AD$8</formula1>
    </dataValidation>
    <dataValidation type="list" allowBlank="1" showInputMessage="1" showErrorMessage="1" sqref="S11:S26 S30:S45 S49:S55 S59:S64 S68:S73 S104:S108 S87:S91 S95:S100 S77:S83" xr:uid="{00000000-0002-0000-0500-000008000000}">
      <formula1>$AD$12:$AD$14</formula1>
    </dataValidation>
  </dataValidations>
  <pageMargins left="0.70866141732283472" right="0.70866141732283472" top="0.74803149606299213" bottom="0.74803149606299213" header="0.31496062992125984" footer="0.31496062992125984"/>
  <pageSetup paperSize="9" scale="1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6625" r:id="rId5" name="Check Box 1">
              <controlPr defaultSize="0" autoFill="0" autoLine="0" autoPict="0">
                <anchor moveWithCells="1">
                  <from>
                    <xdr:col>4</xdr:col>
                    <xdr:colOff>60960</xdr:colOff>
                    <xdr:row>32</xdr:row>
                    <xdr:rowOff>160020</xdr:rowOff>
                  </from>
                  <to>
                    <xdr:col>5</xdr:col>
                    <xdr:colOff>533400</xdr:colOff>
                    <xdr:row>32</xdr:row>
                    <xdr:rowOff>373380</xdr:rowOff>
                  </to>
                </anchor>
              </controlPr>
            </control>
          </mc:Choice>
        </mc:AlternateContent>
        <mc:AlternateContent xmlns:mc="http://schemas.openxmlformats.org/markup-compatibility/2006">
          <mc:Choice Requires="x14">
            <control shapeId="26626" r:id="rId6" name="Check Box 2">
              <controlPr defaultSize="0" autoFill="0" autoLine="0" autoPict="0">
                <anchor moveWithCells="1">
                  <from>
                    <xdr:col>4</xdr:col>
                    <xdr:colOff>60960</xdr:colOff>
                    <xdr:row>33</xdr:row>
                    <xdr:rowOff>160020</xdr:rowOff>
                  </from>
                  <to>
                    <xdr:col>5</xdr:col>
                    <xdr:colOff>533400</xdr:colOff>
                    <xdr:row>33</xdr:row>
                    <xdr:rowOff>373380</xdr:rowOff>
                  </to>
                </anchor>
              </controlPr>
            </control>
          </mc:Choice>
        </mc:AlternateContent>
        <mc:AlternateContent xmlns:mc="http://schemas.openxmlformats.org/markup-compatibility/2006">
          <mc:Choice Requires="x14">
            <control shapeId="26627" r:id="rId7" name="Check Box 3">
              <controlPr defaultSize="0" autoFill="0" autoLine="0" autoPict="0">
                <anchor moveWithCells="1">
                  <from>
                    <xdr:col>4</xdr:col>
                    <xdr:colOff>60960</xdr:colOff>
                    <xdr:row>71</xdr:row>
                    <xdr:rowOff>464820</xdr:rowOff>
                  </from>
                  <to>
                    <xdr:col>5</xdr:col>
                    <xdr:colOff>533400</xdr:colOff>
                    <xdr:row>72</xdr:row>
                    <xdr:rowOff>106680</xdr:rowOff>
                  </to>
                </anchor>
              </controlPr>
            </control>
          </mc:Choice>
        </mc:AlternateContent>
        <mc:AlternateContent xmlns:mc="http://schemas.openxmlformats.org/markup-compatibility/2006">
          <mc:Choice Requires="x14">
            <control shapeId="26628" r:id="rId8" name="Check Box 4">
              <controlPr defaultSize="0" autoFill="0" autoLine="0" autoPict="0">
                <anchor moveWithCells="1">
                  <from>
                    <xdr:col>4</xdr:col>
                    <xdr:colOff>60960</xdr:colOff>
                    <xdr:row>82</xdr:row>
                    <xdr:rowOff>160020</xdr:rowOff>
                  </from>
                  <to>
                    <xdr:col>5</xdr:col>
                    <xdr:colOff>533400</xdr:colOff>
                    <xdr:row>82</xdr:row>
                    <xdr:rowOff>373380</xdr:rowOff>
                  </to>
                </anchor>
              </controlPr>
            </control>
          </mc:Choice>
        </mc:AlternateContent>
        <mc:AlternateContent xmlns:mc="http://schemas.openxmlformats.org/markup-compatibility/2006">
          <mc:Choice Requires="x14">
            <control shapeId="26629" r:id="rId9" name="Check Box 5">
              <controlPr defaultSize="0" autoFill="0" autoLine="0" autoPict="0">
                <anchor moveWithCells="1">
                  <from>
                    <xdr:col>4</xdr:col>
                    <xdr:colOff>60960</xdr:colOff>
                    <xdr:row>89</xdr:row>
                    <xdr:rowOff>160020</xdr:rowOff>
                  </from>
                  <to>
                    <xdr:col>5</xdr:col>
                    <xdr:colOff>533400</xdr:colOff>
                    <xdr:row>89</xdr:row>
                    <xdr:rowOff>373380</xdr:rowOff>
                  </to>
                </anchor>
              </controlPr>
            </control>
          </mc:Choice>
        </mc:AlternateContent>
        <mc:AlternateContent xmlns:mc="http://schemas.openxmlformats.org/markup-compatibility/2006">
          <mc:Choice Requires="x14">
            <control shapeId="26630" r:id="rId10" name="Check Box 6">
              <controlPr defaultSize="0" autoFill="0" autoLine="0" autoPict="0">
                <anchor moveWithCells="1">
                  <from>
                    <xdr:col>4</xdr:col>
                    <xdr:colOff>60960</xdr:colOff>
                    <xdr:row>97</xdr:row>
                    <xdr:rowOff>160020</xdr:rowOff>
                  </from>
                  <to>
                    <xdr:col>5</xdr:col>
                    <xdr:colOff>533400</xdr:colOff>
                    <xdr:row>97</xdr:row>
                    <xdr:rowOff>373380</xdr:rowOff>
                  </to>
                </anchor>
              </controlPr>
            </control>
          </mc:Choice>
        </mc:AlternateContent>
        <mc:AlternateContent xmlns:mc="http://schemas.openxmlformats.org/markup-compatibility/2006">
          <mc:Choice Requires="x14">
            <control shapeId="26631" r:id="rId11" name="Check Box 7">
              <controlPr defaultSize="0" autoFill="0" autoLine="0" autoPict="0">
                <anchor moveWithCells="1">
                  <from>
                    <xdr:col>4</xdr:col>
                    <xdr:colOff>60960</xdr:colOff>
                    <xdr:row>81</xdr:row>
                    <xdr:rowOff>160020</xdr:rowOff>
                  </from>
                  <to>
                    <xdr:col>5</xdr:col>
                    <xdr:colOff>533400</xdr:colOff>
                    <xdr:row>81</xdr:row>
                    <xdr:rowOff>373380</xdr:rowOff>
                  </to>
                </anchor>
              </controlPr>
            </control>
          </mc:Choice>
        </mc:AlternateContent>
        <mc:AlternateContent xmlns:mc="http://schemas.openxmlformats.org/markup-compatibility/2006">
          <mc:Choice Requires="x14">
            <control shapeId="26632" r:id="rId12" name="Check Box 8">
              <controlPr defaultSize="0" autoFill="0" autoLine="0" autoPict="0">
                <anchor moveWithCells="1">
                  <from>
                    <xdr:col>4</xdr:col>
                    <xdr:colOff>68580</xdr:colOff>
                    <xdr:row>77</xdr:row>
                    <xdr:rowOff>403860</xdr:rowOff>
                  </from>
                  <to>
                    <xdr:col>5</xdr:col>
                    <xdr:colOff>1104900</xdr:colOff>
                    <xdr:row>79</xdr:row>
                    <xdr:rowOff>160020</xdr:rowOff>
                  </to>
                </anchor>
              </controlPr>
            </control>
          </mc:Choice>
        </mc:AlternateContent>
        <mc:AlternateContent xmlns:mc="http://schemas.openxmlformats.org/markup-compatibility/2006">
          <mc:Choice Requires="x14">
            <control shapeId="26638" r:id="rId13" name="Check Box 14">
              <controlPr defaultSize="0" autoFill="0" autoLine="0" autoPict="0">
                <anchor moveWithCells="1">
                  <from>
                    <xdr:col>4</xdr:col>
                    <xdr:colOff>60960</xdr:colOff>
                    <xdr:row>32</xdr:row>
                    <xdr:rowOff>160020</xdr:rowOff>
                  </from>
                  <to>
                    <xdr:col>5</xdr:col>
                    <xdr:colOff>533400</xdr:colOff>
                    <xdr:row>32</xdr:row>
                    <xdr:rowOff>373380</xdr:rowOff>
                  </to>
                </anchor>
              </controlPr>
            </control>
          </mc:Choice>
        </mc:AlternateContent>
        <mc:AlternateContent xmlns:mc="http://schemas.openxmlformats.org/markup-compatibility/2006">
          <mc:Choice Requires="x14">
            <control shapeId="26639" r:id="rId14" name="Check Box 15">
              <controlPr defaultSize="0" autoFill="0" autoLine="0" autoPict="0">
                <anchor moveWithCells="1">
                  <from>
                    <xdr:col>4</xdr:col>
                    <xdr:colOff>60960</xdr:colOff>
                    <xdr:row>33</xdr:row>
                    <xdr:rowOff>160020</xdr:rowOff>
                  </from>
                  <to>
                    <xdr:col>5</xdr:col>
                    <xdr:colOff>533400</xdr:colOff>
                    <xdr:row>33</xdr:row>
                    <xdr:rowOff>373380</xdr:rowOff>
                  </to>
                </anchor>
              </controlPr>
            </control>
          </mc:Choice>
        </mc:AlternateContent>
        <mc:AlternateContent xmlns:mc="http://schemas.openxmlformats.org/markup-compatibility/2006">
          <mc:Choice Requires="x14">
            <control shapeId="26640" r:id="rId15" name="Check Box 16">
              <controlPr defaultSize="0" autoFill="0" autoLine="0" autoPict="0">
                <anchor moveWithCells="1">
                  <from>
                    <xdr:col>4</xdr:col>
                    <xdr:colOff>60960</xdr:colOff>
                    <xdr:row>71</xdr:row>
                    <xdr:rowOff>464820</xdr:rowOff>
                  </from>
                  <to>
                    <xdr:col>5</xdr:col>
                    <xdr:colOff>533400</xdr:colOff>
                    <xdr:row>72</xdr:row>
                    <xdr:rowOff>106680</xdr:rowOff>
                  </to>
                </anchor>
              </controlPr>
            </control>
          </mc:Choice>
        </mc:AlternateContent>
        <mc:AlternateContent xmlns:mc="http://schemas.openxmlformats.org/markup-compatibility/2006">
          <mc:Choice Requires="x14">
            <control shapeId="26641" r:id="rId16" name="Check Box 17">
              <controlPr defaultSize="0" autoFill="0" autoLine="0" autoPict="0">
                <anchor moveWithCells="1">
                  <from>
                    <xdr:col>4</xdr:col>
                    <xdr:colOff>60960</xdr:colOff>
                    <xdr:row>82</xdr:row>
                    <xdr:rowOff>160020</xdr:rowOff>
                  </from>
                  <to>
                    <xdr:col>5</xdr:col>
                    <xdr:colOff>533400</xdr:colOff>
                    <xdr:row>82</xdr:row>
                    <xdr:rowOff>373380</xdr:rowOff>
                  </to>
                </anchor>
              </controlPr>
            </control>
          </mc:Choice>
        </mc:AlternateContent>
        <mc:AlternateContent xmlns:mc="http://schemas.openxmlformats.org/markup-compatibility/2006">
          <mc:Choice Requires="x14">
            <control shapeId="26642" r:id="rId17" name="Check Box 18">
              <controlPr defaultSize="0" autoFill="0" autoLine="0" autoPict="0">
                <anchor moveWithCells="1">
                  <from>
                    <xdr:col>4</xdr:col>
                    <xdr:colOff>60960</xdr:colOff>
                    <xdr:row>89</xdr:row>
                    <xdr:rowOff>160020</xdr:rowOff>
                  </from>
                  <to>
                    <xdr:col>5</xdr:col>
                    <xdr:colOff>533400</xdr:colOff>
                    <xdr:row>89</xdr:row>
                    <xdr:rowOff>373380</xdr:rowOff>
                  </to>
                </anchor>
              </controlPr>
            </control>
          </mc:Choice>
        </mc:AlternateContent>
        <mc:AlternateContent xmlns:mc="http://schemas.openxmlformats.org/markup-compatibility/2006">
          <mc:Choice Requires="x14">
            <control shapeId="26643" r:id="rId18" name="Check Box 19">
              <controlPr defaultSize="0" autoFill="0" autoLine="0" autoPict="0">
                <anchor moveWithCells="1">
                  <from>
                    <xdr:col>4</xdr:col>
                    <xdr:colOff>60960</xdr:colOff>
                    <xdr:row>97</xdr:row>
                    <xdr:rowOff>160020</xdr:rowOff>
                  </from>
                  <to>
                    <xdr:col>5</xdr:col>
                    <xdr:colOff>533400</xdr:colOff>
                    <xdr:row>97</xdr:row>
                    <xdr:rowOff>373380</xdr:rowOff>
                  </to>
                </anchor>
              </controlPr>
            </control>
          </mc:Choice>
        </mc:AlternateContent>
        <mc:AlternateContent xmlns:mc="http://schemas.openxmlformats.org/markup-compatibility/2006">
          <mc:Choice Requires="x14">
            <control shapeId="26644" r:id="rId19" name="Check Box 20">
              <controlPr defaultSize="0" autoFill="0" autoLine="0" autoPict="0">
                <anchor moveWithCells="1">
                  <from>
                    <xdr:col>4</xdr:col>
                    <xdr:colOff>60960</xdr:colOff>
                    <xdr:row>81</xdr:row>
                    <xdr:rowOff>160020</xdr:rowOff>
                  </from>
                  <to>
                    <xdr:col>5</xdr:col>
                    <xdr:colOff>533400</xdr:colOff>
                    <xdr:row>81</xdr:row>
                    <xdr:rowOff>373380</xdr:rowOff>
                  </to>
                </anchor>
              </controlPr>
            </control>
          </mc:Choice>
        </mc:AlternateContent>
        <mc:AlternateContent xmlns:mc="http://schemas.openxmlformats.org/markup-compatibility/2006">
          <mc:Choice Requires="x14">
            <control shapeId="26645" r:id="rId20" name="Check Box 21">
              <controlPr defaultSize="0" autoFill="0" autoLine="0" autoPict="0">
                <anchor moveWithCells="1">
                  <from>
                    <xdr:col>4</xdr:col>
                    <xdr:colOff>68580</xdr:colOff>
                    <xdr:row>77</xdr:row>
                    <xdr:rowOff>403860</xdr:rowOff>
                  </from>
                  <to>
                    <xdr:col>5</xdr:col>
                    <xdr:colOff>1104900</xdr:colOff>
                    <xdr:row>79</xdr:row>
                    <xdr:rowOff>160020</xdr:rowOff>
                  </to>
                </anchor>
              </controlPr>
            </control>
          </mc:Choice>
        </mc:AlternateContent>
        <mc:AlternateContent xmlns:mc="http://schemas.openxmlformats.org/markup-compatibility/2006">
          <mc:Choice Requires="x14">
            <control shapeId="26648" r:id="rId21" name="Check Box 24">
              <controlPr defaultSize="0" autoFill="0" autoLine="0" autoPict="0">
                <anchor moveWithCells="1">
                  <from>
                    <xdr:col>4</xdr:col>
                    <xdr:colOff>60960</xdr:colOff>
                    <xdr:row>32</xdr:row>
                    <xdr:rowOff>160020</xdr:rowOff>
                  </from>
                  <to>
                    <xdr:col>5</xdr:col>
                    <xdr:colOff>533400</xdr:colOff>
                    <xdr:row>32</xdr:row>
                    <xdr:rowOff>373380</xdr:rowOff>
                  </to>
                </anchor>
              </controlPr>
            </control>
          </mc:Choice>
        </mc:AlternateContent>
        <mc:AlternateContent xmlns:mc="http://schemas.openxmlformats.org/markup-compatibility/2006">
          <mc:Choice Requires="x14">
            <control shapeId="26649" r:id="rId22" name="Check Box 25">
              <controlPr defaultSize="0" autoFill="0" autoLine="0" autoPict="0">
                <anchor moveWithCells="1">
                  <from>
                    <xdr:col>4</xdr:col>
                    <xdr:colOff>60960</xdr:colOff>
                    <xdr:row>33</xdr:row>
                    <xdr:rowOff>160020</xdr:rowOff>
                  </from>
                  <to>
                    <xdr:col>5</xdr:col>
                    <xdr:colOff>533400</xdr:colOff>
                    <xdr:row>33</xdr:row>
                    <xdr:rowOff>373380</xdr:rowOff>
                  </to>
                </anchor>
              </controlPr>
            </control>
          </mc:Choice>
        </mc:AlternateContent>
        <mc:AlternateContent xmlns:mc="http://schemas.openxmlformats.org/markup-compatibility/2006">
          <mc:Choice Requires="x14">
            <control shapeId="26650" r:id="rId23" name="Check Box 26">
              <controlPr defaultSize="0" autoFill="0" autoLine="0" autoPict="0">
                <anchor moveWithCells="1">
                  <from>
                    <xdr:col>4</xdr:col>
                    <xdr:colOff>60960</xdr:colOff>
                    <xdr:row>71</xdr:row>
                    <xdr:rowOff>464820</xdr:rowOff>
                  </from>
                  <to>
                    <xdr:col>5</xdr:col>
                    <xdr:colOff>533400</xdr:colOff>
                    <xdr:row>72</xdr:row>
                    <xdr:rowOff>106680</xdr:rowOff>
                  </to>
                </anchor>
              </controlPr>
            </control>
          </mc:Choice>
        </mc:AlternateContent>
        <mc:AlternateContent xmlns:mc="http://schemas.openxmlformats.org/markup-compatibility/2006">
          <mc:Choice Requires="x14">
            <control shapeId="26651" r:id="rId24" name="Check Box 27">
              <controlPr defaultSize="0" autoFill="0" autoLine="0" autoPict="0">
                <anchor moveWithCells="1">
                  <from>
                    <xdr:col>4</xdr:col>
                    <xdr:colOff>60960</xdr:colOff>
                    <xdr:row>82</xdr:row>
                    <xdr:rowOff>160020</xdr:rowOff>
                  </from>
                  <to>
                    <xdr:col>5</xdr:col>
                    <xdr:colOff>533400</xdr:colOff>
                    <xdr:row>82</xdr:row>
                    <xdr:rowOff>373380</xdr:rowOff>
                  </to>
                </anchor>
              </controlPr>
            </control>
          </mc:Choice>
        </mc:AlternateContent>
        <mc:AlternateContent xmlns:mc="http://schemas.openxmlformats.org/markup-compatibility/2006">
          <mc:Choice Requires="x14">
            <control shapeId="26652" r:id="rId25" name="Check Box 28">
              <controlPr defaultSize="0" autoFill="0" autoLine="0" autoPict="0">
                <anchor moveWithCells="1">
                  <from>
                    <xdr:col>4</xdr:col>
                    <xdr:colOff>60960</xdr:colOff>
                    <xdr:row>89</xdr:row>
                    <xdr:rowOff>160020</xdr:rowOff>
                  </from>
                  <to>
                    <xdr:col>5</xdr:col>
                    <xdr:colOff>533400</xdr:colOff>
                    <xdr:row>89</xdr:row>
                    <xdr:rowOff>373380</xdr:rowOff>
                  </to>
                </anchor>
              </controlPr>
            </control>
          </mc:Choice>
        </mc:AlternateContent>
        <mc:AlternateContent xmlns:mc="http://schemas.openxmlformats.org/markup-compatibility/2006">
          <mc:Choice Requires="x14">
            <control shapeId="26653" r:id="rId26" name="Check Box 29">
              <controlPr defaultSize="0" autoFill="0" autoLine="0" autoPict="0">
                <anchor moveWithCells="1">
                  <from>
                    <xdr:col>4</xdr:col>
                    <xdr:colOff>60960</xdr:colOff>
                    <xdr:row>97</xdr:row>
                    <xdr:rowOff>160020</xdr:rowOff>
                  </from>
                  <to>
                    <xdr:col>5</xdr:col>
                    <xdr:colOff>533400</xdr:colOff>
                    <xdr:row>97</xdr:row>
                    <xdr:rowOff>373380</xdr:rowOff>
                  </to>
                </anchor>
              </controlPr>
            </control>
          </mc:Choice>
        </mc:AlternateContent>
        <mc:AlternateContent xmlns:mc="http://schemas.openxmlformats.org/markup-compatibility/2006">
          <mc:Choice Requires="x14">
            <control shapeId="26654" r:id="rId27" name="Check Box 30">
              <controlPr defaultSize="0" autoFill="0" autoLine="0" autoPict="0">
                <anchor moveWithCells="1">
                  <from>
                    <xdr:col>4</xdr:col>
                    <xdr:colOff>60960</xdr:colOff>
                    <xdr:row>81</xdr:row>
                    <xdr:rowOff>160020</xdr:rowOff>
                  </from>
                  <to>
                    <xdr:col>5</xdr:col>
                    <xdr:colOff>533400</xdr:colOff>
                    <xdr:row>81</xdr:row>
                    <xdr:rowOff>373380</xdr:rowOff>
                  </to>
                </anchor>
              </controlPr>
            </control>
          </mc:Choice>
        </mc:AlternateContent>
        <mc:AlternateContent xmlns:mc="http://schemas.openxmlformats.org/markup-compatibility/2006">
          <mc:Choice Requires="x14">
            <control shapeId="26655" r:id="rId28" name="Check Box 31">
              <controlPr defaultSize="0" autoFill="0" autoLine="0" autoPict="0">
                <anchor moveWithCells="1">
                  <from>
                    <xdr:col>4</xdr:col>
                    <xdr:colOff>68580</xdr:colOff>
                    <xdr:row>77</xdr:row>
                    <xdr:rowOff>403860</xdr:rowOff>
                  </from>
                  <to>
                    <xdr:col>5</xdr:col>
                    <xdr:colOff>1104900</xdr:colOff>
                    <xdr:row>79</xdr:row>
                    <xdr:rowOff>160020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2" id="{876FE0EE-8B16-46F6-B939-AE6671DEBF46}">
            <xm:f>$L11&lt;&gt;Initial!$L11</xm:f>
            <x14:dxf>
              <fill>
                <patternFill>
                  <bgColor rgb="FF00FF99"/>
                </patternFill>
              </fill>
            </x14:dxf>
          </x14:cfRule>
          <xm:sqref>L11:L26 L30:L45 L49:L55 L59:L64 L68:L73 L77:L83 L87:L91 L95:L100 L104:L108</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129"/>
  <sheetViews>
    <sheetView showGridLines="0" topLeftCell="D1" zoomScale="70" zoomScaleNormal="70" zoomScalePageLayoutView="60" workbookViewId="0">
      <selection activeCell="G5" sqref="G5"/>
    </sheetView>
  </sheetViews>
  <sheetFormatPr defaultColWidth="9" defaultRowHeight="15"/>
  <cols>
    <col min="1" max="3" width="9" style="26" hidden="1" customWidth="1"/>
    <col min="4" max="4" width="2.25" style="26" customWidth="1"/>
    <col min="5" max="5" width="4.5" style="26" customWidth="1"/>
    <col min="6" max="6" width="27.75" style="12" customWidth="1"/>
    <col min="7" max="7" width="51.125" style="12" customWidth="1"/>
    <col min="8" max="8" width="9.125" style="11" customWidth="1"/>
    <col min="9" max="9" width="11.125" style="11" customWidth="1"/>
    <col min="10" max="10" width="40.125" style="12" customWidth="1"/>
    <col min="11" max="11" width="15.375" style="11" customWidth="1"/>
    <col min="12" max="12" width="14" style="34" customWidth="1"/>
    <col min="13" max="13" width="11.125" style="26" customWidth="1"/>
    <col min="14" max="15" width="14" style="11" customWidth="1"/>
    <col min="16" max="16" width="17.75" style="11" hidden="1" customWidth="1"/>
    <col min="17" max="17" width="19.75" style="11" hidden="1" customWidth="1"/>
    <col min="18" max="18" width="14" style="11" hidden="1" customWidth="1"/>
    <col min="19" max="19" width="22" style="34" customWidth="1"/>
    <col min="20" max="20" width="9" style="26" customWidth="1"/>
    <col min="21" max="21" width="63.625" style="53" customWidth="1"/>
    <col min="22" max="22" width="9" style="26" customWidth="1"/>
    <col min="23" max="23" width="9" style="26" hidden="1" customWidth="1"/>
    <col min="24" max="24" width="60.125" style="26" hidden="1" customWidth="1"/>
    <col min="25" max="25" width="53" style="26" hidden="1" customWidth="1"/>
    <col min="26" max="26" width="56.625" style="26" hidden="1" customWidth="1"/>
    <col min="27" max="27" width="45.75" style="26" hidden="1" customWidth="1"/>
    <col min="28" max="28" width="41.875" style="26" hidden="1" customWidth="1"/>
    <col min="29" max="29" width="9" style="26" customWidth="1"/>
    <col min="30" max="30" width="36.5" style="39" hidden="1" customWidth="1"/>
    <col min="31" max="31" width="34.75" style="39" hidden="1" customWidth="1"/>
    <col min="32" max="32" width="23.875" style="39" hidden="1" customWidth="1"/>
    <col min="33" max="33" width="16" style="107" hidden="1" customWidth="1"/>
    <col min="34" max="34" width="32.5" style="26" hidden="1" customWidth="1"/>
    <col min="35" max="35" width="9" style="26" hidden="1" customWidth="1"/>
    <col min="36" max="16384" width="9" style="26"/>
  </cols>
  <sheetData>
    <row r="1" spans="1:35" ht="45" customHeight="1">
      <c r="A1" s="26" t="s">
        <v>28</v>
      </c>
      <c r="B1" s="26" t="s">
        <v>28</v>
      </c>
      <c r="C1" s="26" t="s">
        <v>28</v>
      </c>
      <c r="F1" s="413" t="s">
        <v>864</v>
      </c>
      <c r="G1" s="414"/>
      <c r="H1" s="414"/>
      <c r="I1" s="414"/>
      <c r="J1" s="414"/>
      <c r="K1" s="19"/>
      <c r="L1" s="32"/>
      <c r="M1" s="33"/>
      <c r="P1" s="11" t="s">
        <v>28</v>
      </c>
      <c r="Q1" s="11" t="s">
        <v>28</v>
      </c>
      <c r="R1" s="11" t="s">
        <v>28</v>
      </c>
      <c r="S1" s="32"/>
      <c r="T1" s="35"/>
      <c r="V1" s="35"/>
      <c r="W1" s="39" t="s">
        <v>28</v>
      </c>
      <c r="X1" s="39" t="s">
        <v>28</v>
      </c>
      <c r="Y1" s="39" t="s">
        <v>28</v>
      </c>
      <c r="Z1" s="39" t="s">
        <v>28</v>
      </c>
      <c r="AA1" s="39" t="s">
        <v>28</v>
      </c>
      <c r="AB1" s="39" t="s">
        <v>28</v>
      </c>
      <c r="AD1" s="39" t="s">
        <v>28</v>
      </c>
      <c r="AE1" s="39" t="s">
        <v>28</v>
      </c>
      <c r="AF1" s="39" t="s">
        <v>28</v>
      </c>
      <c r="AG1" s="107" t="s">
        <v>28</v>
      </c>
      <c r="AH1" s="39" t="s">
        <v>28</v>
      </c>
      <c r="AI1" s="39" t="s">
        <v>28</v>
      </c>
    </row>
    <row r="2" spans="1:35" ht="12.75" customHeight="1">
      <c r="F2" s="13"/>
      <c r="G2" s="329"/>
      <c r="H2" s="14"/>
      <c r="I2" s="14"/>
      <c r="J2" s="14"/>
      <c r="K2" s="15"/>
      <c r="L2" s="32"/>
      <c r="M2" s="33"/>
      <c r="S2" s="32"/>
      <c r="T2" s="35"/>
      <c r="V2" s="35"/>
      <c r="W2"/>
      <c r="X2" s="249"/>
      <c r="Y2" s="249"/>
      <c r="Z2" s="35"/>
      <c r="AA2" s="35"/>
      <c r="AB2" s="35"/>
    </row>
    <row r="3" spans="1:35" ht="45" customHeight="1" thickBot="1">
      <c r="A3" s="36" t="s">
        <v>865</v>
      </c>
      <c r="B3" s="36" t="s">
        <v>866</v>
      </c>
      <c r="C3" s="26" t="s">
        <v>867</v>
      </c>
      <c r="F3" s="168" t="s">
        <v>868</v>
      </c>
      <c r="G3" s="229" t="str">
        <f>IF('Building Information'!C7="","",'Building Information'!C7)</f>
        <v/>
      </c>
      <c r="H3"/>
      <c r="I3" s="22"/>
      <c r="J3" s="16"/>
      <c r="K3" s="80" t="s">
        <v>869</v>
      </c>
      <c r="L3" s="80" t="s">
        <v>870</v>
      </c>
      <c r="M3" s="81"/>
      <c r="N3" s="80" t="s">
        <v>871</v>
      </c>
      <c r="O3" s="80" t="s">
        <v>872</v>
      </c>
      <c r="P3"/>
      <c r="Q3"/>
      <c r="R3"/>
      <c r="S3" s="37"/>
      <c r="T3" s="441" t="s">
        <v>790</v>
      </c>
      <c r="U3" s="442"/>
      <c r="V3" s="39"/>
      <c r="W3" s="248" t="s">
        <v>873</v>
      </c>
      <c r="X3" s="249"/>
      <c r="Y3" s="249"/>
      <c r="Z3"/>
      <c r="AA3"/>
      <c r="AB3"/>
    </row>
    <row r="4" spans="1:35" ht="45" customHeight="1" thickBot="1">
      <c r="F4" s="169" t="str">
        <f>IF(AND(L4&gt;0,L4=N4,O4=0),"Awarded Rating","Targeted Rating")</f>
        <v>Targeted Rating</v>
      </c>
      <c r="G4" s="69" t="str">
        <f>IF(G2="limit","3 Star - Good Practice",IF(L4&gt;=74.5,"6 Star - World Leadership",IF(L4&gt;=59.5,"5 Star - New Zealand Excellence",IF(L4&gt;=44.5,"4 Star - New Zealand Best Practice",IF(L4&gt;=29.5,"3 Star - Good Practice",IF(L4&gt;=19.5,"2 Star - Average Practice",IF(L4&gt;=9.5,"1 Star - Minimum Practice","")))))))</f>
        <v/>
      </c>
      <c r="H4"/>
      <c r="I4" s="23"/>
      <c r="J4" s="17"/>
      <c r="K4" s="27">
        <f>K112</f>
        <v>98</v>
      </c>
      <c r="L4" s="359">
        <f>L115</f>
        <v>0</v>
      </c>
      <c r="M4" s="360"/>
      <c r="N4" s="359">
        <f>N112</f>
        <v>0</v>
      </c>
      <c r="O4" s="359">
        <f>O112</f>
        <v>0</v>
      </c>
      <c r="P4"/>
      <c r="Q4" s="58" t="str">
        <f ca="1">IF(AND(Q119=0,Q120=0),"",Q125)</f>
        <v>Complete the Staged Assessment</v>
      </c>
      <c r="R4" s="34"/>
      <c r="S4" s="40"/>
      <c r="T4" s="443"/>
      <c r="U4" s="444" t="s">
        <v>793</v>
      </c>
      <c r="V4" s="39"/>
      <c r="W4" s="261" t="s">
        <v>874</v>
      </c>
      <c r="X4" s="262"/>
      <c r="Y4" s="263"/>
      <c r="Z4"/>
      <c r="AA4"/>
      <c r="AB4"/>
    </row>
    <row r="5" spans="1:35" ht="45" customHeight="1">
      <c r="F5" s="169" t="s">
        <v>525</v>
      </c>
      <c r="G5" s="244" t="s">
        <v>584</v>
      </c>
      <c r="H5"/>
      <c r="I5" s="23"/>
      <c r="J5" s="17"/>
      <c r="K5" s="56"/>
      <c r="L5" s="57"/>
      <c r="M5" s="29"/>
      <c r="N5" s="57"/>
      <c r="O5" s="57"/>
      <c r="P5" s="57"/>
      <c r="Q5" s="56"/>
      <c r="R5" s="56"/>
      <c r="S5" s="40"/>
      <c r="T5" s="446"/>
      <c r="U5" s="444" t="s">
        <v>1067</v>
      </c>
      <c r="V5" s="39"/>
      <c r="W5" s="406" t="s">
        <v>875</v>
      </c>
      <c r="X5" s="407"/>
      <c r="Y5" s="408"/>
      <c r="Z5"/>
      <c r="AA5"/>
      <c r="AB5"/>
    </row>
    <row r="6" spans="1:35" ht="45" customHeight="1">
      <c r="F6" s="169" t="s">
        <v>70</v>
      </c>
      <c r="G6" s="310" t="str">
        <f>VLOOKUP(G5,'Building Information'!E6:G9,2,FALSE)</f>
        <v>Fill in the Building Details</v>
      </c>
      <c r="H6"/>
      <c r="I6" s="23"/>
      <c r="J6" s="17"/>
      <c r="K6" s="56"/>
      <c r="L6" s="57"/>
      <c r="M6" s="29"/>
      <c r="N6" s="57"/>
      <c r="O6" s="57"/>
      <c r="P6" s="57"/>
      <c r="Q6" s="56"/>
      <c r="R6" s="56"/>
      <c r="S6" s="40"/>
      <c r="T6" s="38"/>
      <c r="U6" s="54"/>
      <c r="V6" s="39"/>
      <c r="W6" s="409"/>
      <c r="X6" s="410"/>
      <c r="Y6" s="411"/>
      <c r="Z6"/>
      <c r="AA6"/>
      <c r="AB6"/>
      <c r="AD6" s="39" t="s">
        <v>704</v>
      </c>
    </row>
    <row r="7" spans="1:35" ht="45" customHeight="1">
      <c r="F7" s="170" t="s">
        <v>702</v>
      </c>
      <c r="G7" s="327" t="s">
        <v>704</v>
      </c>
      <c r="H7"/>
      <c r="I7" s="23"/>
      <c r="J7" s="17"/>
      <c r="K7" s="56"/>
      <c r="L7" s="57"/>
      <c r="M7" s="29"/>
      <c r="N7" s="57"/>
      <c r="O7" s="57"/>
      <c r="P7" s="57"/>
      <c r="Q7" s="56"/>
      <c r="R7" s="56"/>
      <c r="S7" s="40"/>
      <c r="T7" s="38"/>
      <c r="U7" s="54"/>
      <c r="V7" s="39"/>
      <c r="W7" s="405" t="s">
        <v>877</v>
      </c>
      <c r="X7" s="405"/>
      <c r="Y7" s="405"/>
      <c r="Z7"/>
      <c r="AA7"/>
      <c r="AB7"/>
      <c r="AD7" s="39" t="s">
        <v>706</v>
      </c>
    </row>
    <row r="8" spans="1:35" ht="17.25" customHeight="1">
      <c r="G8" s="259"/>
      <c r="H8"/>
      <c r="I8" s="19"/>
      <c r="J8" s="18"/>
      <c r="K8" s="19"/>
      <c r="L8" s="32"/>
      <c r="M8" s="41"/>
      <c r="N8" s="19"/>
      <c r="O8" s="19"/>
      <c r="P8" s="19"/>
      <c r="Q8" s="19"/>
      <c r="R8" s="19"/>
      <c r="S8" s="32"/>
      <c r="T8" s="35"/>
      <c r="U8" s="55"/>
      <c r="V8" s="35"/>
      <c r="W8" s="412"/>
      <c r="X8" s="412"/>
      <c r="Y8" s="412"/>
      <c r="Z8"/>
      <c r="AA8"/>
      <c r="AB8"/>
      <c r="AD8" s="39" t="s">
        <v>708</v>
      </c>
    </row>
    <row r="9" spans="1:35" ht="45" customHeight="1">
      <c r="E9" s="82" t="s">
        <v>878</v>
      </c>
      <c r="F9" s="83" t="s">
        <v>879</v>
      </c>
      <c r="G9" s="83" t="s">
        <v>880</v>
      </c>
      <c r="H9" s="80" t="s">
        <v>881</v>
      </c>
      <c r="I9" s="80" t="s">
        <v>882</v>
      </c>
      <c r="J9" s="83" t="s">
        <v>883</v>
      </c>
      <c r="K9" s="80" t="s">
        <v>884</v>
      </c>
      <c r="L9" s="80" t="s">
        <v>885</v>
      </c>
      <c r="M9" s="41"/>
      <c r="N9" s="80" t="s">
        <v>886</v>
      </c>
      <c r="O9" s="80" t="s">
        <v>887</v>
      </c>
      <c r="P9" s="80" t="s">
        <v>110</v>
      </c>
      <c r="Q9" s="80" t="s">
        <v>888</v>
      </c>
      <c r="R9" s="80" t="s">
        <v>889</v>
      </c>
      <c r="S9" s="82" t="s">
        <v>890</v>
      </c>
      <c r="T9" s="84"/>
      <c r="U9" s="85" t="s">
        <v>891</v>
      </c>
      <c r="V9" s="35"/>
      <c r="W9" s="85" t="s">
        <v>892</v>
      </c>
      <c r="X9" s="85" t="s">
        <v>893</v>
      </c>
      <c r="Y9" s="85" t="s">
        <v>894</v>
      </c>
      <c r="Z9" s="85" t="s">
        <v>1066</v>
      </c>
      <c r="AA9" s="85" t="s">
        <v>896</v>
      </c>
      <c r="AB9" s="85" t="s">
        <v>897</v>
      </c>
    </row>
    <row r="10" spans="1:35" ht="45" customHeight="1">
      <c r="F10" s="24" t="s">
        <v>898</v>
      </c>
      <c r="G10" s="86"/>
      <c r="H10" s="86"/>
      <c r="I10" s="86"/>
      <c r="J10" s="86"/>
      <c r="K10" s="87"/>
      <c r="L10" s="87"/>
      <c r="M10" s="41"/>
      <c r="N10" s="87"/>
      <c r="O10" s="87"/>
      <c r="P10" s="87"/>
      <c r="Q10" s="87" t="str">
        <f ca="1">CONCATENATE(COUNTIF(Q11:Q26,"Comprehensive")," Comprehensive",CHAR(10),COUNTIF(Q11:Q26,"Core")," Core")</f>
        <v>0 Comprehensive
0 Core</v>
      </c>
      <c r="R10" s="87"/>
      <c r="S10" s="88"/>
      <c r="T10" s="84"/>
      <c r="U10" s="89"/>
      <c r="V10" s="35"/>
      <c r="W10" s="245"/>
      <c r="X10" s="245"/>
      <c r="Y10" s="245"/>
      <c r="Z10" s="245"/>
      <c r="AA10" s="245"/>
      <c r="AB10" s="245"/>
    </row>
    <row r="11" spans="1:35" ht="45" customHeight="1">
      <c r="F11" s="90" t="s">
        <v>899</v>
      </c>
      <c r="G11" s="91" t="s">
        <v>900</v>
      </c>
      <c r="H11" s="92">
        <v>1.1000000000000001</v>
      </c>
      <c r="I11" s="92" t="s">
        <v>901</v>
      </c>
      <c r="J11" s="93" t="s">
        <v>902</v>
      </c>
      <c r="K11" s="94">
        <v>1</v>
      </c>
      <c r="L11" s="95"/>
      <c r="M11" s="96"/>
      <c r="N11" s="97" t="str">
        <f t="shared" ref="N11:N26" si="0">IF(OR(S11=$AD$12,S11=$AD$13),L11,"")</f>
        <v/>
      </c>
      <c r="O11" s="97" t="str">
        <f t="shared" ref="O11:O26" si="1">IF(S11=$AD$14,L11,"")</f>
        <v/>
      </c>
      <c r="P11" s="97" t="str">
        <f t="shared" ref="P11:P26" ca="1" si="2">IF(OR(AND(K11="-",L11&lt;&gt;""),C11=TRUE),1,IF(OR(L11="",L11=0),"",RAND()))</f>
        <v/>
      </c>
      <c r="Q11" s="97" t="str">
        <f ca="1">IF(P11="","",IF(ROUNDUP(RANK(P11,$P$11:$P$26)/ROUND((COUNT($P$11:$P$26)/2),0),0)=1,"Comprehensive","Core"))</f>
        <v/>
      </c>
      <c r="R11" s="97"/>
      <c r="S11" s="98"/>
      <c r="T11" s="167"/>
      <c r="U11" s="99"/>
      <c r="V11" s="35"/>
      <c r="W11" s="246"/>
      <c r="X11" s="246"/>
      <c r="Y11" s="246"/>
      <c r="Z11" s="246"/>
      <c r="AA11" s="246"/>
      <c r="AB11" s="246"/>
    </row>
    <row r="12" spans="1:35" ht="45" customHeight="1">
      <c r="F12" s="387" t="s">
        <v>43</v>
      </c>
      <c r="G12" s="386" t="s">
        <v>903</v>
      </c>
      <c r="H12" s="92">
        <v>2.1</v>
      </c>
      <c r="I12" s="92" t="s">
        <v>901</v>
      </c>
      <c r="J12" s="93" t="s">
        <v>904</v>
      </c>
      <c r="K12" s="94">
        <v>1</v>
      </c>
      <c r="L12" s="95"/>
      <c r="M12" s="96"/>
      <c r="N12" s="97" t="str">
        <f t="shared" si="0"/>
        <v/>
      </c>
      <c r="O12" s="97" t="str">
        <f t="shared" si="1"/>
        <v/>
      </c>
      <c r="P12" s="97" t="str">
        <f t="shared" ca="1" si="2"/>
        <v/>
      </c>
      <c r="Q12" s="97" t="str">
        <f t="shared" ref="Q12:Q26" ca="1" si="3">IF(P12="","",IF(ROUNDUP(RANK(P12,$P$11:$P$26)/ROUND((COUNT($P$11:$P$26)/2),0),0)=1,"Comprehensive","Core"))</f>
        <v/>
      </c>
      <c r="R12" s="97"/>
      <c r="S12" s="98"/>
      <c r="T12" s="39"/>
      <c r="U12" s="99"/>
      <c r="V12" s="35"/>
      <c r="W12" s="246"/>
      <c r="X12" s="246"/>
      <c r="Y12" s="246"/>
      <c r="Z12" s="246"/>
      <c r="AA12" s="246"/>
      <c r="AB12" s="246"/>
      <c r="AD12" s="250" t="s">
        <v>905</v>
      </c>
    </row>
    <row r="13" spans="1:35" ht="45" customHeight="1">
      <c r="F13" s="387"/>
      <c r="G13" s="386"/>
      <c r="H13" s="92">
        <v>2.2000000000000002</v>
      </c>
      <c r="I13" s="92" t="s">
        <v>901</v>
      </c>
      <c r="J13" s="93" t="s">
        <v>906</v>
      </c>
      <c r="K13" s="94">
        <v>1</v>
      </c>
      <c r="L13" s="95"/>
      <c r="M13" s="96"/>
      <c r="N13" s="97" t="str">
        <f t="shared" si="0"/>
        <v/>
      </c>
      <c r="O13" s="97" t="str">
        <f t="shared" si="1"/>
        <v/>
      </c>
      <c r="P13" s="97" t="str">
        <f t="shared" ca="1" si="2"/>
        <v/>
      </c>
      <c r="Q13" s="97" t="str">
        <f t="shared" ca="1" si="3"/>
        <v/>
      </c>
      <c r="R13" s="97"/>
      <c r="S13" s="98"/>
      <c r="T13" s="39"/>
      <c r="U13" s="99"/>
      <c r="V13" s="35"/>
      <c r="W13" s="247"/>
      <c r="X13" s="247"/>
      <c r="Y13" s="246"/>
      <c r="Z13" s="246"/>
      <c r="AA13" s="247"/>
      <c r="AB13" s="246"/>
      <c r="AD13" s="250" t="s">
        <v>907</v>
      </c>
    </row>
    <row r="14" spans="1:35" ht="45" customHeight="1">
      <c r="F14" s="387" t="s">
        <v>908</v>
      </c>
      <c r="G14" s="386" t="s">
        <v>909</v>
      </c>
      <c r="H14" s="92">
        <v>3.1</v>
      </c>
      <c r="I14" s="92" t="s">
        <v>910</v>
      </c>
      <c r="J14" s="93" t="s">
        <v>911</v>
      </c>
      <c r="K14" s="94">
        <v>1</v>
      </c>
      <c r="L14" s="95"/>
      <c r="M14" s="96"/>
      <c r="N14" s="97" t="str">
        <f t="shared" si="0"/>
        <v/>
      </c>
      <c r="O14" s="97" t="str">
        <f t="shared" si="1"/>
        <v/>
      </c>
      <c r="P14" s="97" t="str">
        <f t="shared" ca="1" si="2"/>
        <v/>
      </c>
      <c r="Q14" s="97" t="str">
        <f t="shared" ca="1" si="3"/>
        <v/>
      </c>
      <c r="R14" s="97"/>
      <c r="S14" s="98"/>
      <c r="T14" s="39"/>
      <c r="U14" s="99"/>
      <c r="V14" s="35"/>
      <c r="W14" s="246"/>
      <c r="X14" s="246"/>
      <c r="Y14" s="246"/>
      <c r="Z14" s="246"/>
      <c r="AA14" s="246"/>
      <c r="AB14" s="246"/>
      <c r="AD14" s="250" t="s">
        <v>912</v>
      </c>
    </row>
    <row r="15" spans="1:35" ht="45" customHeight="1">
      <c r="F15" s="387"/>
      <c r="G15" s="386"/>
      <c r="H15" s="92">
        <v>3.2</v>
      </c>
      <c r="I15" s="92" t="s">
        <v>901</v>
      </c>
      <c r="J15" s="93" t="s">
        <v>913</v>
      </c>
      <c r="K15" s="94">
        <v>1</v>
      </c>
      <c r="L15" s="95"/>
      <c r="M15" s="96"/>
      <c r="N15" s="97" t="str">
        <f t="shared" si="0"/>
        <v/>
      </c>
      <c r="O15" s="97" t="str">
        <f t="shared" si="1"/>
        <v/>
      </c>
      <c r="P15" s="97" t="str">
        <f t="shared" ca="1" si="2"/>
        <v/>
      </c>
      <c r="Q15" s="97" t="str">
        <f t="shared" ca="1" si="3"/>
        <v/>
      </c>
      <c r="R15" s="97"/>
      <c r="S15" s="98"/>
      <c r="T15" s="39"/>
      <c r="U15" s="99"/>
      <c r="V15" s="35"/>
      <c r="W15" s="246"/>
      <c r="X15" s="246"/>
      <c r="Y15" s="246"/>
      <c r="Z15" s="246"/>
      <c r="AA15" s="246"/>
      <c r="AB15" s="246"/>
      <c r="AE15" s="251"/>
    </row>
    <row r="16" spans="1:35" ht="45" customHeight="1">
      <c r="F16" s="387" t="s">
        <v>914</v>
      </c>
      <c r="G16" s="386" t="s">
        <v>915</v>
      </c>
      <c r="H16" s="92">
        <v>4.0999999999999996</v>
      </c>
      <c r="I16" s="92" t="s">
        <v>901</v>
      </c>
      <c r="J16" s="93" t="s">
        <v>916</v>
      </c>
      <c r="K16" s="94">
        <v>1</v>
      </c>
      <c r="L16" s="95"/>
      <c r="M16" s="96"/>
      <c r="N16" s="97" t="str">
        <f t="shared" si="0"/>
        <v/>
      </c>
      <c r="O16" s="97" t="str">
        <f t="shared" si="1"/>
        <v/>
      </c>
      <c r="P16" s="97" t="str">
        <f t="shared" ca="1" si="2"/>
        <v/>
      </c>
      <c r="Q16" s="97" t="str">
        <f t="shared" ca="1" si="3"/>
        <v/>
      </c>
      <c r="R16" s="97"/>
      <c r="S16" s="98"/>
      <c r="T16" s="39"/>
      <c r="U16" s="99"/>
      <c r="V16" s="35"/>
      <c r="W16" s="246"/>
      <c r="X16" s="246"/>
      <c r="Y16" s="246"/>
      <c r="Z16" s="246"/>
      <c r="AA16" s="246"/>
      <c r="AB16" s="246"/>
      <c r="AE16" s="251"/>
    </row>
    <row r="17" spans="6:32" ht="45" customHeight="1">
      <c r="F17" s="387"/>
      <c r="G17" s="386"/>
      <c r="H17" s="92">
        <v>4.2</v>
      </c>
      <c r="I17" s="92" t="s">
        <v>901</v>
      </c>
      <c r="J17" s="93" t="s">
        <v>917</v>
      </c>
      <c r="K17" s="94">
        <v>1</v>
      </c>
      <c r="L17" s="95"/>
      <c r="M17" s="96"/>
      <c r="N17" s="97" t="str">
        <f t="shared" si="0"/>
        <v/>
      </c>
      <c r="O17" s="97" t="str">
        <f t="shared" si="1"/>
        <v/>
      </c>
      <c r="P17" s="97" t="str">
        <f t="shared" ca="1" si="2"/>
        <v/>
      </c>
      <c r="Q17" s="97" t="str">
        <f t="shared" ca="1" si="3"/>
        <v/>
      </c>
      <c r="R17" s="97"/>
      <c r="S17" s="98"/>
      <c r="T17" s="39"/>
      <c r="U17" s="99"/>
      <c r="V17" s="35"/>
      <c r="W17" s="246"/>
      <c r="X17" s="246"/>
      <c r="Y17" s="246"/>
      <c r="Z17" s="246"/>
      <c r="AA17" s="246"/>
      <c r="AB17" s="246"/>
    </row>
    <row r="18" spans="6:32" ht="45" customHeight="1">
      <c r="F18" s="387" t="s">
        <v>918</v>
      </c>
      <c r="G18" s="386" t="s">
        <v>919</v>
      </c>
      <c r="H18" s="92">
        <v>5.0999999999999996</v>
      </c>
      <c r="I18" s="92" t="s">
        <v>920</v>
      </c>
      <c r="J18" s="93" t="s">
        <v>921</v>
      </c>
      <c r="K18" s="94">
        <v>1</v>
      </c>
      <c r="L18" s="95"/>
      <c r="M18" s="96"/>
      <c r="N18" s="97" t="str">
        <f t="shared" si="0"/>
        <v/>
      </c>
      <c r="O18" s="97" t="str">
        <f t="shared" si="1"/>
        <v/>
      </c>
      <c r="P18" s="97" t="str">
        <f t="shared" ca="1" si="2"/>
        <v/>
      </c>
      <c r="Q18" s="97" t="str">
        <f t="shared" ca="1" si="3"/>
        <v/>
      </c>
      <c r="R18" s="97"/>
      <c r="S18" s="98"/>
      <c r="T18" s="39"/>
      <c r="U18" s="99"/>
      <c r="V18" s="35"/>
      <c r="W18" s="246"/>
      <c r="X18" s="246"/>
      <c r="Y18" s="246"/>
      <c r="Z18" s="246"/>
      <c r="AA18" s="246"/>
      <c r="AB18" s="246"/>
      <c r="AE18" s="250" t="s">
        <v>478</v>
      </c>
      <c r="AF18" s="256">
        <v>1</v>
      </c>
    </row>
    <row r="19" spans="6:32" ht="45" customHeight="1">
      <c r="F19" s="387"/>
      <c r="G19" s="386"/>
      <c r="H19" s="92">
        <v>5.2</v>
      </c>
      <c r="I19" s="92" t="s">
        <v>901</v>
      </c>
      <c r="J19" s="93" t="s">
        <v>922</v>
      </c>
      <c r="K19" s="94">
        <v>1</v>
      </c>
      <c r="L19" s="95"/>
      <c r="M19" s="96"/>
      <c r="N19" s="97" t="str">
        <f t="shared" si="0"/>
        <v/>
      </c>
      <c r="O19" s="97" t="str">
        <f t="shared" si="1"/>
        <v/>
      </c>
      <c r="P19" s="97" t="str">
        <f t="shared" ca="1" si="2"/>
        <v/>
      </c>
      <c r="Q19" s="97" t="str">
        <f t="shared" ca="1" si="3"/>
        <v/>
      </c>
      <c r="R19" s="97"/>
      <c r="S19" s="98"/>
      <c r="T19" s="39"/>
      <c r="U19" s="99"/>
      <c r="V19" s="35"/>
      <c r="W19" s="246"/>
      <c r="X19" s="246"/>
      <c r="Y19" s="246"/>
      <c r="Z19" s="246"/>
      <c r="AA19" s="246"/>
      <c r="AB19" s="246"/>
      <c r="AE19" s="250" t="s">
        <v>923</v>
      </c>
      <c r="AF19" s="256">
        <v>2</v>
      </c>
    </row>
    <row r="20" spans="6:32" ht="45" customHeight="1">
      <c r="F20" s="387"/>
      <c r="G20" s="386"/>
      <c r="H20" s="92">
        <v>5.3</v>
      </c>
      <c r="I20" s="92" t="s">
        <v>901</v>
      </c>
      <c r="J20" s="93" t="s">
        <v>924</v>
      </c>
      <c r="K20" s="94">
        <v>1</v>
      </c>
      <c r="L20" s="95"/>
      <c r="M20" s="96"/>
      <c r="N20" s="97" t="str">
        <f t="shared" si="0"/>
        <v/>
      </c>
      <c r="O20" s="97" t="str">
        <f t="shared" si="1"/>
        <v/>
      </c>
      <c r="P20" s="97" t="str">
        <f t="shared" ca="1" si="2"/>
        <v/>
      </c>
      <c r="Q20" s="97" t="str">
        <f t="shared" ca="1" si="3"/>
        <v/>
      </c>
      <c r="R20" s="97"/>
      <c r="S20" s="98"/>
      <c r="T20" s="39"/>
      <c r="U20" s="99"/>
      <c r="V20" s="35"/>
      <c r="W20" s="246"/>
      <c r="X20" s="246"/>
      <c r="Y20" s="246"/>
      <c r="Z20" s="246"/>
      <c r="AA20" s="246"/>
      <c r="AB20" s="246"/>
      <c r="AF20" s="256">
        <v>3</v>
      </c>
    </row>
    <row r="21" spans="6:32" ht="45" customHeight="1">
      <c r="F21" s="379" t="s">
        <v>925</v>
      </c>
      <c r="G21" s="388" t="s">
        <v>926</v>
      </c>
      <c r="H21" s="92">
        <v>6.1</v>
      </c>
      <c r="I21" s="92" t="s">
        <v>920</v>
      </c>
      <c r="J21" s="93" t="s">
        <v>927</v>
      </c>
      <c r="K21" s="94">
        <v>1</v>
      </c>
      <c r="L21" s="95"/>
      <c r="M21" s="96"/>
      <c r="N21" s="97" t="str">
        <f t="shared" si="0"/>
        <v/>
      </c>
      <c r="O21" s="97" t="str">
        <f t="shared" si="1"/>
        <v/>
      </c>
      <c r="P21" s="97" t="str">
        <f t="shared" ca="1" si="2"/>
        <v/>
      </c>
      <c r="Q21" s="97" t="str">
        <f t="shared" ca="1" si="3"/>
        <v/>
      </c>
      <c r="R21" s="97"/>
      <c r="S21" s="98"/>
      <c r="T21" s="39"/>
      <c r="U21" s="99"/>
      <c r="V21" s="35"/>
      <c r="W21" s="246"/>
      <c r="X21" s="246"/>
      <c r="Y21" s="246"/>
      <c r="Z21" s="246"/>
      <c r="AA21" s="246"/>
      <c r="AB21" s="246"/>
    </row>
    <row r="22" spans="6:32" ht="45" customHeight="1">
      <c r="F22" s="379"/>
      <c r="G22" s="388"/>
      <c r="H22" s="92">
        <v>6.2</v>
      </c>
      <c r="I22" s="92" t="s">
        <v>901</v>
      </c>
      <c r="J22" s="93" t="s">
        <v>928</v>
      </c>
      <c r="K22" s="94">
        <v>1</v>
      </c>
      <c r="L22" s="95"/>
      <c r="M22" s="96"/>
      <c r="N22" s="97" t="str">
        <f t="shared" si="0"/>
        <v/>
      </c>
      <c r="O22" s="97" t="str">
        <f t="shared" si="1"/>
        <v/>
      </c>
      <c r="P22" s="97" t="str">
        <f t="shared" ca="1" si="2"/>
        <v/>
      </c>
      <c r="Q22" s="97" t="str">
        <f t="shared" ca="1" si="3"/>
        <v/>
      </c>
      <c r="R22" s="97"/>
      <c r="S22" s="98"/>
      <c r="T22" s="39"/>
      <c r="U22" s="99"/>
      <c r="V22" s="35"/>
      <c r="W22" s="246"/>
      <c r="X22" s="246"/>
      <c r="Y22" s="246"/>
      <c r="Z22" s="246"/>
      <c r="AA22" s="246"/>
      <c r="AB22" s="246"/>
    </row>
    <row r="23" spans="6:32" ht="45" customHeight="1">
      <c r="F23" s="379"/>
      <c r="G23" s="388"/>
      <c r="H23" s="92">
        <v>6.3</v>
      </c>
      <c r="I23" s="92" t="s">
        <v>901</v>
      </c>
      <c r="J23" s="93" t="s">
        <v>929</v>
      </c>
      <c r="K23" s="94">
        <v>1</v>
      </c>
      <c r="L23" s="95"/>
      <c r="M23" s="96"/>
      <c r="N23" s="97" t="str">
        <f t="shared" si="0"/>
        <v/>
      </c>
      <c r="O23" s="97" t="str">
        <f t="shared" si="1"/>
        <v/>
      </c>
      <c r="P23" s="97" t="str">
        <f t="shared" ca="1" si="2"/>
        <v/>
      </c>
      <c r="Q23" s="97" t="str">
        <f t="shared" ca="1" si="3"/>
        <v/>
      </c>
      <c r="R23" s="97"/>
      <c r="S23" s="98"/>
      <c r="T23" s="39"/>
      <c r="U23" s="99"/>
      <c r="V23" s="35"/>
      <c r="W23" s="246"/>
      <c r="X23" s="246"/>
      <c r="Y23" s="246"/>
      <c r="Z23" s="246"/>
      <c r="AA23" s="246"/>
      <c r="AB23" s="246"/>
    </row>
    <row r="24" spans="6:32" ht="45" customHeight="1">
      <c r="F24" s="387" t="s">
        <v>930</v>
      </c>
      <c r="G24" s="386" t="s">
        <v>931</v>
      </c>
      <c r="H24" s="92">
        <v>7.1</v>
      </c>
      <c r="I24" s="92" t="s">
        <v>920</v>
      </c>
      <c r="J24" s="93" t="s">
        <v>932</v>
      </c>
      <c r="K24" s="94">
        <v>2</v>
      </c>
      <c r="L24" s="95"/>
      <c r="M24" s="96"/>
      <c r="N24" s="97" t="str">
        <f t="shared" si="0"/>
        <v/>
      </c>
      <c r="O24" s="97" t="str">
        <f t="shared" si="1"/>
        <v/>
      </c>
      <c r="P24" s="97" t="str">
        <f t="shared" ca="1" si="2"/>
        <v/>
      </c>
      <c r="Q24" s="97" t="str">
        <f t="shared" ca="1" si="3"/>
        <v/>
      </c>
      <c r="R24" s="97"/>
      <c r="S24" s="98"/>
      <c r="T24" s="39"/>
      <c r="U24" s="99"/>
      <c r="V24" s="35"/>
      <c r="W24" s="246"/>
      <c r="X24" s="246"/>
      <c r="Y24" s="246"/>
      <c r="Z24" s="246"/>
      <c r="AA24" s="246"/>
      <c r="AB24" s="246"/>
    </row>
    <row r="25" spans="6:32" ht="45" customHeight="1">
      <c r="F25" s="387"/>
      <c r="G25" s="386"/>
      <c r="H25" s="92">
        <v>7.2</v>
      </c>
      <c r="I25" s="92" t="s">
        <v>920</v>
      </c>
      <c r="J25" s="93" t="s">
        <v>933</v>
      </c>
      <c r="K25" s="94">
        <v>1</v>
      </c>
      <c r="L25" s="95"/>
      <c r="M25" s="41"/>
      <c r="N25" s="97" t="str">
        <f t="shared" si="0"/>
        <v/>
      </c>
      <c r="O25" s="97" t="str">
        <f t="shared" si="1"/>
        <v/>
      </c>
      <c r="P25" s="97" t="str">
        <f t="shared" ca="1" si="2"/>
        <v/>
      </c>
      <c r="Q25" s="97" t="str">
        <f t="shared" ca="1" si="3"/>
        <v/>
      </c>
      <c r="R25" s="97"/>
      <c r="S25" s="98"/>
      <c r="T25" s="39"/>
      <c r="U25" s="99"/>
      <c r="V25" s="35"/>
      <c r="W25" s="246"/>
      <c r="X25" s="246"/>
      <c r="Y25" s="246"/>
      <c r="Z25" s="246"/>
      <c r="AA25" s="246"/>
      <c r="AB25" s="246"/>
    </row>
    <row r="26" spans="6:32" ht="45" customHeight="1">
      <c r="F26" s="387"/>
      <c r="G26" s="386"/>
      <c r="H26" s="92">
        <v>7.3</v>
      </c>
      <c r="I26" s="92" t="s">
        <v>920</v>
      </c>
      <c r="J26" s="93" t="s">
        <v>934</v>
      </c>
      <c r="K26" s="94">
        <v>1</v>
      </c>
      <c r="L26" s="95"/>
      <c r="M26" s="41"/>
      <c r="N26" s="97" t="str">
        <f t="shared" si="0"/>
        <v/>
      </c>
      <c r="O26" s="97" t="str">
        <f t="shared" si="1"/>
        <v/>
      </c>
      <c r="P26" s="97" t="str">
        <f t="shared" ca="1" si="2"/>
        <v/>
      </c>
      <c r="Q26" s="97" t="str">
        <f t="shared" ca="1" si="3"/>
        <v/>
      </c>
      <c r="R26" s="97"/>
      <c r="S26" s="98"/>
      <c r="T26" s="39"/>
      <c r="U26" s="99"/>
      <c r="V26" s="35"/>
      <c r="W26" s="246"/>
      <c r="X26" s="246"/>
      <c r="Y26" s="246"/>
      <c r="Z26" s="246"/>
      <c r="AA26" s="246"/>
      <c r="AB26" s="246"/>
    </row>
    <row r="27" spans="6:32" ht="45" customHeight="1">
      <c r="F27" s="100" t="s">
        <v>486</v>
      </c>
      <c r="G27" s="100"/>
      <c r="H27" s="101"/>
      <c r="I27" s="101"/>
      <c r="J27" s="100"/>
      <c r="K27" s="101">
        <f>SUM(K11:K26)</f>
        <v>17</v>
      </c>
      <c r="L27" s="102">
        <f>SUM(L11:L26)</f>
        <v>0</v>
      </c>
      <c r="M27" s="41"/>
      <c r="N27" s="103">
        <f>SUM(N11:N26)</f>
        <v>0</v>
      </c>
      <c r="O27" s="101">
        <f>SUM(O11:O26)</f>
        <v>0</v>
      </c>
      <c r="P27" s="104"/>
      <c r="Q27" s="105"/>
      <c r="R27" s="105"/>
      <c r="S27" s="106"/>
      <c r="T27" s="107"/>
      <c r="U27" s="108"/>
      <c r="V27" s="35"/>
      <c r="W27" s="39"/>
      <c r="X27" s="39"/>
      <c r="Y27" s="39"/>
      <c r="Z27" s="39"/>
      <c r="AA27" s="39"/>
      <c r="AB27" s="39"/>
    </row>
    <row r="28" spans="6:32" ht="45" customHeight="1">
      <c r="F28" s="109"/>
      <c r="G28" s="110"/>
      <c r="H28" s="111"/>
      <c r="I28" s="111"/>
      <c r="J28" s="110"/>
      <c r="K28" s="112"/>
      <c r="L28" s="113"/>
      <c r="M28" s="41"/>
      <c r="N28" s="114"/>
      <c r="O28" s="115"/>
      <c r="P28" s="115"/>
      <c r="Q28" s="112"/>
      <c r="R28" s="112"/>
      <c r="S28" s="116"/>
      <c r="T28" s="39"/>
      <c r="U28" s="54"/>
      <c r="V28" s="35"/>
      <c r="W28" s="39"/>
      <c r="X28" s="39"/>
      <c r="Y28" s="39"/>
      <c r="Z28" s="39"/>
      <c r="AA28" s="39"/>
      <c r="AB28" s="39"/>
    </row>
    <row r="29" spans="6:32" ht="45" customHeight="1">
      <c r="F29" s="25" t="s">
        <v>935</v>
      </c>
      <c r="G29" s="117"/>
      <c r="H29" s="117"/>
      <c r="I29" s="117"/>
      <c r="J29" s="117"/>
      <c r="K29" s="117"/>
      <c r="L29" s="118"/>
      <c r="M29" s="41"/>
      <c r="N29" s="119"/>
      <c r="O29" s="119"/>
      <c r="P29" s="87"/>
      <c r="Q29" s="87" t="str">
        <f ca="1">CONCATENATE(COUNTIF(Q30:Q45,"Comprehensive")," Comprehensive",CHAR(10),COUNTIF(Q30:Q45,"Core")," Core")</f>
        <v>0 Comprehensive
0 Core</v>
      </c>
      <c r="R29" s="120"/>
      <c r="S29" s="121"/>
      <c r="T29" s="39"/>
      <c r="U29" s="122"/>
      <c r="V29" s="35"/>
      <c r="W29" s="245"/>
      <c r="X29" s="245"/>
      <c r="Y29" s="245"/>
      <c r="Z29" s="245"/>
      <c r="AA29" s="245"/>
      <c r="AB29" s="245"/>
    </row>
    <row r="30" spans="6:32" ht="45" customHeight="1">
      <c r="F30" s="400" t="s">
        <v>936</v>
      </c>
      <c r="G30" s="401" t="s">
        <v>937</v>
      </c>
      <c r="H30" s="123">
        <v>8.1</v>
      </c>
      <c r="I30" s="123" t="s">
        <v>901</v>
      </c>
      <c r="J30" s="124" t="s">
        <v>938</v>
      </c>
      <c r="K30" s="125">
        <v>1</v>
      </c>
      <c r="L30" s="126"/>
      <c r="M30" s="41"/>
      <c r="N30" s="97" t="str">
        <f t="shared" ref="N30:N45" si="4">IF(OR(S30=$AD$12,S30=$AD$13),L30,"")</f>
        <v/>
      </c>
      <c r="O30" s="97" t="str">
        <f t="shared" ref="O30:O45" si="5">IF(S30=$AD$14,L30,"")</f>
        <v/>
      </c>
      <c r="P30" s="97" t="str">
        <f t="shared" ref="P30:P32" ca="1" si="6">IF(OR(AND(K30="-",L30&lt;&gt;""),C30=TRUE),1,IF(OR(L30="",L30=0),"",RAND()))</f>
        <v/>
      </c>
      <c r="Q30" s="97" t="str">
        <f ca="1">IF(P30="","",IF(ROUNDUP(RANK(P30,$P$30:$P$45)/ROUND((COUNT($P$30:$P$45)/2),0),0)=1,"Comprehensive","Core"))</f>
        <v/>
      </c>
      <c r="R30" s="97"/>
      <c r="S30" s="127"/>
      <c r="T30" s="39"/>
      <c r="U30" s="99"/>
      <c r="V30" s="35"/>
      <c r="W30" s="246"/>
      <c r="X30" s="246"/>
      <c r="Y30" s="246"/>
      <c r="Z30" s="246"/>
      <c r="AA30" s="246"/>
      <c r="AB30" s="246"/>
    </row>
    <row r="31" spans="6:32" ht="45" customHeight="1">
      <c r="F31" s="400"/>
      <c r="G31" s="402"/>
      <c r="H31" s="123">
        <v>8.1999999999999993</v>
      </c>
      <c r="I31" s="123" t="s">
        <v>901</v>
      </c>
      <c r="J31" s="124" t="s">
        <v>939</v>
      </c>
      <c r="K31" s="125">
        <v>1</v>
      </c>
      <c r="L31" s="126"/>
      <c r="M31" s="41"/>
      <c r="N31" s="97" t="str">
        <f t="shared" si="4"/>
        <v/>
      </c>
      <c r="O31" s="97" t="str">
        <f t="shared" si="5"/>
        <v/>
      </c>
      <c r="P31" s="97" t="str">
        <f t="shared" ca="1" si="6"/>
        <v/>
      </c>
      <c r="Q31" s="97" t="str">
        <f t="shared" ref="Q31:Q45" ca="1" si="7">IF(P31="","",IF(ROUNDUP(RANK(P31,$P$30:$P$45)/ROUND((COUNT($P$30:$P$45)/2),0),0)=1,"Comprehensive","Core"))</f>
        <v/>
      </c>
      <c r="R31" s="97"/>
      <c r="S31" s="98"/>
      <c r="T31" s="39"/>
      <c r="U31" s="99"/>
      <c r="V31" s="35"/>
      <c r="W31" s="246"/>
      <c r="X31" s="246"/>
      <c r="Y31" s="246"/>
      <c r="Z31" s="246"/>
      <c r="AA31" s="246"/>
      <c r="AB31" s="246"/>
    </row>
    <row r="32" spans="6:32" ht="45" customHeight="1">
      <c r="F32" s="400"/>
      <c r="G32" s="403"/>
      <c r="H32" s="123">
        <v>8.3000000000000007</v>
      </c>
      <c r="I32" s="123" t="s">
        <v>56</v>
      </c>
      <c r="J32" s="124" t="s">
        <v>940</v>
      </c>
      <c r="K32" s="125">
        <v>2</v>
      </c>
      <c r="L32" s="126"/>
      <c r="M32" s="41"/>
      <c r="N32" s="97" t="str">
        <f t="shared" si="4"/>
        <v/>
      </c>
      <c r="O32" s="97" t="str">
        <f t="shared" si="5"/>
        <v/>
      </c>
      <c r="P32" s="97" t="str">
        <f t="shared" ca="1" si="6"/>
        <v/>
      </c>
      <c r="Q32" s="97" t="str">
        <f t="shared" ca="1" si="7"/>
        <v/>
      </c>
      <c r="R32" s="97"/>
      <c r="S32" s="98"/>
      <c r="T32" s="39"/>
      <c r="U32" s="99"/>
      <c r="V32" s="35"/>
      <c r="W32" s="246"/>
      <c r="X32" s="246"/>
      <c r="Y32" s="246"/>
      <c r="Z32" s="246"/>
      <c r="AA32" s="246"/>
      <c r="AB32" s="246"/>
    </row>
    <row r="33" spans="1:35" ht="45" customHeight="1">
      <c r="A33" s="26">
        <v>1</v>
      </c>
      <c r="B33" s="26">
        <f>IF(C33=TRUE,A33,0)</f>
        <v>0</v>
      </c>
      <c r="C33" s="26" t="b">
        <v>0</v>
      </c>
      <c r="F33" s="400" t="s">
        <v>941</v>
      </c>
      <c r="G33" s="401" t="s">
        <v>942</v>
      </c>
      <c r="H33" s="123">
        <v>9.1</v>
      </c>
      <c r="I33" s="123" t="s">
        <v>901</v>
      </c>
      <c r="J33" s="124" t="s">
        <v>943</v>
      </c>
      <c r="K33" s="125">
        <f>IF(C33=FALSE,A33,0)</f>
        <v>1</v>
      </c>
      <c r="L33" s="126"/>
      <c r="M33" s="41"/>
      <c r="N33" s="97" t="str">
        <f t="shared" si="4"/>
        <v/>
      </c>
      <c r="O33" s="97" t="str">
        <f t="shared" si="5"/>
        <v/>
      </c>
      <c r="P33" s="97" t="str">
        <f ca="1">IF(OR(AND(K33="-",L33&lt;&gt;""),C33=TRUE),1,IF(OR(L33="",L33=0),"",RAND()))</f>
        <v/>
      </c>
      <c r="Q33" s="97" t="str">
        <f t="shared" ca="1" si="7"/>
        <v/>
      </c>
      <c r="R33" s="97"/>
      <c r="S33" s="98"/>
      <c r="T33" s="39"/>
      <c r="U33" s="99"/>
      <c r="V33" s="35"/>
      <c r="W33" s="246"/>
      <c r="X33" s="246"/>
      <c r="Y33" s="246"/>
      <c r="Z33" s="246"/>
      <c r="AA33" s="246"/>
      <c r="AB33" s="246"/>
    </row>
    <row r="34" spans="1:35" ht="45" customHeight="1">
      <c r="A34" s="26">
        <v>1</v>
      </c>
      <c r="B34" s="26">
        <f>IF(C34=TRUE,A34,0)</f>
        <v>0</v>
      </c>
      <c r="C34" s="26" t="b">
        <v>0</v>
      </c>
      <c r="F34" s="400"/>
      <c r="G34" s="403"/>
      <c r="H34" s="123">
        <v>9.1999999999999993</v>
      </c>
      <c r="I34" s="123" t="s">
        <v>901</v>
      </c>
      <c r="J34" s="124" t="s">
        <v>944</v>
      </c>
      <c r="K34" s="125">
        <f>IF(C34=FALSE,A34,0)</f>
        <v>1</v>
      </c>
      <c r="L34" s="126"/>
      <c r="M34" s="41"/>
      <c r="N34" s="97" t="str">
        <f t="shared" si="4"/>
        <v/>
      </c>
      <c r="O34" s="97" t="str">
        <f t="shared" si="5"/>
        <v/>
      </c>
      <c r="P34" s="97" t="str">
        <f t="shared" ref="P34:P45" ca="1" si="8">IF(OR(AND(K34="-",L34&lt;&gt;""),C34=TRUE),1,IF(OR(L34="",L34=0),"",RAND()))</f>
        <v/>
      </c>
      <c r="Q34" s="97" t="str">
        <f t="shared" ca="1" si="7"/>
        <v/>
      </c>
      <c r="R34" s="97"/>
      <c r="S34" s="98"/>
      <c r="T34" s="39"/>
      <c r="U34" s="99"/>
      <c r="V34" s="35"/>
      <c r="W34" s="246"/>
      <c r="X34" s="246"/>
      <c r="Y34" s="246"/>
      <c r="Z34" s="246"/>
      <c r="AA34" s="246"/>
      <c r="AB34" s="246"/>
    </row>
    <row r="35" spans="1:35" ht="45" customHeight="1">
      <c r="F35" s="400" t="s">
        <v>945</v>
      </c>
      <c r="G35" s="401" t="s">
        <v>946</v>
      </c>
      <c r="H35" s="123">
        <v>10.1</v>
      </c>
      <c r="I35" s="123" t="s">
        <v>901</v>
      </c>
      <c r="J35" s="124" t="s">
        <v>947</v>
      </c>
      <c r="K35" s="125">
        <v>1</v>
      </c>
      <c r="L35" s="126"/>
      <c r="M35" s="41"/>
      <c r="N35" s="97" t="str">
        <f t="shared" si="4"/>
        <v/>
      </c>
      <c r="O35" s="97" t="str">
        <f t="shared" si="5"/>
        <v/>
      </c>
      <c r="P35" s="97" t="str">
        <f t="shared" ca="1" si="8"/>
        <v/>
      </c>
      <c r="Q35" s="97" t="str">
        <f t="shared" ca="1" si="7"/>
        <v/>
      </c>
      <c r="R35" s="97"/>
      <c r="S35" s="98"/>
      <c r="T35" s="39"/>
      <c r="U35" s="99"/>
      <c r="V35" s="35"/>
      <c r="W35" s="246"/>
      <c r="X35" s="246"/>
      <c r="Y35" s="246"/>
      <c r="Z35" s="246"/>
      <c r="AA35" s="246"/>
      <c r="AB35" s="246"/>
    </row>
    <row r="36" spans="1:35" ht="45" customHeight="1">
      <c r="F36" s="400"/>
      <c r="G36" s="403"/>
      <c r="H36" s="123">
        <v>10.199999999999999</v>
      </c>
      <c r="I36" s="123" t="s">
        <v>56</v>
      </c>
      <c r="J36" s="124" t="s">
        <v>948</v>
      </c>
      <c r="K36" s="125">
        <v>1</v>
      </c>
      <c r="L36" s="126"/>
      <c r="M36" s="41"/>
      <c r="N36" s="97" t="str">
        <f t="shared" si="4"/>
        <v/>
      </c>
      <c r="O36" s="97" t="str">
        <f t="shared" si="5"/>
        <v/>
      </c>
      <c r="P36" s="97" t="str">
        <f t="shared" ca="1" si="8"/>
        <v/>
      </c>
      <c r="Q36" s="97" t="str">
        <f t="shared" ca="1" si="7"/>
        <v/>
      </c>
      <c r="R36" s="97"/>
      <c r="S36" s="98"/>
      <c r="T36" s="39"/>
      <c r="U36" s="99"/>
      <c r="V36" s="35"/>
      <c r="W36" s="246"/>
      <c r="X36" s="246"/>
      <c r="Y36" s="246"/>
      <c r="Z36" s="246"/>
      <c r="AA36" s="246"/>
      <c r="AB36" s="246"/>
    </row>
    <row r="37" spans="1:35" ht="45" customHeight="1">
      <c r="F37" s="400" t="s">
        <v>949</v>
      </c>
      <c r="G37" s="401" t="s">
        <v>950</v>
      </c>
      <c r="H37" s="123">
        <v>11.1</v>
      </c>
      <c r="I37" s="123" t="s">
        <v>910</v>
      </c>
      <c r="J37" s="124" t="s">
        <v>951</v>
      </c>
      <c r="K37" s="125">
        <v>1</v>
      </c>
      <c r="L37" s="126"/>
      <c r="M37" s="41"/>
      <c r="N37" s="97" t="str">
        <f t="shared" si="4"/>
        <v/>
      </c>
      <c r="O37" s="97" t="str">
        <f t="shared" si="5"/>
        <v/>
      </c>
      <c r="P37" s="97" t="str">
        <f t="shared" ca="1" si="8"/>
        <v/>
      </c>
      <c r="Q37" s="97" t="str">
        <f t="shared" ca="1" si="7"/>
        <v/>
      </c>
      <c r="R37" s="97"/>
      <c r="S37" s="98"/>
      <c r="T37" s="39"/>
      <c r="U37" s="99"/>
      <c r="V37" s="35"/>
      <c r="W37" s="246"/>
      <c r="X37" s="246"/>
      <c r="Y37" s="246"/>
      <c r="Z37" s="246"/>
      <c r="AA37" s="246"/>
      <c r="AB37" s="246"/>
    </row>
    <row r="38" spans="1:35" ht="45" customHeight="1">
      <c r="F38" s="400"/>
      <c r="G38" s="403"/>
      <c r="H38" s="123">
        <v>11.2</v>
      </c>
      <c r="I38" s="123" t="s">
        <v>910</v>
      </c>
      <c r="J38" s="124" t="s">
        <v>952</v>
      </c>
      <c r="K38" s="125">
        <v>1</v>
      </c>
      <c r="L38" s="126"/>
      <c r="M38" s="41"/>
      <c r="N38" s="97" t="str">
        <f t="shared" si="4"/>
        <v/>
      </c>
      <c r="O38" s="97" t="str">
        <f t="shared" si="5"/>
        <v/>
      </c>
      <c r="P38" s="97" t="str">
        <f t="shared" ca="1" si="8"/>
        <v/>
      </c>
      <c r="Q38" s="97" t="str">
        <f t="shared" ca="1" si="7"/>
        <v/>
      </c>
      <c r="R38" s="97"/>
      <c r="S38" s="98"/>
      <c r="T38" s="39"/>
      <c r="U38" s="99"/>
      <c r="V38" s="35"/>
      <c r="W38" s="246"/>
      <c r="X38" s="246"/>
      <c r="Y38" s="246"/>
      <c r="Z38" s="246"/>
      <c r="AA38" s="246"/>
      <c r="AB38" s="246"/>
    </row>
    <row r="39" spans="1:35" ht="45" customHeight="1">
      <c r="F39" s="400" t="s">
        <v>953</v>
      </c>
      <c r="G39" s="383" t="s">
        <v>954</v>
      </c>
      <c r="H39" s="123" t="s">
        <v>955</v>
      </c>
      <c r="I39" s="123" t="s">
        <v>56</v>
      </c>
      <c r="J39" s="124" t="s">
        <v>956</v>
      </c>
      <c r="K39" s="125">
        <f>IF($G$39=$AD$39,2,0)</f>
        <v>2</v>
      </c>
      <c r="L39" s="126"/>
      <c r="M39" s="41"/>
      <c r="N39" s="97" t="str">
        <f t="shared" si="4"/>
        <v/>
      </c>
      <c r="O39" s="97" t="str">
        <f t="shared" si="5"/>
        <v/>
      </c>
      <c r="P39" s="97" t="str">
        <f t="shared" ca="1" si="8"/>
        <v/>
      </c>
      <c r="Q39" s="97" t="str">
        <f t="shared" ca="1" si="7"/>
        <v/>
      </c>
      <c r="R39" s="97"/>
      <c r="S39" s="98"/>
      <c r="T39" s="39"/>
      <c r="U39" s="99"/>
      <c r="V39" s="35"/>
      <c r="W39" s="246"/>
      <c r="X39" s="246"/>
      <c r="Y39" s="246"/>
      <c r="Z39" s="246"/>
      <c r="AA39" s="246"/>
      <c r="AB39" s="246"/>
      <c r="AD39" s="250" t="s">
        <v>954</v>
      </c>
    </row>
    <row r="40" spans="1:35" ht="45" customHeight="1">
      <c r="F40" s="400"/>
      <c r="G40" s="384"/>
      <c r="H40" s="123" t="s">
        <v>957</v>
      </c>
      <c r="I40" s="123" t="s">
        <v>56</v>
      </c>
      <c r="J40" s="124" t="s">
        <v>958</v>
      </c>
      <c r="K40" s="125">
        <f>IF($G$39=$AD$39,1,0)</f>
        <v>1</v>
      </c>
      <c r="L40" s="126"/>
      <c r="M40" s="41"/>
      <c r="N40" s="97" t="str">
        <f t="shared" si="4"/>
        <v/>
      </c>
      <c r="O40" s="97" t="str">
        <f t="shared" si="5"/>
        <v/>
      </c>
      <c r="P40" s="97" t="str">
        <f t="shared" ca="1" si="8"/>
        <v/>
      </c>
      <c r="Q40" s="97" t="str">
        <f t="shared" ca="1" si="7"/>
        <v/>
      </c>
      <c r="R40" s="97"/>
      <c r="S40" s="98"/>
      <c r="T40" s="39"/>
      <c r="U40" s="99"/>
      <c r="V40" s="35"/>
      <c r="W40" s="246"/>
      <c r="X40" s="246"/>
      <c r="Y40" s="246"/>
      <c r="Z40" s="246"/>
      <c r="AA40" s="246"/>
      <c r="AB40" s="246"/>
      <c r="AD40" s="250" t="s">
        <v>959</v>
      </c>
    </row>
    <row r="41" spans="1:35" ht="45" customHeight="1">
      <c r="F41" s="400"/>
      <c r="G41" s="384"/>
      <c r="H41" s="123" t="s">
        <v>960</v>
      </c>
      <c r="I41" s="123" t="s">
        <v>56</v>
      </c>
      <c r="J41" s="124" t="s">
        <v>1068</v>
      </c>
      <c r="K41" s="125">
        <f>IF($G$39=$AD$40,2,0)</f>
        <v>0</v>
      </c>
      <c r="L41" s="126"/>
      <c r="M41" s="41"/>
      <c r="N41" s="97" t="str">
        <f t="shared" si="4"/>
        <v/>
      </c>
      <c r="O41" s="97" t="str">
        <f t="shared" si="5"/>
        <v/>
      </c>
      <c r="P41" s="97" t="str">
        <f t="shared" ca="1" si="8"/>
        <v/>
      </c>
      <c r="Q41" s="97" t="str">
        <f t="shared" ca="1" si="7"/>
        <v/>
      </c>
      <c r="R41" s="97"/>
      <c r="S41" s="98"/>
      <c r="T41" s="39"/>
      <c r="U41" s="99"/>
      <c r="V41" s="35"/>
      <c r="W41" s="246"/>
      <c r="X41" s="246"/>
      <c r="Y41" s="246"/>
      <c r="Z41" s="246"/>
      <c r="AA41" s="246"/>
      <c r="AB41" s="246"/>
    </row>
    <row r="42" spans="1:35" ht="45" customHeight="1">
      <c r="F42" s="400"/>
      <c r="G42" s="385"/>
      <c r="H42" s="123" t="s">
        <v>962</v>
      </c>
      <c r="I42" s="123" t="s">
        <v>56</v>
      </c>
      <c r="J42" s="124" t="s">
        <v>1069</v>
      </c>
      <c r="K42" s="125">
        <f>IF($G$39=$AD$40,1,0)</f>
        <v>0</v>
      </c>
      <c r="L42" s="126"/>
      <c r="M42" s="41"/>
      <c r="N42" s="97" t="str">
        <f t="shared" si="4"/>
        <v/>
      </c>
      <c r="O42" s="97" t="str">
        <f t="shared" si="5"/>
        <v/>
      </c>
      <c r="P42" s="97" t="str">
        <f t="shared" ca="1" si="8"/>
        <v/>
      </c>
      <c r="Q42" s="97" t="str">
        <f t="shared" ca="1" si="7"/>
        <v/>
      </c>
      <c r="R42" s="97"/>
      <c r="S42" s="98"/>
      <c r="T42" s="39"/>
      <c r="U42" s="99"/>
      <c r="V42" s="35"/>
      <c r="W42" s="246"/>
      <c r="X42" s="246"/>
      <c r="Y42" s="246"/>
      <c r="Z42" s="246"/>
      <c r="AA42" s="246"/>
      <c r="AB42" s="246"/>
    </row>
    <row r="43" spans="1:35" ht="45" customHeight="1">
      <c r="F43" s="128" t="s">
        <v>964</v>
      </c>
      <c r="G43" s="124" t="s">
        <v>965</v>
      </c>
      <c r="H43" s="123">
        <v>13.1</v>
      </c>
      <c r="I43" s="123" t="s">
        <v>56</v>
      </c>
      <c r="J43" s="124" t="s">
        <v>966</v>
      </c>
      <c r="K43" s="125">
        <v>1</v>
      </c>
      <c r="L43" s="126"/>
      <c r="M43" s="41"/>
      <c r="N43" s="97" t="str">
        <f t="shared" si="4"/>
        <v/>
      </c>
      <c r="O43" s="97" t="str">
        <f t="shared" si="5"/>
        <v/>
      </c>
      <c r="P43" s="97" t="str">
        <f t="shared" ca="1" si="8"/>
        <v/>
      </c>
      <c r="Q43" s="97" t="str">
        <f t="shared" ca="1" si="7"/>
        <v/>
      </c>
      <c r="R43" s="97"/>
      <c r="S43" s="98"/>
      <c r="T43" s="39"/>
      <c r="U43" s="99"/>
      <c r="V43" s="35"/>
      <c r="W43" s="246"/>
      <c r="X43" s="246"/>
      <c r="Y43" s="246"/>
      <c r="Z43" s="246"/>
      <c r="AA43" s="246"/>
      <c r="AB43" s="246"/>
    </row>
    <row r="44" spans="1:35" ht="45" customHeight="1">
      <c r="F44" s="400" t="s">
        <v>967</v>
      </c>
      <c r="G44" s="401" t="s">
        <v>968</v>
      </c>
      <c r="H44" s="123">
        <v>14.1</v>
      </c>
      <c r="I44" s="123" t="s">
        <v>901</v>
      </c>
      <c r="J44" s="124" t="s">
        <v>969</v>
      </c>
      <c r="K44" s="125">
        <v>1</v>
      </c>
      <c r="L44" s="126"/>
      <c r="M44" s="41"/>
      <c r="N44" s="97" t="str">
        <f t="shared" si="4"/>
        <v/>
      </c>
      <c r="O44" s="97" t="str">
        <f t="shared" si="5"/>
        <v/>
      </c>
      <c r="P44" s="97" t="str">
        <f t="shared" ca="1" si="8"/>
        <v/>
      </c>
      <c r="Q44" s="97" t="str">
        <f t="shared" ca="1" si="7"/>
        <v/>
      </c>
      <c r="R44" s="97"/>
      <c r="S44" s="98"/>
      <c r="T44" s="39"/>
      <c r="U44" s="99"/>
      <c r="V44" s="35"/>
      <c r="W44" s="246"/>
      <c r="X44" s="246"/>
      <c r="Y44" s="246"/>
      <c r="Z44" s="246"/>
      <c r="AA44" s="246"/>
      <c r="AB44" s="246"/>
    </row>
    <row r="45" spans="1:35" ht="45" customHeight="1">
      <c r="F45" s="400"/>
      <c r="G45" s="403"/>
      <c r="H45" s="123">
        <v>14.2</v>
      </c>
      <c r="I45" s="123" t="s">
        <v>56</v>
      </c>
      <c r="J45" s="124" t="s">
        <v>970</v>
      </c>
      <c r="K45" s="125">
        <v>3</v>
      </c>
      <c r="L45" s="126"/>
      <c r="M45" s="41"/>
      <c r="N45" s="97" t="str">
        <f t="shared" si="4"/>
        <v/>
      </c>
      <c r="O45" s="97" t="str">
        <f t="shared" si="5"/>
        <v/>
      </c>
      <c r="P45" s="97" t="str">
        <f t="shared" ca="1" si="8"/>
        <v/>
      </c>
      <c r="Q45" s="97" t="str">
        <f t="shared" ca="1" si="7"/>
        <v/>
      </c>
      <c r="R45" s="97"/>
      <c r="S45" s="98"/>
      <c r="T45" s="39"/>
      <c r="U45" s="99"/>
      <c r="V45" s="35"/>
      <c r="W45" s="246"/>
      <c r="X45" s="246"/>
      <c r="Y45" s="246"/>
      <c r="Z45" s="246"/>
      <c r="AA45" s="246"/>
      <c r="AB45" s="246"/>
    </row>
    <row r="46" spans="1:35" ht="45" customHeight="1">
      <c r="F46" s="83" t="s">
        <v>486</v>
      </c>
      <c r="G46" s="129"/>
      <c r="H46" s="130"/>
      <c r="I46" s="130"/>
      <c r="J46" s="129"/>
      <c r="K46" s="131">
        <f>SUM(K30:K45)</f>
        <v>18</v>
      </c>
      <c r="L46" s="132">
        <f>SUM(L30:L45)</f>
        <v>0</v>
      </c>
      <c r="M46" s="40"/>
      <c r="N46" s="132">
        <f t="shared" ref="N46:O46" si="9">SUM(N30:N45)</f>
        <v>0</v>
      </c>
      <c r="O46" s="131">
        <f t="shared" si="9"/>
        <v>0</v>
      </c>
      <c r="P46" s="104"/>
      <c r="Q46" s="15"/>
      <c r="R46" s="15"/>
      <c r="S46" s="116"/>
      <c r="T46" s="39"/>
      <c r="U46" s="54"/>
      <c r="V46" s="35"/>
      <c r="W46" s="39"/>
      <c r="X46" s="39"/>
      <c r="Y46" s="39"/>
      <c r="Z46" s="39"/>
      <c r="AA46" s="39"/>
      <c r="AB46" s="39"/>
    </row>
    <row r="47" spans="1:35" ht="45" customHeight="1">
      <c r="F47" s="109"/>
      <c r="G47" s="110"/>
      <c r="H47" s="111"/>
      <c r="I47" s="111"/>
      <c r="J47" s="110"/>
      <c r="K47" s="112"/>
      <c r="L47" s="113"/>
      <c r="M47" s="41"/>
      <c r="N47" s="114"/>
      <c r="O47" s="115"/>
      <c r="P47" s="115"/>
      <c r="Q47" s="112"/>
      <c r="R47" s="112"/>
      <c r="S47" s="116"/>
      <c r="T47" s="39"/>
      <c r="U47" s="54"/>
      <c r="V47" s="35"/>
      <c r="W47" s="39"/>
      <c r="X47" s="39"/>
      <c r="Y47" s="39"/>
      <c r="Z47" s="39"/>
      <c r="AA47" s="39"/>
      <c r="AB47" s="39"/>
    </row>
    <row r="48" spans="1:35" ht="45" customHeight="1">
      <c r="F48" s="25" t="s">
        <v>655</v>
      </c>
      <c r="G48" s="117"/>
      <c r="H48" s="117"/>
      <c r="I48" s="117"/>
      <c r="J48" s="117"/>
      <c r="K48" s="117"/>
      <c r="L48" s="118"/>
      <c r="M48" s="41"/>
      <c r="N48" s="119"/>
      <c r="O48" s="119"/>
      <c r="P48" s="119"/>
      <c r="Q48" s="87" t="str">
        <f>CONCATENATE(COUNTIF(Q49:Q55,"Comprehensive")," Comprehensive",CHAR(10),COUNTIF(Q49:Q55,"Core")," Core")</f>
        <v>0 Comprehensive
0 Core</v>
      </c>
      <c r="R48" s="120"/>
      <c r="S48" s="121"/>
      <c r="T48" s="39"/>
      <c r="U48" s="122"/>
      <c r="V48" s="35"/>
      <c r="W48" s="245"/>
      <c r="X48" s="245"/>
      <c r="Y48" s="245"/>
      <c r="Z48" s="245"/>
      <c r="AA48" s="245"/>
      <c r="AB48" s="245"/>
      <c r="AF48" s="311" t="s">
        <v>706</v>
      </c>
      <c r="AG48" s="311" t="s">
        <v>708</v>
      </c>
      <c r="AH48" s="441" t="s">
        <v>714</v>
      </c>
      <c r="AI48" s="258"/>
    </row>
    <row r="49" spans="6:35" ht="45" customHeight="1">
      <c r="F49" s="397" t="s">
        <v>971</v>
      </c>
      <c r="G49" s="383" t="s">
        <v>972</v>
      </c>
      <c r="H49" s="133" t="s">
        <v>717</v>
      </c>
      <c r="I49" s="134" t="s">
        <v>56</v>
      </c>
      <c r="J49" s="135" t="s">
        <v>973</v>
      </c>
      <c r="K49" s="137">
        <f>IF($G$49=AD49,23,0)</f>
        <v>0</v>
      </c>
      <c r="L49" s="95"/>
      <c r="M49" s="41"/>
      <c r="N49" s="97" t="str">
        <f t="shared" ref="N49:N54" si="10">IF(OR(S49=$AD$12,S49=$AD$13),L49,"")</f>
        <v/>
      </c>
      <c r="O49" s="97" t="str">
        <f t="shared" ref="O49:O54" si="11">IF(S49=$AD$14,L49,"")</f>
        <v/>
      </c>
      <c r="P49" s="97" t="str">
        <f t="shared" ref="P49:P55" si="12">IF(L49="","",1)</f>
        <v/>
      </c>
      <c r="Q49" s="97" t="str">
        <f>IF(P49="","",IF(ROUNDUP(RANK(P49,$P$49:$P$55)/ROUND((COUNT($P$49:$P$55)/2),0),0)=1,"Comprehensive","Core"))</f>
        <v/>
      </c>
      <c r="R49" s="97"/>
      <c r="S49" s="127"/>
      <c r="T49" s="167"/>
      <c r="U49" s="99"/>
      <c r="V49" s="35"/>
      <c r="W49" s="246"/>
      <c r="X49" s="246"/>
      <c r="Y49" s="246"/>
      <c r="Z49" s="246"/>
      <c r="AA49" s="246"/>
      <c r="AB49" s="246"/>
      <c r="AD49" s="250" t="s">
        <v>974</v>
      </c>
      <c r="AE49" s="253" t="s">
        <v>717</v>
      </c>
      <c r="AF49" s="256">
        <v>8</v>
      </c>
      <c r="AG49" s="256">
        <v>9</v>
      </c>
      <c r="AH49" s="250" t="s">
        <v>738</v>
      </c>
      <c r="AI49" s="254" t="str">
        <f>VLOOKUP(G49,AD49:AE52,2,FALSE)</f>
        <v>15B</v>
      </c>
    </row>
    <row r="50" spans="6:35" ht="45" customHeight="1">
      <c r="F50" s="398"/>
      <c r="G50" s="384"/>
      <c r="H50" s="133" t="s">
        <v>720</v>
      </c>
      <c r="I50" s="134" t="s">
        <v>56</v>
      </c>
      <c r="J50" s="135" t="s">
        <v>975</v>
      </c>
      <c r="K50" s="137">
        <f>IF($G$49=AD50,23,0)</f>
        <v>23</v>
      </c>
      <c r="L50" s="95"/>
      <c r="M50" s="41"/>
      <c r="N50" s="97" t="str">
        <f t="shared" si="10"/>
        <v/>
      </c>
      <c r="O50" s="97" t="str">
        <f t="shared" si="11"/>
        <v/>
      </c>
      <c r="P50" s="97" t="str">
        <f t="shared" si="12"/>
        <v/>
      </c>
      <c r="Q50" s="97" t="str">
        <f t="shared" ref="Q50:Q55" si="13">IF(P50="","",IF(ROUNDUP(RANK(P50,$P$49:$P$55)/ROUND((COUNT($P$49:$P$55)/2),0),0)=1,"Comprehensive","Core"))</f>
        <v/>
      </c>
      <c r="R50" s="97"/>
      <c r="S50" s="98"/>
      <c r="T50" s="39"/>
      <c r="U50" s="99"/>
      <c r="V50" s="35"/>
      <c r="W50" s="246"/>
      <c r="X50" s="246"/>
      <c r="Y50" s="246"/>
      <c r="Z50" s="246"/>
      <c r="AA50" s="246"/>
      <c r="AB50" s="246"/>
      <c r="AD50" s="250" t="s">
        <v>972</v>
      </c>
      <c r="AE50" s="253" t="s">
        <v>720</v>
      </c>
      <c r="AF50" s="256">
        <v>8</v>
      </c>
      <c r="AG50" s="256">
        <v>9</v>
      </c>
      <c r="AH50" s="250" t="s">
        <v>743</v>
      </c>
      <c r="AI50" s="254">
        <f>VLOOKUP(AI49,AE49:AF52,2,FALSE)</f>
        <v>8</v>
      </c>
    </row>
    <row r="51" spans="6:35" ht="45" customHeight="1">
      <c r="F51" s="398"/>
      <c r="G51" s="384"/>
      <c r="H51" s="133" t="s">
        <v>722</v>
      </c>
      <c r="I51" s="134" t="s">
        <v>56</v>
      </c>
      <c r="J51" s="135" t="s">
        <v>976</v>
      </c>
      <c r="K51" s="137">
        <f>IF($G$49=AD51,23,0)</f>
        <v>0</v>
      </c>
      <c r="L51" s="95"/>
      <c r="M51" s="41"/>
      <c r="N51" s="97" t="str">
        <f t="shared" si="10"/>
        <v/>
      </c>
      <c r="O51" s="97" t="str">
        <f t="shared" si="11"/>
        <v/>
      </c>
      <c r="P51" s="97" t="str">
        <f t="shared" si="12"/>
        <v/>
      </c>
      <c r="Q51" s="97" t="str">
        <f t="shared" si="13"/>
        <v/>
      </c>
      <c r="R51" s="97"/>
      <c r="S51" s="98"/>
      <c r="T51" s="39"/>
      <c r="U51" s="99"/>
      <c r="V51" s="35"/>
      <c r="W51" s="246"/>
      <c r="X51" s="246"/>
      <c r="Y51" s="246"/>
      <c r="Z51" s="246"/>
      <c r="AA51" s="246"/>
      <c r="AB51" s="246"/>
      <c r="AD51" s="250" t="s">
        <v>977</v>
      </c>
      <c r="AE51" s="253" t="s">
        <v>722</v>
      </c>
      <c r="AF51" s="256">
        <v>8</v>
      </c>
      <c r="AG51" s="256">
        <v>9</v>
      </c>
      <c r="AH51" s="250" t="s">
        <v>748</v>
      </c>
      <c r="AI51" s="254">
        <f>VLOOKUP(AI49,H49:L52,5,FALSE)</f>
        <v>0</v>
      </c>
    </row>
    <row r="52" spans="6:35" ht="45" customHeight="1">
      <c r="F52" s="399"/>
      <c r="G52" s="385"/>
      <c r="H52" s="133" t="s">
        <v>724</v>
      </c>
      <c r="I52" s="134" t="s">
        <v>56</v>
      </c>
      <c r="J52" s="135" t="s">
        <v>978</v>
      </c>
      <c r="K52" s="137">
        <f>IF($G$49=AD52,23,0)</f>
        <v>0</v>
      </c>
      <c r="L52" s="95"/>
      <c r="M52" s="41"/>
      <c r="N52" s="97" t="str">
        <f t="shared" si="10"/>
        <v/>
      </c>
      <c r="O52" s="97" t="str">
        <f t="shared" si="11"/>
        <v/>
      </c>
      <c r="P52" s="97" t="str">
        <f t="shared" si="12"/>
        <v/>
      </c>
      <c r="Q52" s="97" t="str">
        <f t="shared" si="13"/>
        <v/>
      </c>
      <c r="R52" s="97"/>
      <c r="S52" s="98"/>
      <c r="T52" s="39"/>
      <c r="U52" s="99"/>
      <c r="V52" s="35"/>
      <c r="W52" s="246"/>
      <c r="X52" s="246"/>
      <c r="Y52" s="246"/>
      <c r="Z52" s="246"/>
      <c r="AA52" s="246"/>
      <c r="AB52" s="246"/>
      <c r="AD52" s="250" t="s">
        <v>979</v>
      </c>
      <c r="AE52" s="253" t="s">
        <v>724</v>
      </c>
      <c r="AF52" s="256">
        <v>8</v>
      </c>
      <c r="AG52" s="256">
        <v>9</v>
      </c>
      <c r="AH52" s="250" t="s">
        <v>753</v>
      </c>
      <c r="AI52" s="254" t="str">
        <f>IF(AND($L$4&gt;=44.5,OR(AI51&lt;=AI50,AI51=0)),"No","")</f>
        <v/>
      </c>
    </row>
    <row r="53" spans="6:35" ht="45" customHeight="1">
      <c r="F53" s="380" t="s">
        <v>980</v>
      </c>
      <c r="G53" s="383" t="s">
        <v>983</v>
      </c>
      <c r="H53" s="133" t="s">
        <v>982</v>
      </c>
      <c r="I53" s="134" t="s">
        <v>56</v>
      </c>
      <c r="J53" s="135" t="s">
        <v>976</v>
      </c>
      <c r="K53" s="137">
        <f>IF(G53=AD53,1,0)</f>
        <v>1</v>
      </c>
      <c r="L53" s="95"/>
      <c r="M53" s="41"/>
      <c r="N53" s="97" t="str">
        <f t="shared" si="10"/>
        <v/>
      </c>
      <c r="O53" s="97" t="str">
        <f t="shared" si="11"/>
        <v/>
      </c>
      <c r="P53" s="97" t="str">
        <f>IF(L53="","",1)</f>
        <v/>
      </c>
      <c r="Q53" s="97" t="str">
        <f t="shared" si="13"/>
        <v/>
      </c>
      <c r="R53" s="97"/>
      <c r="S53" s="98"/>
      <c r="T53" s="39"/>
      <c r="U53" s="99"/>
      <c r="V53" s="35"/>
      <c r="W53" s="246"/>
      <c r="X53" s="246"/>
      <c r="Y53" s="246"/>
      <c r="Z53" s="246"/>
      <c r="AA53" s="246"/>
      <c r="AB53" s="246"/>
      <c r="AD53" s="250" t="s">
        <v>983</v>
      </c>
    </row>
    <row r="54" spans="6:35" ht="45" customHeight="1">
      <c r="F54" s="381"/>
      <c r="G54" s="384"/>
      <c r="H54" s="123" t="s">
        <v>984</v>
      </c>
      <c r="I54" s="125" t="s">
        <v>56</v>
      </c>
      <c r="J54" s="124" t="s">
        <v>978</v>
      </c>
      <c r="K54" s="137">
        <f>IF(G53=AD54,1,0)</f>
        <v>0</v>
      </c>
      <c r="L54" s="95"/>
      <c r="M54" s="41"/>
      <c r="N54" s="97" t="str">
        <f t="shared" si="10"/>
        <v/>
      </c>
      <c r="O54" s="97" t="str">
        <f t="shared" si="11"/>
        <v/>
      </c>
      <c r="P54" s="97" t="str">
        <f t="shared" si="12"/>
        <v/>
      </c>
      <c r="Q54" s="97" t="str">
        <f>IF(P54="","",IF(ROUNDUP(RANK(P54,$P$49:$P$55)/ROUND((COUNT($P$49:$P$55)/2),0),0)=1,"Comprehensive","Core"))</f>
        <v/>
      </c>
      <c r="R54" s="97"/>
      <c r="S54" s="98"/>
      <c r="T54" s="39"/>
      <c r="U54" s="99"/>
      <c r="V54" s="35"/>
      <c r="W54" s="246"/>
      <c r="X54" s="246"/>
      <c r="Y54" s="246"/>
      <c r="Z54" s="246"/>
      <c r="AA54" s="246"/>
      <c r="AB54" s="246"/>
      <c r="AD54" s="250" t="s">
        <v>981</v>
      </c>
    </row>
    <row r="55" spans="6:35" ht="45" customHeight="1">
      <c r="F55" s="382"/>
      <c r="G55" s="385"/>
      <c r="H55" s="123" t="s">
        <v>53</v>
      </c>
      <c r="I55" s="125" t="s">
        <v>56</v>
      </c>
      <c r="J55" s="124" t="s">
        <v>985</v>
      </c>
      <c r="K55" s="137">
        <f>IF(G53=AD55,1,0)</f>
        <v>0</v>
      </c>
      <c r="L55" s="95"/>
      <c r="M55" s="41"/>
      <c r="N55" s="97" t="str">
        <f t="shared" ref="N55" si="14">IF(OR(S55=$AD$12,S55=$AD$13),L55,"")</f>
        <v/>
      </c>
      <c r="O55" s="97" t="str">
        <f t="shared" ref="O55" si="15">IF(S55=$AD$14,L55,"")</f>
        <v/>
      </c>
      <c r="P55" s="97" t="str">
        <f t="shared" si="12"/>
        <v/>
      </c>
      <c r="Q55" s="97" t="str">
        <f t="shared" si="13"/>
        <v/>
      </c>
      <c r="R55" s="97"/>
      <c r="S55" s="98"/>
      <c r="T55" s="39"/>
      <c r="U55" s="99"/>
      <c r="V55" s="35"/>
      <c r="W55" s="246"/>
      <c r="X55" s="246"/>
      <c r="Y55" s="246"/>
      <c r="Z55" s="246"/>
      <c r="AA55" s="246"/>
      <c r="AB55" s="246"/>
      <c r="AD55" s="252" t="s">
        <v>986</v>
      </c>
    </row>
    <row r="56" spans="6:35" ht="45" customHeight="1">
      <c r="F56" s="83" t="s">
        <v>486</v>
      </c>
      <c r="G56" s="83"/>
      <c r="H56" s="83"/>
      <c r="I56" s="83"/>
      <c r="J56" s="83"/>
      <c r="K56" s="80">
        <f>SUM(K49:K55)</f>
        <v>24</v>
      </c>
      <c r="L56" s="138">
        <f>SUM(L49:L55)</f>
        <v>0</v>
      </c>
      <c r="M56" s="139"/>
      <c r="N56" s="138">
        <f>SUM(N49:N55)</f>
        <v>0</v>
      </c>
      <c r="O56" s="80">
        <f>SUM(O49:O55)</f>
        <v>0</v>
      </c>
      <c r="P56" s="104"/>
      <c r="Q56" s="70"/>
      <c r="R56" s="70"/>
      <c r="S56" s="116"/>
      <c r="T56" s="39"/>
      <c r="U56" s="54"/>
      <c r="V56" s="35"/>
      <c r="W56" s="39"/>
      <c r="X56" s="39"/>
      <c r="Y56" s="39"/>
      <c r="Z56" s="39"/>
      <c r="AA56" s="39"/>
      <c r="AB56" s="39"/>
    </row>
    <row r="57" spans="6:35" ht="45" customHeight="1">
      <c r="F57" s="109"/>
      <c r="G57" s="110"/>
      <c r="H57" s="111"/>
      <c r="I57" s="111"/>
      <c r="J57" s="110"/>
      <c r="K57" s="112"/>
      <c r="L57" s="113"/>
      <c r="M57" s="41"/>
      <c r="N57" s="114"/>
      <c r="O57" s="115"/>
      <c r="P57" s="115"/>
      <c r="Q57" s="112"/>
      <c r="R57" s="112"/>
      <c r="S57" s="116"/>
      <c r="T57" s="39"/>
      <c r="U57" s="54"/>
      <c r="V57" s="35"/>
      <c r="W57" s="39"/>
      <c r="X57" s="39"/>
      <c r="Y57" s="39"/>
      <c r="Z57" s="39"/>
      <c r="AA57" s="39"/>
      <c r="AB57" s="39"/>
    </row>
    <row r="58" spans="6:35" ht="45" customHeight="1">
      <c r="F58" s="25" t="s">
        <v>987</v>
      </c>
      <c r="G58" s="117"/>
      <c r="H58" s="117"/>
      <c r="I58" s="117"/>
      <c r="J58" s="117"/>
      <c r="K58" s="117"/>
      <c r="L58" s="118"/>
      <c r="M58" s="41"/>
      <c r="N58" s="119"/>
      <c r="O58" s="119"/>
      <c r="P58" s="87"/>
      <c r="Q58" s="87" t="str">
        <f ca="1">CONCATENATE(COUNTIF(Q59:Q64,"Comprehensive")," Comprehensive",CHAR(10),COUNTIF(Q59:Q64,"Core")," Core")</f>
        <v>0 Comprehensive
0 Core</v>
      </c>
      <c r="R58" s="120"/>
      <c r="S58" s="121"/>
      <c r="T58" s="39"/>
      <c r="U58" s="122"/>
      <c r="V58" s="35"/>
      <c r="W58" s="245"/>
      <c r="X58" s="245"/>
      <c r="Y58" s="245"/>
      <c r="Z58" s="245"/>
      <c r="AA58" s="245"/>
      <c r="AB58" s="245"/>
    </row>
    <row r="59" spans="6:35" ht="45" customHeight="1">
      <c r="F59" s="379" t="s">
        <v>988</v>
      </c>
      <c r="G59" s="388" t="s">
        <v>989</v>
      </c>
      <c r="H59" s="125">
        <v>17.100000000000001</v>
      </c>
      <c r="I59" s="125" t="s">
        <v>920</v>
      </c>
      <c r="J59" s="124" t="s">
        <v>990</v>
      </c>
      <c r="K59" s="137">
        <v>1</v>
      </c>
      <c r="L59" s="95"/>
      <c r="M59" s="41"/>
      <c r="N59" s="97" t="str">
        <f t="shared" ref="N59:N64" si="16">IF(OR(S59=$AD$12,S59=$AD$13),L59,"")</f>
        <v/>
      </c>
      <c r="O59" s="97" t="str">
        <f t="shared" ref="O59:O64" si="17">IF(S59=$AD$14,L59,"")</f>
        <v/>
      </c>
      <c r="P59" s="97" t="str">
        <f t="shared" ref="P59:P64" ca="1" si="18">IF(OR(AND(K59="-",L59&lt;&gt;""),C59=TRUE),1,IF(OR(L59="",L59=0),"",RAND()))</f>
        <v/>
      </c>
      <c r="Q59" s="97" t="str">
        <f ca="1">IF(P59="","",IF(ROUNDUP(RANK(P59,$P$59:$P$64)/ROUND((COUNT($P$59:$P$64)/2),0),0)=1,"Comprehensive","Core"))</f>
        <v/>
      </c>
      <c r="R59" s="97"/>
      <c r="S59" s="127"/>
      <c r="T59" s="39"/>
      <c r="U59" s="99"/>
      <c r="V59" s="35"/>
      <c r="W59" s="246"/>
      <c r="X59" s="246"/>
      <c r="Y59" s="246"/>
      <c r="Z59" s="246"/>
      <c r="AA59" s="246"/>
      <c r="AB59" s="246"/>
    </row>
    <row r="60" spans="6:35" ht="45" customHeight="1">
      <c r="F60" s="379"/>
      <c r="G60" s="388"/>
      <c r="H60" s="125">
        <v>17.2</v>
      </c>
      <c r="I60" s="125" t="s">
        <v>920</v>
      </c>
      <c r="J60" s="124" t="s">
        <v>991</v>
      </c>
      <c r="K60" s="137">
        <v>1</v>
      </c>
      <c r="L60" s="95"/>
      <c r="M60" s="41"/>
      <c r="N60" s="97" t="str">
        <f t="shared" si="16"/>
        <v/>
      </c>
      <c r="O60" s="97" t="str">
        <f t="shared" si="17"/>
        <v/>
      </c>
      <c r="P60" s="97" t="str">
        <f t="shared" ca="1" si="18"/>
        <v/>
      </c>
      <c r="Q60" s="97" t="str">
        <f t="shared" ref="Q60:Q64" ca="1" si="19">IF(P60="","",IF(ROUNDUP(RANK(P60,$P$59:$P$64)/ROUND((COUNT($P$59:$P$64)/2),0),0)=1,"Comprehensive","Core"))</f>
        <v/>
      </c>
      <c r="R60" s="97"/>
      <c r="S60" s="127"/>
      <c r="T60" s="39"/>
      <c r="U60" s="99"/>
      <c r="V60" s="35"/>
      <c r="W60" s="246"/>
      <c r="X60" s="246"/>
      <c r="Y60" s="246"/>
      <c r="Z60" s="246"/>
      <c r="AA60" s="246"/>
      <c r="AB60" s="246"/>
    </row>
    <row r="61" spans="6:35" ht="45" customHeight="1">
      <c r="F61" s="379"/>
      <c r="G61" s="388"/>
      <c r="H61" s="125">
        <v>17.3</v>
      </c>
      <c r="I61" s="125" t="s">
        <v>901</v>
      </c>
      <c r="J61" s="124" t="s">
        <v>992</v>
      </c>
      <c r="K61" s="137">
        <v>1</v>
      </c>
      <c r="L61" s="95"/>
      <c r="M61" s="41"/>
      <c r="N61" s="97" t="str">
        <f t="shared" si="16"/>
        <v/>
      </c>
      <c r="O61" s="97" t="str">
        <f t="shared" si="17"/>
        <v/>
      </c>
      <c r="P61" s="97" t="str">
        <f t="shared" ca="1" si="18"/>
        <v/>
      </c>
      <c r="Q61" s="97" t="str">
        <f t="shared" ca="1" si="19"/>
        <v/>
      </c>
      <c r="R61" s="97"/>
      <c r="S61" s="127"/>
      <c r="T61" s="39"/>
      <c r="U61" s="99"/>
      <c r="V61" s="35"/>
      <c r="W61" s="246"/>
      <c r="X61" s="246"/>
      <c r="Y61" s="246"/>
      <c r="Z61" s="246"/>
      <c r="AA61" s="246"/>
      <c r="AB61" s="246"/>
    </row>
    <row r="62" spans="6:35" ht="45" customHeight="1">
      <c r="F62" s="379"/>
      <c r="G62" s="388"/>
      <c r="H62" s="125">
        <v>17.399999999999999</v>
      </c>
      <c r="I62" s="125" t="s">
        <v>901</v>
      </c>
      <c r="J62" s="124" t="s">
        <v>993</v>
      </c>
      <c r="K62" s="137">
        <v>1</v>
      </c>
      <c r="L62" s="95"/>
      <c r="M62" s="41"/>
      <c r="N62" s="97" t="str">
        <f t="shared" si="16"/>
        <v/>
      </c>
      <c r="O62" s="97" t="str">
        <f t="shared" si="17"/>
        <v/>
      </c>
      <c r="P62" s="97" t="str">
        <f t="shared" ca="1" si="18"/>
        <v/>
      </c>
      <c r="Q62" s="97" t="str">
        <f t="shared" ca="1" si="19"/>
        <v/>
      </c>
      <c r="R62" s="97"/>
      <c r="S62" s="127"/>
      <c r="T62" s="39"/>
      <c r="U62" s="99"/>
      <c r="V62" s="35"/>
      <c r="W62" s="246"/>
      <c r="X62" s="246"/>
      <c r="Y62" s="246"/>
      <c r="Z62" s="246"/>
      <c r="AA62" s="246"/>
      <c r="AB62" s="246"/>
    </row>
    <row r="63" spans="6:35" ht="45" customHeight="1">
      <c r="F63" s="379" t="s">
        <v>994</v>
      </c>
      <c r="G63" s="388" t="s">
        <v>995</v>
      </c>
      <c r="H63" s="125">
        <v>18.100000000000001</v>
      </c>
      <c r="I63" s="125" t="s">
        <v>901</v>
      </c>
      <c r="J63" s="124" t="s">
        <v>996</v>
      </c>
      <c r="K63" s="137">
        <v>1</v>
      </c>
      <c r="L63" s="95"/>
      <c r="M63" s="41"/>
      <c r="N63" s="97" t="str">
        <f t="shared" si="16"/>
        <v/>
      </c>
      <c r="O63" s="97" t="str">
        <f t="shared" si="17"/>
        <v/>
      </c>
      <c r="P63" s="97" t="str">
        <f t="shared" ca="1" si="18"/>
        <v/>
      </c>
      <c r="Q63" s="97" t="str">
        <f t="shared" ca="1" si="19"/>
        <v/>
      </c>
      <c r="R63" s="97"/>
      <c r="S63" s="127"/>
      <c r="T63" s="39"/>
      <c r="U63" s="99"/>
      <c r="V63" s="35"/>
      <c r="W63" s="246"/>
      <c r="X63" s="246"/>
      <c r="Y63" s="246"/>
      <c r="Z63" s="246"/>
      <c r="AA63" s="246"/>
      <c r="AB63" s="246"/>
    </row>
    <row r="64" spans="6:35" ht="45" customHeight="1">
      <c r="F64" s="379"/>
      <c r="G64" s="388"/>
      <c r="H64" s="125">
        <v>18.2</v>
      </c>
      <c r="I64" s="125" t="s">
        <v>56</v>
      </c>
      <c r="J64" s="124" t="s">
        <v>997</v>
      </c>
      <c r="K64" s="137">
        <v>2</v>
      </c>
      <c r="L64" s="95"/>
      <c r="M64" s="41"/>
      <c r="N64" s="97" t="str">
        <f t="shared" si="16"/>
        <v/>
      </c>
      <c r="O64" s="97" t="str">
        <f t="shared" si="17"/>
        <v/>
      </c>
      <c r="P64" s="97" t="str">
        <f t="shared" ca="1" si="18"/>
        <v/>
      </c>
      <c r="Q64" s="97" t="str">
        <f t="shared" ca="1" si="19"/>
        <v/>
      </c>
      <c r="R64" s="97"/>
      <c r="S64" s="127"/>
      <c r="T64" s="39"/>
      <c r="U64" s="99"/>
      <c r="V64" s="35"/>
      <c r="W64" s="246"/>
      <c r="X64" s="246"/>
      <c r="Y64" s="246"/>
      <c r="Z64" s="246"/>
      <c r="AA64" s="246"/>
      <c r="AB64" s="246"/>
    </row>
    <row r="65" spans="1:35" ht="45" customHeight="1">
      <c r="F65" s="83" t="s">
        <v>486</v>
      </c>
      <c r="G65" s="83"/>
      <c r="H65" s="83"/>
      <c r="I65" s="83"/>
      <c r="J65" s="83"/>
      <c r="K65" s="80">
        <f>SUM(K59:K64)</f>
        <v>7</v>
      </c>
      <c r="L65" s="138">
        <f>SUM(L59:L64)</f>
        <v>0</v>
      </c>
      <c r="M65" s="139"/>
      <c r="N65" s="138">
        <f t="shared" ref="N65:O65" si="20">SUM(N59:N64)</f>
        <v>0</v>
      </c>
      <c r="O65" s="80">
        <f t="shared" si="20"/>
        <v>0</v>
      </c>
      <c r="P65" s="104"/>
      <c r="Q65" s="70"/>
      <c r="R65" s="70"/>
      <c r="S65" s="116"/>
      <c r="T65" s="39"/>
      <c r="U65" s="54"/>
      <c r="V65" s="35"/>
      <c r="W65" s="39"/>
      <c r="X65" s="39"/>
      <c r="Y65" s="39"/>
      <c r="Z65" s="39"/>
      <c r="AA65" s="39"/>
      <c r="AB65" s="39"/>
    </row>
    <row r="66" spans="1:35" ht="45" customHeight="1">
      <c r="F66" s="109"/>
      <c r="G66" s="110"/>
      <c r="H66" s="111"/>
      <c r="I66" s="111"/>
      <c r="J66" s="110"/>
      <c r="K66" s="112"/>
      <c r="L66" s="113"/>
      <c r="M66" s="41"/>
      <c r="N66" s="114"/>
      <c r="O66" s="115"/>
      <c r="P66" s="115"/>
      <c r="Q66" s="112"/>
      <c r="R66" s="112"/>
      <c r="S66" s="116"/>
      <c r="T66" s="39"/>
      <c r="U66" s="54"/>
      <c r="V66" s="35"/>
      <c r="W66" s="39"/>
      <c r="X66" s="39"/>
      <c r="Y66" s="39"/>
      <c r="Z66" s="39"/>
      <c r="AA66" s="39"/>
      <c r="AB66" s="39"/>
    </row>
    <row r="67" spans="1:35" ht="45" customHeight="1">
      <c r="F67" s="25" t="s">
        <v>668</v>
      </c>
      <c r="G67" s="117"/>
      <c r="H67" s="117"/>
      <c r="I67" s="117"/>
      <c r="J67" s="117"/>
      <c r="K67" s="117"/>
      <c r="L67" s="118"/>
      <c r="M67" s="41"/>
      <c r="N67" s="119"/>
      <c r="O67" s="119"/>
      <c r="P67" s="87"/>
      <c r="Q67" s="87" t="str">
        <f ca="1">CONCATENATE(COUNTIF(Q68:Q73,"Comprehensive")," Comprehensive",CHAR(10),COUNTIF(Q68:Q73,"Core")," Core")</f>
        <v>2 Comprehensive
0 Core</v>
      </c>
      <c r="R67" s="120"/>
      <c r="S67" s="121"/>
      <c r="T67" s="39"/>
      <c r="U67" s="122"/>
      <c r="V67" s="35"/>
      <c r="W67" s="245"/>
      <c r="X67" s="245"/>
      <c r="Y67" s="245"/>
      <c r="Z67" s="245"/>
      <c r="AA67" s="245"/>
      <c r="AB67" s="245"/>
      <c r="AF67" s="311" t="s">
        <v>706</v>
      </c>
      <c r="AG67" s="311" t="s">
        <v>708</v>
      </c>
      <c r="AH67" s="441" t="s">
        <v>758</v>
      </c>
      <c r="AI67" s="257"/>
    </row>
    <row r="68" spans="1:35" ht="45" customHeight="1">
      <c r="F68" s="394" t="s">
        <v>998</v>
      </c>
      <c r="G68" s="383" t="s">
        <v>977</v>
      </c>
      <c r="H68" s="140" t="s">
        <v>760</v>
      </c>
      <c r="I68" s="123" t="s">
        <v>56</v>
      </c>
      <c r="J68" s="141" t="s">
        <v>999</v>
      </c>
      <c r="K68" s="137">
        <f>IF($G$68=AD68,10,0)</f>
        <v>0</v>
      </c>
      <c r="L68" s="95"/>
      <c r="M68" s="41"/>
      <c r="N68" s="97" t="str">
        <f t="shared" ref="N68:N73" si="21">IF(OR(S68=$AD$12,S68=$AD$13),L68,"")</f>
        <v/>
      </c>
      <c r="O68" s="97" t="str">
        <f t="shared" ref="O68:O73" si="22">IF(S68=$AD$14,L68,"")</f>
        <v/>
      </c>
      <c r="P68" s="97" t="str">
        <f t="shared" ref="P68:P73" ca="1" si="23">IF(OR(AND(K68="-",L68&lt;&gt;""),C68=TRUE),1,IF(OR(L68="",L68=0),"",RAND()))</f>
        <v/>
      </c>
      <c r="Q68" s="97" t="str">
        <f ca="1">IF(P68="","",IF(ROUNDUP(RANK(P68,$P$68:$P$73)/ROUND((COUNT($P$68:$P$73)/2),0),0)=1,"Comprehensive","Core"))</f>
        <v/>
      </c>
      <c r="R68" s="97"/>
      <c r="S68" s="127"/>
      <c r="T68" s="39"/>
      <c r="U68" s="99"/>
      <c r="V68" s="35"/>
      <c r="W68" s="246"/>
      <c r="X68" s="246"/>
      <c r="Y68" s="246"/>
      <c r="Z68" s="246"/>
      <c r="AA68" s="246"/>
      <c r="AB68" s="246"/>
      <c r="AD68" s="250" t="s">
        <v>1070</v>
      </c>
      <c r="AE68" s="255" t="s">
        <v>760</v>
      </c>
      <c r="AF68" s="256">
        <v>3.5</v>
      </c>
      <c r="AG68" s="256">
        <v>3.5</v>
      </c>
      <c r="AH68" s="250" t="s">
        <v>738</v>
      </c>
      <c r="AI68" s="254" t="str">
        <f>VLOOKUP(G68,AD68:AE71,2,FALSE)</f>
        <v>19C</v>
      </c>
    </row>
    <row r="69" spans="1:35" ht="45" customHeight="1">
      <c r="F69" s="395"/>
      <c r="G69" s="384"/>
      <c r="H69" s="140" t="s">
        <v>762</v>
      </c>
      <c r="I69" s="123" t="s">
        <v>56</v>
      </c>
      <c r="J69" s="141" t="s">
        <v>1001</v>
      </c>
      <c r="K69" s="137">
        <f>IF($G$68=AD69,10,0)</f>
        <v>0</v>
      </c>
      <c r="L69" s="95"/>
      <c r="M69" s="41"/>
      <c r="N69" s="97" t="str">
        <f t="shared" si="21"/>
        <v/>
      </c>
      <c r="O69" s="97" t="str">
        <f t="shared" si="22"/>
        <v/>
      </c>
      <c r="P69" s="97" t="str">
        <f t="shared" ca="1" si="23"/>
        <v/>
      </c>
      <c r="Q69" s="97" t="str">
        <f t="shared" ref="Q69:Q73" ca="1" si="24">IF(P69="","",IF(ROUNDUP(RANK(P69,$P$68:$P$73)/ROUND((COUNT($P$68:$P$73)/2),0),0)=1,"Comprehensive","Core"))</f>
        <v/>
      </c>
      <c r="R69" s="97"/>
      <c r="S69" s="127"/>
      <c r="T69" s="39"/>
      <c r="U69" s="99"/>
      <c r="V69" s="35"/>
      <c r="W69" s="246"/>
      <c r="X69" s="246"/>
      <c r="Y69" s="246"/>
      <c r="Z69" s="246"/>
      <c r="AA69" s="246"/>
      <c r="AB69" s="246"/>
      <c r="AD69" s="250" t="s">
        <v>1002</v>
      </c>
      <c r="AE69" s="255" t="s">
        <v>762</v>
      </c>
      <c r="AF69" s="256">
        <v>3.5</v>
      </c>
      <c r="AG69" s="256">
        <v>3.5</v>
      </c>
      <c r="AH69" s="250" t="s">
        <v>743</v>
      </c>
      <c r="AI69" s="254">
        <f>VLOOKUP(AI68,AE68:AF71,2,FALSE)</f>
        <v>3.5</v>
      </c>
    </row>
    <row r="70" spans="1:35" ht="45" customHeight="1">
      <c r="F70" s="395"/>
      <c r="G70" s="384"/>
      <c r="H70" s="140" t="s">
        <v>764</v>
      </c>
      <c r="I70" s="123" t="s">
        <v>56</v>
      </c>
      <c r="J70" s="141" t="s">
        <v>976</v>
      </c>
      <c r="K70" s="137">
        <f>IF($G$68=AD70,10,0)</f>
        <v>10</v>
      </c>
      <c r="L70" s="95"/>
      <c r="M70" s="41"/>
      <c r="N70" s="97" t="str">
        <f t="shared" si="21"/>
        <v/>
      </c>
      <c r="O70" s="97" t="str">
        <f t="shared" si="22"/>
        <v/>
      </c>
      <c r="P70" s="97" t="str">
        <f t="shared" ca="1" si="23"/>
        <v/>
      </c>
      <c r="Q70" s="97" t="str">
        <f t="shared" ca="1" si="24"/>
        <v/>
      </c>
      <c r="R70" s="97"/>
      <c r="S70" s="127"/>
      <c r="T70" s="39"/>
      <c r="U70" s="99"/>
      <c r="V70" s="35"/>
      <c r="W70" s="246"/>
      <c r="X70" s="246"/>
      <c r="Y70" s="246"/>
      <c r="Z70" s="246"/>
      <c r="AA70" s="246"/>
      <c r="AB70" s="246"/>
      <c r="AD70" s="250" t="s">
        <v>977</v>
      </c>
      <c r="AE70" s="255" t="s">
        <v>764</v>
      </c>
      <c r="AF70" s="256">
        <v>3.5</v>
      </c>
      <c r="AG70" s="256">
        <v>3.5</v>
      </c>
      <c r="AH70" s="250" t="s">
        <v>748</v>
      </c>
      <c r="AI70" s="254">
        <f>VLOOKUP(AI68,H68:L71,5,FALSE)</f>
        <v>0</v>
      </c>
    </row>
    <row r="71" spans="1:35" ht="45" customHeight="1">
      <c r="F71" s="396"/>
      <c r="G71" s="385"/>
      <c r="H71" s="140" t="s">
        <v>766</v>
      </c>
      <c r="I71" s="123" t="s">
        <v>56</v>
      </c>
      <c r="J71" s="141" t="s">
        <v>978</v>
      </c>
      <c r="K71" s="137">
        <f>IF($G$68=AD71,10,0)</f>
        <v>0</v>
      </c>
      <c r="L71" s="95"/>
      <c r="M71" s="41"/>
      <c r="N71" s="97" t="str">
        <f t="shared" si="21"/>
        <v/>
      </c>
      <c r="O71" s="97" t="str">
        <f t="shared" si="22"/>
        <v/>
      </c>
      <c r="P71" s="97" t="str">
        <f t="shared" ca="1" si="23"/>
        <v/>
      </c>
      <c r="Q71" s="97" t="str">
        <f t="shared" ca="1" si="24"/>
        <v/>
      </c>
      <c r="R71" s="97"/>
      <c r="S71" s="127"/>
      <c r="T71" s="39"/>
      <c r="U71" s="99"/>
      <c r="V71" s="35"/>
      <c r="W71" s="246"/>
      <c r="X71" s="246"/>
      <c r="Y71" s="246"/>
      <c r="Z71" s="246"/>
      <c r="AA71" s="246"/>
      <c r="AB71" s="246"/>
      <c r="AD71" s="250" t="s">
        <v>979</v>
      </c>
      <c r="AE71" s="255" t="s">
        <v>766</v>
      </c>
      <c r="AF71" s="256">
        <v>3.5</v>
      </c>
      <c r="AG71" s="256">
        <v>3.5</v>
      </c>
      <c r="AH71" s="250" t="s">
        <v>753</v>
      </c>
      <c r="AI71" s="254" t="str">
        <f>IF(AND($L$4&gt;=44.5,OR(AI70&lt;=AI69,AI70=0)),"No","")</f>
        <v/>
      </c>
    </row>
    <row r="72" spans="1:35" ht="45" customHeight="1">
      <c r="A72" s="26">
        <v>2</v>
      </c>
      <c r="B72" s="26">
        <f>IF(C72=TRUE,A72,0)</f>
        <v>2</v>
      </c>
      <c r="C72" s="26" t="b">
        <v>1</v>
      </c>
      <c r="F72" s="397" t="s">
        <v>1003</v>
      </c>
      <c r="G72" s="388" t="s">
        <v>1004</v>
      </c>
      <c r="H72" s="142">
        <v>20.100000000000001</v>
      </c>
      <c r="I72" s="123" t="s">
        <v>901</v>
      </c>
      <c r="J72" s="141" t="s">
        <v>1005</v>
      </c>
      <c r="K72" s="137">
        <f>IF($C$72=FALSE,1,0)</f>
        <v>0</v>
      </c>
      <c r="L72" s="95"/>
      <c r="M72" s="41"/>
      <c r="N72" s="97" t="str">
        <f t="shared" si="21"/>
        <v/>
      </c>
      <c r="O72" s="97" t="str">
        <f t="shared" si="22"/>
        <v/>
      </c>
      <c r="P72" s="97">
        <f t="shared" ca="1" si="23"/>
        <v>1</v>
      </c>
      <c r="Q72" s="97" t="str">
        <f t="shared" ca="1" si="24"/>
        <v>Comprehensive</v>
      </c>
      <c r="R72" s="97"/>
      <c r="S72" s="127"/>
      <c r="T72" s="39"/>
      <c r="U72" s="99"/>
      <c r="V72" s="35"/>
      <c r="W72" s="246"/>
      <c r="X72" s="246"/>
      <c r="Y72" s="246"/>
      <c r="Z72" s="246"/>
      <c r="AA72" s="246"/>
      <c r="AB72" s="246"/>
    </row>
    <row r="73" spans="1:35" ht="45" customHeight="1">
      <c r="C73" s="26" t="b">
        <f>C72</f>
        <v>1</v>
      </c>
      <c r="F73" s="399"/>
      <c r="G73" s="388"/>
      <c r="H73" s="125">
        <v>20.2</v>
      </c>
      <c r="I73" s="123" t="s">
        <v>910</v>
      </c>
      <c r="J73" s="141" t="s">
        <v>1006</v>
      </c>
      <c r="K73" s="137">
        <f>IF($C$72=FALSE,1,0)</f>
        <v>0</v>
      </c>
      <c r="L73" s="95"/>
      <c r="M73" s="41"/>
      <c r="N73" s="97" t="str">
        <f t="shared" si="21"/>
        <v/>
      </c>
      <c r="O73" s="97" t="str">
        <f t="shared" si="22"/>
        <v/>
      </c>
      <c r="P73" s="97">
        <f t="shared" ca="1" si="23"/>
        <v>1</v>
      </c>
      <c r="Q73" s="97" t="str">
        <f t="shared" ca="1" si="24"/>
        <v>Comprehensive</v>
      </c>
      <c r="R73" s="97"/>
      <c r="S73" s="127"/>
      <c r="T73" s="39"/>
      <c r="U73" s="99"/>
      <c r="V73" s="35"/>
      <c r="W73" s="246"/>
      <c r="X73" s="246"/>
      <c r="Y73" s="246"/>
      <c r="Z73" s="246"/>
      <c r="AA73" s="246"/>
      <c r="AB73" s="246"/>
    </row>
    <row r="74" spans="1:35" ht="45" customHeight="1">
      <c r="F74" s="83" t="s">
        <v>486</v>
      </c>
      <c r="G74" s="83"/>
      <c r="H74" s="83"/>
      <c r="I74" s="83"/>
      <c r="J74" s="83"/>
      <c r="K74" s="80">
        <f>SUM(K68:K73)</f>
        <v>10</v>
      </c>
      <c r="L74" s="138">
        <f>SUM(L68:L73)</f>
        <v>0</v>
      </c>
      <c r="M74" s="139"/>
      <c r="N74" s="138">
        <f t="shared" ref="N74:O74" si="25">SUM(N68:N73)</f>
        <v>0</v>
      </c>
      <c r="O74" s="80">
        <f t="shared" si="25"/>
        <v>0</v>
      </c>
      <c r="P74" s="104"/>
      <c r="Q74" s="70"/>
      <c r="R74" s="70"/>
      <c r="S74" s="116"/>
      <c r="T74" s="39"/>
      <c r="U74" s="54"/>
      <c r="V74" s="35"/>
      <c r="W74" s="39"/>
      <c r="X74" s="39"/>
      <c r="Y74" s="39"/>
      <c r="Z74" s="39"/>
      <c r="AA74" s="39"/>
      <c r="AB74" s="39"/>
    </row>
    <row r="75" spans="1:35" ht="45" customHeight="1">
      <c r="F75" s="109"/>
      <c r="G75" s="110"/>
      <c r="H75" s="111"/>
      <c r="I75" s="111"/>
      <c r="J75" s="110"/>
      <c r="K75" s="112"/>
      <c r="L75" s="113"/>
      <c r="M75" s="41"/>
      <c r="N75" s="114"/>
      <c r="O75" s="115"/>
      <c r="P75" s="115"/>
      <c r="Q75" s="112"/>
      <c r="R75" s="112"/>
      <c r="S75" s="116"/>
      <c r="T75" s="39"/>
      <c r="U75" s="54"/>
      <c r="V75" s="35"/>
      <c r="W75" s="39"/>
      <c r="X75" s="39"/>
      <c r="Y75" s="39"/>
      <c r="Z75" s="39"/>
      <c r="AA75" s="39"/>
      <c r="AB75" s="39"/>
    </row>
    <row r="76" spans="1:35" ht="45" customHeight="1">
      <c r="F76" s="25" t="s">
        <v>1007</v>
      </c>
      <c r="G76" s="117"/>
      <c r="H76" s="117"/>
      <c r="I76" s="117"/>
      <c r="J76" s="117"/>
      <c r="K76" s="117"/>
      <c r="L76" s="118"/>
      <c r="M76" s="41"/>
      <c r="N76" s="119"/>
      <c r="O76" s="119"/>
      <c r="P76" s="87"/>
      <c r="Q76" s="87" t="str">
        <f ca="1">CONCATENATE(COUNTIF(Q77:Q83,"Comprehensive")," Comprehensive",CHAR(10),COUNTIF(Q77:Q83,"Core")," Core")</f>
        <v>0 Comprehensive
0 Core</v>
      </c>
      <c r="R76" s="120"/>
      <c r="S76" s="121"/>
      <c r="T76" s="39"/>
      <c r="U76" s="122"/>
      <c r="V76" s="35"/>
      <c r="W76" s="245"/>
      <c r="X76" s="245"/>
      <c r="Y76" s="245"/>
      <c r="Z76" s="245"/>
      <c r="AA76" s="245"/>
      <c r="AB76" s="245"/>
    </row>
    <row r="77" spans="1:35" ht="45" customHeight="1">
      <c r="F77" s="379" t="s">
        <v>1008</v>
      </c>
      <c r="G77" s="393" t="s">
        <v>1009</v>
      </c>
      <c r="H77" s="125">
        <v>21.1</v>
      </c>
      <c r="I77" s="125" t="s">
        <v>920</v>
      </c>
      <c r="J77" s="124" t="s">
        <v>1010</v>
      </c>
      <c r="K77" s="137">
        <v>1</v>
      </c>
      <c r="L77" s="95"/>
      <c r="M77" s="41"/>
      <c r="N77" s="97" t="str">
        <f t="shared" ref="N77:N83" si="26">IF(OR(S77=$AD$12,S77=$AD$13),L77,"")</f>
        <v/>
      </c>
      <c r="O77" s="97" t="str">
        <f t="shared" ref="O77:O83" si="27">IF(S77=$AD$14,L77,"")</f>
        <v/>
      </c>
      <c r="P77" s="97" t="str">
        <f t="shared" ref="P77:P83" ca="1" si="28">IF(OR(AND(K77="-",L77&lt;&gt;""),C77=TRUE),1,IF(OR(L77="",L77=0),"",RAND()))</f>
        <v/>
      </c>
      <c r="Q77" s="97" t="str">
        <f ca="1">IF(P77="","",IF(ROUNDUP(RANK(P77,$P$77:$P$83)/ROUND((COUNT($P$77:$P$83)/2),0),0)=1,"Comprehensive","Core"))</f>
        <v/>
      </c>
      <c r="R77" s="97"/>
      <c r="S77" s="127"/>
      <c r="T77" s="39"/>
      <c r="U77" s="99"/>
      <c r="V77" s="35"/>
      <c r="W77" s="246"/>
      <c r="X77" s="246"/>
      <c r="Y77" s="246"/>
      <c r="Z77" s="246"/>
      <c r="AA77" s="246"/>
      <c r="AB77" s="246"/>
    </row>
    <row r="78" spans="1:35" ht="45" customHeight="1">
      <c r="F78" s="379"/>
      <c r="G78" s="393"/>
      <c r="H78" s="125">
        <v>21.2</v>
      </c>
      <c r="I78" s="125" t="s">
        <v>56</v>
      </c>
      <c r="J78" s="124" t="s">
        <v>1011</v>
      </c>
      <c r="K78" s="137">
        <v>1</v>
      </c>
      <c r="L78" s="95"/>
      <c r="M78" s="41"/>
      <c r="N78" s="97" t="str">
        <f t="shared" si="26"/>
        <v/>
      </c>
      <c r="O78" s="97" t="str">
        <f t="shared" si="27"/>
        <v/>
      </c>
      <c r="P78" s="97" t="str">
        <f t="shared" ca="1" si="28"/>
        <v/>
      </c>
      <c r="Q78" s="97" t="str">
        <f t="shared" ref="Q78:Q83" ca="1" si="29">IF(P78="","",IF(ROUNDUP(RANK(P78,$P$77:$P$83)/ROUND((COUNT($P$77:$P$83)/2),0),0)=1,"Comprehensive","Core"))</f>
        <v/>
      </c>
      <c r="R78" s="97"/>
      <c r="S78" s="127"/>
      <c r="T78" s="39"/>
      <c r="U78" s="99"/>
      <c r="V78" s="35"/>
      <c r="W78" s="246"/>
      <c r="X78" s="246"/>
      <c r="Y78" s="246"/>
      <c r="Z78" s="246"/>
      <c r="AA78" s="246"/>
      <c r="AB78" s="246"/>
    </row>
    <row r="79" spans="1:35" ht="45" customHeight="1">
      <c r="A79" s="26">
        <v>1</v>
      </c>
      <c r="B79" s="26">
        <f>IF(C79=TRUE,A79,0)</f>
        <v>0</v>
      </c>
      <c r="C79" s="26" t="b">
        <v>0</v>
      </c>
      <c r="F79" s="379"/>
      <c r="G79" s="393"/>
      <c r="H79" s="125">
        <v>21.3</v>
      </c>
      <c r="I79" s="125" t="s">
        <v>56</v>
      </c>
      <c r="J79" s="124" t="s">
        <v>1012</v>
      </c>
      <c r="K79" s="137">
        <f>IF(C79=FALSE,A79,0)</f>
        <v>1</v>
      </c>
      <c r="L79" s="95"/>
      <c r="M79" s="41"/>
      <c r="N79" s="97" t="str">
        <f t="shared" si="26"/>
        <v/>
      </c>
      <c r="O79" s="97" t="str">
        <f t="shared" si="27"/>
        <v/>
      </c>
      <c r="P79" s="97" t="str">
        <f t="shared" ca="1" si="28"/>
        <v/>
      </c>
      <c r="Q79" s="97" t="str">
        <f t="shared" ca="1" si="29"/>
        <v/>
      </c>
      <c r="R79" s="97"/>
      <c r="S79" s="127"/>
      <c r="T79" s="39"/>
      <c r="U79" s="99"/>
      <c r="V79" s="35"/>
      <c r="W79" s="246"/>
      <c r="X79" s="246"/>
      <c r="Y79" s="246"/>
      <c r="Z79" s="246"/>
      <c r="AA79" s="246"/>
      <c r="AB79" s="246"/>
    </row>
    <row r="80" spans="1:35" ht="45" customHeight="1">
      <c r="F80" s="379" t="s">
        <v>1013</v>
      </c>
      <c r="G80" s="393" t="s">
        <v>1014</v>
      </c>
      <c r="H80" s="125">
        <v>22.1</v>
      </c>
      <c r="I80" s="125" t="s">
        <v>920</v>
      </c>
      <c r="J80" s="124" t="s">
        <v>1015</v>
      </c>
      <c r="K80" s="137">
        <v>1</v>
      </c>
      <c r="L80" s="95"/>
      <c r="M80" s="41"/>
      <c r="N80" s="97" t="str">
        <f t="shared" si="26"/>
        <v/>
      </c>
      <c r="O80" s="97" t="str">
        <f t="shared" si="27"/>
        <v/>
      </c>
      <c r="P80" s="97" t="str">
        <f t="shared" ca="1" si="28"/>
        <v/>
      </c>
      <c r="Q80" s="97" t="str">
        <f t="shared" ca="1" si="29"/>
        <v/>
      </c>
      <c r="R80" s="97"/>
      <c r="S80" s="127"/>
      <c r="T80" s="39"/>
      <c r="U80" s="99"/>
      <c r="V80" s="35"/>
      <c r="W80" s="246"/>
      <c r="X80" s="246"/>
      <c r="Y80" s="246"/>
      <c r="Z80" s="246"/>
      <c r="AA80" s="246"/>
      <c r="AB80" s="246"/>
    </row>
    <row r="81" spans="1:28" ht="45" customHeight="1">
      <c r="F81" s="379"/>
      <c r="G81" s="393"/>
      <c r="H81" s="125">
        <v>22.2</v>
      </c>
      <c r="I81" s="125" t="s">
        <v>56</v>
      </c>
      <c r="J81" s="124" t="s">
        <v>1016</v>
      </c>
      <c r="K81" s="137">
        <v>3</v>
      </c>
      <c r="L81" s="95"/>
      <c r="M81" s="41"/>
      <c r="N81" s="97" t="str">
        <f t="shared" si="26"/>
        <v/>
      </c>
      <c r="O81" s="97" t="str">
        <f t="shared" si="27"/>
        <v/>
      </c>
      <c r="P81" s="97" t="str">
        <f t="shared" ca="1" si="28"/>
        <v/>
      </c>
      <c r="Q81" s="97" t="str">
        <f t="shared" ca="1" si="29"/>
        <v/>
      </c>
      <c r="R81" s="97"/>
      <c r="S81" s="127"/>
      <c r="T81" s="39"/>
      <c r="U81" s="99"/>
      <c r="V81" s="35"/>
      <c r="W81" s="246"/>
      <c r="X81" s="246"/>
      <c r="Y81" s="246"/>
      <c r="Z81" s="246"/>
      <c r="AA81" s="246"/>
      <c r="AB81" s="246"/>
    </row>
    <row r="82" spans="1:28" ht="45" customHeight="1">
      <c r="A82" s="26">
        <v>1</v>
      </c>
      <c r="B82" s="26">
        <f>IF(C82=TRUE,A82,0)</f>
        <v>0</v>
      </c>
      <c r="C82" s="26" t="b">
        <v>0</v>
      </c>
      <c r="F82" s="379" t="s">
        <v>1017</v>
      </c>
      <c r="G82" s="393" t="s">
        <v>1018</v>
      </c>
      <c r="H82" s="125">
        <v>23.1</v>
      </c>
      <c r="I82" s="125" t="s">
        <v>920</v>
      </c>
      <c r="J82" s="124" t="s">
        <v>1019</v>
      </c>
      <c r="K82" s="137">
        <f>IF(C82=FALSE,A82,0)</f>
        <v>1</v>
      </c>
      <c r="L82" s="95"/>
      <c r="M82" s="41"/>
      <c r="N82" s="97" t="str">
        <f t="shared" si="26"/>
        <v/>
      </c>
      <c r="O82" s="97" t="str">
        <f t="shared" si="27"/>
        <v/>
      </c>
      <c r="P82" s="97" t="str">
        <f t="shared" ca="1" si="28"/>
        <v/>
      </c>
      <c r="Q82" s="97" t="str">
        <f t="shared" ca="1" si="29"/>
        <v/>
      </c>
      <c r="R82" s="97"/>
      <c r="S82" s="127"/>
      <c r="T82" s="39"/>
      <c r="U82" s="99"/>
      <c r="V82" s="35"/>
      <c r="W82" s="246"/>
      <c r="X82" s="246"/>
      <c r="Y82" s="246"/>
      <c r="Z82" s="246"/>
      <c r="AA82" s="246"/>
      <c r="AB82" s="246"/>
    </row>
    <row r="83" spans="1:28" ht="45" customHeight="1">
      <c r="A83" s="26">
        <v>2</v>
      </c>
      <c r="B83" s="26">
        <f>IF(C83=TRUE,A83,0)</f>
        <v>0</v>
      </c>
      <c r="C83" s="26" t="b">
        <v>0</v>
      </c>
      <c r="F83" s="379"/>
      <c r="G83" s="393"/>
      <c r="H83" s="125">
        <v>23.2</v>
      </c>
      <c r="I83" s="125" t="s">
        <v>56</v>
      </c>
      <c r="J83" s="124" t="s">
        <v>1020</v>
      </c>
      <c r="K83" s="137">
        <f>IF(C83=FALSE,A83,0)</f>
        <v>2</v>
      </c>
      <c r="L83" s="95"/>
      <c r="M83" s="41"/>
      <c r="N83" s="97" t="str">
        <f t="shared" si="26"/>
        <v/>
      </c>
      <c r="O83" s="97" t="str">
        <f t="shared" si="27"/>
        <v/>
      </c>
      <c r="P83" s="97" t="str">
        <f t="shared" ca="1" si="28"/>
        <v/>
      </c>
      <c r="Q83" s="97" t="str">
        <f t="shared" ca="1" si="29"/>
        <v/>
      </c>
      <c r="R83" s="97"/>
      <c r="S83" s="127"/>
      <c r="T83" s="39"/>
      <c r="U83" s="99"/>
      <c r="V83" s="35"/>
      <c r="W83" s="246"/>
      <c r="X83" s="246"/>
      <c r="Y83" s="246"/>
      <c r="Z83" s="246"/>
      <c r="AA83" s="246"/>
      <c r="AB83" s="246"/>
    </row>
    <row r="84" spans="1:28" ht="45" customHeight="1">
      <c r="F84" s="83" t="s">
        <v>486</v>
      </c>
      <c r="G84" s="83"/>
      <c r="H84" s="83"/>
      <c r="I84" s="83"/>
      <c r="J84" s="83"/>
      <c r="K84" s="80">
        <f>SUM(K77:K83)</f>
        <v>10</v>
      </c>
      <c r="L84" s="138">
        <f>SUM(L77:L83)</f>
        <v>0</v>
      </c>
      <c r="M84" s="139"/>
      <c r="N84" s="138">
        <f t="shared" ref="N84:O84" si="30">SUM(N77:N83)</f>
        <v>0</v>
      </c>
      <c r="O84" s="80">
        <f t="shared" si="30"/>
        <v>0</v>
      </c>
      <c r="P84" s="104"/>
      <c r="Q84" s="70"/>
      <c r="R84" s="70"/>
      <c r="S84" s="116"/>
      <c r="T84" s="39"/>
      <c r="U84" s="54"/>
      <c r="V84" s="35"/>
      <c r="W84" s="39"/>
      <c r="X84" s="39"/>
      <c r="Y84" s="39"/>
      <c r="Z84" s="39"/>
      <c r="AA84" s="39"/>
      <c r="AB84" s="39"/>
    </row>
    <row r="85" spans="1:28" ht="45" customHeight="1">
      <c r="F85" s="109"/>
      <c r="G85" s="110"/>
      <c r="H85" s="111"/>
      <c r="I85" s="111"/>
      <c r="J85" s="110"/>
      <c r="K85" s="112"/>
      <c r="L85" s="113"/>
      <c r="M85" s="41"/>
      <c r="N85" s="114"/>
      <c r="O85" s="115"/>
      <c r="P85" s="115"/>
      <c r="Q85" s="112"/>
      <c r="R85" s="112"/>
      <c r="S85" s="116"/>
      <c r="T85" s="39"/>
      <c r="U85" s="54"/>
      <c r="V85" s="35"/>
      <c r="W85" s="39"/>
      <c r="X85" s="39"/>
      <c r="Y85" s="39"/>
      <c r="Z85" s="39"/>
      <c r="AA85" s="39"/>
      <c r="AB85" s="39"/>
    </row>
    <row r="86" spans="1:28" ht="45" customHeight="1">
      <c r="F86" s="25" t="s">
        <v>1021</v>
      </c>
      <c r="G86" s="117"/>
      <c r="H86" s="117"/>
      <c r="I86" s="117"/>
      <c r="J86" s="117"/>
      <c r="K86" s="117"/>
      <c r="L86" s="118"/>
      <c r="M86" s="41"/>
      <c r="N86" s="119"/>
      <c r="O86" s="119"/>
      <c r="P86" s="87"/>
      <c r="Q86" s="87" t="str">
        <f>CONCATENATE(COUNTIF(Q87:Q91,"Comprehensive")," Comprehensive",CHAR(10),COUNTIF(Q87:Q91,"Core")," Core")</f>
        <v>0 Comprehensive
0 Core</v>
      </c>
      <c r="R86" s="120"/>
      <c r="S86" s="121"/>
      <c r="T86" s="39"/>
      <c r="U86" s="122"/>
      <c r="V86" s="35"/>
      <c r="W86" s="245"/>
      <c r="X86" s="245"/>
      <c r="Y86" s="245"/>
      <c r="Z86" s="245"/>
      <c r="AA86" s="245"/>
      <c r="AB86" s="245"/>
    </row>
    <row r="87" spans="1:28" ht="45" customHeight="1">
      <c r="F87" s="392" t="s">
        <v>1022</v>
      </c>
      <c r="G87" s="388" t="s">
        <v>1023</v>
      </c>
      <c r="H87" s="125">
        <v>24.1</v>
      </c>
      <c r="I87" s="125" t="s">
        <v>920</v>
      </c>
      <c r="J87" s="93" t="s">
        <v>1024</v>
      </c>
      <c r="K87" s="137">
        <v>1</v>
      </c>
      <c r="L87" s="95"/>
      <c r="M87" s="41"/>
      <c r="N87" s="97" t="str">
        <f>IF(OR(S87=$AD$12,S87=$AD$13),L87,"")</f>
        <v/>
      </c>
      <c r="O87" s="97" t="str">
        <f>IF(S87=$AD$14,L87,"")</f>
        <v/>
      </c>
      <c r="P87" s="97" t="str">
        <f t="shared" ref="P87:P91" si="31">IF(L87="","",1)</f>
        <v/>
      </c>
      <c r="Q87" s="97" t="str">
        <f>IF(P87="","",IF(ROUNDUP(RANK(P87,$P$87:$P$91)/ROUND((COUNT($P$87:$P$91)/2),0),0)=1,"Comprehensive","Core"))</f>
        <v/>
      </c>
      <c r="R87" s="97"/>
      <c r="S87" s="127"/>
      <c r="T87" s="39"/>
      <c r="U87" s="99"/>
      <c r="V87" s="35"/>
      <c r="W87" s="246"/>
      <c r="X87" s="246"/>
      <c r="Y87" s="246"/>
      <c r="Z87" s="246"/>
      <c r="AA87" s="246"/>
      <c r="AB87" s="246"/>
    </row>
    <row r="88" spans="1:28" ht="45" customHeight="1">
      <c r="F88" s="392"/>
      <c r="G88" s="388"/>
      <c r="H88" s="125">
        <v>24.2</v>
      </c>
      <c r="I88" s="125" t="s">
        <v>910</v>
      </c>
      <c r="J88" s="93" t="s">
        <v>1025</v>
      </c>
      <c r="K88" s="137">
        <v>2</v>
      </c>
      <c r="L88" s="95"/>
      <c r="M88" s="41"/>
      <c r="N88" s="97" t="str">
        <f>IF(OR(S88=$AD$12,S88=$AD$13),L88,"")</f>
        <v/>
      </c>
      <c r="O88" s="97" t="str">
        <f>IF(S88=$AD$14,L88,"")</f>
        <v/>
      </c>
      <c r="P88" s="97" t="str">
        <f t="shared" si="31"/>
        <v/>
      </c>
      <c r="Q88" s="97" t="str">
        <f t="shared" ref="Q88:Q91" si="32">IF(P88="","",IF(ROUNDUP(RANK(P88,$P$87:$P$91)/ROUND((COUNT($P$87:$P$91)/2),0),0)=1,"Comprehensive","Core"))</f>
        <v/>
      </c>
      <c r="R88" s="97"/>
      <c r="S88" s="127"/>
      <c r="T88" s="39"/>
      <c r="U88" s="99"/>
      <c r="V88" s="35"/>
      <c r="W88" s="246"/>
      <c r="X88" s="246"/>
      <c r="Y88" s="246"/>
      <c r="Z88" s="246"/>
      <c r="AA88" s="246"/>
      <c r="AB88" s="246"/>
    </row>
    <row r="89" spans="1:28" ht="45" customHeight="1">
      <c r="F89" s="392" t="s">
        <v>1026</v>
      </c>
      <c r="G89" s="388" t="s">
        <v>1027</v>
      </c>
      <c r="H89" s="125">
        <v>25.1</v>
      </c>
      <c r="I89" s="125" t="s">
        <v>920</v>
      </c>
      <c r="J89" s="93" t="s">
        <v>1028</v>
      </c>
      <c r="K89" s="137">
        <v>1</v>
      </c>
      <c r="L89" s="95"/>
      <c r="M89" s="41"/>
      <c r="N89" s="97" t="str">
        <f>IF(OR(S89=$AD$12,S89=$AD$13),L89,"")</f>
        <v/>
      </c>
      <c r="O89" s="97" t="str">
        <f>IF(S89=$AD$14,L89,"")</f>
        <v/>
      </c>
      <c r="P89" s="97" t="str">
        <f t="shared" si="31"/>
        <v/>
      </c>
      <c r="Q89" s="97" t="str">
        <f t="shared" si="32"/>
        <v/>
      </c>
      <c r="R89" s="97"/>
      <c r="S89" s="127"/>
      <c r="T89" s="39"/>
      <c r="U89" s="99"/>
      <c r="V89" s="35"/>
      <c r="W89" s="246"/>
      <c r="X89" s="246"/>
      <c r="Y89" s="246"/>
      <c r="Z89" s="246"/>
      <c r="AA89" s="246"/>
      <c r="AB89" s="246"/>
    </row>
    <row r="90" spans="1:28" ht="45" customHeight="1">
      <c r="A90" s="26">
        <v>1</v>
      </c>
      <c r="B90" s="26">
        <f>IF(C90=TRUE,A90,0)</f>
        <v>0</v>
      </c>
      <c r="C90" s="26" t="b">
        <v>0</v>
      </c>
      <c r="F90" s="392"/>
      <c r="G90" s="388"/>
      <c r="H90" s="125">
        <v>25.2</v>
      </c>
      <c r="I90" s="125" t="s">
        <v>901</v>
      </c>
      <c r="J90" s="93" t="s">
        <v>1029</v>
      </c>
      <c r="K90" s="137">
        <f>IF(C90=FALSE,A90,0)</f>
        <v>1</v>
      </c>
      <c r="L90" s="95"/>
      <c r="M90" s="41"/>
      <c r="N90" s="97" t="str">
        <f>IF(OR(S90=$AD$12,S90=$AD$13),L90,"")</f>
        <v/>
      </c>
      <c r="O90" s="97" t="str">
        <f>IF(S90=$AD$14,L90,"")</f>
        <v/>
      </c>
      <c r="P90" s="97" t="str">
        <f t="shared" si="31"/>
        <v/>
      </c>
      <c r="Q90" s="97" t="str">
        <f t="shared" si="32"/>
        <v/>
      </c>
      <c r="R90" s="97"/>
      <c r="S90" s="127"/>
      <c r="T90" s="39"/>
      <c r="U90" s="99"/>
      <c r="V90" s="35"/>
      <c r="W90" s="246"/>
      <c r="X90" s="246"/>
      <c r="Y90" s="246"/>
      <c r="Z90" s="246"/>
      <c r="AA90" s="246"/>
      <c r="AB90" s="246"/>
    </row>
    <row r="91" spans="1:28" ht="45" customHeight="1">
      <c r="F91" s="392"/>
      <c r="G91" s="388"/>
      <c r="H91" s="125">
        <v>25.3</v>
      </c>
      <c r="I91" s="125" t="s">
        <v>901</v>
      </c>
      <c r="J91" s="93" t="s">
        <v>1030</v>
      </c>
      <c r="K91" s="137">
        <v>1</v>
      </c>
      <c r="L91" s="95"/>
      <c r="M91" s="41"/>
      <c r="N91" s="97" t="str">
        <f>IF(OR(S91=$AD$12,S91=$AD$13),L91,"")</f>
        <v/>
      </c>
      <c r="O91" s="97" t="str">
        <f>IF(S91=$AD$14,L91,"")</f>
        <v/>
      </c>
      <c r="P91" s="97" t="str">
        <f t="shared" si="31"/>
        <v/>
      </c>
      <c r="Q91" s="97" t="str">
        <f t="shared" si="32"/>
        <v/>
      </c>
      <c r="R91" s="97"/>
      <c r="S91" s="127"/>
      <c r="T91" s="39"/>
      <c r="U91" s="99"/>
      <c r="V91" s="35"/>
      <c r="W91" s="246"/>
      <c r="X91" s="246"/>
      <c r="Y91" s="246"/>
      <c r="Z91" s="246"/>
      <c r="AA91" s="246"/>
      <c r="AB91" s="246"/>
    </row>
    <row r="92" spans="1:28" ht="45" customHeight="1">
      <c r="F92" s="83" t="s">
        <v>486</v>
      </c>
      <c r="G92" s="83"/>
      <c r="H92" s="83"/>
      <c r="I92" s="83"/>
      <c r="J92" s="83"/>
      <c r="K92" s="80">
        <f>SUM(K87:K91)</f>
        <v>6</v>
      </c>
      <c r="L92" s="138">
        <f>SUM(L87:L91)</f>
        <v>0</v>
      </c>
      <c r="M92" s="139"/>
      <c r="N92" s="138">
        <f t="shared" ref="N92:O92" si="33">SUM(N87:N91)</f>
        <v>0</v>
      </c>
      <c r="O92" s="80">
        <f t="shared" si="33"/>
        <v>0</v>
      </c>
      <c r="P92" s="104"/>
      <c r="Q92" s="70"/>
      <c r="R92" s="70"/>
      <c r="S92" s="116"/>
      <c r="T92" s="39"/>
      <c r="U92" s="54"/>
      <c r="V92" s="35"/>
      <c r="W92" s="39"/>
      <c r="X92" s="39"/>
      <c r="Y92" s="39"/>
      <c r="Z92" s="39"/>
      <c r="AA92" s="39"/>
      <c r="AB92" s="39"/>
    </row>
    <row r="93" spans="1:28" ht="45" customHeight="1">
      <c r="F93" s="109"/>
      <c r="G93" s="110"/>
      <c r="H93" s="111"/>
      <c r="I93" s="111"/>
      <c r="J93" s="110"/>
      <c r="K93" s="112"/>
      <c r="L93" s="113"/>
      <c r="M93" s="41"/>
      <c r="N93" s="114"/>
      <c r="O93" s="115"/>
      <c r="P93" s="115"/>
      <c r="Q93" s="112"/>
      <c r="R93" s="112"/>
      <c r="S93" s="116"/>
      <c r="T93" s="39"/>
      <c r="U93" s="54"/>
      <c r="V93" s="35"/>
      <c r="W93" s="39"/>
      <c r="X93" s="39"/>
      <c r="Y93" s="39"/>
      <c r="Z93" s="39"/>
      <c r="AA93" s="39"/>
      <c r="AB93" s="39"/>
    </row>
    <row r="94" spans="1:28" ht="45" customHeight="1">
      <c r="F94" s="25" t="s">
        <v>1031</v>
      </c>
      <c r="G94" s="117"/>
      <c r="H94" s="117"/>
      <c r="I94" s="117"/>
      <c r="J94" s="117"/>
      <c r="K94" s="117"/>
      <c r="L94" s="118"/>
      <c r="M94" s="41"/>
      <c r="N94" s="119"/>
      <c r="O94" s="119"/>
      <c r="P94" s="87"/>
      <c r="Q94" s="87" t="str">
        <f ca="1">CONCATENATE(COUNTIF(Q95:Q100,"Comprehensive")," Comprehensive",CHAR(10),COUNTIF(Q95:Q100,"Core")," Core")</f>
        <v>0 Comprehensive
0 Core</v>
      </c>
      <c r="R94" s="120"/>
      <c r="S94" s="121"/>
      <c r="T94" s="39"/>
      <c r="U94" s="122"/>
      <c r="V94" s="35"/>
      <c r="W94" s="245"/>
      <c r="X94" s="245"/>
      <c r="Y94" s="245"/>
      <c r="Z94" s="245"/>
      <c r="AA94" s="245"/>
      <c r="AB94" s="245"/>
    </row>
    <row r="95" spans="1:28" ht="45" customHeight="1">
      <c r="F95" s="392" t="s">
        <v>1032</v>
      </c>
      <c r="G95" s="393" t="s">
        <v>1033</v>
      </c>
      <c r="H95" s="125">
        <v>26.1</v>
      </c>
      <c r="I95" s="125" t="s">
        <v>920</v>
      </c>
      <c r="J95" s="93" t="s">
        <v>1034</v>
      </c>
      <c r="K95" s="137">
        <v>1</v>
      </c>
      <c r="L95" s="95"/>
      <c r="M95" s="41"/>
      <c r="N95" s="97" t="str">
        <f t="shared" ref="N95:N100" si="34">IF(OR(S95=$AD$12,S95=$AD$13),L95,"")</f>
        <v/>
      </c>
      <c r="O95" s="97" t="str">
        <f t="shared" ref="O95:O100" si="35">IF(S95=$AD$14,L95,"")</f>
        <v/>
      </c>
      <c r="P95" s="97" t="str">
        <f t="shared" ref="P95:P100" ca="1" si="36">IF(OR(AND(K95="-",L95&lt;&gt;""),C95=TRUE),1,IF(OR(L95="",L95=0),"",RAND()))</f>
        <v/>
      </c>
      <c r="Q95" s="97" t="str">
        <f ca="1">IF(P95="","",IF(ROUNDUP(RANK(P95,$P$95:$P$100)/ROUND((COUNT($P$95:$P$100)/2),0),0)=1,"Comprehensive","Core"))</f>
        <v/>
      </c>
      <c r="R95" s="97"/>
      <c r="S95" s="127"/>
      <c r="T95" s="39"/>
      <c r="U95" s="99"/>
      <c r="V95" s="35"/>
      <c r="W95" s="246"/>
      <c r="X95" s="246"/>
      <c r="Y95" s="246"/>
      <c r="Z95" s="246"/>
      <c r="AA95" s="246"/>
      <c r="AB95" s="246"/>
    </row>
    <row r="96" spans="1:28" ht="45" customHeight="1">
      <c r="F96" s="392"/>
      <c r="G96" s="393"/>
      <c r="H96" s="125">
        <v>26.2</v>
      </c>
      <c r="I96" s="125" t="s">
        <v>901</v>
      </c>
      <c r="J96" s="93" t="s">
        <v>1035</v>
      </c>
      <c r="K96" s="137">
        <v>1</v>
      </c>
      <c r="L96" s="95"/>
      <c r="M96" s="41"/>
      <c r="N96" s="97" t="str">
        <f t="shared" si="34"/>
        <v/>
      </c>
      <c r="O96" s="97" t="str">
        <f t="shared" si="35"/>
        <v/>
      </c>
      <c r="P96" s="97" t="str">
        <f t="shared" ca="1" si="36"/>
        <v/>
      </c>
      <c r="Q96" s="97" t="str">
        <f t="shared" ref="Q96:Q100" ca="1" si="37">IF(P96="","",IF(ROUNDUP(RANK(P96,$P$95:$P$100)/ROUND((COUNT($P$95:$P$100)/2),0),0)=1,"Comprehensive","Core"))</f>
        <v/>
      </c>
      <c r="R96" s="97"/>
      <c r="S96" s="127"/>
      <c r="T96" s="39"/>
      <c r="U96" s="99"/>
      <c r="V96" s="35"/>
      <c r="W96" s="246"/>
      <c r="X96" s="246"/>
      <c r="Y96" s="246"/>
      <c r="Z96" s="246"/>
      <c r="AA96" s="246"/>
      <c r="AB96" s="246"/>
    </row>
    <row r="97" spans="1:28" ht="45" customHeight="1">
      <c r="F97" s="392" t="s">
        <v>1036</v>
      </c>
      <c r="G97" s="393" t="s">
        <v>1037</v>
      </c>
      <c r="H97" s="125">
        <v>27.1</v>
      </c>
      <c r="I97" s="125" t="s">
        <v>901</v>
      </c>
      <c r="J97" s="93" t="s">
        <v>1038</v>
      </c>
      <c r="K97" s="137">
        <v>1</v>
      </c>
      <c r="L97" s="95"/>
      <c r="M97" s="41"/>
      <c r="N97" s="97" t="str">
        <f t="shared" si="34"/>
        <v/>
      </c>
      <c r="O97" s="97" t="str">
        <f t="shared" si="35"/>
        <v/>
      </c>
      <c r="P97" s="97" t="str">
        <f t="shared" ca="1" si="36"/>
        <v/>
      </c>
      <c r="Q97" s="97" t="str">
        <f t="shared" ca="1" si="37"/>
        <v/>
      </c>
      <c r="R97" s="97"/>
      <c r="S97" s="127"/>
      <c r="T97" s="39"/>
      <c r="U97" s="99"/>
      <c r="V97" s="35"/>
      <c r="W97" s="246"/>
      <c r="X97" s="246"/>
      <c r="Y97" s="246"/>
      <c r="Z97" s="246"/>
      <c r="AA97" s="246"/>
      <c r="AB97" s="246"/>
    </row>
    <row r="98" spans="1:28" ht="45" customHeight="1">
      <c r="A98" s="26">
        <v>1</v>
      </c>
      <c r="B98" s="26">
        <f>IF(C98=TRUE,A98,0)</f>
        <v>0</v>
      </c>
      <c r="C98" s="26" t="b">
        <v>0</v>
      </c>
      <c r="F98" s="392"/>
      <c r="G98" s="393"/>
      <c r="H98" s="125">
        <v>27.2</v>
      </c>
      <c r="I98" s="125" t="s">
        <v>901</v>
      </c>
      <c r="J98" s="93" t="s">
        <v>1039</v>
      </c>
      <c r="K98" s="137">
        <f>IF(C98=FALSE,A98,0)</f>
        <v>1</v>
      </c>
      <c r="L98" s="95"/>
      <c r="M98" s="41"/>
      <c r="N98" s="97" t="str">
        <f t="shared" si="34"/>
        <v/>
      </c>
      <c r="O98" s="97" t="str">
        <f t="shared" si="35"/>
        <v/>
      </c>
      <c r="P98" s="97" t="str">
        <f t="shared" ca="1" si="36"/>
        <v/>
      </c>
      <c r="Q98" s="97" t="str">
        <f t="shared" ca="1" si="37"/>
        <v/>
      </c>
      <c r="R98" s="97"/>
      <c r="S98" s="127"/>
      <c r="T98" s="39"/>
      <c r="U98" s="99"/>
      <c r="V98" s="35"/>
      <c r="W98" s="246"/>
      <c r="X98" s="246"/>
      <c r="Y98" s="246"/>
      <c r="Z98" s="246"/>
      <c r="AA98" s="246"/>
      <c r="AB98" s="246"/>
    </row>
    <row r="99" spans="1:28" ht="45" customHeight="1">
      <c r="F99" s="143" t="s">
        <v>1040</v>
      </c>
      <c r="G99" s="93" t="s">
        <v>1041</v>
      </c>
      <c r="H99" s="125">
        <v>28.1</v>
      </c>
      <c r="I99" s="125" t="s">
        <v>910</v>
      </c>
      <c r="J99" s="93" t="s">
        <v>1040</v>
      </c>
      <c r="K99" s="137">
        <v>1</v>
      </c>
      <c r="L99" s="95"/>
      <c r="M99" s="41"/>
      <c r="N99" s="97" t="str">
        <f t="shared" si="34"/>
        <v/>
      </c>
      <c r="O99" s="97" t="str">
        <f t="shared" si="35"/>
        <v/>
      </c>
      <c r="P99" s="97" t="str">
        <f t="shared" ca="1" si="36"/>
        <v/>
      </c>
      <c r="Q99" s="97" t="str">
        <f t="shared" ca="1" si="37"/>
        <v/>
      </c>
      <c r="R99" s="97"/>
      <c r="S99" s="127"/>
      <c r="T99" s="39"/>
      <c r="U99" s="99"/>
      <c r="V99" s="35"/>
      <c r="W99" s="246"/>
      <c r="X99" s="246"/>
      <c r="Y99" s="246"/>
      <c r="Z99" s="246"/>
      <c r="AA99" s="246"/>
      <c r="AB99" s="246"/>
    </row>
    <row r="100" spans="1:28" ht="45" customHeight="1">
      <c r="F100" s="143" t="s">
        <v>1042</v>
      </c>
      <c r="G100" s="93" t="s">
        <v>1043</v>
      </c>
      <c r="H100" s="125">
        <v>29.1</v>
      </c>
      <c r="I100" s="125" t="s">
        <v>901</v>
      </c>
      <c r="J100" s="93" t="s">
        <v>1042</v>
      </c>
      <c r="K100" s="137">
        <v>1</v>
      </c>
      <c r="L100" s="95"/>
      <c r="M100" s="41"/>
      <c r="N100" s="97" t="str">
        <f t="shared" si="34"/>
        <v/>
      </c>
      <c r="O100" s="97" t="str">
        <f t="shared" si="35"/>
        <v/>
      </c>
      <c r="P100" s="97" t="str">
        <f t="shared" ca="1" si="36"/>
        <v/>
      </c>
      <c r="Q100" s="97" t="str">
        <f t="shared" ca="1" si="37"/>
        <v/>
      </c>
      <c r="R100" s="97"/>
      <c r="S100" s="127"/>
      <c r="T100" s="39"/>
      <c r="U100" s="99"/>
      <c r="V100" s="35"/>
      <c r="W100" s="246"/>
      <c r="X100" s="246"/>
      <c r="Y100" s="246"/>
      <c r="Z100" s="246"/>
      <c r="AA100" s="246"/>
      <c r="AB100" s="246"/>
    </row>
    <row r="101" spans="1:28" ht="45" customHeight="1">
      <c r="F101" s="83" t="s">
        <v>486</v>
      </c>
      <c r="G101" s="83"/>
      <c r="H101" s="83"/>
      <c r="I101" s="83"/>
      <c r="J101" s="83"/>
      <c r="K101" s="80">
        <f>SUM(K95:K100)</f>
        <v>6</v>
      </c>
      <c r="L101" s="138">
        <f>SUM(L95:L100)</f>
        <v>0</v>
      </c>
      <c r="M101" s="139"/>
      <c r="N101" s="138">
        <f t="shared" ref="N101:O101" si="38">SUM(N95:N100)</f>
        <v>0</v>
      </c>
      <c r="O101" s="80">
        <f t="shared" si="38"/>
        <v>0</v>
      </c>
      <c r="P101" s="104"/>
      <c r="Q101" s="70"/>
      <c r="R101" s="70"/>
      <c r="S101" s="116"/>
      <c r="T101" s="39"/>
      <c r="U101" s="54"/>
      <c r="V101" s="35"/>
      <c r="W101" s="39"/>
      <c r="X101" s="39"/>
      <c r="Y101" s="39"/>
      <c r="Z101" s="39"/>
      <c r="AA101" s="39"/>
      <c r="AB101" s="39"/>
    </row>
    <row r="102" spans="1:28" ht="45" customHeight="1">
      <c r="F102" s="109"/>
      <c r="G102" s="110"/>
      <c r="H102" s="111"/>
      <c r="I102" s="111"/>
      <c r="J102" s="110"/>
      <c r="K102" s="112"/>
      <c r="L102" s="113"/>
      <c r="M102" s="41"/>
      <c r="N102" s="114"/>
      <c r="O102" s="115"/>
      <c r="P102" s="115"/>
      <c r="Q102" s="112"/>
      <c r="R102" s="112"/>
      <c r="S102" s="116"/>
      <c r="T102" s="39"/>
      <c r="U102" s="54"/>
      <c r="V102" s="35"/>
      <c r="W102" s="39"/>
      <c r="X102" s="39"/>
      <c r="Y102" s="39"/>
      <c r="Z102" s="39"/>
      <c r="AA102" s="39"/>
      <c r="AB102" s="39"/>
    </row>
    <row r="103" spans="1:28" ht="45" customHeight="1">
      <c r="F103" s="25" t="s">
        <v>1044</v>
      </c>
      <c r="G103" s="117"/>
      <c r="H103" s="117"/>
      <c r="I103" s="117"/>
      <c r="J103" s="117"/>
      <c r="K103" s="117"/>
      <c r="L103" s="118"/>
      <c r="M103" s="41"/>
      <c r="N103" s="119"/>
      <c r="O103" s="119"/>
      <c r="P103" s="87"/>
      <c r="Q103" s="87" t="str">
        <f>CONCATENATE(COUNTIF(Q104:Q108,"Comprehensive")," Comprehensive",CHAR(10),COUNTIF(Q104:Q108,"Core")," Core")</f>
        <v>0 Comprehensive
0 Core</v>
      </c>
      <c r="R103" s="120"/>
      <c r="S103" s="121"/>
      <c r="T103" s="39"/>
      <c r="U103" s="122"/>
      <c r="V103" s="35"/>
      <c r="W103" s="245"/>
      <c r="X103" s="245"/>
      <c r="Y103" s="245"/>
      <c r="Z103" s="245"/>
      <c r="AA103" s="245"/>
      <c r="AB103" s="245"/>
    </row>
    <row r="104" spans="1:28" ht="45" customHeight="1">
      <c r="F104" s="400" t="s">
        <v>1044</v>
      </c>
      <c r="G104" s="401" t="s">
        <v>1045</v>
      </c>
      <c r="H104" s="123" t="s">
        <v>1046</v>
      </c>
      <c r="I104" s="123" t="s">
        <v>1047</v>
      </c>
      <c r="J104" s="93" t="s">
        <v>1048</v>
      </c>
      <c r="K104" s="389">
        <v>10</v>
      </c>
      <c r="L104" s="95"/>
      <c r="M104" s="41"/>
      <c r="N104" s="97" t="str">
        <f>IF(OR(S104=$AD$12,S104=$AD$13),L104,"")</f>
        <v/>
      </c>
      <c r="O104" s="97" t="str">
        <f>IF(S104=$AD$14,L104,"")</f>
        <v/>
      </c>
      <c r="P104" s="97" t="str">
        <f t="shared" ref="P104:P108" si="39">IF(L104="","",1)</f>
        <v/>
      </c>
      <c r="Q104" s="97" t="str">
        <f>IF(P104="","",IF(ROUNDUP(RANK(P104,$P$104:$P$108)/ROUND((COUNT($P$104:$P$108)/2),0),0)=1,"Comprehensive","Core"))</f>
        <v/>
      </c>
      <c r="R104" s="97"/>
      <c r="S104" s="127"/>
      <c r="T104" s="39"/>
      <c r="U104" s="99"/>
      <c r="V104" s="35"/>
      <c r="W104" s="246"/>
      <c r="X104" s="246"/>
      <c r="Y104" s="246"/>
      <c r="Z104" s="246"/>
      <c r="AA104" s="246"/>
      <c r="AB104" s="246"/>
    </row>
    <row r="105" spans="1:28" ht="45" customHeight="1">
      <c r="F105" s="400"/>
      <c r="G105" s="402"/>
      <c r="H105" s="123" t="s">
        <v>1049</v>
      </c>
      <c r="I105" s="123" t="s">
        <v>1047</v>
      </c>
      <c r="J105" s="93" t="s">
        <v>1050</v>
      </c>
      <c r="K105" s="390"/>
      <c r="L105" s="95"/>
      <c r="M105" s="41"/>
      <c r="N105" s="97" t="str">
        <f>IF(OR(S105=$AD$12,S105=$AD$13),L105,"")</f>
        <v/>
      </c>
      <c r="O105" s="97" t="str">
        <f>IF(S105=$AD$14,L105,"")</f>
        <v/>
      </c>
      <c r="P105" s="97" t="str">
        <f t="shared" si="39"/>
        <v/>
      </c>
      <c r="Q105" s="97" t="str">
        <f t="shared" ref="Q105:Q108" si="40">IF(P105="","",IF(ROUNDUP(RANK(P105,$P$104:$P$108)/ROUND((COUNT($P$104:$P$108)/2),0),0)=1,"Comprehensive","Core"))</f>
        <v/>
      </c>
      <c r="R105" s="97"/>
      <c r="S105" s="127"/>
      <c r="T105" s="39"/>
      <c r="U105" s="99"/>
      <c r="V105" s="35"/>
      <c r="W105" s="246"/>
      <c r="X105" s="246"/>
      <c r="Y105" s="246"/>
      <c r="Z105" s="246"/>
      <c r="AA105" s="246"/>
      <c r="AB105" s="246"/>
    </row>
    <row r="106" spans="1:28" ht="45" customHeight="1">
      <c r="F106" s="400"/>
      <c r="G106" s="402"/>
      <c r="H106" s="123" t="s">
        <v>1051</v>
      </c>
      <c r="I106" s="123" t="s">
        <v>1047</v>
      </c>
      <c r="J106" s="93" t="s">
        <v>1052</v>
      </c>
      <c r="K106" s="390"/>
      <c r="L106" s="95"/>
      <c r="M106" s="41"/>
      <c r="N106" s="97" t="str">
        <f>IF(OR(S106=$AD$12,S106=$AD$13),L106,"")</f>
        <v/>
      </c>
      <c r="O106" s="97" t="str">
        <f>IF(S106=$AD$14,L106,"")</f>
        <v/>
      </c>
      <c r="P106" s="97" t="str">
        <f t="shared" si="39"/>
        <v/>
      </c>
      <c r="Q106" s="97" t="str">
        <f t="shared" si="40"/>
        <v/>
      </c>
      <c r="R106" s="97"/>
      <c r="S106" s="127"/>
      <c r="T106" s="39"/>
      <c r="U106" s="99"/>
      <c r="V106" s="35"/>
      <c r="W106" s="246"/>
      <c r="X106" s="246"/>
      <c r="Y106" s="246"/>
      <c r="Z106" s="246"/>
      <c r="AA106" s="246"/>
      <c r="AB106" s="246"/>
    </row>
    <row r="107" spans="1:28" ht="45" customHeight="1">
      <c r="F107" s="400"/>
      <c r="G107" s="402"/>
      <c r="H107" s="123" t="s">
        <v>1053</v>
      </c>
      <c r="I107" s="123" t="s">
        <v>1047</v>
      </c>
      <c r="J107" s="93" t="s">
        <v>1054</v>
      </c>
      <c r="K107" s="390"/>
      <c r="L107" s="95"/>
      <c r="M107" s="41"/>
      <c r="N107" s="97" t="str">
        <f>IF(OR(S107=$AD$12,S107=$AD$13),L107,"")</f>
        <v/>
      </c>
      <c r="O107" s="97" t="str">
        <f>IF(S107=$AD$14,L107,"")</f>
        <v/>
      </c>
      <c r="P107" s="97" t="str">
        <f t="shared" si="39"/>
        <v/>
      </c>
      <c r="Q107" s="97" t="str">
        <f t="shared" si="40"/>
        <v/>
      </c>
      <c r="R107" s="97"/>
      <c r="S107" s="127"/>
      <c r="T107" s="39"/>
      <c r="U107" s="99"/>
      <c r="V107" s="35"/>
      <c r="W107" s="246"/>
      <c r="X107" s="246"/>
      <c r="Y107" s="246"/>
      <c r="Z107" s="246"/>
      <c r="AA107" s="246"/>
      <c r="AB107" s="246"/>
    </row>
    <row r="108" spans="1:28" ht="45" customHeight="1">
      <c r="F108" s="400"/>
      <c r="G108" s="403"/>
      <c r="H108" s="123" t="s">
        <v>1055</v>
      </c>
      <c r="I108" s="123" t="s">
        <v>1047</v>
      </c>
      <c r="J108" s="93" t="s">
        <v>1056</v>
      </c>
      <c r="K108" s="391"/>
      <c r="L108" s="95"/>
      <c r="M108" s="41"/>
      <c r="N108" s="97" t="str">
        <f>IF(OR(S108=$AD$12,S108=$AD$13),L108,"")</f>
        <v/>
      </c>
      <c r="O108" s="97" t="str">
        <f>IF(S108=$AD$14,L108,"")</f>
        <v/>
      </c>
      <c r="P108" s="97" t="str">
        <f t="shared" si="39"/>
        <v/>
      </c>
      <c r="Q108" s="97" t="str">
        <f t="shared" si="40"/>
        <v/>
      </c>
      <c r="R108" s="97"/>
      <c r="S108" s="127"/>
      <c r="T108" s="39"/>
      <c r="U108" s="99"/>
      <c r="V108" s="35"/>
      <c r="W108" s="246"/>
      <c r="X108" s="246"/>
      <c r="Y108" s="246"/>
      <c r="Z108" s="246"/>
      <c r="AA108" s="246"/>
      <c r="AB108" s="246"/>
    </row>
    <row r="109" spans="1:28" ht="45" customHeight="1">
      <c r="F109" s="83" t="s">
        <v>486</v>
      </c>
      <c r="G109" s="83"/>
      <c r="H109" s="83"/>
      <c r="I109" s="83"/>
      <c r="J109" s="83"/>
      <c r="K109" s="80">
        <v>10</v>
      </c>
      <c r="L109" s="80">
        <f>IF(SUM(L104:L108)&gt;10,10,SUM(L104:L108))</f>
        <v>0</v>
      </c>
      <c r="M109" s="139"/>
      <c r="N109" s="80">
        <f t="shared" ref="N109:O109" si="41">IF(SUM(N104:N108)&gt;10,10,SUM(N104:N108))</f>
        <v>0</v>
      </c>
      <c r="O109" s="80">
        <f t="shared" si="41"/>
        <v>0</v>
      </c>
      <c r="P109" s="104"/>
      <c r="Q109" s="144"/>
      <c r="R109" s="144"/>
      <c r="S109" s="107"/>
      <c r="T109" s="39"/>
      <c r="U109" s="54"/>
      <c r="V109" s="35"/>
      <c r="W109" s="35"/>
      <c r="X109" s="35"/>
      <c r="Y109" s="35"/>
      <c r="Z109" s="35"/>
      <c r="AA109" s="35"/>
      <c r="AB109" s="35"/>
    </row>
    <row r="110" spans="1:28" ht="45" customHeight="1">
      <c r="F110" s="145"/>
      <c r="G110" s="145"/>
      <c r="H110" s="115"/>
      <c r="I110" s="115"/>
      <c r="J110" s="145"/>
      <c r="K110" s="115"/>
      <c r="L110" s="107"/>
      <c r="M110" s="39"/>
      <c r="N110" s="115"/>
      <c r="O110" s="115"/>
      <c r="P110" s="115"/>
      <c r="Q110" s="115"/>
      <c r="R110" s="107"/>
      <c r="S110" s="107"/>
      <c r="T110" s="146"/>
      <c r="U110" s="54"/>
    </row>
    <row r="111" spans="1:28" ht="45" customHeight="1">
      <c r="B111" s="20" t="s">
        <v>1057</v>
      </c>
      <c r="F111" s="147"/>
      <c r="G111" s="148"/>
      <c r="H111" s="149"/>
      <c r="I111" s="149"/>
      <c r="J111" s="100" t="s">
        <v>440</v>
      </c>
      <c r="K111" s="80" t="s">
        <v>1058</v>
      </c>
      <c r="L111" s="80" t="s">
        <v>1059</v>
      </c>
      <c r="M111" s="106"/>
      <c r="N111" s="80" t="s">
        <v>1060</v>
      </c>
      <c r="O111" s="80" t="s">
        <v>1061</v>
      </c>
      <c r="P111" s="144"/>
      <c r="Q111" s="144"/>
      <c r="R111" s="107"/>
      <c r="S111" s="107"/>
      <c r="T111" s="39"/>
      <c r="U111" s="54"/>
      <c r="V111" s="47"/>
      <c r="W111" s="47"/>
      <c r="X111" s="47"/>
      <c r="Y111" s="47"/>
      <c r="Z111" s="47"/>
      <c r="AA111" s="47"/>
      <c r="AB111" s="47"/>
    </row>
    <row r="112" spans="1:28" ht="45" customHeight="1">
      <c r="B112" s="20">
        <f>SUM(B30:B100)</f>
        <v>2</v>
      </c>
      <c r="F112" s="147"/>
      <c r="G112" s="148"/>
      <c r="H112" s="149"/>
      <c r="I112" s="149"/>
      <c r="J112" s="83" t="s">
        <v>1062</v>
      </c>
      <c r="K112" s="150">
        <f>100-B112</f>
        <v>98</v>
      </c>
      <c r="L112" s="151">
        <f>L27+L46+L56+L65+L74+L84+L92+L101</f>
        <v>0</v>
      </c>
      <c r="M112" s="112"/>
      <c r="N112" s="151">
        <f>((N27+N46+N56+N65+N74+N84+N92+N101)/$K$112)*100+N109</f>
        <v>0</v>
      </c>
      <c r="O112" s="151">
        <f>(O27+O46+O56+O65+O74+O84+O92+O101)/$K$112*100+O109</f>
        <v>0</v>
      </c>
      <c r="P112" s="56"/>
      <c r="Q112" s="56"/>
      <c r="R112" s="107"/>
      <c r="S112" s="107"/>
      <c r="T112" s="39"/>
      <c r="U112" s="54"/>
      <c r="V112" s="47"/>
      <c r="W112" s="47"/>
      <c r="X112" s="47"/>
      <c r="Y112" s="47"/>
      <c r="Z112" s="47"/>
      <c r="AA112" s="47"/>
      <c r="AB112" s="47"/>
    </row>
    <row r="113" spans="6:28" ht="45" customHeight="1">
      <c r="F113" s="109"/>
      <c r="G113" s="109"/>
      <c r="H113" s="115"/>
      <c r="I113" s="115"/>
      <c r="J113" s="83" t="s">
        <v>1063</v>
      </c>
      <c r="K113" s="152"/>
      <c r="L113" s="153">
        <f>(L112/K112)*100</f>
        <v>0</v>
      </c>
      <c r="M113" s="48"/>
      <c r="N113" s="112"/>
      <c r="O113" s="404"/>
      <c r="P113" s="70"/>
      <c r="Q113" s="70"/>
      <c r="R113" s="107"/>
      <c r="S113" s="107"/>
      <c r="T113" s="154"/>
      <c r="U113" s="155"/>
      <c r="V113" s="35"/>
      <c r="W113" s="35"/>
      <c r="X113" s="35"/>
      <c r="Y113" s="35"/>
      <c r="Z113" s="35"/>
      <c r="AA113" s="35"/>
      <c r="AB113" s="35"/>
    </row>
    <row r="114" spans="6:28" ht="45" customHeight="1">
      <c r="F114" s="109"/>
      <c r="G114" s="109"/>
      <c r="H114" s="115"/>
      <c r="I114" s="115"/>
      <c r="J114" s="83" t="s">
        <v>1064</v>
      </c>
      <c r="K114" s="150">
        <v>10</v>
      </c>
      <c r="L114" s="151">
        <f>L109</f>
        <v>0</v>
      </c>
      <c r="M114" s="48"/>
      <c r="N114" s="112"/>
      <c r="O114" s="404"/>
      <c r="P114" s="70"/>
      <c r="Q114" s="70"/>
      <c r="R114" s="48"/>
      <c r="S114" s="48"/>
      <c r="T114" s="154"/>
      <c r="U114" s="155"/>
      <c r="V114" s="35"/>
      <c r="W114" s="35"/>
      <c r="X114" s="35"/>
      <c r="Y114" s="35"/>
      <c r="Z114" s="35"/>
      <c r="AA114" s="35"/>
      <c r="AB114" s="35"/>
    </row>
    <row r="115" spans="6:28" ht="45" customHeight="1">
      <c r="F115" s="145"/>
      <c r="G115" s="145"/>
      <c r="H115" s="115"/>
      <c r="I115" s="115"/>
      <c r="J115" s="83" t="s">
        <v>1065</v>
      </c>
      <c r="K115" s="156"/>
      <c r="L115" s="153">
        <f>L113+L114</f>
        <v>0</v>
      </c>
      <c r="M115" s="146"/>
      <c r="N115" s="115"/>
      <c r="O115" s="115"/>
      <c r="P115" s="115"/>
      <c r="Q115" s="115"/>
      <c r="R115" s="107"/>
      <c r="S115" s="107"/>
      <c r="T115" s="146"/>
      <c r="U115" s="54"/>
    </row>
    <row r="116" spans="6:28">
      <c r="R116" s="34"/>
    </row>
    <row r="117" spans="6:28">
      <c r="P117" s="59"/>
      <c r="Q117" s="445" t="s">
        <v>440</v>
      </c>
      <c r="R117" s="60"/>
    </row>
    <row r="118" spans="6:28" ht="45" customHeight="1">
      <c r="P118" s="59"/>
      <c r="Q118" s="61" t="s">
        <v>442</v>
      </c>
      <c r="R118" s="62" t="s">
        <v>444</v>
      </c>
    </row>
    <row r="119" spans="6:28" ht="45" customHeight="1">
      <c r="P119" s="62" t="s">
        <v>446</v>
      </c>
      <c r="Q119" s="61">
        <f ca="1">COUNTIF($Q$11:$Q$100,"Core")</f>
        <v>0</v>
      </c>
      <c r="R119" s="61">
        <f>COUNTIF($R$11:$R$100,"Core")</f>
        <v>0</v>
      </c>
    </row>
    <row r="120" spans="6:28" ht="45" customHeight="1">
      <c r="P120" s="62" t="s">
        <v>452</v>
      </c>
      <c r="Q120" s="61">
        <f ca="1">COUNTIF($Q$11:$Q$100,"Comprehensive")</f>
        <v>2</v>
      </c>
      <c r="R120" s="61">
        <f>COUNTIF($R$11:$R$100,"Comprehensive")</f>
        <v>0</v>
      </c>
    </row>
    <row r="121" spans="6:28" ht="45" customHeight="1">
      <c r="P121" s="63"/>
      <c r="Q121" s="64"/>
      <c r="R121" s="64"/>
    </row>
    <row r="122" spans="6:28" ht="45" customHeight="1">
      <c r="P122" s="65" t="s">
        <v>458</v>
      </c>
      <c r="Q122" s="61">
        <f>COUNTA($S$11:$S$100)</f>
        <v>0</v>
      </c>
      <c r="R122" s="63"/>
    </row>
    <row r="123" spans="6:28" ht="26.45">
      <c r="P123" s="65" t="s">
        <v>462</v>
      </c>
      <c r="Q123" s="61">
        <f>COUNTIF($S$11:$S$100,"Not Awarded - Major Non-compliance")</f>
        <v>0</v>
      </c>
      <c r="R123" s="66"/>
    </row>
    <row r="124" spans="6:28" ht="38.25" customHeight="1">
      <c r="P124" s="62" t="s">
        <v>466</v>
      </c>
      <c r="Q124" s="61">
        <f ca="1">COUNTIFS($Q$11:$Q$100,"Core",$R$11:$R$100,"Comprehensive")</f>
        <v>0</v>
      </c>
      <c r="R124" s="67"/>
      <c r="S124"/>
      <c r="T124"/>
    </row>
    <row r="125" spans="6:28" ht="38.25" customHeight="1">
      <c r="O125"/>
      <c r="P125" s="68" t="s">
        <v>471</v>
      </c>
      <c r="Q125" s="68" t="str">
        <f ca="1">IF(OR(Q122&lt;&gt;SUM(R119:R120),SUM(R119:R120)&lt;&gt;SUM(Q119:Q120)),"Complete the Staged Assessment",IF(AND(Q123&gt;=(Q122*0.5),Q124=0),"Assess Core as Comprehensive","Assessment Complete"))</f>
        <v>Complete the Staged Assessment</v>
      </c>
      <c r="R125" s="63"/>
      <c r="S125"/>
      <c r="T125"/>
    </row>
    <row r="126" spans="6:28" ht="38.25" customHeight="1">
      <c r="O126"/>
      <c r="P126"/>
      <c r="Q126"/>
      <c r="R126"/>
      <c r="S126"/>
      <c r="T126"/>
    </row>
    <row r="127" spans="6:28" ht="38.25" customHeight="1">
      <c r="O127"/>
      <c r="P127"/>
      <c r="Q127"/>
      <c r="R127"/>
      <c r="S127"/>
      <c r="T127"/>
    </row>
    <row r="128" spans="6:28" ht="38.25" customHeight="1">
      <c r="O128"/>
      <c r="P128"/>
      <c r="Q128"/>
      <c r="R128"/>
      <c r="S128"/>
      <c r="T128"/>
    </row>
    <row r="129" spans="15:20" ht="38.25" customHeight="1">
      <c r="O129"/>
      <c r="P129"/>
      <c r="Q129"/>
      <c r="R129"/>
      <c r="S129"/>
      <c r="T129"/>
    </row>
  </sheetData>
  <sheetProtection algorithmName="SHA-512" hashValue="Pjavk1p8LAf7+tIH+W02F8LtdKUlYJURC616cXJhtW8ZZrPoKSX9MjIugPkZOpdV2N+YconVgTWYf7GQ8lEKoQ==" saltValue="e2kOxN6E/7KCJMyQHGRWlw==" spinCount="100000" sheet="1" objects="1" scenarios="1"/>
  <dataConsolidate/>
  <customSheetViews>
    <customSheetView guid="{E345A537-ABE6-4DCD-97C2-C197481B2A31}" scale="70" showGridLines="0" fitToPage="1" hiddenColumns="1" topLeftCell="D1">
      <pane ySplit="9" topLeftCell="A10" activePane="bottomLeft" state="frozen"/>
      <selection pane="bottomLeft" activeCell="L11" sqref="L11"/>
      <pageMargins left="0" right="0" top="0" bottom="0" header="0" footer="0"/>
      <pageSetup paperSize="9" scale="15" orientation="portrait" horizontalDpi="1200" verticalDpi="1200" r:id="rId1"/>
    </customSheetView>
  </customSheetViews>
  <mergeCells count="58">
    <mergeCell ref="F77:F79"/>
    <mergeCell ref="G77:G79"/>
    <mergeCell ref="F80:F81"/>
    <mergeCell ref="G80:G81"/>
    <mergeCell ref="F82:F83"/>
    <mergeCell ref="G82:G83"/>
    <mergeCell ref="O113:O114"/>
    <mergeCell ref="F87:F88"/>
    <mergeCell ref="G87:G88"/>
    <mergeCell ref="F89:F91"/>
    <mergeCell ref="G89:G91"/>
    <mergeCell ref="F95:F96"/>
    <mergeCell ref="G95:G96"/>
    <mergeCell ref="F97:F98"/>
    <mergeCell ref="G97:G98"/>
    <mergeCell ref="F104:F108"/>
    <mergeCell ref="G104:G108"/>
    <mergeCell ref="K104:K108"/>
    <mergeCell ref="F72:F73"/>
    <mergeCell ref="G72:G73"/>
    <mergeCell ref="F49:F52"/>
    <mergeCell ref="G49:G52"/>
    <mergeCell ref="F53:F55"/>
    <mergeCell ref="G53:G55"/>
    <mergeCell ref="F59:F62"/>
    <mergeCell ref="G59:G62"/>
    <mergeCell ref="F63:F64"/>
    <mergeCell ref="G63:G64"/>
    <mergeCell ref="F68:F71"/>
    <mergeCell ref="F39:F42"/>
    <mergeCell ref="G39:G42"/>
    <mergeCell ref="F44:F45"/>
    <mergeCell ref="G44:G45"/>
    <mergeCell ref="G68:G71"/>
    <mergeCell ref="F33:F34"/>
    <mergeCell ref="G33:G34"/>
    <mergeCell ref="F35:F36"/>
    <mergeCell ref="G35:G36"/>
    <mergeCell ref="F37:F38"/>
    <mergeCell ref="G37:G38"/>
    <mergeCell ref="F21:F23"/>
    <mergeCell ref="G21:G23"/>
    <mergeCell ref="F24:F26"/>
    <mergeCell ref="G24:G26"/>
    <mergeCell ref="F30:F32"/>
    <mergeCell ref="G30:G32"/>
    <mergeCell ref="F14:F15"/>
    <mergeCell ref="G14:G15"/>
    <mergeCell ref="F16:F17"/>
    <mergeCell ref="G16:G17"/>
    <mergeCell ref="F18:F20"/>
    <mergeCell ref="G18:G20"/>
    <mergeCell ref="W8:Y8"/>
    <mergeCell ref="W5:Y6"/>
    <mergeCell ref="W7:Y7"/>
    <mergeCell ref="F1:J1"/>
    <mergeCell ref="F12:F13"/>
    <mergeCell ref="G12:G13"/>
  </mergeCells>
  <conditionalFormatting sqref="F72:G73">
    <cfRule type="expression" dxfId="49" priority="1">
      <formula>$C$72=TRUE</formula>
    </cfRule>
  </conditionalFormatting>
  <conditionalFormatting sqref="G7">
    <cfRule type="expression" dxfId="48" priority="7">
      <formula>$G$7=$AD$6</formula>
    </cfRule>
  </conditionalFormatting>
  <conditionalFormatting sqref="H11:L108">
    <cfRule type="expression" dxfId="47" priority="21">
      <formula>$C11=TRUE</formula>
    </cfRule>
  </conditionalFormatting>
  <conditionalFormatting sqref="H39:L40 N39:S40 U39:U40">
    <cfRule type="expression" dxfId="46" priority="24">
      <formula>$G$39&lt;&gt;$AD$39</formula>
    </cfRule>
  </conditionalFormatting>
  <conditionalFormatting sqref="H41:L42 N41:S42 U41:U42">
    <cfRule type="expression" dxfId="45" priority="25">
      <formula>$G$39&lt;&gt;$AD$40</formula>
    </cfRule>
  </conditionalFormatting>
  <conditionalFormatting sqref="H49:L49 N49:S49 U49">
    <cfRule type="expression" dxfId="44" priority="26">
      <formula>$G$49&lt;&gt;$AD$49</formula>
    </cfRule>
  </conditionalFormatting>
  <conditionalFormatting sqref="H50:L50 N50:S50 U50">
    <cfRule type="expression" dxfId="43" priority="27">
      <formula>$G$49&lt;&gt;$AD$50</formula>
    </cfRule>
  </conditionalFormatting>
  <conditionalFormatting sqref="H51:L51 N51:S51 U51">
    <cfRule type="expression" dxfId="42" priority="28">
      <formula>$G$49&lt;&gt;$AD$51</formula>
    </cfRule>
  </conditionalFormatting>
  <conditionalFormatting sqref="H52:L52 N52:S52 U52">
    <cfRule type="expression" dxfId="41" priority="29">
      <formula>$G$49&lt;&gt;$AD$52</formula>
    </cfRule>
  </conditionalFormatting>
  <conditionalFormatting sqref="H53:L53 N53:S53 U53">
    <cfRule type="expression" dxfId="40" priority="31">
      <formula>$G$53&lt;&gt;$AD$53</formula>
    </cfRule>
  </conditionalFormatting>
  <conditionalFormatting sqref="H54:L54 N54:S54 U54">
    <cfRule type="expression" dxfId="39" priority="32">
      <formula>$G$53&lt;&gt;$AD$54</formula>
    </cfRule>
  </conditionalFormatting>
  <conditionalFormatting sqref="H55:L55 N55:S55 U55">
    <cfRule type="expression" dxfId="38" priority="33">
      <formula>$G$53&lt;&gt;$AD$55</formula>
    </cfRule>
  </conditionalFormatting>
  <conditionalFormatting sqref="H68:L68 N68:S68 U68">
    <cfRule type="expression" dxfId="37" priority="34">
      <formula>$G$68&lt;&gt;$AD$68</formula>
    </cfRule>
  </conditionalFormatting>
  <conditionalFormatting sqref="H69:L69 N69:S69 U69">
    <cfRule type="expression" dxfId="36" priority="35">
      <formula>$G$68&lt;&gt;$AD$69</formula>
    </cfRule>
  </conditionalFormatting>
  <conditionalFormatting sqref="H70:L70 N70:S70 U70">
    <cfRule type="expression" dxfId="35" priority="36">
      <formula>$G$68&lt;&gt;$AD$70</formula>
    </cfRule>
  </conditionalFormatting>
  <conditionalFormatting sqref="H71:L71 N71:S71 U71">
    <cfRule type="expression" dxfId="34" priority="37">
      <formula>$G$68&lt;&gt;$AD$71</formula>
    </cfRule>
  </conditionalFormatting>
  <conditionalFormatting sqref="L4">
    <cfRule type="expression" dxfId="33" priority="8">
      <formula>$G$2="verified"</formula>
    </cfRule>
    <cfRule type="expression" dxfId="32" priority="16">
      <formula>OR(AI52="No",AI71="No")</formula>
    </cfRule>
  </conditionalFormatting>
  <conditionalFormatting sqref="L49:L52">
    <cfRule type="expression" dxfId="31" priority="14">
      <formula>$G$2="verified"</formula>
    </cfRule>
    <cfRule type="expression" dxfId="30" priority="17">
      <formula>AND($G$49=$AD49,$AI$52="No")</formula>
    </cfRule>
  </conditionalFormatting>
  <conditionalFormatting sqref="L68:L71">
    <cfRule type="expression" dxfId="29" priority="15">
      <formula>$G$2="verified"</formula>
    </cfRule>
    <cfRule type="expression" dxfId="28" priority="18">
      <formula>$AI$71="no"</formula>
    </cfRule>
  </conditionalFormatting>
  <conditionalFormatting sqref="U11:U108">
    <cfRule type="expression" dxfId="27" priority="245">
      <formula>$S11=$AD$14</formula>
    </cfRule>
  </conditionalFormatting>
  <conditionalFormatting sqref="W11:AB108">
    <cfRule type="expression" dxfId="26" priority="246">
      <formula>$S11=$AD$14</formula>
    </cfRule>
  </conditionalFormatting>
  <dataValidations count="9">
    <dataValidation type="decimal" operator="lessThanOrEqual" allowBlank="1" showInputMessage="1" showErrorMessage="1" sqref="L11:L26 L95:L100 L87:L91 L77:L83 L49:L55 L59:L64 L104:L108 L30:L45 L68:L73" xr:uid="{00000000-0002-0000-0600-000000000000}">
      <formula1>K11</formula1>
    </dataValidation>
    <dataValidation type="list" allowBlank="1" showInputMessage="1" showErrorMessage="1" promptTitle="Selection Required" prompt="Please select the project's desired pathway." sqref="G49:G52" xr:uid="{00000000-0002-0000-0600-000001000000}">
      <formula1>$AD$49:$AD$52</formula1>
    </dataValidation>
    <dataValidation type="list" allowBlank="1" showInputMessage="1" showErrorMessage="1" promptTitle="Selection Required" prompt="Please select the project's desired pathway." sqref="G39:G42" xr:uid="{00000000-0002-0000-0600-000002000000}">
      <formula1>$AD$39:$AD$40</formula1>
    </dataValidation>
    <dataValidation type="list" allowBlank="1" showInputMessage="1" showErrorMessage="1" promptTitle="Selection Required" prompt="Please select the project's desired pathway." sqref="G68:G71" xr:uid="{00000000-0002-0000-0600-000003000000}">
      <formula1>$AD$68:$AD$71</formula1>
    </dataValidation>
    <dataValidation type="list" allowBlank="1" showInputMessage="1" showErrorMessage="1" sqref="W11:W26 W30:W45 W49:W55 W59:W64 W68:W73 W77:W83 W87:W91 W95:W100 W104:W108" xr:uid="{00000000-0002-0000-0600-000004000000}">
      <formula1>$AF$18:$AF$20</formula1>
    </dataValidation>
    <dataValidation type="list" allowBlank="1" showInputMessage="1" showErrorMessage="1" promptTitle="Selection Required" prompt="Please select the project's desired pathway." sqref="G53:G55" xr:uid="{00000000-0002-0000-0600-000005000000}">
      <formula1>$AD$53:$AD$55</formula1>
    </dataValidation>
    <dataValidation type="list" allowBlank="1" showInputMessage="1" showErrorMessage="1" sqref="R11:R26 R104:R108 R95:R100 R87:R91 R77:R83 R68:R73 R59:R64 R49:R55 R30:R45" xr:uid="{00000000-0002-0000-0600-000006000000}">
      <formula1>$AE$18:$AE$19</formula1>
    </dataValidation>
    <dataValidation type="list" allowBlank="1" showInputMessage="1" showErrorMessage="1" sqref="G7" xr:uid="{00000000-0002-0000-0600-000007000000}">
      <formula1>$AD$6:$AD$8</formula1>
    </dataValidation>
    <dataValidation type="list" allowBlank="1" showInputMessage="1" showErrorMessage="1" sqref="S11:S26 S30:S45 S49:S55 S59:S64 S68:S73 S104:S108 S87:S91 S95:S100 S77:S83" xr:uid="{00000000-0002-0000-0600-000008000000}">
      <formula1>$AD$12:$AD$14</formula1>
    </dataValidation>
  </dataValidations>
  <pageMargins left="0.70866141732283472" right="0.70866141732283472" top="0.74803149606299213" bottom="0.74803149606299213" header="0.31496062992125984" footer="0.31496062992125984"/>
  <pageSetup paperSize="9" scale="1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7649" r:id="rId5" name="Check Box 1">
              <controlPr defaultSize="0" autoFill="0" autoLine="0" autoPict="0">
                <anchor moveWithCells="1">
                  <from>
                    <xdr:col>4</xdr:col>
                    <xdr:colOff>60960</xdr:colOff>
                    <xdr:row>32</xdr:row>
                    <xdr:rowOff>160020</xdr:rowOff>
                  </from>
                  <to>
                    <xdr:col>5</xdr:col>
                    <xdr:colOff>533400</xdr:colOff>
                    <xdr:row>32</xdr:row>
                    <xdr:rowOff>373380</xdr:rowOff>
                  </to>
                </anchor>
              </controlPr>
            </control>
          </mc:Choice>
        </mc:AlternateContent>
        <mc:AlternateContent xmlns:mc="http://schemas.openxmlformats.org/markup-compatibility/2006">
          <mc:Choice Requires="x14">
            <control shapeId="27650" r:id="rId6" name="Check Box 2">
              <controlPr defaultSize="0" autoFill="0" autoLine="0" autoPict="0">
                <anchor moveWithCells="1">
                  <from>
                    <xdr:col>4</xdr:col>
                    <xdr:colOff>60960</xdr:colOff>
                    <xdr:row>33</xdr:row>
                    <xdr:rowOff>160020</xdr:rowOff>
                  </from>
                  <to>
                    <xdr:col>5</xdr:col>
                    <xdr:colOff>533400</xdr:colOff>
                    <xdr:row>33</xdr:row>
                    <xdr:rowOff>373380</xdr:rowOff>
                  </to>
                </anchor>
              </controlPr>
            </control>
          </mc:Choice>
        </mc:AlternateContent>
        <mc:AlternateContent xmlns:mc="http://schemas.openxmlformats.org/markup-compatibility/2006">
          <mc:Choice Requires="x14">
            <control shapeId="27651" r:id="rId7" name="Check Box 3">
              <controlPr defaultSize="0" autoFill="0" autoLine="0" autoPict="0">
                <anchor moveWithCells="1">
                  <from>
                    <xdr:col>4</xdr:col>
                    <xdr:colOff>60960</xdr:colOff>
                    <xdr:row>71</xdr:row>
                    <xdr:rowOff>464820</xdr:rowOff>
                  </from>
                  <to>
                    <xdr:col>5</xdr:col>
                    <xdr:colOff>533400</xdr:colOff>
                    <xdr:row>72</xdr:row>
                    <xdr:rowOff>106680</xdr:rowOff>
                  </to>
                </anchor>
              </controlPr>
            </control>
          </mc:Choice>
        </mc:AlternateContent>
        <mc:AlternateContent xmlns:mc="http://schemas.openxmlformats.org/markup-compatibility/2006">
          <mc:Choice Requires="x14">
            <control shapeId="27652" r:id="rId8" name="Check Box 4">
              <controlPr defaultSize="0" autoFill="0" autoLine="0" autoPict="0">
                <anchor moveWithCells="1">
                  <from>
                    <xdr:col>4</xdr:col>
                    <xdr:colOff>60960</xdr:colOff>
                    <xdr:row>82</xdr:row>
                    <xdr:rowOff>160020</xdr:rowOff>
                  </from>
                  <to>
                    <xdr:col>5</xdr:col>
                    <xdr:colOff>533400</xdr:colOff>
                    <xdr:row>82</xdr:row>
                    <xdr:rowOff>373380</xdr:rowOff>
                  </to>
                </anchor>
              </controlPr>
            </control>
          </mc:Choice>
        </mc:AlternateContent>
        <mc:AlternateContent xmlns:mc="http://schemas.openxmlformats.org/markup-compatibility/2006">
          <mc:Choice Requires="x14">
            <control shapeId="27653" r:id="rId9" name="Check Box 5">
              <controlPr defaultSize="0" autoFill="0" autoLine="0" autoPict="0">
                <anchor moveWithCells="1">
                  <from>
                    <xdr:col>4</xdr:col>
                    <xdr:colOff>60960</xdr:colOff>
                    <xdr:row>89</xdr:row>
                    <xdr:rowOff>160020</xdr:rowOff>
                  </from>
                  <to>
                    <xdr:col>5</xdr:col>
                    <xdr:colOff>533400</xdr:colOff>
                    <xdr:row>89</xdr:row>
                    <xdr:rowOff>373380</xdr:rowOff>
                  </to>
                </anchor>
              </controlPr>
            </control>
          </mc:Choice>
        </mc:AlternateContent>
        <mc:AlternateContent xmlns:mc="http://schemas.openxmlformats.org/markup-compatibility/2006">
          <mc:Choice Requires="x14">
            <control shapeId="27654" r:id="rId10" name="Check Box 6">
              <controlPr defaultSize="0" autoFill="0" autoLine="0" autoPict="0">
                <anchor moveWithCells="1">
                  <from>
                    <xdr:col>4</xdr:col>
                    <xdr:colOff>60960</xdr:colOff>
                    <xdr:row>97</xdr:row>
                    <xdr:rowOff>160020</xdr:rowOff>
                  </from>
                  <to>
                    <xdr:col>5</xdr:col>
                    <xdr:colOff>533400</xdr:colOff>
                    <xdr:row>97</xdr:row>
                    <xdr:rowOff>373380</xdr:rowOff>
                  </to>
                </anchor>
              </controlPr>
            </control>
          </mc:Choice>
        </mc:AlternateContent>
        <mc:AlternateContent xmlns:mc="http://schemas.openxmlformats.org/markup-compatibility/2006">
          <mc:Choice Requires="x14">
            <control shapeId="27655" r:id="rId11" name="Check Box 7">
              <controlPr defaultSize="0" autoFill="0" autoLine="0" autoPict="0">
                <anchor moveWithCells="1">
                  <from>
                    <xdr:col>4</xdr:col>
                    <xdr:colOff>60960</xdr:colOff>
                    <xdr:row>81</xdr:row>
                    <xdr:rowOff>160020</xdr:rowOff>
                  </from>
                  <to>
                    <xdr:col>5</xdr:col>
                    <xdr:colOff>533400</xdr:colOff>
                    <xdr:row>81</xdr:row>
                    <xdr:rowOff>373380</xdr:rowOff>
                  </to>
                </anchor>
              </controlPr>
            </control>
          </mc:Choice>
        </mc:AlternateContent>
        <mc:AlternateContent xmlns:mc="http://schemas.openxmlformats.org/markup-compatibility/2006">
          <mc:Choice Requires="x14">
            <control shapeId="27656" r:id="rId12" name="Check Box 8">
              <controlPr defaultSize="0" autoFill="0" autoLine="0" autoPict="0">
                <anchor moveWithCells="1">
                  <from>
                    <xdr:col>4</xdr:col>
                    <xdr:colOff>68580</xdr:colOff>
                    <xdr:row>77</xdr:row>
                    <xdr:rowOff>403860</xdr:rowOff>
                  </from>
                  <to>
                    <xdr:col>5</xdr:col>
                    <xdr:colOff>1104900</xdr:colOff>
                    <xdr:row>79</xdr:row>
                    <xdr:rowOff>160020</xdr:rowOff>
                  </to>
                </anchor>
              </controlPr>
            </control>
          </mc:Choice>
        </mc:AlternateContent>
        <mc:AlternateContent xmlns:mc="http://schemas.openxmlformats.org/markup-compatibility/2006">
          <mc:Choice Requires="x14">
            <control shapeId="27663" r:id="rId13" name="Check Box 15">
              <controlPr defaultSize="0" autoFill="0" autoLine="0" autoPict="0">
                <anchor moveWithCells="1">
                  <from>
                    <xdr:col>4</xdr:col>
                    <xdr:colOff>60960</xdr:colOff>
                    <xdr:row>32</xdr:row>
                    <xdr:rowOff>160020</xdr:rowOff>
                  </from>
                  <to>
                    <xdr:col>5</xdr:col>
                    <xdr:colOff>533400</xdr:colOff>
                    <xdr:row>32</xdr:row>
                    <xdr:rowOff>373380</xdr:rowOff>
                  </to>
                </anchor>
              </controlPr>
            </control>
          </mc:Choice>
        </mc:AlternateContent>
        <mc:AlternateContent xmlns:mc="http://schemas.openxmlformats.org/markup-compatibility/2006">
          <mc:Choice Requires="x14">
            <control shapeId="27664" r:id="rId14" name="Check Box 16">
              <controlPr defaultSize="0" autoFill="0" autoLine="0" autoPict="0">
                <anchor moveWithCells="1">
                  <from>
                    <xdr:col>4</xdr:col>
                    <xdr:colOff>60960</xdr:colOff>
                    <xdr:row>33</xdr:row>
                    <xdr:rowOff>160020</xdr:rowOff>
                  </from>
                  <to>
                    <xdr:col>5</xdr:col>
                    <xdr:colOff>533400</xdr:colOff>
                    <xdr:row>33</xdr:row>
                    <xdr:rowOff>373380</xdr:rowOff>
                  </to>
                </anchor>
              </controlPr>
            </control>
          </mc:Choice>
        </mc:AlternateContent>
        <mc:AlternateContent xmlns:mc="http://schemas.openxmlformats.org/markup-compatibility/2006">
          <mc:Choice Requires="x14">
            <control shapeId="27665" r:id="rId15" name="Check Box 17">
              <controlPr defaultSize="0" autoFill="0" autoLine="0" autoPict="0">
                <anchor moveWithCells="1">
                  <from>
                    <xdr:col>4</xdr:col>
                    <xdr:colOff>60960</xdr:colOff>
                    <xdr:row>71</xdr:row>
                    <xdr:rowOff>464820</xdr:rowOff>
                  </from>
                  <to>
                    <xdr:col>5</xdr:col>
                    <xdr:colOff>533400</xdr:colOff>
                    <xdr:row>72</xdr:row>
                    <xdr:rowOff>106680</xdr:rowOff>
                  </to>
                </anchor>
              </controlPr>
            </control>
          </mc:Choice>
        </mc:AlternateContent>
        <mc:AlternateContent xmlns:mc="http://schemas.openxmlformats.org/markup-compatibility/2006">
          <mc:Choice Requires="x14">
            <control shapeId="27666" r:id="rId16" name="Check Box 18">
              <controlPr defaultSize="0" autoFill="0" autoLine="0" autoPict="0">
                <anchor moveWithCells="1">
                  <from>
                    <xdr:col>4</xdr:col>
                    <xdr:colOff>60960</xdr:colOff>
                    <xdr:row>82</xdr:row>
                    <xdr:rowOff>160020</xdr:rowOff>
                  </from>
                  <to>
                    <xdr:col>5</xdr:col>
                    <xdr:colOff>533400</xdr:colOff>
                    <xdr:row>82</xdr:row>
                    <xdr:rowOff>373380</xdr:rowOff>
                  </to>
                </anchor>
              </controlPr>
            </control>
          </mc:Choice>
        </mc:AlternateContent>
        <mc:AlternateContent xmlns:mc="http://schemas.openxmlformats.org/markup-compatibility/2006">
          <mc:Choice Requires="x14">
            <control shapeId="27667" r:id="rId17" name="Check Box 19">
              <controlPr defaultSize="0" autoFill="0" autoLine="0" autoPict="0">
                <anchor moveWithCells="1">
                  <from>
                    <xdr:col>4</xdr:col>
                    <xdr:colOff>60960</xdr:colOff>
                    <xdr:row>89</xdr:row>
                    <xdr:rowOff>160020</xdr:rowOff>
                  </from>
                  <to>
                    <xdr:col>5</xdr:col>
                    <xdr:colOff>533400</xdr:colOff>
                    <xdr:row>89</xdr:row>
                    <xdr:rowOff>373380</xdr:rowOff>
                  </to>
                </anchor>
              </controlPr>
            </control>
          </mc:Choice>
        </mc:AlternateContent>
        <mc:AlternateContent xmlns:mc="http://schemas.openxmlformats.org/markup-compatibility/2006">
          <mc:Choice Requires="x14">
            <control shapeId="27668" r:id="rId18" name="Check Box 20">
              <controlPr defaultSize="0" autoFill="0" autoLine="0" autoPict="0">
                <anchor moveWithCells="1">
                  <from>
                    <xdr:col>4</xdr:col>
                    <xdr:colOff>60960</xdr:colOff>
                    <xdr:row>97</xdr:row>
                    <xdr:rowOff>160020</xdr:rowOff>
                  </from>
                  <to>
                    <xdr:col>5</xdr:col>
                    <xdr:colOff>533400</xdr:colOff>
                    <xdr:row>97</xdr:row>
                    <xdr:rowOff>373380</xdr:rowOff>
                  </to>
                </anchor>
              </controlPr>
            </control>
          </mc:Choice>
        </mc:AlternateContent>
        <mc:AlternateContent xmlns:mc="http://schemas.openxmlformats.org/markup-compatibility/2006">
          <mc:Choice Requires="x14">
            <control shapeId="27669" r:id="rId19" name="Check Box 21">
              <controlPr defaultSize="0" autoFill="0" autoLine="0" autoPict="0">
                <anchor moveWithCells="1">
                  <from>
                    <xdr:col>4</xdr:col>
                    <xdr:colOff>60960</xdr:colOff>
                    <xdr:row>81</xdr:row>
                    <xdr:rowOff>160020</xdr:rowOff>
                  </from>
                  <to>
                    <xdr:col>5</xdr:col>
                    <xdr:colOff>533400</xdr:colOff>
                    <xdr:row>81</xdr:row>
                    <xdr:rowOff>373380</xdr:rowOff>
                  </to>
                </anchor>
              </controlPr>
            </control>
          </mc:Choice>
        </mc:AlternateContent>
        <mc:AlternateContent xmlns:mc="http://schemas.openxmlformats.org/markup-compatibility/2006">
          <mc:Choice Requires="x14">
            <control shapeId="27670" r:id="rId20" name="Check Box 22">
              <controlPr defaultSize="0" autoFill="0" autoLine="0" autoPict="0">
                <anchor moveWithCells="1">
                  <from>
                    <xdr:col>4</xdr:col>
                    <xdr:colOff>68580</xdr:colOff>
                    <xdr:row>77</xdr:row>
                    <xdr:rowOff>403860</xdr:rowOff>
                  </from>
                  <to>
                    <xdr:col>5</xdr:col>
                    <xdr:colOff>1104900</xdr:colOff>
                    <xdr:row>79</xdr:row>
                    <xdr:rowOff>160020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3" id="{91B7E614-6A84-4D7F-BB91-214B6A92B71D}">
            <xm:f>$L11&lt;&gt;'Year 1'!$L11</xm:f>
            <x14:dxf>
              <fill>
                <patternFill>
                  <bgColor rgb="FF00FF99"/>
                </patternFill>
              </fill>
            </x14:dxf>
          </x14:cfRule>
          <xm:sqref>L11:L26 L30:L45 L53:L55 L59:L64 L72:L73 L77:L83 L87:L91 L95:L100 L104:L108</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19"/>
  <sheetViews>
    <sheetView showGridLines="0" topLeftCell="D1" zoomScale="70" zoomScaleNormal="70" workbookViewId="0">
      <pane ySplit="6" topLeftCell="A7" activePane="bottomLeft" state="frozen"/>
      <selection pane="bottomLeft" activeCell="G4" sqref="G4:H4"/>
      <selection activeCell="B46" sqref="B46"/>
    </sheetView>
  </sheetViews>
  <sheetFormatPr defaultColWidth="9" defaultRowHeight="13.9"/>
  <cols>
    <col min="1" max="3" width="9" style="26" hidden="1" customWidth="1"/>
    <col min="4" max="4" width="2.25" style="26" customWidth="1"/>
    <col min="5" max="5" width="4.5" style="26" customWidth="1"/>
    <col min="6" max="6" width="27.75" style="12" customWidth="1"/>
    <col min="7" max="7" width="51.125" style="12" customWidth="1"/>
    <col min="8" max="8" width="9.125" style="11" customWidth="1"/>
    <col min="9" max="9" width="11.125" style="11" customWidth="1"/>
    <col min="10" max="10" width="40.125" style="12" customWidth="1"/>
    <col min="11" max="11" width="15.375" style="11" customWidth="1"/>
    <col min="12" max="12" width="14" style="34" customWidth="1"/>
    <col min="13" max="13" width="11.125" style="26" customWidth="1"/>
    <col min="14" max="16" width="35.875" style="1" customWidth="1"/>
    <col min="17" max="17" width="34.25" style="1" customWidth="1"/>
    <col min="18" max="18" width="19.75" style="26" hidden="1" customWidth="1"/>
    <col min="19" max="19" width="27.625" style="26" hidden="1" customWidth="1"/>
    <col min="20" max="21" width="10.125" style="26" hidden="1" customWidth="1"/>
    <col min="22" max="22" width="25.5" style="26" hidden="1" customWidth="1"/>
    <col min="23" max="23" width="24" style="26" hidden="1" customWidth="1"/>
    <col min="24" max="24" width="9" style="26" hidden="1" customWidth="1"/>
    <col min="25" max="26" width="15.75" style="26" hidden="1" customWidth="1"/>
    <col min="27" max="27" width="9" style="26" customWidth="1"/>
    <col min="28" max="16384" width="9" style="26"/>
  </cols>
  <sheetData>
    <row r="1" spans="1:26" ht="45" customHeight="1">
      <c r="A1" s="26" t="s">
        <v>28</v>
      </c>
      <c r="B1" s="26" t="s">
        <v>28</v>
      </c>
      <c r="C1" s="26" t="s">
        <v>28</v>
      </c>
      <c r="F1" s="413" t="s">
        <v>864</v>
      </c>
      <c r="G1" s="414"/>
      <c r="H1" s="414"/>
      <c r="I1" s="414"/>
      <c r="J1" s="414"/>
      <c r="K1" s="19"/>
      <c r="L1" s="32"/>
      <c r="M1" s="33"/>
      <c r="N1" s="31"/>
      <c r="O1" s="31"/>
      <c r="R1" s="26" t="s">
        <v>28</v>
      </c>
      <c r="S1" s="26" t="s">
        <v>28</v>
      </c>
      <c r="T1" s="26" t="s">
        <v>28</v>
      </c>
      <c r="U1" s="26" t="s">
        <v>28</v>
      </c>
      <c r="V1" s="26" t="s">
        <v>28</v>
      </c>
      <c r="W1" s="26" t="s">
        <v>28</v>
      </c>
      <c r="X1" s="26" t="s">
        <v>28</v>
      </c>
      <c r="Y1" s="26" t="s">
        <v>28</v>
      </c>
      <c r="Z1" s="26" t="s">
        <v>28</v>
      </c>
    </row>
    <row r="2" spans="1:26" ht="12.75" customHeight="1">
      <c r="F2" s="13"/>
      <c r="G2" s="14"/>
      <c r="H2" s="14"/>
      <c r="I2" s="14"/>
      <c r="J2" s="14"/>
      <c r="K2" s="15"/>
      <c r="L2" s="32"/>
      <c r="M2" s="33"/>
      <c r="N2" s="31"/>
      <c r="O2" s="31"/>
    </row>
    <row r="3" spans="1:26" ht="45" customHeight="1">
      <c r="A3" s="36" t="s">
        <v>865</v>
      </c>
      <c r="B3" s="36" t="s">
        <v>866</v>
      </c>
      <c r="C3" s="26" t="s">
        <v>867</v>
      </c>
      <c r="F3" s="447" t="s">
        <v>1071</v>
      </c>
      <c r="G3" s="448" t="str">
        <f>IF('Building Information'!C7="","",'Building Information'!C7)</f>
        <v/>
      </c>
      <c r="H3" s="449"/>
      <c r="I3" s="22"/>
      <c r="J3" s="16"/>
      <c r="K3" s="80" t="s">
        <v>869</v>
      </c>
      <c r="L3" s="80" t="s">
        <v>870</v>
      </c>
      <c r="M3" s="30"/>
      <c r="N3" s="49"/>
      <c r="O3" s="49"/>
    </row>
    <row r="4" spans="1:26" ht="45" customHeight="1">
      <c r="F4" s="21" t="s">
        <v>1072</v>
      </c>
      <c r="G4" s="417" t="str">
        <f>IF(L4&gt;=74.5,"6 Star - World Leadership",IF(L4&gt;=59.5,"5 Star - New Zealand Excellence",IF(L4&gt;=44.5,"4 Star - New Zealand Best Practice",IF(L4&gt;=29.5,"3 Star - Good Practice", IF(L4&gt;=19.5,"2 Star - Average Practice",IF(L4&gt;=9.5,"1 Star - Minimum Practice", ""))))))</f>
        <v/>
      </c>
      <c r="H4" s="418"/>
      <c r="I4" s="23"/>
      <c r="J4" s="17"/>
      <c r="K4" s="27">
        <f>K109</f>
        <v>98</v>
      </c>
      <c r="L4" s="28">
        <f>L112</f>
        <v>0</v>
      </c>
      <c r="M4" s="29"/>
      <c r="N4" s="49"/>
      <c r="O4" s="49"/>
    </row>
    <row r="5" spans="1:26" ht="17.25" customHeight="1">
      <c r="G5" s="18"/>
      <c r="H5" s="19"/>
      <c r="I5" s="19"/>
      <c r="J5" s="18"/>
      <c r="K5" s="19"/>
      <c r="L5" s="32"/>
      <c r="M5" s="41"/>
      <c r="N5" s="31"/>
      <c r="O5" s="31"/>
    </row>
    <row r="6" spans="1:26" ht="45" customHeight="1">
      <c r="E6" s="82" t="s">
        <v>878</v>
      </c>
      <c r="F6" s="83" t="s">
        <v>879</v>
      </c>
      <c r="G6" s="83" t="s">
        <v>880</v>
      </c>
      <c r="H6" s="80" t="s">
        <v>881</v>
      </c>
      <c r="I6" s="80" t="s">
        <v>882</v>
      </c>
      <c r="J6" s="83" t="s">
        <v>883</v>
      </c>
      <c r="K6" s="80" t="s">
        <v>884</v>
      </c>
      <c r="L6" s="80" t="s">
        <v>885</v>
      </c>
      <c r="M6" s="41"/>
      <c r="N6" s="157" t="s">
        <v>1073</v>
      </c>
      <c r="O6" s="157"/>
      <c r="P6" s="157"/>
      <c r="Q6" s="52"/>
      <c r="V6" s="450" t="s">
        <v>1074</v>
      </c>
      <c r="W6" s="451" t="s">
        <v>1075</v>
      </c>
      <c r="X6" s="42"/>
      <c r="Y6" s="452" t="s">
        <v>1076</v>
      </c>
      <c r="Z6" s="452" t="s">
        <v>1077</v>
      </c>
    </row>
    <row r="7" spans="1:26" ht="45" customHeight="1">
      <c r="E7" s="146"/>
      <c r="F7" s="24" t="s">
        <v>898</v>
      </c>
      <c r="G7" s="86"/>
      <c r="H7" s="86"/>
      <c r="I7" s="86"/>
      <c r="J7" s="86"/>
      <c r="K7" s="87"/>
      <c r="L7" s="87"/>
      <c r="M7" s="41"/>
      <c r="N7" s="89"/>
      <c r="O7" s="89"/>
      <c r="P7" s="89"/>
      <c r="Q7" s="50"/>
      <c r="V7" s="453" t="s">
        <v>898</v>
      </c>
      <c r="W7" s="454">
        <f>L24</f>
        <v>0</v>
      </c>
      <c r="X7" s="43"/>
      <c r="Y7" s="44" t="e">
        <f>#REF!</f>
        <v>#REF!</v>
      </c>
      <c r="Z7" s="45" t="e">
        <f>#REF!</f>
        <v>#REF!</v>
      </c>
    </row>
    <row r="8" spans="1:26" ht="45" customHeight="1">
      <c r="E8" s="146"/>
      <c r="F8" s="90" t="s">
        <v>899</v>
      </c>
      <c r="G8" s="91" t="s">
        <v>900</v>
      </c>
      <c r="H8" s="92">
        <v>1.1000000000000001</v>
      </c>
      <c r="I8" s="92" t="s">
        <v>901</v>
      </c>
      <c r="J8" s="93" t="s">
        <v>902</v>
      </c>
      <c r="K8" s="94">
        <v>1</v>
      </c>
      <c r="L8" s="95"/>
      <c r="M8" s="96"/>
      <c r="N8" s="158"/>
      <c r="O8" s="158"/>
      <c r="P8" s="159"/>
      <c r="V8" s="453" t="s">
        <v>935</v>
      </c>
      <c r="W8" s="454">
        <f>L43</f>
        <v>0</v>
      </c>
      <c r="X8" s="43"/>
      <c r="Y8" s="44" t="e">
        <f>#REF!</f>
        <v>#REF!</v>
      </c>
      <c r="Z8" s="45" t="e">
        <f>#REF!</f>
        <v>#REF!</v>
      </c>
    </row>
    <row r="9" spans="1:26" ht="45" customHeight="1">
      <c r="E9" s="146"/>
      <c r="F9" s="387" t="s">
        <v>43</v>
      </c>
      <c r="G9" s="386" t="s">
        <v>903</v>
      </c>
      <c r="H9" s="92">
        <v>2.1</v>
      </c>
      <c r="I9" s="92" t="s">
        <v>901</v>
      </c>
      <c r="J9" s="93" t="s">
        <v>904</v>
      </c>
      <c r="K9" s="94">
        <v>1</v>
      </c>
      <c r="L9" s="95"/>
      <c r="M9" s="96"/>
      <c r="N9" s="158"/>
      <c r="O9" s="158"/>
      <c r="P9" s="159"/>
      <c r="S9" s="45" t="s">
        <v>1078</v>
      </c>
      <c r="V9" s="453" t="s">
        <v>655</v>
      </c>
      <c r="W9" s="454">
        <f>L53</f>
        <v>0</v>
      </c>
      <c r="X9" s="43"/>
      <c r="Y9" s="44" t="e">
        <f>#REF!</f>
        <v>#REF!</v>
      </c>
      <c r="Z9" s="45" t="e">
        <f>#REF!</f>
        <v>#REF!</v>
      </c>
    </row>
    <row r="10" spans="1:26" ht="45" customHeight="1">
      <c r="E10" s="146"/>
      <c r="F10" s="387"/>
      <c r="G10" s="386"/>
      <c r="H10" s="92">
        <v>2.2000000000000002</v>
      </c>
      <c r="I10" s="92" t="s">
        <v>901</v>
      </c>
      <c r="J10" s="93" t="s">
        <v>906</v>
      </c>
      <c r="K10" s="94">
        <v>1</v>
      </c>
      <c r="L10" s="95"/>
      <c r="M10" s="96"/>
      <c r="N10" s="158"/>
      <c r="O10" s="158"/>
      <c r="P10" s="159"/>
      <c r="S10" s="45" t="s">
        <v>1079</v>
      </c>
      <c r="V10" s="453" t="s">
        <v>987</v>
      </c>
      <c r="W10" s="454">
        <f>L62</f>
        <v>0</v>
      </c>
      <c r="X10" s="43"/>
      <c r="Y10" s="44" t="e">
        <f>#REF!</f>
        <v>#REF!</v>
      </c>
      <c r="Z10" s="45" t="e">
        <f>#REF!</f>
        <v>#REF!</v>
      </c>
    </row>
    <row r="11" spans="1:26" ht="45" customHeight="1">
      <c r="E11" s="146"/>
      <c r="F11" s="387" t="s">
        <v>908</v>
      </c>
      <c r="G11" s="386" t="s">
        <v>909</v>
      </c>
      <c r="H11" s="92">
        <v>3.1</v>
      </c>
      <c r="I11" s="92" t="s">
        <v>910</v>
      </c>
      <c r="J11" s="93" t="s">
        <v>911</v>
      </c>
      <c r="K11" s="94">
        <v>1</v>
      </c>
      <c r="L11" s="95"/>
      <c r="M11" s="96"/>
      <c r="N11" s="158"/>
      <c r="O11" s="158"/>
      <c r="P11" s="159"/>
      <c r="S11" s="45" t="s">
        <v>1080</v>
      </c>
      <c r="V11" s="453" t="s">
        <v>668</v>
      </c>
      <c r="W11" s="454">
        <f>L71</f>
        <v>0</v>
      </c>
      <c r="X11" s="43"/>
      <c r="Y11" s="44" t="e">
        <f>#REF!</f>
        <v>#REF!</v>
      </c>
      <c r="Z11" s="45" t="e">
        <f>#REF!</f>
        <v>#REF!</v>
      </c>
    </row>
    <row r="12" spans="1:26" ht="45" customHeight="1">
      <c r="E12" s="146"/>
      <c r="F12" s="387"/>
      <c r="G12" s="386"/>
      <c r="H12" s="92">
        <v>3.2</v>
      </c>
      <c r="I12" s="92" t="s">
        <v>901</v>
      </c>
      <c r="J12" s="93" t="s">
        <v>913</v>
      </c>
      <c r="K12" s="94">
        <v>1</v>
      </c>
      <c r="L12" s="95"/>
      <c r="M12" s="96"/>
      <c r="N12" s="158"/>
      <c r="O12" s="158"/>
      <c r="P12" s="159"/>
      <c r="S12" s="45" t="s">
        <v>1081</v>
      </c>
      <c r="V12" s="453" t="s">
        <v>1007</v>
      </c>
      <c r="W12" s="454">
        <f>L81</f>
        <v>0</v>
      </c>
      <c r="X12" s="43"/>
      <c r="Y12" s="44" t="e">
        <f>#REF!</f>
        <v>#REF!</v>
      </c>
      <c r="Z12" s="45" t="e">
        <f>#REF!</f>
        <v>#REF!</v>
      </c>
    </row>
    <row r="13" spans="1:26" ht="45" customHeight="1">
      <c r="E13" s="146"/>
      <c r="F13" s="387" t="s">
        <v>914</v>
      </c>
      <c r="G13" s="386" t="s">
        <v>915</v>
      </c>
      <c r="H13" s="92">
        <v>4.0999999999999996</v>
      </c>
      <c r="I13" s="92" t="s">
        <v>901</v>
      </c>
      <c r="J13" s="93" t="s">
        <v>916</v>
      </c>
      <c r="K13" s="94">
        <v>1</v>
      </c>
      <c r="L13" s="95"/>
      <c r="M13" s="96"/>
      <c r="N13" s="158"/>
      <c r="O13" s="158"/>
      <c r="P13" s="159"/>
      <c r="S13" s="45" t="s">
        <v>1082</v>
      </c>
      <c r="V13" s="453" t="s">
        <v>1021</v>
      </c>
      <c r="W13" s="454">
        <f>L89</f>
        <v>0</v>
      </c>
      <c r="X13" s="43"/>
      <c r="Y13" s="44" t="e">
        <f>#REF!</f>
        <v>#REF!</v>
      </c>
      <c r="Z13" s="45" t="e">
        <f>#REF!</f>
        <v>#REF!</v>
      </c>
    </row>
    <row r="14" spans="1:26" ht="45" customHeight="1">
      <c r="E14" s="146"/>
      <c r="F14" s="387"/>
      <c r="G14" s="386"/>
      <c r="H14" s="92">
        <v>4.2</v>
      </c>
      <c r="I14" s="92" t="s">
        <v>901</v>
      </c>
      <c r="J14" s="93" t="s">
        <v>917</v>
      </c>
      <c r="K14" s="94">
        <v>1</v>
      </c>
      <c r="L14" s="95"/>
      <c r="M14" s="96"/>
      <c r="N14" s="158"/>
      <c r="O14" s="158"/>
      <c r="P14" s="159"/>
      <c r="V14" s="453" t="s">
        <v>1031</v>
      </c>
      <c r="W14" s="454">
        <f>L98</f>
        <v>0</v>
      </c>
      <c r="X14" s="43"/>
      <c r="Y14" s="44" t="e">
        <f>#REF!</f>
        <v>#REF!</v>
      </c>
      <c r="Z14" s="45" t="e">
        <f>#REF!</f>
        <v>#REF!</v>
      </c>
    </row>
    <row r="15" spans="1:26" ht="45" customHeight="1">
      <c r="E15" s="146"/>
      <c r="F15" s="387" t="s">
        <v>918</v>
      </c>
      <c r="G15" s="386" t="s">
        <v>919</v>
      </c>
      <c r="H15" s="92">
        <v>5.0999999999999996</v>
      </c>
      <c r="I15" s="92" t="s">
        <v>920</v>
      </c>
      <c r="J15" s="93" t="s">
        <v>921</v>
      </c>
      <c r="K15" s="94">
        <v>1</v>
      </c>
      <c r="L15" s="95"/>
      <c r="M15" s="96"/>
      <c r="N15" s="158"/>
      <c r="O15" s="158"/>
      <c r="P15" s="159"/>
      <c r="V15" s="453" t="s">
        <v>1044</v>
      </c>
      <c r="W15" s="454">
        <f>L106</f>
        <v>0</v>
      </c>
      <c r="X15" s="43"/>
      <c r="Y15" s="44" t="e">
        <f>#REF!</f>
        <v>#REF!</v>
      </c>
      <c r="Z15" s="45" t="e">
        <f>#REF!</f>
        <v>#REF!</v>
      </c>
    </row>
    <row r="16" spans="1:26" ht="45" customHeight="1">
      <c r="E16" s="146"/>
      <c r="F16" s="387"/>
      <c r="G16" s="386"/>
      <c r="H16" s="92">
        <v>5.2</v>
      </c>
      <c r="I16" s="92" t="s">
        <v>901</v>
      </c>
      <c r="J16" s="93" t="s">
        <v>922</v>
      </c>
      <c r="K16" s="94">
        <v>1</v>
      </c>
      <c r="L16" s="95"/>
      <c r="M16" s="96"/>
      <c r="N16" s="158"/>
      <c r="O16" s="158"/>
      <c r="P16" s="159"/>
      <c r="V16" s="450" t="s">
        <v>1083</v>
      </c>
      <c r="W16" s="451">
        <f>SUM(W7:W14)</f>
        <v>0</v>
      </c>
      <c r="X16" s="46"/>
      <c r="Y16" s="452" t="e">
        <f>SUM(Y7:Y15)</f>
        <v>#REF!</v>
      </c>
      <c r="Z16" s="452" t="e">
        <f>SUM(Z7:Z15)</f>
        <v>#REF!</v>
      </c>
    </row>
    <row r="17" spans="1:23" ht="45" customHeight="1">
      <c r="E17" s="146"/>
      <c r="F17" s="387"/>
      <c r="G17" s="386"/>
      <c r="H17" s="92">
        <v>5.3</v>
      </c>
      <c r="I17" s="92" t="s">
        <v>901</v>
      </c>
      <c r="J17" s="93" t="s">
        <v>924</v>
      </c>
      <c r="K17" s="94">
        <v>1</v>
      </c>
      <c r="L17" s="95"/>
      <c r="M17" s="96"/>
      <c r="N17" s="158"/>
      <c r="O17" s="158"/>
      <c r="P17" s="159"/>
      <c r="V17" s="450" t="s">
        <v>1084</v>
      </c>
      <c r="W17" s="452">
        <f>W15+W16</f>
        <v>0</v>
      </c>
    </row>
    <row r="18" spans="1:23" ht="45" customHeight="1">
      <c r="E18" s="146"/>
      <c r="F18" s="379" t="s">
        <v>925</v>
      </c>
      <c r="G18" s="388" t="s">
        <v>926</v>
      </c>
      <c r="H18" s="92">
        <v>6.1</v>
      </c>
      <c r="I18" s="92" t="s">
        <v>920</v>
      </c>
      <c r="J18" s="93" t="s">
        <v>927</v>
      </c>
      <c r="K18" s="94">
        <v>1</v>
      </c>
      <c r="L18" s="95"/>
      <c r="M18" s="96"/>
      <c r="N18" s="158"/>
      <c r="O18" s="158"/>
      <c r="P18" s="159"/>
    </row>
    <row r="19" spans="1:23" ht="45" customHeight="1">
      <c r="E19" s="146"/>
      <c r="F19" s="379"/>
      <c r="G19" s="388"/>
      <c r="H19" s="92">
        <v>6.2</v>
      </c>
      <c r="I19" s="92" t="s">
        <v>901</v>
      </c>
      <c r="J19" s="93" t="s">
        <v>928</v>
      </c>
      <c r="K19" s="94">
        <v>1</v>
      </c>
      <c r="L19" s="95"/>
      <c r="M19" s="96"/>
      <c r="N19" s="158"/>
      <c r="O19" s="158"/>
      <c r="P19" s="159"/>
    </row>
    <row r="20" spans="1:23" ht="45" customHeight="1">
      <c r="E20" s="146"/>
      <c r="F20" s="379"/>
      <c r="G20" s="388"/>
      <c r="H20" s="92">
        <v>6.3</v>
      </c>
      <c r="I20" s="92" t="s">
        <v>901</v>
      </c>
      <c r="J20" s="93" t="s">
        <v>929</v>
      </c>
      <c r="K20" s="94">
        <v>1</v>
      </c>
      <c r="L20" s="95"/>
      <c r="M20" s="96"/>
      <c r="N20" s="158"/>
      <c r="O20" s="158"/>
      <c r="P20" s="159"/>
    </row>
    <row r="21" spans="1:23" ht="45" customHeight="1">
      <c r="E21" s="146"/>
      <c r="F21" s="387" t="s">
        <v>930</v>
      </c>
      <c r="G21" s="386" t="s">
        <v>931</v>
      </c>
      <c r="H21" s="92">
        <v>7.1</v>
      </c>
      <c r="I21" s="92" t="s">
        <v>920</v>
      </c>
      <c r="J21" s="93" t="s">
        <v>932</v>
      </c>
      <c r="K21" s="94">
        <v>2</v>
      </c>
      <c r="L21" s="95"/>
      <c r="M21" s="96"/>
      <c r="N21" s="158"/>
      <c r="O21" s="158"/>
      <c r="P21" s="159"/>
    </row>
    <row r="22" spans="1:23" ht="45" customHeight="1">
      <c r="E22" s="146"/>
      <c r="F22" s="387"/>
      <c r="G22" s="386"/>
      <c r="H22" s="92">
        <v>7.2</v>
      </c>
      <c r="I22" s="92" t="s">
        <v>920</v>
      </c>
      <c r="J22" s="93" t="s">
        <v>933</v>
      </c>
      <c r="K22" s="94">
        <v>1</v>
      </c>
      <c r="L22" s="95"/>
      <c r="M22" s="41"/>
      <c r="N22" s="158"/>
      <c r="O22" s="158"/>
      <c r="P22" s="159"/>
    </row>
    <row r="23" spans="1:23" ht="45" customHeight="1">
      <c r="E23" s="146"/>
      <c r="F23" s="387"/>
      <c r="G23" s="386"/>
      <c r="H23" s="92">
        <v>7.3</v>
      </c>
      <c r="I23" s="92" t="s">
        <v>920</v>
      </c>
      <c r="J23" s="93" t="s">
        <v>934</v>
      </c>
      <c r="K23" s="94">
        <v>1</v>
      </c>
      <c r="L23" s="95"/>
      <c r="M23" s="41"/>
      <c r="N23" s="158"/>
      <c r="O23" s="158"/>
      <c r="P23" s="159"/>
    </row>
    <row r="24" spans="1:23" ht="45" customHeight="1">
      <c r="E24" s="146"/>
      <c r="F24" s="100" t="s">
        <v>486</v>
      </c>
      <c r="G24" s="100"/>
      <c r="H24" s="101"/>
      <c r="I24" s="101"/>
      <c r="J24" s="100"/>
      <c r="K24" s="101">
        <f>SUM(K8:K23)</f>
        <v>17</v>
      </c>
      <c r="L24" s="166">
        <f>SUM(L8:L23)</f>
        <v>0</v>
      </c>
      <c r="M24" s="41"/>
      <c r="N24" s="49"/>
      <c r="O24" s="49"/>
      <c r="P24" s="160"/>
    </row>
    <row r="25" spans="1:23" ht="45" customHeight="1">
      <c r="E25" s="146"/>
      <c r="F25" s="109"/>
      <c r="G25" s="110"/>
      <c r="H25" s="111"/>
      <c r="I25" s="111"/>
      <c r="J25" s="110"/>
      <c r="K25" s="112"/>
      <c r="L25" s="113"/>
      <c r="M25" s="41"/>
      <c r="N25" s="49"/>
      <c r="O25" s="49"/>
      <c r="P25" s="160"/>
    </row>
    <row r="26" spans="1:23" ht="45" customHeight="1">
      <c r="E26" s="146"/>
      <c r="F26" s="25" t="s">
        <v>935</v>
      </c>
      <c r="G26" s="117"/>
      <c r="H26" s="117"/>
      <c r="I26" s="117"/>
      <c r="J26" s="117"/>
      <c r="K26" s="117"/>
      <c r="L26" s="118"/>
      <c r="M26" s="41"/>
      <c r="N26" s="89"/>
      <c r="O26" s="89"/>
      <c r="P26" s="89"/>
      <c r="Q26" s="50"/>
    </row>
    <row r="27" spans="1:23" ht="45" customHeight="1">
      <c r="E27" s="146"/>
      <c r="F27" s="400" t="s">
        <v>936</v>
      </c>
      <c r="G27" s="401" t="s">
        <v>937</v>
      </c>
      <c r="H27" s="123">
        <v>8.1</v>
      </c>
      <c r="I27" s="123" t="s">
        <v>901</v>
      </c>
      <c r="J27" s="124" t="s">
        <v>938</v>
      </c>
      <c r="K27" s="125">
        <v>1</v>
      </c>
      <c r="L27" s="126"/>
      <c r="M27" s="41"/>
      <c r="N27" s="158"/>
      <c r="O27" s="158"/>
      <c r="P27" s="158"/>
    </row>
    <row r="28" spans="1:23" ht="45" customHeight="1">
      <c r="E28" s="146"/>
      <c r="F28" s="400"/>
      <c r="G28" s="402"/>
      <c r="H28" s="123">
        <v>8.1999999999999993</v>
      </c>
      <c r="I28" s="123" t="s">
        <v>901</v>
      </c>
      <c r="J28" s="124" t="s">
        <v>939</v>
      </c>
      <c r="K28" s="125">
        <v>1</v>
      </c>
      <c r="L28" s="126"/>
      <c r="M28" s="41"/>
      <c r="N28" s="158"/>
      <c r="O28" s="158"/>
      <c r="P28" s="158"/>
    </row>
    <row r="29" spans="1:23" ht="45" customHeight="1">
      <c r="E29" s="146"/>
      <c r="F29" s="400"/>
      <c r="G29" s="403"/>
      <c r="H29" s="123">
        <v>8.3000000000000007</v>
      </c>
      <c r="I29" s="123" t="s">
        <v>56</v>
      </c>
      <c r="J29" s="124" t="s">
        <v>940</v>
      </c>
      <c r="K29" s="125">
        <v>2</v>
      </c>
      <c r="L29" s="126"/>
      <c r="M29" s="41"/>
      <c r="N29" s="158"/>
      <c r="O29" s="158"/>
      <c r="P29" s="158"/>
    </row>
    <row r="30" spans="1:23" ht="45" customHeight="1">
      <c r="A30" s="26">
        <v>1</v>
      </c>
      <c r="B30" s="26">
        <f>IF(C30=TRUE,A30,0)</f>
        <v>0</v>
      </c>
      <c r="C30" s="26" t="b">
        <v>0</v>
      </c>
      <c r="E30" s="146"/>
      <c r="F30" s="400" t="s">
        <v>941</v>
      </c>
      <c r="G30" s="401" t="s">
        <v>942</v>
      </c>
      <c r="H30" s="123">
        <v>9.1</v>
      </c>
      <c r="I30" s="123" t="s">
        <v>901</v>
      </c>
      <c r="J30" s="124" t="s">
        <v>943</v>
      </c>
      <c r="K30" s="125">
        <f>IF(C30=FALSE,A30,0)</f>
        <v>1</v>
      </c>
      <c r="L30" s="126"/>
      <c r="M30" s="41"/>
      <c r="N30" s="158"/>
      <c r="O30" s="158"/>
      <c r="P30" s="158"/>
    </row>
    <row r="31" spans="1:23" ht="45" customHeight="1">
      <c r="A31" s="26">
        <v>1</v>
      </c>
      <c r="B31" s="26">
        <f>IF(C31=TRUE,A31,0)</f>
        <v>0</v>
      </c>
      <c r="C31" s="26" t="b">
        <v>0</v>
      </c>
      <c r="E31" s="146"/>
      <c r="F31" s="400"/>
      <c r="G31" s="403"/>
      <c r="H31" s="123">
        <v>9.1999999999999993</v>
      </c>
      <c r="I31" s="123" t="s">
        <v>901</v>
      </c>
      <c r="J31" s="124" t="s">
        <v>944</v>
      </c>
      <c r="K31" s="125">
        <f>IF(C31=FALSE,A31,0)</f>
        <v>1</v>
      </c>
      <c r="L31" s="126"/>
      <c r="M31" s="41"/>
      <c r="N31" s="158"/>
      <c r="O31" s="158"/>
      <c r="P31" s="158"/>
    </row>
    <row r="32" spans="1:23" ht="45" customHeight="1">
      <c r="E32" s="146"/>
      <c r="F32" s="400" t="s">
        <v>945</v>
      </c>
      <c r="G32" s="401" t="s">
        <v>946</v>
      </c>
      <c r="H32" s="123">
        <v>10.1</v>
      </c>
      <c r="I32" s="123" t="s">
        <v>901</v>
      </c>
      <c r="J32" s="124" t="s">
        <v>947</v>
      </c>
      <c r="K32" s="125">
        <v>1</v>
      </c>
      <c r="L32" s="126"/>
      <c r="M32" s="41"/>
      <c r="N32" s="158"/>
      <c r="O32" s="158"/>
      <c r="P32" s="158"/>
    </row>
    <row r="33" spans="5:18" ht="45" customHeight="1">
      <c r="E33" s="146"/>
      <c r="F33" s="400"/>
      <c r="G33" s="403"/>
      <c r="H33" s="123">
        <v>10.199999999999999</v>
      </c>
      <c r="I33" s="123" t="s">
        <v>56</v>
      </c>
      <c r="J33" s="124" t="s">
        <v>948</v>
      </c>
      <c r="K33" s="125">
        <v>1</v>
      </c>
      <c r="L33" s="126"/>
      <c r="M33" s="41"/>
      <c r="N33" s="158"/>
      <c r="O33" s="158"/>
      <c r="P33" s="158"/>
    </row>
    <row r="34" spans="5:18" ht="45" customHeight="1">
      <c r="E34" s="146"/>
      <c r="F34" s="400" t="s">
        <v>949</v>
      </c>
      <c r="G34" s="401" t="s">
        <v>950</v>
      </c>
      <c r="H34" s="123">
        <v>11.1</v>
      </c>
      <c r="I34" s="123" t="s">
        <v>910</v>
      </c>
      <c r="J34" s="124" t="s">
        <v>951</v>
      </c>
      <c r="K34" s="125">
        <v>1</v>
      </c>
      <c r="L34" s="126"/>
      <c r="M34" s="41"/>
      <c r="N34" s="158"/>
      <c r="O34" s="158"/>
      <c r="P34" s="158"/>
    </row>
    <row r="35" spans="5:18" ht="45" customHeight="1">
      <c r="E35" s="146"/>
      <c r="F35" s="400"/>
      <c r="G35" s="403"/>
      <c r="H35" s="123">
        <v>11.2</v>
      </c>
      <c r="I35" s="123" t="s">
        <v>910</v>
      </c>
      <c r="J35" s="124" t="s">
        <v>952</v>
      </c>
      <c r="K35" s="125">
        <v>1</v>
      </c>
      <c r="L35" s="126"/>
      <c r="M35" s="41"/>
      <c r="N35" s="158"/>
      <c r="O35" s="158"/>
      <c r="P35" s="158"/>
    </row>
    <row r="36" spans="5:18" ht="45" customHeight="1">
      <c r="E36" s="146"/>
      <c r="F36" s="400" t="s">
        <v>953</v>
      </c>
      <c r="G36" s="383" t="s">
        <v>954</v>
      </c>
      <c r="H36" s="123" t="s">
        <v>955</v>
      </c>
      <c r="I36" s="123" t="s">
        <v>56</v>
      </c>
      <c r="J36" s="124" t="s">
        <v>956</v>
      </c>
      <c r="K36" s="125">
        <f>IF($G$36=$R$36,2,0)</f>
        <v>2</v>
      </c>
      <c r="L36" s="126"/>
      <c r="M36" s="41"/>
      <c r="N36" s="158"/>
      <c r="O36" s="158"/>
      <c r="P36" s="158"/>
      <c r="R36" s="51" t="s">
        <v>954</v>
      </c>
    </row>
    <row r="37" spans="5:18" ht="45" customHeight="1">
      <c r="E37" s="146"/>
      <c r="F37" s="400"/>
      <c r="G37" s="384"/>
      <c r="H37" s="123" t="s">
        <v>957</v>
      </c>
      <c r="I37" s="123" t="s">
        <v>56</v>
      </c>
      <c r="J37" s="124" t="s">
        <v>958</v>
      </c>
      <c r="K37" s="125">
        <f>IF($G$36=$R$36,1,0)</f>
        <v>1</v>
      </c>
      <c r="L37" s="126"/>
      <c r="M37" s="41"/>
      <c r="N37" s="158"/>
      <c r="O37" s="158"/>
      <c r="P37" s="158"/>
      <c r="R37" s="51" t="s">
        <v>959</v>
      </c>
    </row>
    <row r="38" spans="5:18" ht="45" customHeight="1">
      <c r="E38" s="146"/>
      <c r="F38" s="400"/>
      <c r="G38" s="384"/>
      <c r="H38" s="123" t="s">
        <v>960</v>
      </c>
      <c r="I38" s="123" t="s">
        <v>56</v>
      </c>
      <c r="J38" s="124" t="s">
        <v>961</v>
      </c>
      <c r="K38" s="125">
        <f>IF($G$36=$R$37,2,0)</f>
        <v>0</v>
      </c>
      <c r="L38" s="126"/>
      <c r="M38" s="41"/>
      <c r="N38" s="158"/>
      <c r="O38" s="158"/>
      <c r="P38" s="158"/>
    </row>
    <row r="39" spans="5:18" ht="45" customHeight="1">
      <c r="E39" s="146"/>
      <c r="F39" s="400"/>
      <c r="G39" s="385"/>
      <c r="H39" s="123" t="s">
        <v>962</v>
      </c>
      <c r="I39" s="123" t="s">
        <v>56</v>
      </c>
      <c r="J39" s="124" t="s">
        <v>1069</v>
      </c>
      <c r="K39" s="125">
        <f>IF($G$36=$R$37,1,0)</f>
        <v>0</v>
      </c>
      <c r="L39" s="126"/>
      <c r="M39" s="41"/>
      <c r="N39" s="158"/>
      <c r="O39" s="158"/>
      <c r="P39" s="158"/>
    </row>
    <row r="40" spans="5:18" ht="45" customHeight="1">
      <c r="E40" s="146"/>
      <c r="F40" s="128" t="s">
        <v>964</v>
      </c>
      <c r="G40" s="124" t="s">
        <v>965</v>
      </c>
      <c r="H40" s="123">
        <v>13.1</v>
      </c>
      <c r="I40" s="123" t="s">
        <v>56</v>
      </c>
      <c r="J40" s="124" t="s">
        <v>966</v>
      </c>
      <c r="K40" s="125">
        <v>1</v>
      </c>
      <c r="L40" s="126"/>
      <c r="M40" s="41"/>
      <c r="N40" s="158"/>
      <c r="O40" s="158"/>
      <c r="P40" s="158"/>
    </row>
    <row r="41" spans="5:18" ht="45" customHeight="1">
      <c r="E41" s="146"/>
      <c r="F41" s="400" t="s">
        <v>967</v>
      </c>
      <c r="G41" s="401" t="s">
        <v>968</v>
      </c>
      <c r="H41" s="123">
        <v>14.1</v>
      </c>
      <c r="I41" s="123" t="s">
        <v>901</v>
      </c>
      <c r="J41" s="124" t="s">
        <v>969</v>
      </c>
      <c r="K41" s="125">
        <v>1</v>
      </c>
      <c r="L41" s="126"/>
      <c r="M41" s="41"/>
      <c r="N41" s="158"/>
      <c r="O41" s="158"/>
      <c r="P41" s="158"/>
    </row>
    <row r="42" spans="5:18" ht="45" customHeight="1">
      <c r="E42" s="146"/>
      <c r="F42" s="400"/>
      <c r="G42" s="403"/>
      <c r="H42" s="123">
        <v>14.2</v>
      </c>
      <c r="I42" s="123" t="s">
        <v>56</v>
      </c>
      <c r="J42" s="124" t="s">
        <v>970</v>
      </c>
      <c r="K42" s="125">
        <v>3</v>
      </c>
      <c r="L42" s="126"/>
      <c r="M42" s="41"/>
      <c r="N42" s="158"/>
      <c r="O42" s="158"/>
      <c r="P42" s="158"/>
    </row>
    <row r="43" spans="5:18" ht="45" customHeight="1">
      <c r="E43" s="146"/>
      <c r="F43" s="83" t="s">
        <v>486</v>
      </c>
      <c r="G43" s="129"/>
      <c r="H43" s="130"/>
      <c r="I43" s="130"/>
      <c r="J43" s="129"/>
      <c r="K43" s="131">
        <f>SUM(K27:K42)</f>
        <v>18</v>
      </c>
      <c r="L43" s="163">
        <f>SUM(L27:L42)</f>
        <v>0</v>
      </c>
      <c r="M43" s="40"/>
      <c r="N43" s="49"/>
      <c r="O43" s="49"/>
      <c r="P43" s="160"/>
    </row>
    <row r="44" spans="5:18" ht="45" customHeight="1">
      <c r="E44" s="146"/>
      <c r="F44" s="109"/>
      <c r="G44" s="110"/>
      <c r="H44" s="111"/>
      <c r="I44" s="111"/>
      <c r="J44" s="110"/>
      <c r="K44" s="112"/>
      <c r="L44" s="113"/>
      <c r="M44" s="41"/>
      <c r="N44" s="49"/>
      <c r="O44" s="49"/>
      <c r="P44" s="160"/>
    </row>
    <row r="45" spans="5:18" ht="45" customHeight="1">
      <c r="E45" s="146"/>
      <c r="F45" s="25" t="s">
        <v>655</v>
      </c>
      <c r="G45" s="117"/>
      <c r="H45" s="117"/>
      <c r="I45" s="117"/>
      <c r="J45" s="117"/>
      <c r="K45" s="117"/>
      <c r="L45" s="118"/>
      <c r="M45" s="41"/>
      <c r="N45" s="89"/>
      <c r="O45" s="89"/>
      <c r="P45" s="89"/>
      <c r="Q45" s="50"/>
    </row>
    <row r="46" spans="5:18" ht="45" customHeight="1">
      <c r="E46" s="146"/>
      <c r="F46" s="397" t="s">
        <v>971</v>
      </c>
      <c r="G46" s="383" t="s">
        <v>1085</v>
      </c>
      <c r="H46" s="133" t="s">
        <v>717</v>
      </c>
      <c r="I46" s="134" t="s">
        <v>56</v>
      </c>
      <c r="J46" s="135" t="s">
        <v>973</v>
      </c>
      <c r="K46" s="136">
        <f>IF($G$46=R46,23,0)</f>
        <v>0</v>
      </c>
      <c r="L46" s="95"/>
      <c r="M46" s="41"/>
      <c r="N46" s="158"/>
      <c r="O46" s="158"/>
      <c r="P46" s="158"/>
      <c r="R46" s="51" t="s">
        <v>974</v>
      </c>
    </row>
    <row r="47" spans="5:18" ht="45" customHeight="1">
      <c r="E47" s="146"/>
      <c r="F47" s="398"/>
      <c r="G47" s="384"/>
      <c r="H47" s="133" t="s">
        <v>720</v>
      </c>
      <c r="I47" s="134" t="s">
        <v>56</v>
      </c>
      <c r="J47" s="135" t="s">
        <v>1086</v>
      </c>
      <c r="K47" s="136">
        <f t="shared" ref="K47:K49" si="0">IF($G$46=R47,23,0)</f>
        <v>0</v>
      </c>
      <c r="L47" s="95"/>
      <c r="M47" s="41"/>
      <c r="N47" s="158"/>
      <c r="O47" s="158"/>
      <c r="P47" s="158"/>
      <c r="R47" s="51" t="s">
        <v>972</v>
      </c>
    </row>
    <row r="48" spans="5:18" ht="45" customHeight="1">
      <c r="E48" s="146"/>
      <c r="F48" s="398"/>
      <c r="G48" s="384"/>
      <c r="H48" s="133" t="s">
        <v>722</v>
      </c>
      <c r="I48" s="134" t="s">
        <v>56</v>
      </c>
      <c r="J48" s="135" t="s">
        <v>976</v>
      </c>
      <c r="K48" s="136">
        <f t="shared" si="0"/>
        <v>0</v>
      </c>
      <c r="L48" s="95"/>
      <c r="M48" s="41"/>
      <c r="N48" s="158"/>
      <c r="O48" s="158"/>
      <c r="P48" s="158"/>
      <c r="R48" s="51" t="s">
        <v>977</v>
      </c>
    </row>
    <row r="49" spans="5:18" ht="45" customHeight="1">
      <c r="E49" s="146"/>
      <c r="F49" s="399"/>
      <c r="G49" s="385"/>
      <c r="H49" s="133" t="s">
        <v>724</v>
      </c>
      <c r="I49" s="134" t="s">
        <v>56</v>
      </c>
      <c r="J49" s="135" t="s">
        <v>978</v>
      </c>
      <c r="K49" s="136">
        <f t="shared" si="0"/>
        <v>0</v>
      </c>
      <c r="L49" s="95"/>
      <c r="M49" s="41"/>
      <c r="N49" s="158"/>
      <c r="O49" s="158"/>
      <c r="P49" s="158"/>
      <c r="R49" s="51" t="s">
        <v>979</v>
      </c>
    </row>
    <row r="50" spans="5:18" ht="45" customHeight="1">
      <c r="E50" s="146"/>
      <c r="F50" s="415" t="s">
        <v>980</v>
      </c>
      <c r="G50" s="416" t="s">
        <v>983</v>
      </c>
      <c r="H50" s="164" t="s">
        <v>982</v>
      </c>
      <c r="I50" s="134" t="s">
        <v>56</v>
      </c>
      <c r="J50" s="135" t="s">
        <v>976</v>
      </c>
      <c r="K50" s="136">
        <f>IF(G50=R50,1,0)</f>
        <v>1</v>
      </c>
      <c r="L50" s="95"/>
      <c r="M50" s="41"/>
      <c r="N50" s="158"/>
      <c r="O50" s="158"/>
      <c r="P50" s="158"/>
      <c r="R50" s="51" t="s">
        <v>983</v>
      </c>
    </row>
    <row r="51" spans="5:18" ht="45" customHeight="1">
      <c r="E51" s="146"/>
      <c r="F51" s="415"/>
      <c r="G51" s="416"/>
      <c r="H51" s="165" t="s">
        <v>984</v>
      </c>
      <c r="I51" s="125" t="s">
        <v>56</v>
      </c>
      <c r="J51" s="124" t="s">
        <v>978</v>
      </c>
      <c r="K51" s="137">
        <f>IF(G50=R51,1,0)</f>
        <v>0</v>
      </c>
      <c r="L51" s="95"/>
      <c r="M51" s="41"/>
      <c r="N51" s="158"/>
      <c r="O51" s="158"/>
      <c r="P51" s="158"/>
      <c r="R51" s="51" t="s">
        <v>981</v>
      </c>
    </row>
    <row r="52" spans="5:18" ht="45" customHeight="1">
      <c r="E52" s="146"/>
      <c r="F52" s="415"/>
      <c r="G52" s="416"/>
      <c r="H52" s="165" t="s">
        <v>53</v>
      </c>
      <c r="I52" s="125" t="s">
        <v>56</v>
      </c>
      <c r="J52" s="124" t="s">
        <v>985</v>
      </c>
      <c r="K52" s="137">
        <f>IF(G50=R52,1,0)</f>
        <v>0</v>
      </c>
      <c r="L52" s="126"/>
      <c r="M52" s="161"/>
      <c r="N52" s="49"/>
      <c r="O52" s="49"/>
      <c r="P52" s="49"/>
      <c r="R52" s="26" t="s">
        <v>1087</v>
      </c>
    </row>
    <row r="53" spans="5:18" ht="45" customHeight="1">
      <c r="E53" s="146"/>
      <c r="F53" s="83" t="s">
        <v>486</v>
      </c>
      <c r="G53" s="83"/>
      <c r="H53" s="83"/>
      <c r="I53" s="83"/>
      <c r="J53" s="83"/>
      <c r="K53" s="80">
        <f>SUM(K46:K52)</f>
        <v>1</v>
      </c>
      <c r="L53" s="162">
        <f>SUM(L46:L52)</f>
        <v>0</v>
      </c>
      <c r="M53" s="139"/>
      <c r="N53" s="49"/>
      <c r="O53" s="49"/>
      <c r="P53" s="160"/>
    </row>
    <row r="54" spans="5:18" ht="45" customHeight="1">
      <c r="E54" s="146"/>
      <c r="F54" s="109"/>
      <c r="G54" s="110"/>
      <c r="H54" s="111"/>
      <c r="I54" s="111"/>
      <c r="J54" s="110"/>
      <c r="K54" s="112"/>
      <c r="L54" s="113"/>
      <c r="M54" s="41"/>
      <c r="N54" s="49"/>
      <c r="O54" s="49"/>
      <c r="P54" s="160"/>
    </row>
    <row r="55" spans="5:18" ht="45" customHeight="1">
      <c r="E55" s="146"/>
      <c r="F55" s="25" t="s">
        <v>987</v>
      </c>
      <c r="G55" s="117"/>
      <c r="H55" s="117"/>
      <c r="I55" s="117"/>
      <c r="J55" s="117"/>
      <c r="K55" s="117"/>
      <c r="L55" s="118"/>
      <c r="M55" s="41"/>
      <c r="N55" s="89"/>
      <c r="O55" s="89"/>
      <c r="P55" s="89"/>
    </row>
    <row r="56" spans="5:18" ht="45" customHeight="1">
      <c r="E56" s="146"/>
      <c r="F56" s="379" t="s">
        <v>988</v>
      </c>
      <c r="G56" s="388" t="s">
        <v>989</v>
      </c>
      <c r="H56" s="125">
        <v>17.100000000000001</v>
      </c>
      <c r="I56" s="125" t="s">
        <v>920</v>
      </c>
      <c r="J56" s="124" t="s">
        <v>990</v>
      </c>
      <c r="K56" s="137">
        <v>1</v>
      </c>
      <c r="L56" s="95"/>
      <c r="M56" s="41"/>
      <c r="N56" s="158"/>
      <c r="O56" s="158"/>
      <c r="P56" s="158"/>
    </row>
    <row r="57" spans="5:18" ht="45" customHeight="1">
      <c r="E57" s="146"/>
      <c r="F57" s="379"/>
      <c r="G57" s="388"/>
      <c r="H57" s="125">
        <v>17.2</v>
      </c>
      <c r="I57" s="125" t="s">
        <v>920</v>
      </c>
      <c r="J57" s="124" t="s">
        <v>991</v>
      </c>
      <c r="K57" s="137">
        <v>1</v>
      </c>
      <c r="L57" s="95"/>
      <c r="M57" s="41"/>
      <c r="N57" s="158"/>
      <c r="O57" s="158"/>
      <c r="P57" s="158"/>
    </row>
    <row r="58" spans="5:18" ht="45" customHeight="1">
      <c r="E58" s="146"/>
      <c r="F58" s="379"/>
      <c r="G58" s="388"/>
      <c r="H58" s="125">
        <v>17.3</v>
      </c>
      <c r="I58" s="125" t="s">
        <v>901</v>
      </c>
      <c r="J58" s="124" t="s">
        <v>992</v>
      </c>
      <c r="K58" s="137">
        <v>1</v>
      </c>
      <c r="L58" s="95"/>
      <c r="M58" s="41"/>
      <c r="N58" s="158"/>
      <c r="O58" s="158"/>
      <c r="P58" s="158"/>
    </row>
    <row r="59" spans="5:18" ht="45" customHeight="1">
      <c r="E59" s="146"/>
      <c r="F59" s="379"/>
      <c r="G59" s="388"/>
      <c r="H59" s="125">
        <v>17.399999999999999</v>
      </c>
      <c r="I59" s="125" t="s">
        <v>901</v>
      </c>
      <c r="J59" s="124" t="s">
        <v>993</v>
      </c>
      <c r="K59" s="137">
        <v>1</v>
      </c>
      <c r="L59" s="95"/>
      <c r="M59" s="41"/>
      <c r="N59" s="158"/>
      <c r="O59" s="158"/>
      <c r="P59" s="158"/>
    </row>
    <row r="60" spans="5:18" ht="45" customHeight="1">
      <c r="E60" s="146"/>
      <c r="F60" s="379" t="s">
        <v>994</v>
      </c>
      <c r="G60" s="388" t="s">
        <v>995</v>
      </c>
      <c r="H60" s="125">
        <v>18.100000000000001</v>
      </c>
      <c r="I60" s="125" t="s">
        <v>901</v>
      </c>
      <c r="J60" s="124" t="s">
        <v>996</v>
      </c>
      <c r="K60" s="137">
        <v>1</v>
      </c>
      <c r="L60" s="95"/>
      <c r="M60" s="41"/>
      <c r="N60" s="158"/>
      <c r="O60" s="158"/>
      <c r="P60" s="158"/>
    </row>
    <row r="61" spans="5:18" ht="45" customHeight="1">
      <c r="E61" s="146"/>
      <c r="F61" s="379"/>
      <c r="G61" s="388"/>
      <c r="H61" s="125">
        <v>18.2</v>
      </c>
      <c r="I61" s="125" t="s">
        <v>56</v>
      </c>
      <c r="J61" s="124" t="s">
        <v>997</v>
      </c>
      <c r="K61" s="137">
        <v>2</v>
      </c>
      <c r="L61" s="95"/>
      <c r="M61" s="41"/>
      <c r="N61" s="158"/>
      <c r="O61" s="158"/>
      <c r="P61" s="158"/>
    </row>
    <row r="62" spans="5:18" ht="45" customHeight="1">
      <c r="E62" s="146"/>
      <c r="F62" s="83" t="s">
        <v>486</v>
      </c>
      <c r="G62" s="83"/>
      <c r="H62" s="83"/>
      <c r="I62" s="83"/>
      <c r="J62" s="83"/>
      <c r="K62" s="80">
        <f>SUM(K56:K61)</f>
        <v>7</v>
      </c>
      <c r="L62" s="162">
        <f>SUM(L56:L61)</f>
        <v>0</v>
      </c>
      <c r="M62" s="139"/>
      <c r="N62" s="49"/>
      <c r="O62" s="49"/>
      <c r="P62" s="160"/>
    </row>
    <row r="63" spans="5:18" ht="45" customHeight="1">
      <c r="E63" s="146"/>
      <c r="F63" s="109"/>
      <c r="G63" s="110"/>
      <c r="H63" s="111"/>
      <c r="I63" s="111"/>
      <c r="J63" s="110"/>
      <c r="K63" s="112"/>
      <c r="L63" s="113"/>
      <c r="M63" s="41"/>
      <c r="N63" s="49"/>
      <c r="O63" s="49"/>
      <c r="P63" s="160"/>
    </row>
    <row r="64" spans="5:18" ht="45" customHeight="1">
      <c r="E64" s="146"/>
      <c r="F64" s="25" t="s">
        <v>668</v>
      </c>
      <c r="G64" s="117"/>
      <c r="H64" s="117"/>
      <c r="I64" s="117"/>
      <c r="J64" s="117"/>
      <c r="K64" s="117"/>
      <c r="L64" s="118"/>
      <c r="M64" s="41"/>
      <c r="N64" s="89"/>
      <c r="O64" s="89"/>
      <c r="P64" s="89"/>
    </row>
    <row r="65" spans="1:18" ht="45" customHeight="1">
      <c r="E65" s="146"/>
      <c r="F65" s="394" t="s">
        <v>998</v>
      </c>
      <c r="G65" s="383" t="s">
        <v>1000</v>
      </c>
      <c r="H65" s="140" t="s">
        <v>760</v>
      </c>
      <c r="I65" s="123" t="s">
        <v>56</v>
      </c>
      <c r="J65" s="141" t="s">
        <v>999</v>
      </c>
      <c r="K65" s="137">
        <f>IF($G$65=R65,10,0)</f>
        <v>10</v>
      </c>
      <c r="L65" s="95"/>
      <c r="M65" s="41"/>
      <c r="N65" s="158"/>
      <c r="O65" s="158"/>
      <c r="P65" s="158"/>
      <c r="R65" s="26" t="s">
        <v>1000</v>
      </c>
    </row>
    <row r="66" spans="1:18" ht="45" customHeight="1">
      <c r="E66" s="146"/>
      <c r="F66" s="395"/>
      <c r="G66" s="384"/>
      <c r="H66" s="140" t="s">
        <v>762</v>
      </c>
      <c r="I66" s="123" t="s">
        <v>56</v>
      </c>
      <c r="J66" s="141" t="s">
        <v>1001</v>
      </c>
      <c r="K66" s="137">
        <f t="shared" ref="K66:K68" si="1">IF($G$65=R66,10,0)</f>
        <v>0</v>
      </c>
      <c r="L66" s="95"/>
      <c r="M66" s="41"/>
      <c r="N66" s="158"/>
      <c r="O66" s="158"/>
      <c r="P66" s="158"/>
      <c r="R66" s="26" t="s">
        <v>1002</v>
      </c>
    </row>
    <row r="67" spans="1:18" ht="45" customHeight="1">
      <c r="E67" s="146"/>
      <c r="F67" s="395"/>
      <c r="G67" s="384"/>
      <c r="H67" s="140" t="s">
        <v>764</v>
      </c>
      <c r="I67" s="123" t="s">
        <v>56</v>
      </c>
      <c r="J67" s="141" t="s">
        <v>976</v>
      </c>
      <c r="K67" s="137">
        <f t="shared" si="1"/>
        <v>0</v>
      </c>
      <c r="L67" s="95"/>
      <c r="M67" s="41"/>
      <c r="N67" s="158"/>
      <c r="O67" s="158"/>
      <c r="P67" s="158"/>
      <c r="R67" s="26" t="s">
        <v>977</v>
      </c>
    </row>
    <row r="68" spans="1:18" ht="45" customHeight="1">
      <c r="E68" s="146"/>
      <c r="F68" s="396"/>
      <c r="G68" s="385"/>
      <c r="H68" s="140" t="s">
        <v>766</v>
      </c>
      <c r="I68" s="123" t="s">
        <v>56</v>
      </c>
      <c r="J68" s="141" t="s">
        <v>978</v>
      </c>
      <c r="K68" s="137">
        <f t="shared" si="1"/>
        <v>0</v>
      </c>
      <c r="L68" s="95"/>
      <c r="M68" s="41"/>
      <c r="N68" s="158"/>
      <c r="O68" s="158"/>
      <c r="P68" s="158"/>
      <c r="R68" s="26" t="s">
        <v>979</v>
      </c>
    </row>
    <row r="69" spans="1:18" ht="45" customHeight="1">
      <c r="A69" s="26">
        <v>2</v>
      </c>
      <c r="B69" s="26">
        <f>IF(C69=TRUE,A69,0)</f>
        <v>2</v>
      </c>
      <c r="C69" s="26" t="b">
        <v>1</v>
      </c>
      <c r="E69" s="146"/>
      <c r="F69" s="397" t="s">
        <v>1003</v>
      </c>
      <c r="G69" s="388" t="s">
        <v>1004</v>
      </c>
      <c r="H69" s="142">
        <v>20.100000000000001</v>
      </c>
      <c r="I69" s="123" t="s">
        <v>901</v>
      </c>
      <c r="J69" s="141" t="s">
        <v>1005</v>
      </c>
      <c r="K69" s="137">
        <f>IF($C$69=FALSE,1,0)</f>
        <v>0</v>
      </c>
      <c r="L69" s="95"/>
      <c r="M69" s="41"/>
      <c r="N69" s="158"/>
      <c r="O69" s="158"/>
      <c r="P69" s="158"/>
    </row>
    <row r="70" spans="1:18" ht="45" customHeight="1">
      <c r="E70" s="146"/>
      <c r="F70" s="399"/>
      <c r="G70" s="388"/>
      <c r="H70" s="125">
        <v>20.2</v>
      </c>
      <c r="I70" s="123" t="s">
        <v>910</v>
      </c>
      <c r="J70" s="141" t="s">
        <v>1006</v>
      </c>
      <c r="K70" s="137">
        <f>IF($C$69=FALSE,1,0)</f>
        <v>0</v>
      </c>
      <c r="L70" s="95"/>
      <c r="M70" s="41"/>
      <c r="N70" s="158"/>
      <c r="O70" s="158"/>
      <c r="P70" s="158"/>
    </row>
    <row r="71" spans="1:18" ht="45" customHeight="1">
      <c r="E71" s="146"/>
      <c r="F71" s="83" t="s">
        <v>486</v>
      </c>
      <c r="G71" s="83"/>
      <c r="H71" s="83"/>
      <c r="I71" s="83"/>
      <c r="J71" s="83"/>
      <c r="K71" s="80">
        <f>SUM(K65:K70)</f>
        <v>10</v>
      </c>
      <c r="L71" s="162">
        <f>SUM(L65:L70)</f>
        <v>0</v>
      </c>
      <c r="M71" s="139"/>
      <c r="N71" s="49"/>
      <c r="O71" s="49"/>
      <c r="P71" s="160"/>
    </row>
    <row r="72" spans="1:18" ht="45" customHeight="1">
      <c r="E72" s="146"/>
      <c r="F72" s="109"/>
      <c r="G72" s="110"/>
      <c r="H72" s="111"/>
      <c r="I72" s="111"/>
      <c r="J72" s="110"/>
      <c r="K72" s="112"/>
      <c r="L72" s="113"/>
      <c r="M72" s="41"/>
      <c r="N72" s="49"/>
      <c r="O72" s="49"/>
      <c r="P72" s="160"/>
    </row>
    <row r="73" spans="1:18" ht="45" customHeight="1">
      <c r="E73" s="146"/>
      <c r="F73" s="25" t="s">
        <v>1007</v>
      </c>
      <c r="G73" s="117"/>
      <c r="H73" s="117"/>
      <c r="I73" s="117"/>
      <c r="J73" s="117"/>
      <c r="K73" s="117"/>
      <c r="L73" s="118"/>
      <c r="M73" s="41"/>
      <c r="N73" s="89"/>
      <c r="O73" s="89"/>
      <c r="P73" s="89"/>
    </row>
    <row r="74" spans="1:18" ht="45" customHeight="1">
      <c r="E74" s="146"/>
      <c r="F74" s="379" t="s">
        <v>1008</v>
      </c>
      <c r="G74" s="393" t="s">
        <v>1009</v>
      </c>
      <c r="H74" s="125">
        <v>21.1</v>
      </c>
      <c r="I74" s="125" t="s">
        <v>920</v>
      </c>
      <c r="J74" s="124" t="s">
        <v>1010</v>
      </c>
      <c r="K74" s="137">
        <v>1</v>
      </c>
      <c r="L74" s="95"/>
      <c r="M74" s="41"/>
      <c r="N74" s="158"/>
      <c r="O74" s="158"/>
      <c r="P74" s="158"/>
    </row>
    <row r="75" spans="1:18" ht="45" customHeight="1">
      <c r="E75" s="146"/>
      <c r="F75" s="379"/>
      <c r="G75" s="393"/>
      <c r="H75" s="125">
        <v>21.2</v>
      </c>
      <c r="I75" s="125" t="s">
        <v>56</v>
      </c>
      <c r="J75" s="124" t="s">
        <v>1011</v>
      </c>
      <c r="K75" s="137">
        <v>1</v>
      </c>
      <c r="L75" s="95"/>
      <c r="M75" s="41"/>
      <c r="N75" s="158"/>
      <c r="O75" s="158"/>
      <c r="P75" s="158"/>
    </row>
    <row r="76" spans="1:18" ht="45" customHeight="1">
      <c r="A76" s="26">
        <v>1</v>
      </c>
      <c r="B76" s="26">
        <f>IF(C76=TRUE,A76,0)</f>
        <v>0</v>
      </c>
      <c r="C76" s="26" t="b">
        <v>0</v>
      </c>
      <c r="E76" s="146"/>
      <c r="F76" s="379"/>
      <c r="G76" s="393"/>
      <c r="H76" s="125">
        <v>21.3</v>
      </c>
      <c r="I76" s="125" t="s">
        <v>56</v>
      </c>
      <c r="J76" s="124" t="s">
        <v>1012</v>
      </c>
      <c r="K76" s="137">
        <f>IF(C76=FALSE,A76,0)</f>
        <v>1</v>
      </c>
      <c r="L76" s="95"/>
      <c r="M76" s="41"/>
      <c r="N76" s="158"/>
      <c r="O76" s="158"/>
      <c r="P76" s="158"/>
    </row>
    <row r="77" spans="1:18" ht="45" customHeight="1">
      <c r="E77" s="146"/>
      <c r="F77" s="379" t="s">
        <v>1013</v>
      </c>
      <c r="G77" s="393" t="s">
        <v>1014</v>
      </c>
      <c r="H77" s="125">
        <v>22.1</v>
      </c>
      <c r="I77" s="125" t="s">
        <v>920</v>
      </c>
      <c r="J77" s="124" t="s">
        <v>1015</v>
      </c>
      <c r="K77" s="137">
        <v>1</v>
      </c>
      <c r="L77" s="95"/>
      <c r="M77" s="41"/>
      <c r="N77" s="158"/>
      <c r="O77" s="158"/>
      <c r="P77" s="158"/>
    </row>
    <row r="78" spans="1:18" ht="45" customHeight="1">
      <c r="E78" s="146"/>
      <c r="F78" s="379"/>
      <c r="G78" s="393"/>
      <c r="H78" s="125">
        <v>22.2</v>
      </c>
      <c r="I78" s="125" t="s">
        <v>56</v>
      </c>
      <c r="J78" s="124" t="s">
        <v>1016</v>
      </c>
      <c r="K78" s="137">
        <v>3</v>
      </c>
      <c r="L78" s="95"/>
      <c r="M78" s="41"/>
      <c r="N78" s="158"/>
      <c r="O78" s="158"/>
      <c r="P78" s="158"/>
    </row>
    <row r="79" spans="1:18" ht="45" customHeight="1">
      <c r="A79" s="26">
        <v>1</v>
      </c>
      <c r="B79" s="26">
        <f>IF(C79=TRUE,A79,0)</f>
        <v>0</v>
      </c>
      <c r="C79" s="26" t="b">
        <v>0</v>
      </c>
      <c r="E79" s="146"/>
      <c r="F79" s="379" t="s">
        <v>1017</v>
      </c>
      <c r="G79" s="393" t="s">
        <v>1018</v>
      </c>
      <c r="H79" s="125">
        <v>23.1</v>
      </c>
      <c r="I79" s="125" t="s">
        <v>920</v>
      </c>
      <c r="J79" s="124" t="s">
        <v>1019</v>
      </c>
      <c r="K79" s="137">
        <f>IF(C79=FALSE,A79,0)</f>
        <v>1</v>
      </c>
      <c r="L79" s="95"/>
      <c r="M79" s="41"/>
      <c r="N79" s="158"/>
      <c r="O79" s="158"/>
      <c r="P79" s="158"/>
    </row>
    <row r="80" spans="1:18" ht="45" customHeight="1">
      <c r="A80" s="26">
        <v>2</v>
      </c>
      <c r="B80" s="26">
        <f>IF(C80=TRUE,A80,0)</f>
        <v>0</v>
      </c>
      <c r="C80" s="26" t="b">
        <v>0</v>
      </c>
      <c r="E80" s="146"/>
      <c r="F80" s="379"/>
      <c r="G80" s="393"/>
      <c r="H80" s="125">
        <v>23.2</v>
      </c>
      <c r="I80" s="125" t="s">
        <v>56</v>
      </c>
      <c r="J80" s="124" t="s">
        <v>1020</v>
      </c>
      <c r="K80" s="137">
        <f>IF(C80=FALSE,A80,0)</f>
        <v>2</v>
      </c>
      <c r="L80" s="95"/>
      <c r="M80" s="41"/>
      <c r="N80" s="158"/>
      <c r="O80" s="158"/>
      <c r="P80" s="158"/>
    </row>
    <row r="81" spans="1:16" ht="45" customHeight="1">
      <c r="E81" s="146"/>
      <c r="F81" s="83" t="s">
        <v>486</v>
      </c>
      <c r="G81" s="83"/>
      <c r="H81" s="83"/>
      <c r="I81" s="83"/>
      <c r="J81" s="83"/>
      <c r="K81" s="80">
        <f>SUM(K74:K80)</f>
        <v>10</v>
      </c>
      <c r="L81" s="162">
        <f>SUM(L74:L80)</f>
        <v>0</v>
      </c>
      <c r="M81" s="139"/>
      <c r="N81" s="49"/>
      <c r="O81" s="49"/>
      <c r="P81" s="160"/>
    </row>
    <row r="82" spans="1:16" ht="45" customHeight="1">
      <c r="E82" s="146"/>
      <c r="F82" s="109"/>
      <c r="G82" s="110"/>
      <c r="H82" s="111"/>
      <c r="I82" s="111"/>
      <c r="J82" s="110"/>
      <c r="K82" s="112"/>
      <c r="L82" s="113"/>
      <c r="M82" s="41"/>
      <c r="N82" s="49"/>
      <c r="O82" s="49"/>
      <c r="P82" s="160"/>
    </row>
    <row r="83" spans="1:16" ht="45" customHeight="1">
      <c r="E83" s="146"/>
      <c r="F83" s="25" t="s">
        <v>1021</v>
      </c>
      <c r="G83" s="117"/>
      <c r="H83" s="117"/>
      <c r="I83" s="117"/>
      <c r="J83" s="117"/>
      <c r="K83" s="117"/>
      <c r="L83" s="118"/>
      <c r="M83" s="41"/>
      <c r="N83" s="89"/>
      <c r="O83" s="89"/>
      <c r="P83" s="89"/>
    </row>
    <row r="84" spans="1:16" ht="45" customHeight="1">
      <c r="E84" s="146"/>
      <c r="F84" s="392" t="s">
        <v>1022</v>
      </c>
      <c r="G84" s="388" t="s">
        <v>1023</v>
      </c>
      <c r="H84" s="125">
        <v>24.1</v>
      </c>
      <c r="I84" s="125" t="s">
        <v>920</v>
      </c>
      <c r="J84" s="93" t="s">
        <v>1024</v>
      </c>
      <c r="K84" s="137">
        <v>1</v>
      </c>
      <c r="L84" s="95"/>
      <c r="M84" s="41"/>
      <c r="N84" s="158"/>
      <c r="O84" s="158"/>
      <c r="P84" s="158"/>
    </row>
    <row r="85" spans="1:16" ht="45" customHeight="1">
      <c r="E85" s="146"/>
      <c r="F85" s="392"/>
      <c r="G85" s="388"/>
      <c r="H85" s="125">
        <v>24.2</v>
      </c>
      <c r="I85" s="125" t="s">
        <v>910</v>
      </c>
      <c r="J85" s="93" t="s">
        <v>1025</v>
      </c>
      <c r="K85" s="137">
        <v>2</v>
      </c>
      <c r="L85" s="95"/>
      <c r="M85" s="41"/>
      <c r="N85" s="158"/>
      <c r="O85" s="158"/>
      <c r="P85" s="158"/>
    </row>
    <row r="86" spans="1:16" ht="45" customHeight="1">
      <c r="E86" s="146"/>
      <c r="F86" s="392" t="s">
        <v>1026</v>
      </c>
      <c r="G86" s="388" t="s">
        <v>1027</v>
      </c>
      <c r="H86" s="125">
        <v>25.1</v>
      </c>
      <c r="I86" s="125" t="s">
        <v>920</v>
      </c>
      <c r="J86" s="93" t="s">
        <v>1028</v>
      </c>
      <c r="K86" s="137">
        <v>1</v>
      </c>
      <c r="L86" s="95"/>
      <c r="M86" s="41"/>
      <c r="N86" s="158"/>
      <c r="O86" s="158"/>
      <c r="P86" s="158"/>
    </row>
    <row r="87" spans="1:16" ht="45" customHeight="1">
      <c r="A87" s="26">
        <v>1</v>
      </c>
      <c r="B87" s="26">
        <f>IF(C87=TRUE,A87,0)</f>
        <v>0</v>
      </c>
      <c r="C87" s="26" t="b">
        <v>0</v>
      </c>
      <c r="E87" s="146"/>
      <c r="F87" s="392"/>
      <c r="G87" s="388"/>
      <c r="H87" s="125">
        <v>25.2</v>
      </c>
      <c r="I87" s="125" t="s">
        <v>901</v>
      </c>
      <c r="J87" s="93" t="s">
        <v>1029</v>
      </c>
      <c r="K87" s="137">
        <f>IF(C87=FALSE,A87,0)</f>
        <v>1</v>
      </c>
      <c r="L87" s="95"/>
      <c r="M87" s="41"/>
      <c r="N87" s="158"/>
      <c r="O87" s="158"/>
      <c r="P87" s="158"/>
    </row>
    <row r="88" spans="1:16" ht="45" customHeight="1">
      <c r="E88" s="146"/>
      <c r="F88" s="392"/>
      <c r="G88" s="388"/>
      <c r="H88" s="125">
        <v>25.3</v>
      </c>
      <c r="I88" s="125" t="s">
        <v>901</v>
      </c>
      <c r="J88" s="93" t="s">
        <v>1030</v>
      </c>
      <c r="K88" s="137">
        <v>1</v>
      </c>
      <c r="L88" s="95"/>
      <c r="M88" s="41"/>
      <c r="N88" s="158"/>
      <c r="O88" s="158"/>
      <c r="P88" s="158"/>
    </row>
    <row r="89" spans="1:16" ht="45" customHeight="1">
      <c r="E89" s="146"/>
      <c r="F89" s="83" t="s">
        <v>486</v>
      </c>
      <c r="G89" s="83"/>
      <c r="H89" s="83"/>
      <c r="I89" s="83"/>
      <c r="J89" s="83"/>
      <c r="K89" s="80">
        <f>SUM(K84:K88)</f>
        <v>6</v>
      </c>
      <c r="L89" s="162">
        <f>SUM(L84:L88)</f>
        <v>0</v>
      </c>
      <c r="M89" s="139"/>
      <c r="N89" s="49"/>
      <c r="O89" s="49"/>
      <c r="P89" s="160"/>
    </row>
    <row r="90" spans="1:16" ht="45" customHeight="1">
      <c r="E90" s="146"/>
      <c r="F90" s="109"/>
      <c r="G90" s="110"/>
      <c r="H90" s="111"/>
      <c r="I90" s="111"/>
      <c r="J90" s="110"/>
      <c r="K90" s="112"/>
      <c r="L90" s="113"/>
      <c r="M90" s="41"/>
      <c r="N90" s="49"/>
      <c r="O90" s="49"/>
      <c r="P90" s="160"/>
    </row>
    <row r="91" spans="1:16" ht="45" customHeight="1">
      <c r="E91" s="146"/>
      <c r="F91" s="25" t="s">
        <v>1031</v>
      </c>
      <c r="G91" s="117"/>
      <c r="H91" s="117"/>
      <c r="I91" s="117"/>
      <c r="J91" s="117"/>
      <c r="K91" s="117"/>
      <c r="L91" s="118"/>
      <c r="M91" s="41"/>
      <c r="N91" s="89"/>
      <c r="O91" s="89"/>
      <c r="P91" s="89"/>
    </row>
    <row r="92" spans="1:16" ht="45" customHeight="1">
      <c r="E92" s="146"/>
      <c r="F92" s="392" t="s">
        <v>1032</v>
      </c>
      <c r="G92" s="393" t="s">
        <v>1033</v>
      </c>
      <c r="H92" s="125">
        <v>26.1</v>
      </c>
      <c r="I92" s="125" t="s">
        <v>920</v>
      </c>
      <c r="J92" s="93" t="s">
        <v>1034</v>
      </c>
      <c r="K92" s="137">
        <v>1</v>
      </c>
      <c r="L92" s="95"/>
      <c r="M92" s="41"/>
      <c r="N92" s="158"/>
      <c r="O92" s="158"/>
      <c r="P92" s="158"/>
    </row>
    <row r="93" spans="1:16" ht="45" customHeight="1">
      <c r="E93" s="146"/>
      <c r="F93" s="392"/>
      <c r="G93" s="393"/>
      <c r="H93" s="125">
        <v>26.2</v>
      </c>
      <c r="I93" s="125" t="s">
        <v>901</v>
      </c>
      <c r="J93" s="93" t="s">
        <v>1035</v>
      </c>
      <c r="K93" s="137">
        <v>1</v>
      </c>
      <c r="L93" s="95"/>
      <c r="M93" s="41"/>
      <c r="N93" s="158"/>
      <c r="O93" s="158"/>
      <c r="P93" s="158"/>
    </row>
    <row r="94" spans="1:16" ht="45" customHeight="1">
      <c r="E94" s="146"/>
      <c r="F94" s="392" t="s">
        <v>1036</v>
      </c>
      <c r="G94" s="393" t="s">
        <v>1037</v>
      </c>
      <c r="H94" s="125">
        <v>27.1</v>
      </c>
      <c r="I94" s="125" t="s">
        <v>901</v>
      </c>
      <c r="J94" s="93" t="s">
        <v>1038</v>
      </c>
      <c r="K94" s="137">
        <v>1</v>
      </c>
      <c r="L94" s="95"/>
      <c r="M94" s="41"/>
      <c r="N94" s="158"/>
      <c r="O94" s="158"/>
      <c r="P94" s="158"/>
    </row>
    <row r="95" spans="1:16" ht="45" customHeight="1">
      <c r="A95" s="26">
        <v>1</v>
      </c>
      <c r="B95" s="26">
        <f>IF(C95=TRUE,A95,0)</f>
        <v>0</v>
      </c>
      <c r="C95" s="26" t="b">
        <v>0</v>
      </c>
      <c r="E95" s="146"/>
      <c r="F95" s="392"/>
      <c r="G95" s="393"/>
      <c r="H95" s="125">
        <v>27.2</v>
      </c>
      <c r="I95" s="125" t="s">
        <v>901</v>
      </c>
      <c r="J95" s="93" t="s">
        <v>1039</v>
      </c>
      <c r="K95" s="137">
        <f>IF(C95=FALSE,A95,0)</f>
        <v>1</v>
      </c>
      <c r="L95" s="95"/>
      <c r="M95" s="41"/>
      <c r="N95" s="158"/>
      <c r="O95" s="158"/>
      <c r="P95" s="158"/>
    </row>
    <row r="96" spans="1:16" ht="45" customHeight="1">
      <c r="E96" s="146"/>
      <c r="F96" s="143" t="s">
        <v>1040</v>
      </c>
      <c r="G96" s="93" t="s">
        <v>1041</v>
      </c>
      <c r="H96" s="125">
        <v>28.1</v>
      </c>
      <c r="I96" s="125" t="s">
        <v>910</v>
      </c>
      <c r="J96" s="93" t="s">
        <v>1040</v>
      </c>
      <c r="K96" s="137">
        <v>1</v>
      </c>
      <c r="L96" s="95"/>
      <c r="M96" s="41"/>
      <c r="N96" s="158"/>
      <c r="O96" s="158"/>
      <c r="P96" s="158"/>
    </row>
    <row r="97" spans="2:16" ht="45" customHeight="1">
      <c r="E97" s="146"/>
      <c r="F97" s="143" t="s">
        <v>1042</v>
      </c>
      <c r="G97" s="93" t="s">
        <v>1043</v>
      </c>
      <c r="H97" s="125">
        <v>29.1</v>
      </c>
      <c r="I97" s="125" t="s">
        <v>901</v>
      </c>
      <c r="J97" s="93" t="s">
        <v>1042</v>
      </c>
      <c r="K97" s="137">
        <v>1</v>
      </c>
      <c r="L97" s="95"/>
      <c r="M97" s="41"/>
      <c r="N97" s="158"/>
      <c r="O97" s="158"/>
      <c r="P97" s="158"/>
    </row>
    <row r="98" spans="2:16" ht="45" customHeight="1">
      <c r="E98" s="146"/>
      <c r="F98" s="83" t="s">
        <v>486</v>
      </c>
      <c r="G98" s="83"/>
      <c r="H98" s="83"/>
      <c r="I98" s="83"/>
      <c r="J98" s="83"/>
      <c r="K98" s="80">
        <f>SUM(K92:K97)</f>
        <v>6</v>
      </c>
      <c r="L98" s="162">
        <f>SUM(L92:L97)</f>
        <v>0</v>
      </c>
      <c r="M98" s="139"/>
      <c r="N98" s="49"/>
      <c r="O98" s="49"/>
      <c r="P98" s="160"/>
    </row>
    <row r="99" spans="2:16" ht="45" customHeight="1">
      <c r="E99" s="146"/>
      <c r="F99" s="109"/>
      <c r="G99" s="110"/>
      <c r="H99" s="111"/>
      <c r="I99" s="111"/>
      <c r="J99" s="110"/>
      <c r="K99" s="112"/>
      <c r="L99" s="113"/>
      <c r="M99" s="41"/>
      <c r="N99" s="49"/>
      <c r="O99" s="49"/>
      <c r="P99" s="160"/>
    </row>
    <row r="100" spans="2:16" ht="45" customHeight="1">
      <c r="E100" s="146"/>
      <c r="F100" s="25" t="s">
        <v>1044</v>
      </c>
      <c r="G100" s="117"/>
      <c r="H100" s="117"/>
      <c r="I100" s="117"/>
      <c r="J100" s="117"/>
      <c r="K100" s="117"/>
      <c r="L100" s="118"/>
      <c r="M100" s="41"/>
      <c r="N100" s="89"/>
      <c r="O100" s="89"/>
      <c r="P100" s="89"/>
    </row>
    <row r="101" spans="2:16" ht="45" customHeight="1">
      <c r="E101" s="146"/>
      <c r="F101" s="400" t="s">
        <v>1044</v>
      </c>
      <c r="G101" s="401" t="s">
        <v>1045</v>
      </c>
      <c r="H101" s="123" t="s">
        <v>1046</v>
      </c>
      <c r="I101" s="123" t="s">
        <v>1047</v>
      </c>
      <c r="J101" s="93" t="s">
        <v>1048</v>
      </c>
      <c r="K101" s="389">
        <v>10</v>
      </c>
      <c r="L101" s="95"/>
      <c r="M101" s="41"/>
      <c r="N101" s="158"/>
      <c r="O101" s="158"/>
      <c r="P101" s="158"/>
    </row>
    <row r="102" spans="2:16" ht="45" customHeight="1">
      <c r="E102" s="146"/>
      <c r="F102" s="400"/>
      <c r="G102" s="402"/>
      <c r="H102" s="123" t="s">
        <v>1049</v>
      </c>
      <c r="I102" s="123" t="s">
        <v>1047</v>
      </c>
      <c r="J102" s="93" t="s">
        <v>1050</v>
      </c>
      <c r="K102" s="390"/>
      <c r="L102" s="95"/>
      <c r="M102" s="41"/>
      <c r="N102" s="158"/>
      <c r="O102" s="158"/>
      <c r="P102" s="158"/>
    </row>
    <row r="103" spans="2:16" ht="45" customHeight="1">
      <c r="E103" s="146"/>
      <c r="F103" s="400"/>
      <c r="G103" s="402"/>
      <c r="H103" s="123" t="s">
        <v>1051</v>
      </c>
      <c r="I103" s="123" t="s">
        <v>1047</v>
      </c>
      <c r="J103" s="93" t="s">
        <v>1052</v>
      </c>
      <c r="K103" s="390"/>
      <c r="L103" s="95"/>
      <c r="M103" s="41"/>
      <c r="N103" s="158"/>
      <c r="O103" s="158"/>
      <c r="P103" s="158"/>
    </row>
    <row r="104" spans="2:16" ht="45" customHeight="1">
      <c r="E104" s="146"/>
      <c r="F104" s="400"/>
      <c r="G104" s="402"/>
      <c r="H104" s="123" t="s">
        <v>1053</v>
      </c>
      <c r="I104" s="123" t="s">
        <v>1047</v>
      </c>
      <c r="J104" s="93" t="s">
        <v>1054</v>
      </c>
      <c r="K104" s="390"/>
      <c r="L104" s="95"/>
      <c r="M104" s="41"/>
      <c r="N104" s="158"/>
      <c r="O104" s="158"/>
      <c r="P104" s="158"/>
    </row>
    <row r="105" spans="2:16" ht="45" customHeight="1">
      <c r="E105" s="146"/>
      <c r="F105" s="400"/>
      <c r="G105" s="403"/>
      <c r="H105" s="123" t="s">
        <v>1055</v>
      </c>
      <c r="I105" s="123" t="s">
        <v>1047</v>
      </c>
      <c r="J105" s="93" t="s">
        <v>1056</v>
      </c>
      <c r="K105" s="391"/>
      <c r="L105" s="95"/>
      <c r="M105" s="41"/>
      <c r="N105" s="158"/>
      <c r="O105" s="158"/>
      <c r="P105" s="158"/>
    </row>
    <row r="106" spans="2:16" ht="45" customHeight="1">
      <c r="E106" s="146"/>
      <c r="F106" s="83" t="s">
        <v>486</v>
      </c>
      <c r="G106" s="83"/>
      <c r="H106" s="83"/>
      <c r="I106" s="83"/>
      <c r="J106" s="83"/>
      <c r="K106" s="80">
        <v>10</v>
      </c>
      <c r="L106" s="80">
        <f>IF(SUM(L101:L105)&gt;10,10,SUM(L101:L105))</f>
        <v>0</v>
      </c>
      <c r="M106" s="139"/>
      <c r="N106" s="49"/>
      <c r="O106" s="49"/>
      <c r="P106" s="160"/>
    </row>
    <row r="107" spans="2:16" ht="45" customHeight="1">
      <c r="E107" s="146"/>
      <c r="F107" s="145"/>
      <c r="G107" s="145"/>
      <c r="H107" s="115"/>
      <c r="I107" s="115"/>
      <c r="J107" s="145"/>
      <c r="K107" s="115"/>
      <c r="L107" s="107"/>
      <c r="M107" s="39"/>
      <c r="N107" s="160"/>
      <c r="O107" s="160"/>
      <c r="P107" s="160"/>
    </row>
    <row r="108" spans="2:16" ht="45" customHeight="1">
      <c r="B108" s="20" t="s">
        <v>1057</v>
      </c>
      <c r="E108" s="146"/>
      <c r="F108" s="147"/>
      <c r="G108" s="148"/>
      <c r="H108" s="149"/>
      <c r="I108" s="149"/>
      <c r="J108" s="100" t="s">
        <v>440</v>
      </c>
      <c r="K108" s="80" t="s">
        <v>1058</v>
      </c>
      <c r="L108" s="80" t="s">
        <v>1059</v>
      </c>
      <c r="M108" s="106"/>
      <c r="N108" s="49"/>
      <c r="O108" s="49"/>
      <c r="P108" s="160"/>
    </row>
    <row r="109" spans="2:16" ht="45" customHeight="1">
      <c r="B109" s="20">
        <f>SUM(B27:B97)</f>
        <v>2</v>
      </c>
      <c r="E109" s="146"/>
      <c r="F109" s="147"/>
      <c r="G109" s="148"/>
      <c r="H109" s="149"/>
      <c r="I109" s="149"/>
      <c r="J109" s="83" t="s">
        <v>1062</v>
      </c>
      <c r="K109" s="27">
        <f>100-B109</f>
        <v>98</v>
      </c>
      <c r="L109" s="28">
        <f>W16</f>
        <v>0</v>
      </c>
      <c r="M109" s="106"/>
      <c r="N109" s="49"/>
      <c r="O109" s="49"/>
      <c r="P109" s="160"/>
    </row>
    <row r="110" spans="2:16" ht="45" customHeight="1">
      <c r="E110" s="146"/>
      <c r="F110" s="109"/>
      <c r="G110" s="109"/>
      <c r="H110" s="115"/>
      <c r="I110" s="115"/>
      <c r="J110" s="83" t="s">
        <v>1063</v>
      </c>
      <c r="K110" s="152"/>
      <c r="L110" s="153">
        <f>L109/K109*100</f>
        <v>0</v>
      </c>
      <c r="M110" s="48"/>
      <c r="N110" s="49"/>
      <c r="O110" s="49"/>
      <c r="P110" s="160"/>
    </row>
    <row r="111" spans="2:16" ht="45" customHeight="1">
      <c r="E111" s="146"/>
      <c r="F111" s="109"/>
      <c r="G111" s="109"/>
      <c r="H111" s="115"/>
      <c r="I111" s="115"/>
      <c r="J111" s="83" t="s">
        <v>1064</v>
      </c>
      <c r="K111" s="27">
        <v>10</v>
      </c>
      <c r="L111" s="28">
        <f>L106</f>
        <v>0</v>
      </c>
      <c r="M111" s="48"/>
      <c r="N111" s="49"/>
      <c r="O111" s="49"/>
      <c r="P111" s="160"/>
    </row>
    <row r="112" spans="2:16" ht="45" customHeight="1">
      <c r="E112" s="146"/>
      <c r="F112" s="145"/>
      <c r="G112" s="145"/>
      <c r="H112" s="115"/>
      <c r="I112" s="115"/>
      <c r="J112" s="83" t="s">
        <v>1065</v>
      </c>
      <c r="K112" s="156"/>
      <c r="L112" s="153">
        <f>L110+L111</f>
        <v>0</v>
      </c>
      <c r="M112" s="146"/>
      <c r="N112" s="160"/>
      <c r="O112" s="160"/>
      <c r="P112" s="160"/>
    </row>
    <row r="115" ht="45" customHeight="1"/>
    <row r="116" ht="45" customHeight="1"/>
    <row r="117" ht="45" customHeight="1"/>
    <row r="118" ht="45" customHeight="1"/>
    <row r="119" ht="45" customHeight="1"/>
  </sheetData>
  <autoFilter ref="I6:I106" xr:uid="{00000000-0009-0000-0000-000007000000}"/>
  <dataConsolidate/>
  <customSheetViews>
    <customSheetView guid="{E345A537-ABE6-4DCD-97C2-C197481B2A31}" scale="70" showGridLines="0" showRowCol="0" fitToPage="1" showAutoFilter="1" hiddenColumns="1" topLeftCell="E1">
      <pane ySplit="6" topLeftCell="A7" activePane="bottomLeft" state="frozen"/>
      <selection pane="bottomLeft" activeCell="K10" sqref="K10"/>
      <pageMargins left="0" right="0" top="0" bottom="0" header="0" footer="0"/>
      <pageSetup paperSize="9" scale="15" orientation="portrait" horizontalDpi="1200" verticalDpi="1200" r:id="rId1"/>
      <autoFilter ref="I6:I106" xr:uid="{73A322F0-4AE3-48A8-B2C4-B1F2E1380061}"/>
    </customSheetView>
    <customSheetView guid="{3F24B786-6082-4FC5-9BB6-BFF2D0E27157}" scale="70" showGridLines="0" fitToPage="1" showAutoFilter="1" hiddenRows="1" hiddenColumns="1">
      <pane ySplit="6" topLeftCell="A74" activePane="bottomLeft" state="frozen"/>
      <selection pane="bottomLeft" activeCell="E76" sqref="E76"/>
      <pageMargins left="0" right="0" top="0" bottom="0" header="0" footer="0"/>
      <pageSetup paperSize="9" scale="55" orientation="portrait" horizontalDpi="1200" verticalDpi="1200" r:id="rId2"/>
      <autoFilter ref="I6:I106" xr:uid="{503CA766-8545-41A0-A785-BF4012D6F053}"/>
    </customSheetView>
  </customSheetViews>
  <mergeCells count="56">
    <mergeCell ref="F11:F12"/>
    <mergeCell ref="G11:G12"/>
    <mergeCell ref="F1:J1"/>
    <mergeCell ref="G3:H3"/>
    <mergeCell ref="G4:H4"/>
    <mergeCell ref="F9:F10"/>
    <mergeCell ref="G9:G10"/>
    <mergeCell ref="F13:F14"/>
    <mergeCell ref="G13:G14"/>
    <mergeCell ref="F15:F17"/>
    <mergeCell ref="G15:G17"/>
    <mergeCell ref="F18:F20"/>
    <mergeCell ref="G18:G20"/>
    <mergeCell ref="F21:F23"/>
    <mergeCell ref="G21:G23"/>
    <mergeCell ref="F27:F29"/>
    <mergeCell ref="G27:G29"/>
    <mergeCell ref="F30:F31"/>
    <mergeCell ref="G30:G31"/>
    <mergeCell ref="F32:F33"/>
    <mergeCell ref="G32:G33"/>
    <mergeCell ref="F34:F35"/>
    <mergeCell ref="G34:G35"/>
    <mergeCell ref="F36:F39"/>
    <mergeCell ref="G36:G39"/>
    <mergeCell ref="F41:F42"/>
    <mergeCell ref="G41:G42"/>
    <mergeCell ref="F46:F49"/>
    <mergeCell ref="G46:G49"/>
    <mergeCell ref="F50:F52"/>
    <mergeCell ref="G50:G52"/>
    <mergeCell ref="F56:F59"/>
    <mergeCell ref="G56:G59"/>
    <mergeCell ref="F60:F61"/>
    <mergeCell ref="G60:G61"/>
    <mergeCell ref="F65:F68"/>
    <mergeCell ref="G65:G68"/>
    <mergeCell ref="F69:F70"/>
    <mergeCell ref="G69:G70"/>
    <mergeCell ref="F74:F76"/>
    <mergeCell ref="G74:G76"/>
    <mergeCell ref="F77:F78"/>
    <mergeCell ref="G77:G78"/>
    <mergeCell ref="F79:F80"/>
    <mergeCell ref="G79:G80"/>
    <mergeCell ref="F84:F85"/>
    <mergeCell ref="G84:G85"/>
    <mergeCell ref="F86:F88"/>
    <mergeCell ref="G86:G88"/>
    <mergeCell ref="K101:K105"/>
    <mergeCell ref="F92:F93"/>
    <mergeCell ref="G92:G93"/>
    <mergeCell ref="F94:F95"/>
    <mergeCell ref="G94:G95"/>
    <mergeCell ref="F101:F105"/>
    <mergeCell ref="G101:G105"/>
  </mergeCells>
  <conditionalFormatting sqref="F69:L70">
    <cfRule type="expression" dxfId="24" priority="17">
      <formula>$C$69=TRUE</formula>
    </cfRule>
  </conditionalFormatting>
  <conditionalFormatting sqref="H30:L30">
    <cfRule type="expression" dxfId="23" priority="19">
      <formula>$C$30=TRUE</formula>
    </cfRule>
  </conditionalFormatting>
  <conditionalFormatting sqref="H31:L31">
    <cfRule type="expression" dxfId="22" priority="18">
      <formula>$C$31=TRUE</formula>
    </cfRule>
  </conditionalFormatting>
  <conditionalFormatting sqref="H36:L37">
    <cfRule type="expression" dxfId="21" priority="48">
      <formula>$G$36=$R$37</formula>
    </cfRule>
  </conditionalFormatting>
  <conditionalFormatting sqref="H38:L39">
    <cfRule type="expression" dxfId="20" priority="49">
      <formula>$G$36=$R$36</formula>
    </cfRule>
  </conditionalFormatting>
  <conditionalFormatting sqref="H46:L46">
    <cfRule type="expression" dxfId="19" priority="45">
      <formula>$G$46&lt;&gt;$R$46</formula>
    </cfRule>
  </conditionalFormatting>
  <conditionalFormatting sqref="H47:L47">
    <cfRule type="expression" dxfId="18" priority="44">
      <formula>$G$46&lt;&gt;$R$47</formula>
    </cfRule>
  </conditionalFormatting>
  <conditionalFormatting sqref="H48:L48">
    <cfRule type="expression" dxfId="17" priority="46">
      <formula>$G$46&lt;&gt;$R$48</formula>
    </cfRule>
  </conditionalFormatting>
  <conditionalFormatting sqref="H49:L49">
    <cfRule type="expression" dxfId="16" priority="47">
      <formula>$G$46&lt;&gt;$R$49</formula>
    </cfRule>
  </conditionalFormatting>
  <conditionalFormatting sqref="H50:L50">
    <cfRule type="expression" dxfId="15" priority="50">
      <formula>$G$50=$R$51</formula>
    </cfRule>
  </conditionalFormatting>
  <conditionalFormatting sqref="H50:L51">
    <cfRule type="expression" dxfId="14" priority="3">
      <formula>$G$50=$R$52</formula>
    </cfRule>
  </conditionalFormatting>
  <conditionalFormatting sqref="H51:L52">
    <cfRule type="expression" dxfId="13" priority="51">
      <formula>$G$50=$R$50</formula>
    </cfRule>
  </conditionalFormatting>
  <conditionalFormatting sqref="H52:L52">
    <cfRule type="expression" dxfId="12" priority="4">
      <formula>$G$50=$R$51</formula>
    </cfRule>
  </conditionalFormatting>
  <conditionalFormatting sqref="H65:L65">
    <cfRule type="expression" dxfId="11" priority="52">
      <formula>$G$65&lt;&gt;$R$65</formula>
    </cfRule>
  </conditionalFormatting>
  <conditionalFormatting sqref="H66:L66">
    <cfRule type="expression" dxfId="10" priority="53">
      <formula>$G$65&lt;&gt;$R$66</formula>
    </cfRule>
  </conditionalFormatting>
  <conditionalFormatting sqref="H67:L67">
    <cfRule type="expression" dxfId="9" priority="54">
      <formula>$G$65&lt;&gt;$R$67</formula>
    </cfRule>
  </conditionalFormatting>
  <conditionalFormatting sqref="H68:L68">
    <cfRule type="expression" dxfId="8" priority="55">
      <formula>$G$65&lt;&gt;$R$68</formula>
    </cfRule>
  </conditionalFormatting>
  <conditionalFormatting sqref="H76:L76">
    <cfRule type="expression" dxfId="7" priority="2">
      <formula>$C$76=TRUE</formula>
    </cfRule>
  </conditionalFormatting>
  <conditionalFormatting sqref="H79:L79">
    <cfRule type="expression" dxfId="6" priority="5">
      <formula>$C$79=TRUE</formula>
    </cfRule>
  </conditionalFormatting>
  <conditionalFormatting sqref="H80:L80">
    <cfRule type="expression" dxfId="5" priority="16">
      <formula>$C$80=TRUE</formula>
    </cfRule>
  </conditionalFormatting>
  <conditionalFormatting sqref="H87:L87">
    <cfRule type="expression" dxfId="4" priority="15">
      <formula>$C$87=TRUE</formula>
    </cfRule>
  </conditionalFormatting>
  <conditionalFormatting sqref="H95:L95">
    <cfRule type="expression" dxfId="3" priority="14">
      <formula>$C$95=TRUE</formula>
    </cfRule>
  </conditionalFormatting>
  <conditionalFormatting sqref="L52">
    <cfRule type="expression" dxfId="2" priority="1">
      <formula>$G$50=$R$52</formula>
    </cfRule>
  </conditionalFormatting>
  <dataValidations count="5">
    <dataValidation type="list" allowBlank="1" showInputMessage="1" showErrorMessage="1" promptTitle="Selection Required" prompt="Please select the project's desired pathway." sqref="G65:G68" xr:uid="{00000000-0002-0000-0700-000000000000}">
      <formula1>$R$65:$R$68</formula1>
    </dataValidation>
    <dataValidation type="list" allowBlank="1" showInputMessage="1" showErrorMessage="1" promptTitle="Selection Required" prompt="Please select the project's desired pathway." sqref="G36:G39" xr:uid="{00000000-0002-0000-0700-000001000000}">
      <formula1>$R$36:$R$37</formula1>
    </dataValidation>
    <dataValidation type="list" allowBlank="1" showInputMessage="1" showErrorMessage="1" promptTitle="Selection Required" prompt="Please select the project's desired pathway." sqref="G46:G49" xr:uid="{00000000-0002-0000-0700-000002000000}">
      <formula1>$R$46:$R$49</formula1>
    </dataValidation>
    <dataValidation type="decimal" operator="lessThanOrEqual" allowBlank="1" showInputMessage="1" showErrorMessage="1" sqref="L27:L42 L46:L52 L56:L61 L65:L70 L74:L80 L84:L88 L92:L97 L101:L105 L8:L23" xr:uid="{00000000-0002-0000-0700-000003000000}">
      <formula1>K8</formula1>
    </dataValidation>
    <dataValidation type="list" allowBlank="1" showInputMessage="1" showErrorMessage="1" promptTitle="Selection Required" prompt="Please select the project's desired pathway." sqref="G50" xr:uid="{00000000-0002-0000-0700-000004000000}">
      <formula1>$R$50:$R$52</formula1>
    </dataValidation>
  </dataValidations>
  <pageMargins left="0.70866141732283472" right="0.70866141732283472" top="0.74803149606299213" bottom="0.74803149606299213" header="0.31496062992125984" footer="0.31496062992125984"/>
  <pageSetup paperSize="9" scale="15" orientation="portrait" horizontalDpi="1200" verticalDpi="1200" r:id="rId3"/>
  <drawing r:id="rId4"/>
  <legacyDrawing r:id="rId5"/>
  <mc:AlternateContent xmlns:mc="http://schemas.openxmlformats.org/markup-compatibility/2006">
    <mc:Choice Requires="x14">
      <controls>
        <mc:AlternateContent xmlns:mc="http://schemas.openxmlformats.org/markup-compatibility/2006">
          <mc:Choice Requires="x14">
            <control shapeId="25601" r:id="rId6" name="Check Box 1">
              <controlPr defaultSize="0" autoFill="0" autoLine="0" autoPict="0">
                <anchor moveWithCells="1">
                  <from>
                    <xdr:col>4</xdr:col>
                    <xdr:colOff>60960</xdr:colOff>
                    <xdr:row>29</xdr:row>
                    <xdr:rowOff>160020</xdr:rowOff>
                  </from>
                  <to>
                    <xdr:col>5</xdr:col>
                    <xdr:colOff>533400</xdr:colOff>
                    <xdr:row>29</xdr:row>
                    <xdr:rowOff>373380</xdr:rowOff>
                  </to>
                </anchor>
              </controlPr>
            </control>
          </mc:Choice>
        </mc:AlternateContent>
        <mc:AlternateContent xmlns:mc="http://schemas.openxmlformats.org/markup-compatibility/2006">
          <mc:Choice Requires="x14">
            <control shapeId="25602" r:id="rId7" name="Check Box 2">
              <controlPr defaultSize="0" autoFill="0" autoLine="0" autoPict="0">
                <anchor moveWithCells="1">
                  <from>
                    <xdr:col>4</xdr:col>
                    <xdr:colOff>60960</xdr:colOff>
                    <xdr:row>30</xdr:row>
                    <xdr:rowOff>160020</xdr:rowOff>
                  </from>
                  <to>
                    <xdr:col>5</xdr:col>
                    <xdr:colOff>533400</xdr:colOff>
                    <xdr:row>30</xdr:row>
                    <xdr:rowOff>373380</xdr:rowOff>
                  </to>
                </anchor>
              </controlPr>
            </control>
          </mc:Choice>
        </mc:AlternateContent>
        <mc:AlternateContent xmlns:mc="http://schemas.openxmlformats.org/markup-compatibility/2006">
          <mc:Choice Requires="x14">
            <control shapeId="25603" r:id="rId8" name="Check Box 3">
              <controlPr defaultSize="0" autoFill="0" autoLine="0" autoPict="0">
                <anchor moveWithCells="1">
                  <from>
                    <xdr:col>4</xdr:col>
                    <xdr:colOff>60960</xdr:colOff>
                    <xdr:row>68</xdr:row>
                    <xdr:rowOff>464820</xdr:rowOff>
                  </from>
                  <to>
                    <xdr:col>5</xdr:col>
                    <xdr:colOff>533400</xdr:colOff>
                    <xdr:row>69</xdr:row>
                    <xdr:rowOff>106680</xdr:rowOff>
                  </to>
                </anchor>
              </controlPr>
            </control>
          </mc:Choice>
        </mc:AlternateContent>
        <mc:AlternateContent xmlns:mc="http://schemas.openxmlformats.org/markup-compatibility/2006">
          <mc:Choice Requires="x14">
            <control shapeId="25604" r:id="rId9" name="Check Box 4">
              <controlPr defaultSize="0" autoFill="0" autoLine="0" autoPict="0">
                <anchor moveWithCells="1">
                  <from>
                    <xdr:col>4</xdr:col>
                    <xdr:colOff>60960</xdr:colOff>
                    <xdr:row>79</xdr:row>
                    <xdr:rowOff>160020</xdr:rowOff>
                  </from>
                  <to>
                    <xdr:col>5</xdr:col>
                    <xdr:colOff>533400</xdr:colOff>
                    <xdr:row>79</xdr:row>
                    <xdr:rowOff>373380</xdr:rowOff>
                  </to>
                </anchor>
              </controlPr>
            </control>
          </mc:Choice>
        </mc:AlternateContent>
        <mc:AlternateContent xmlns:mc="http://schemas.openxmlformats.org/markup-compatibility/2006">
          <mc:Choice Requires="x14">
            <control shapeId="25605" r:id="rId10" name="Check Box 5">
              <controlPr defaultSize="0" autoFill="0" autoLine="0" autoPict="0">
                <anchor moveWithCells="1">
                  <from>
                    <xdr:col>4</xdr:col>
                    <xdr:colOff>60960</xdr:colOff>
                    <xdr:row>86</xdr:row>
                    <xdr:rowOff>160020</xdr:rowOff>
                  </from>
                  <to>
                    <xdr:col>5</xdr:col>
                    <xdr:colOff>533400</xdr:colOff>
                    <xdr:row>86</xdr:row>
                    <xdr:rowOff>373380</xdr:rowOff>
                  </to>
                </anchor>
              </controlPr>
            </control>
          </mc:Choice>
        </mc:AlternateContent>
        <mc:AlternateContent xmlns:mc="http://schemas.openxmlformats.org/markup-compatibility/2006">
          <mc:Choice Requires="x14">
            <control shapeId="25606" r:id="rId11" name="Check Box 6">
              <controlPr defaultSize="0" autoFill="0" autoLine="0" autoPict="0">
                <anchor moveWithCells="1">
                  <from>
                    <xdr:col>4</xdr:col>
                    <xdr:colOff>60960</xdr:colOff>
                    <xdr:row>94</xdr:row>
                    <xdr:rowOff>160020</xdr:rowOff>
                  </from>
                  <to>
                    <xdr:col>5</xdr:col>
                    <xdr:colOff>533400</xdr:colOff>
                    <xdr:row>94</xdr:row>
                    <xdr:rowOff>373380</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4</xdr:col>
                    <xdr:colOff>60960</xdr:colOff>
                    <xdr:row>78</xdr:row>
                    <xdr:rowOff>160020</xdr:rowOff>
                  </from>
                  <to>
                    <xdr:col>5</xdr:col>
                    <xdr:colOff>533400</xdr:colOff>
                    <xdr:row>78</xdr:row>
                    <xdr:rowOff>373380</xdr:rowOff>
                  </to>
                </anchor>
              </controlPr>
            </control>
          </mc:Choice>
        </mc:AlternateContent>
        <mc:AlternateContent xmlns:mc="http://schemas.openxmlformats.org/markup-compatibility/2006">
          <mc:Choice Requires="x14">
            <control shapeId="25612" r:id="rId13" name="Check Box 12">
              <controlPr defaultSize="0" autoFill="0" autoLine="0" autoPict="0">
                <anchor moveWithCells="1">
                  <from>
                    <xdr:col>4</xdr:col>
                    <xdr:colOff>106680</xdr:colOff>
                    <xdr:row>75</xdr:row>
                    <xdr:rowOff>274320</xdr:rowOff>
                  </from>
                  <to>
                    <xdr:col>5</xdr:col>
                    <xdr:colOff>579120</xdr:colOff>
                    <xdr:row>75</xdr:row>
                    <xdr:rowOff>480060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autoPageBreaks="0"/>
  </sheetPr>
  <dimension ref="A1:AR77"/>
  <sheetViews>
    <sheetView showGridLines="0" showRowColHeaders="0" zoomScale="70" zoomScaleNormal="70" workbookViewId="0">
      <selection activeCell="B8" sqref="B8"/>
    </sheetView>
  </sheetViews>
  <sheetFormatPr defaultColWidth="9" defaultRowHeight="15"/>
  <cols>
    <col min="1" max="1" width="4.375" style="296" bestFit="1" customWidth="1"/>
    <col min="2" max="2" width="38.625" style="281" customWidth="1"/>
    <col min="3" max="3" width="45.625" style="297" customWidth="1"/>
    <col min="4" max="4" width="6.375" style="281" bestFit="1" customWidth="1"/>
    <col min="5" max="5" width="7.25" style="281" hidden="1" customWidth="1"/>
    <col min="6" max="6" width="7.25" style="281" bestFit="1" customWidth="1"/>
    <col min="7" max="7" width="7.25" style="281" hidden="1" customWidth="1"/>
    <col min="8" max="8" width="7.25" style="281" bestFit="1" customWidth="1"/>
    <col min="9" max="9" width="6.75" style="297" hidden="1" customWidth="1"/>
    <col min="10" max="10" width="16.625" style="281" customWidth="1"/>
    <col min="11" max="11" width="15" style="281" customWidth="1"/>
    <col min="12" max="12" width="18.125" customWidth="1"/>
    <col min="13" max="14" width="18.125" style="281" customWidth="1"/>
    <col min="15" max="15" width="20.875" style="281" customWidth="1"/>
    <col min="16" max="18" width="30.625" style="281" hidden="1" customWidth="1"/>
    <col min="19" max="19" width="18.125" style="281" customWidth="1"/>
    <col min="20" max="22" width="18.125" style="281" hidden="1" customWidth="1"/>
    <col min="23" max="26" width="18.125" style="281" customWidth="1"/>
    <col min="27" max="27" width="40.375" style="281" customWidth="1"/>
    <col min="28" max="28" width="16.75" style="281" customWidth="1"/>
    <col min="29" max="29" width="18" style="281" customWidth="1"/>
    <col min="30" max="31" width="19.25" style="281" customWidth="1"/>
    <col min="32" max="32" width="19.75" style="281" bestFit="1" customWidth="1"/>
    <col min="33" max="35" width="19.75" style="281" hidden="1" customWidth="1"/>
    <col min="36" max="36" width="26.5" style="281" bestFit="1" customWidth="1"/>
    <col min="37" max="39" width="18.125" style="281" customWidth="1"/>
    <col min="40" max="40" width="39.625" style="281" customWidth="1"/>
    <col min="41" max="16384" width="9" style="212"/>
  </cols>
  <sheetData>
    <row r="1" spans="1:40" ht="17.45">
      <c r="A1" s="269"/>
      <c r="B1" s="426" t="s">
        <v>1088</v>
      </c>
      <c r="C1" s="427"/>
      <c r="D1" s="428"/>
      <c r="E1"/>
      <c r="F1"/>
      <c r="G1"/>
      <c r="H1"/>
      <c r="I1"/>
      <c r="J1"/>
      <c r="K1"/>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row>
    <row r="2" spans="1:40" ht="380.1" customHeight="1">
      <c r="A2" s="269"/>
      <c r="B2" s="429" t="s">
        <v>1089</v>
      </c>
      <c r="C2" s="430"/>
      <c r="D2" s="431"/>
      <c r="E2" s="270"/>
      <c r="F2" s="270"/>
      <c r="G2" s="270"/>
      <c r="H2" s="270"/>
      <c r="I2" s="270"/>
      <c r="J2" s="270"/>
      <c r="K2" s="270"/>
      <c r="L2" s="270"/>
      <c r="M2" s="270"/>
      <c r="N2" s="270"/>
      <c r="O2" s="270"/>
      <c r="P2" s="271"/>
      <c r="Q2" s="271"/>
      <c r="R2" s="271"/>
      <c r="S2" s="212"/>
      <c r="T2" s="212"/>
      <c r="U2" s="212"/>
      <c r="V2" s="212"/>
      <c r="W2" s="212"/>
      <c r="X2" s="212"/>
      <c r="Y2" s="212"/>
      <c r="Z2" s="212"/>
      <c r="AA2" s="212"/>
      <c r="AB2" s="212"/>
      <c r="AC2" s="212"/>
      <c r="AD2" s="212"/>
      <c r="AE2" s="212"/>
      <c r="AF2" s="212"/>
      <c r="AG2" s="212"/>
      <c r="AH2" s="212"/>
      <c r="AI2" s="212"/>
      <c r="AJ2" s="212"/>
      <c r="AK2" s="212"/>
      <c r="AL2" s="212"/>
      <c r="AM2" s="212"/>
      <c r="AN2" s="212"/>
    </row>
    <row r="3" spans="1:40" ht="13.9">
      <c r="A3" s="269"/>
      <c r="B3" s="272"/>
      <c r="C3" s="272"/>
      <c r="D3" s="272"/>
      <c r="E3" s="272"/>
      <c r="F3" s="272"/>
      <c r="G3" s="272"/>
      <c r="H3" s="272"/>
      <c r="I3" s="272"/>
      <c r="J3" s="272"/>
      <c r="K3" s="272"/>
      <c r="L3" s="27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row>
    <row r="4" spans="1:40" ht="30" customHeight="1">
      <c r="A4" s="269"/>
      <c r="B4" s="432" t="str">
        <f>CONCATENATE($C$7," Maintenance Review Summary")</f>
        <v>0 Maintenance Review Summary</v>
      </c>
      <c r="C4" s="432"/>
      <c r="D4" s="272"/>
      <c r="E4" s="272"/>
      <c r="F4" s="272"/>
      <c r="G4" s="272"/>
      <c r="H4" s="272"/>
      <c r="I4" s="272"/>
      <c r="J4" s="272"/>
      <c r="K4" s="272"/>
      <c r="L4" s="27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row>
    <row r="5" spans="1:40" ht="30" customHeight="1">
      <c r="A5" s="269"/>
      <c r="B5" s="273" t="str">
        <f>CONCATENATE(C7," Performance Period")</f>
        <v>0 Performance Period</v>
      </c>
      <c r="C5" s="274" t="e">
        <f>VLOOKUP(C7,'Building Information'!E6:G9,2,FALSE)</f>
        <v>#N/A</v>
      </c>
      <c r="D5" s="212"/>
      <c r="E5" s="212"/>
      <c r="F5" s="212"/>
      <c r="G5" s="275"/>
      <c r="H5" s="212"/>
      <c r="I5" s="276"/>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row>
    <row r="6" spans="1:40" ht="30" customHeight="1">
      <c r="A6" s="269"/>
      <c r="B6" s="273" t="s">
        <v>1090</v>
      </c>
      <c r="C6" s="274" t="str">
        <f>IF(C7="Year 2","Year 1",IF(C7="Year 1","Initial",""))</f>
        <v/>
      </c>
      <c r="D6" s="212"/>
      <c r="E6" s="212"/>
      <c r="F6" s="212"/>
      <c r="G6" s="275"/>
      <c r="H6" s="212"/>
      <c r="I6" s="276"/>
      <c r="J6" s="212"/>
      <c r="K6" s="212"/>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row>
    <row r="7" spans="1:40" ht="30" customHeight="1">
      <c r="A7" s="269"/>
      <c r="B7" s="273" t="s">
        <v>1091</v>
      </c>
      <c r="C7" s="277">
        <f>'Building Information'!C16</f>
        <v>0</v>
      </c>
      <c r="D7" s="212"/>
      <c r="E7"/>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row>
    <row r="8" spans="1:40" ht="30" customHeight="1">
      <c r="A8" s="269"/>
      <c r="B8" s="273" t="str">
        <f>CONCATENATE("Project score awarded at ",$C$6)</f>
        <v xml:space="preserve">Project score awarded at </v>
      </c>
      <c r="C8" s="357" t="s">
        <v>1092</v>
      </c>
      <c r="D8" s="278" t="str">
        <f>IF(C8&gt;=74.5,"6 Star - World Leadership",IF(C8&gt;=59.5,"5 Star - Australian Excellence",IF(C8&gt;=44.5,"4 Star - Australian Best Practice",IF(C8&gt;=29.5,"3 Star - Good Practice", IF(C8&gt;=19.5,"2 Star - Average Practice",IF(C8&gt;=9.5,"1 Star - Minimum Practice", ""))))))</f>
        <v>6 Star - World Leadership</v>
      </c>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row>
    <row r="9" spans="1:40" ht="30" customHeight="1">
      <c r="A9" s="269"/>
      <c r="B9" s="273" t="str">
        <f>CONCATENATE("Project score as per audit at ",$C$7)</f>
        <v>Project score as per audit at 0</v>
      </c>
      <c r="C9" s="357" t="s">
        <v>1092</v>
      </c>
      <c r="D9" s="278" t="str">
        <f>IF(C9&gt;=74.5,"6 Star - World Leadership",IF(C9&gt;=59.5,"5 Star - Australian Excellence",IF(C9&gt;=44.5,"4 Star - Australian Best Practice",IF(C9&gt;=29.5,"3 Star - Good Practice", IF(C9&gt;=19.5,"2 Star - Average Practice",IF(C9&gt;=9.5,"1 Star - Minimum Practice", ""))))))</f>
        <v>6 Star - World Leadership</v>
      </c>
      <c r="E9" s="212"/>
      <c r="F9" s="212"/>
      <c r="G9" s="275"/>
      <c r="H9" s="212"/>
      <c r="I9" s="276"/>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row>
    <row r="10" spans="1:40" ht="30" customHeight="1">
      <c r="A10" s="269"/>
      <c r="B10" s="273" t="s">
        <v>1093</v>
      </c>
      <c r="C10" s="274" t="str">
        <f>IF(D8&lt;&gt;D9,"Yes","No")</f>
        <v>No</v>
      </c>
      <c r="D10" s="212"/>
      <c r="E10" s="212"/>
      <c r="F10" s="212"/>
      <c r="G10" s="275"/>
      <c r="H10" s="212"/>
      <c r="I10" s="276"/>
      <c r="J10" s="212"/>
      <c r="K10" s="212"/>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row>
    <row r="11" spans="1:40" ht="20.100000000000001" customHeight="1">
      <c r="A11" s="269"/>
      <c r="B11" s="455" t="s">
        <v>1094</v>
      </c>
      <c r="C11" s="456"/>
      <c r="D11" s="212"/>
      <c r="E11" s="212"/>
      <c r="F11" s="212"/>
      <c r="G11" s="275"/>
      <c r="H11" s="212"/>
      <c r="I11" s="276"/>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row>
    <row r="12" spans="1:40" ht="39.950000000000003" customHeight="1">
      <c r="A12" s="269"/>
      <c r="B12" s="457" t="s">
        <v>1095</v>
      </c>
      <c r="C12" s="298" t="e">
        <f>N21</f>
        <v>#VALUE!</v>
      </c>
      <c r="D12" s="423"/>
      <c r="E12" s="423"/>
      <c r="F12" s="423"/>
      <c r="G12" s="423"/>
      <c r="H12" s="423"/>
      <c r="I12" s="423"/>
      <c r="J12" s="423"/>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row>
    <row r="13" spans="1:40" ht="39.950000000000003" customHeight="1">
      <c r="A13" s="269"/>
      <c r="B13" s="457" t="s">
        <v>1096</v>
      </c>
      <c r="C13" s="279" t="str">
        <f>S21</f>
        <v>No</v>
      </c>
      <c r="D13" s="423"/>
      <c r="E13" s="423"/>
      <c r="F13" s="423"/>
      <c r="G13" s="423"/>
      <c r="H13" s="423"/>
      <c r="I13" s="423"/>
      <c r="J13" s="423"/>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row>
    <row r="14" spans="1:40" ht="20.100000000000001" customHeight="1">
      <c r="A14" s="269"/>
      <c r="B14" s="458" t="s">
        <v>1097</v>
      </c>
      <c r="C14" s="459"/>
      <c r="D14" s="212"/>
      <c r="E14" s="212"/>
      <c r="F14" s="212"/>
      <c r="G14" s="275"/>
      <c r="H14" s="212"/>
      <c r="I14" s="276"/>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row>
    <row r="15" spans="1:40" ht="39.950000000000003" customHeight="1">
      <c r="A15" s="269"/>
      <c r="B15" s="460" t="s">
        <v>1095</v>
      </c>
      <c r="C15" s="299" t="e">
        <f>AE21</f>
        <v>#VALUE!</v>
      </c>
      <c r="D15" s="424"/>
      <c r="E15" s="424"/>
      <c r="F15" s="424"/>
      <c r="G15" s="424"/>
      <c r="H15" s="424"/>
      <c r="I15" s="424"/>
      <c r="J15" s="424"/>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row>
    <row r="16" spans="1:40" ht="39.950000000000003" customHeight="1">
      <c r="A16" s="269"/>
      <c r="B16" s="460" t="s">
        <v>1096</v>
      </c>
      <c r="C16" s="280" t="str">
        <f>AJ21</f>
        <v>No</v>
      </c>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row>
    <row r="17" spans="1:40" ht="14.25" customHeight="1">
      <c r="A17" s="269"/>
      <c r="B17" s="212"/>
      <c r="C17" s="212"/>
      <c r="D17" s="212"/>
      <c r="E17" s="212"/>
      <c r="F17" s="212"/>
      <c r="G17" s="275"/>
      <c r="H17" s="212"/>
      <c r="I17" s="276"/>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row>
    <row r="18" spans="1:40" ht="30.75" customHeight="1">
      <c r="A18" s="281"/>
      <c r="B18" s="461" t="str">
        <f>CONCATENATE("Audit ",CHAR(10)," - ",$C$7," Maintenance Review")</f>
        <v>Audit 
 - 0 Maintenance Review</v>
      </c>
      <c r="C18" s="425"/>
      <c r="D18" s="301"/>
      <c r="E18" s="301"/>
      <c r="F18" s="301"/>
      <c r="G18" s="301"/>
      <c r="H18" s="301"/>
      <c r="I18" s="301"/>
      <c r="J18" s="301"/>
      <c r="K18" s="421" t="str">
        <f>CONCATENATE("Greenhouse Gas Emissions",CHAR(10),"(",'Building Information'!$C$16,")")</f>
        <v>Greenhouse Gas Emissions
()</v>
      </c>
      <c r="L18" s="421"/>
      <c r="M18" s="421"/>
      <c r="N18" s="421"/>
      <c r="O18" s="421"/>
      <c r="P18" s="421"/>
      <c r="Q18" s="421"/>
      <c r="R18" s="421"/>
      <c r="S18" s="421"/>
      <c r="T18" s="421"/>
      <c r="U18" s="421"/>
      <c r="V18" s="421"/>
      <c r="W18" s="421"/>
      <c r="X18" s="421"/>
      <c r="Y18" s="421"/>
      <c r="Z18" s="421"/>
      <c r="AA18" s="421"/>
      <c r="AB18" s="419" t="str">
        <f>CONCATENATE("Potable Water",CHAR(10),"(",'Building Information'!$C$16,")")</f>
        <v>Potable Water
()</v>
      </c>
      <c r="AC18" s="419"/>
      <c r="AD18" s="419"/>
      <c r="AE18" s="419"/>
      <c r="AF18" s="419"/>
      <c r="AG18" s="419"/>
      <c r="AH18" s="419"/>
      <c r="AI18" s="419"/>
      <c r="AJ18" s="419"/>
      <c r="AK18" s="419"/>
      <c r="AL18" s="419"/>
      <c r="AM18" s="419"/>
      <c r="AN18" s="419"/>
    </row>
    <row r="19" spans="1:40" ht="45" customHeight="1">
      <c r="A19" s="282"/>
      <c r="B19" s="422" t="s">
        <v>1098</v>
      </c>
      <c r="C19" s="422" t="s">
        <v>1099</v>
      </c>
      <c r="D19" s="422" t="s">
        <v>1100</v>
      </c>
      <c r="E19" s="422"/>
      <c r="F19" s="422"/>
      <c r="G19" s="422"/>
      <c r="H19" s="422"/>
      <c r="I19" s="422"/>
      <c r="J19" s="462" t="str">
        <f>CONCATENATE("Has the asset rating changed between ",C6," and ",C7," certification phase?")</f>
        <v>Has the asset rating changed between  and 0 certification phase?</v>
      </c>
      <c r="K19" s="463" t="s">
        <v>70</v>
      </c>
      <c r="L19" s="464"/>
      <c r="M19" s="464"/>
      <c r="N19" s="464"/>
      <c r="O19" s="465"/>
      <c r="P19" s="421" t="s">
        <v>1101</v>
      </c>
      <c r="Q19" s="421"/>
      <c r="R19" s="421"/>
      <c r="S19" s="421"/>
      <c r="T19" s="421" t="s">
        <v>702</v>
      </c>
      <c r="U19" s="421"/>
      <c r="V19" s="421"/>
      <c r="W19" s="421"/>
      <c r="X19" s="421" t="s">
        <v>1102</v>
      </c>
      <c r="Y19" s="421"/>
      <c r="Z19" s="421"/>
      <c r="AA19" s="466" t="s">
        <v>39</v>
      </c>
      <c r="AB19" s="467" t="s">
        <v>70</v>
      </c>
      <c r="AC19" s="468"/>
      <c r="AD19" s="468"/>
      <c r="AE19" s="468"/>
      <c r="AF19" s="469"/>
      <c r="AG19" s="467" t="s">
        <v>1101</v>
      </c>
      <c r="AH19" s="468"/>
      <c r="AI19" s="468"/>
      <c r="AJ19" s="469"/>
      <c r="AK19" s="467" t="s">
        <v>1103</v>
      </c>
      <c r="AL19" s="468"/>
      <c r="AM19" s="469"/>
      <c r="AN19" s="466" t="s">
        <v>39</v>
      </c>
    </row>
    <row r="20" spans="1:40" ht="120.75" customHeight="1">
      <c r="A20" s="282"/>
      <c r="B20" s="422"/>
      <c r="C20" s="422"/>
      <c r="D20" s="283" t="s">
        <v>578</v>
      </c>
      <c r="E20" s="283" t="s">
        <v>1104</v>
      </c>
      <c r="F20" s="283" t="s">
        <v>581</v>
      </c>
      <c r="G20" s="283" t="s">
        <v>1104</v>
      </c>
      <c r="H20" s="283" t="s">
        <v>584</v>
      </c>
      <c r="I20" s="284" t="s">
        <v>1104</v>
      </c>
      <c r="J20" s="462"/>
      <c r="K20" s="285" t="str">
        <f>CONCATENATE("End date of previous rated period",CHAR(10),"(",$C$6,")")</f>
        <v>End date of previous rated period
()</v>
      </c>
      <c r="L20" s="285" t="str">
        <f>CONCATENATE("Start Date of audited period",CHAR(10),"(",$C$7,")")</f>
        <v>Start Date of audited period
(0)</v>
      </c>
      <c r="M20" s="285" t="str">
        <f>CONCATENATE("End date of audited period",CHAR(10),"(",$C$7,")")</f>
        <v>End date of audited period
(0)</v>
      </c>
      <c r="N20" s="286" t="str">
        <f>CONCATENATE("Is there a gap between the previous period (",$C$6,") and the audited period (",$C$7,")")</f>
        <v>Is there a gap between the previous period () and the audited period (0)</v>
      </c>
      <c r="O20" s="286" t="s">
        <v>1105</v>
      </c>
      <c r="P20" s="285" t="s">
        <v>578</v>
      </c>
      <c r="Q20" s="285" t="s">
        <v>581</v>
      </c>
      <c r="R20" s="285" t="s">
        <v>584</v>
      </c>
      <c r="S20" s="286" t="s">
        <v>1106</v>
      </c>
      <c r="T20" s="285" t="s">
        <v>1107</v>
      </c>
      <c r="U20" s="285" t="s">
        <v>1108</v>
      </c>
      <c r="V20" s="285" t="s">
        <v>1109</v>
      </c>
      <c r="W20" s="286" t="s">
        <v>1110</v>
      </c>
      <c r="X20" s="285" t="str">
        <f>CONCATENATE("GHG points awarded at ",$C$6)</f>
        <v xml:space="preserve">GHG points awarded at </v>
      </c>
      <c r="Y20" s="285" t="str">
        <f>CONCATENATE("GHG points Targeted at ",$C$7)</f>
        <v>GHG points Targeted at 0</v>
      </c>
      <c r="Z20" s="286" t="s">
        <v>1111</v>
      </c>
      <c r="AA20" s="420"/>
      <c r="AB20" s="287" t="str">
        <f>CONCATENATE("End date of previous rated period",CHAR(10),"(",$C$6,")")</f>
        <v>End date of previous rated period
()</v>
      </c>
      <c r="AC20" s="287" t="str">
        <f>CONCATENATE("Start Date of audited period",CHAR(10),"(",$C$7,")")</f>
        <v>Start Date of audited period
(0)</v>
      </c>
      <c r="AD20" s="287" t="str">
        <f>CONCATENATE("End date of audited period",CHAR(10),"(",$C$7,")")</f>
        <v>End date of audited period
(0)</v>
      </c>
      <c r="AE20" s="286" t="str">
        <f>CONCATENATE("Is there a gap between the previous period (",$C$6,") and the audited period (",$C$7,")")</f>
        <v>Is there a gap between the previous period () and the audited period (0)</v>
      </c>
      <c r="AF20" s="286" t="s">
        <v>1105</v>
      </c>
      <c r="AG20" s="287" t="s">
        <v>578</v>
      </c>
      <c r="AH20" s="287" t="s">
        <v>581</v>
      </c>
      <c r="AI20" s="287" t="s">
        <v>584</v>
      </c>
      <c r="AJ20" s="286" t="s">
        <v>1106</v>
      </c>
      <c r="AK20" s="287" t="str">
        <f>CONCATENATE("Awarded at ",$C$6)</f>
        <v xml:space="preserve">Awarded at </v>
      </c>
      <c r="AL20" s="287" t="str">
        <f>CONCATENATE("Targeted at ",$C$7)</f>
        <v>Targeted at 0</v>
      </c>
      <c r="AM20" s="286" t="s">
        <v>1112</v>
      </c>
      <c r="AN20" s="420"/>
    </row>
    <row r="21" spans="1:40" ht="51" customHeight="1">
      <c r="A21" s="300">
        <v>1</v>
      </c>
      <c r="B21" s="302">
        <f>'Building Information'!C6</f>
        <v>0</v>
      </c>
      <c r="C21" s="303">
        <f>'Building Information'!C7</f>
        <v>0</v>
      </c>
      <c r="D21" s="304">
        <f>Initial!N4</f>
        <v>0</v>
      </c>
      <c r="E21" s="305" t="str">
        <f>IF($A21="","",IF(D21&gt;=74.5,"6 Star - World Leadership",IF(D21&gt;=59.5,"5 Star - Australian Excellence",IF(D21&gt;=44.5,"4 Star - Australian Best Practice",IF(D21&gt;=29.5,"3 Star - Good Practice",IF(D21&gt;=19.5,"2 Star - Average Practice",IF(D21&gt;=9.5,"1 Star - Minimum Practice","")))))))</f>
        <v/>
      </c>
      <c r="F21" s="306">
        <f>'Year 1'!N4</f>
        <v>0</v>
      </c>
      <c r="G21" s="305" t="str">
        <f>IF($A21="","",IF(F21&gt;=74.5,"6 Star - World Leadership",IF(F21&gt;=59.5,"5 Star - Australian Excellence",IF(F21&gt;=44.5,"4 Star - Australian Best Practice",IF(F21&gt;=29.5,"3 Star - Good Practice",IF(F21&gt;=19.5,"2 Star - Average Practice",IF(F21&gt;=9.5,"1 Star - Minimum Practice","")))))))</f>
        <v/>
      </c>
      <c r="H21" s="306">
        <f>'Year 2'!N4</f>
        <v>0</v>
      </c>
      <c r="I21" s="305" t="str">
        <f>IF(A21="","",IF(H21&gt;=74.5,"6 Star - World Leadership",IF(H21&gt;=59.5,"5 Star - Australian Excellence",IF(H21&gt;=44.5,"4 Star - Australian Best Practice",IF(H21&gt;=29.5,"3 Star - Good Practice",IF(H21&gt;=19.5,"2 Star - Average Practice",IF(H21&gt;=9.5,"1 Star - Minimum Practice","")))))))</f>
        <v/>
      </c>
      <c r="J21" s="288" t="str">
        <f>IF(AND($H$20=$C$7,I21&lt;&gt;G21),"Yes",IF(AND($F$20=$C$7,G21&lt;&gt;E21),"Yes","No"))</f>
        <v>No</v>
      </c>
      <c r="K21" s="289" t="e">
        <f>IF($C$7="Initial","",VLOOKUP("Energy",'Building Information'!$B$27:$I$28,IF($C$7="Year 1",4,IF($C$7="Year 2",6)),FALSE))</f>
        <v>#VALUE!</v>
      </c>
      <c r="L21" s="290" t="e">
        <f>VLOOKUP("Energy",'Building Information'!$B$27:$I$28,IF($C$7="Initial",3,IF($C$7="Year 1",5,IF($C$7="Year 2",7))),FALSE)</f>
        <v>#VALUE!</v>
      </c>
      <c r="M21" s="290" t="e">
        <f>VLOOKUP("Energy",'Building Information'!$B$27:$I$28,IF($C$7="Initial",4,IF($C$7="Year 1",6,IF($C$7="Year 2",8))),FALSE)</f>
        <v>#VALUE!</v>
      </c>
      <c r="N21" s="290" t="e">
        <f t="shared" ref="N21" si="0">IF($C$7="Initial","",IF(L21-K21&gt;1,"Yes","No"))</f>
        <v>#VALUE!</v>
      </c>
      <c r="O21" s="291"/>
      <c r="P21" s="292" t="str">
        <f>Initial!G49</f>
        <v>B. Building Energy Baselines</v>
      </c>
      <c r="Q21" s="293" t="str">
        <f>'Year 1'!G49</f>
        <v>B. Building Energy Baselines</v>
      </c>
      <c r="R21" s="293" t="str">
        <f>'Year 2'!G49</f>
        <v>B. Building Energy Baselines</v>
      </c>
      <c r="S21" s="294" t="str">
        <f>IF(AND($Q$20=$C$7,Q21&lt;&gt;P21),"Yes",IF(AND($R$20=$C$7,Q21&lt;&gt;R21),"Yes","No"))</f>
        <v>No</v>
      </c>
      <c r="T21" s="292" t="str">
        <f>Initial!G7</f>
        <v xml:space="preserve">Please Select </v>
      </c>
      <c r="U21" s="293" t="str">
        <f>'Year 1'!G7</f>
        <v xml:space="preserve">Please Select </v>
      </c>
      <c r="V21" s="293" t="str">
        <f>'Year 2'!G7</f>
        <v>Please Select</v>
      </c>
      <c r="W21" s="288" t="str">
        <f>IF(AND($V$20=$C$7,V21&lt;&gt;U21),"Yes",IF(AND($U$20=$C$7,T21&lt;&gt;U21),"Yes","No"))</f>
        <v>No</v>
      </c>
      <c r="X21" s="292" t="str">
        <f>IF($C$6="Initial",SUM(Initial!N49:N52),IF($C$6="Year 1",SUM('Year 1'!N49:N52),""))</f>
        <v/>
      </c>
      <c r="Y21" s="293" t="str">
        <f>IF($C$7="Year 1",SUM('Year 1'!L49:L52),IF($C$7="Year 2",SUM('Year 2'!L49:L52),""))</f>
        <v/>
      </c>
      <c r="Z21" s="307" t="e">
        <f>Y21-X21</f>
        <v>#VALUE!</v>
      </c>
      <c r="AA21" s="295"/>
      <c r="AB21" s="289" t="e">
        <f>IF($C$7="Initial","",VLOOKUP("Water",'Building Information'!$B$27:$I$28,IF($C$7="Year 1",4,IF($C$7="Year 2",6)),FALSE))</f>
        <v>#VALUE!</v>
      </c>
      <c r="AC21" s="290" t="e">
        <f>VLOOKUP("Water",'Building Information'!$B$27:$I$28,IF($C$7="Initial",3,IF($C$7="Year 1",5,IF($C$7="Year 2",7))),FALSE)</f>
        <v>#VALUE!</v>
      </c>
      <c r="AD21" s="290" t="e">
        <f>VLOOKUP("Water",'Building Information'!$B$27:$I$28,IF($C$7="Initial",4,IF($C$7="Year 1",6,IF($C$7="Year 2",8))),FALSE)</f>
        <v>#VALUE!</v>
      </c>
      <c r="AE21" s="290" t="e">
        <f t="shared" ref="AE21" si="1">IF($C$7="Initial","",IF(AC21-AB21&gt;1,"Yes","No"))</f>
        <v>#VALUE!</v>
      </c>
      <c r="AF21" s="295"/>
      <c r="AG21" s="328" t="str">
        <f>Initial!G68</f>
        <v>C. Peer Group of Comparable Buildings</v>
      </c>
      <c r="AH21" s="293" t="str">
        <f>'Year 1'!G68</f>
        <v>B. Potable Water Benchmarks</v>
      </c>
      <c r="AI21" s="293" t="str">
        <f>'Year 2'!G68</f>
        <v>C. Peer Group of Comparable Buildings</v>
      </c>
      <c r="AJ21" s="294" t="str">
        <f>IF(AND($AH$20=$C$7,AH21&lt;&gt;AG21),"Yes",IF(AND($AI$20=$C$7,AH21&lt;&gt;AI21),"Yes","No"))</f>
        <v>No</v>
      </c>
      <c r="AK21" s="292" t="str">
        <f>IF($C$6="Initial",SUM(Initial!N68:N71),IF($C$6="Year 1",SUM('Year 1'!N68:N71),""))</f>
        <v/>
      </c>
      <c r="AL21" s="293" t="str">
        <f>IF($C$7="Year 1",SUM('Year 1'!L68:L71),IF($C$7="Year 2",SUM('Year 2'!L68:L71),""))</f>
        <v/>
      </c>
      <c r="AM21" s="307" t="e">
        <f>AL21-AK21</f>
        <v>#VALUE!</v>
      </c>
      <c r="AN21" s="295"/>
    </row>
    <row r="42" spans="1:44" s="281" customFormat="1">
      <c r="A42" s="296"/>
      <c r="C42" s="297"/>
      <c r="I42" s="297"/>
      <c r="L42"/>
      <c r="AO42" s="212"/>
      <c r="AP42" s="212"/>
      <c r="AQ42" s="212"/>
      <c r="AR42" s="212"/>
    </row>
    <row r="43" spans="1:44" s="281" customFormat="1">
      <c r="A43" s="296"/>
      <c r="C43" s="297"/>
      <c r="I43" s="297"/>
      <c r="L43"/>
      <c r="AO43" s="212"/>
      <c r="AP43" s="212"/>
      <c r="AQ43" s="212"/>
      <c r="AR43" s="212"/>
    </row>
    <row r="44" spans="1:44" s="281" customFormat="1">
      <c r="A44" s="296"/>
      <c r="C44" s="297"/>
      <c r="I44" s="297"/>
      <c r="L44"/>
      <c r="AO44" s="212"/>
      <c r="AP44" s="212"/>
      <c r="AQ44" s="212"/>
      <c r="AR44" s="212"/>
    </row>
    <row r="45" spans="1:44" s="281" customFormat="1">
      <c r="A45" s="296"/>
      <c r="C45" s="297"/>
      <c r="I45" s="297"/>
      <c r="L45"/>
      <c r="AO45" s="212"/>
      <c r="AP45" s="212"/>
      <c r="AQ45" s="212"/>
      <c r="AR45" s="212"/>
    </row>
    <row r="46" spans="1:44" s="281" customFormat="1">
      <c r="A46" s="296"/>
      <c r="C46" s="297"/>
      <c r="I46" s="297"/>
      <c r="L46"/>
      <c r="AO46" s="212"/>
      <c r="AP46" s="212"/>
      <c r="AQ46" s="212"/>
      <c r="AR46" s="212"/>
    </row>
    <row r="47" spans="1:44" s="281" customFormat="1">
      <c r="A47" s="296"/>
      <c r="C47" s="297"/>
      <c r="I47" s="297"/>
      <c r="L47"/>
      <c r="AO47" s="212"/>
      <c r="AP47" s="212"/>
      <c r="AQ47" s="212"/>
      <c r="AR47" s="212"/>
    </row>
    <row r="48" spans="1:44" s="281" customFormat="1">
      <c r="A48" s="296"/>
      <c r="C48" s="297"/>
      <c r="I48" s="297"/>
      <c r="L48"/>
      <c r="AO48" s="212"/>
      <c r="AP48" s="212"/>
      <c r="AQ48" s="212"/>
      <c r="AR48" s="212"/>
    </row>
    <row r="49" spans="1:44" s="281" customFormat="1">
      <c r="A49" s="296"/>
      <c r="C49" s="297"/>
      <c r="I49" s="297"/>
      <c r="L49"/>
      <c r="AO49" s="212"/>
      <c r="AP49" s="212"/>
      <c r="AQ49" s="212"/>
      <c r="AR49" s="212"/>
    </row>
    <row r="50" spans="1:44" s="281" customFormat="1">
      <c r="A50" s="296"/>
      <c r="C50" s="297"/>
      <c r="I50" s="297"/>
      <c r="L50"/>
      <c r="AO50" s="212"/>
      <c r="AP50" s="212"/>
      <c r="AQ50" s="212"/>
      <c r="AR50" s="212"/>
    </row>
    <row r="51" spans="1:44" s="281" customFormat="1">
      <c r="A51" s="296"/>
      <c r="C51" s="297"/>
      <c r="I51" s="297"/>
      <c r="L51"/>
      <c r="AO51" s="212"/>
      <c r="AP51" s="212"/>
      <c r="AQ51" s="212"/>
      <c r="AR51" s="212"/>
    </row>
    <row r="52" spans="1:44" s="281" customFormat="1">
      <c r="A52" s="296"/>
      <c r="C52" s="297"/>
      <c r="I52" s="297"/>
      <c r="L52"/>
      <c r="AO52" s="212"/>
      <c r="AP52" s="212"/>
      <c r="AQ52" s="212"/>
      <c r="AR52" s="212"/>
    </row>
    <row r="53" spans="1:44" s="281" customFormat="1">
      <c r="A53" s="296"/>
      <c r="C53" s="297"/>
      <c r="I53" s="297"/>
      <c r="L53"/>
      <c r="AO53" s="212"/>
      <c r="AP53" s="212"/>
      <c r="AQ53" s="212"/>
      <c r="AR53" s="212"/>
    </row>
    <row r="54" spans="1:44" s="281" customFormat="1">
      <c r="A54" s="296"/>
      <c r="C54" s="297"/>
      <c r="I54" s="297"/>
      <c r="L54"/>
      <c r="AO54" s="212"/>
      <c r="AP54" s="212"/>
      <c r="AQ54" s="212"/>
      <c r="AR54" s="212"/>
    </row>
    <row r="55" spans="1:44" s="281" customFormat="1">
      <c r="A55" s="296"/>
      <c r="C55" s="297"/>
      <c r="I55" s="297"/>
      <c r="L55"/>
      <c r="AO55" s="212"/>
      <c r="AP55" s="212"/>
      <c r="AQ55" s="212"/>
      <c r="AR55" s="212"/>
    </row>
    <row r="56" spans="1:44" s="281" customFormat="1">
      <c r="A56" s="296"/>
      <c r="C56" s="297"/>
      <c r="I56" s="297"/>
      <c r="L56"/>
      <c r="AO56" s="212"/>
      <c r="AP56" s="212"/>
      <c r="AQ56" s="212"/>
      <c r="AR56" s="212"/>
    </row>
    <row r="57" spans="1:44" s="281" customFormat="1">
      <c r="A57" s="296"/>
      <c r="C57" s="297"/>
      <c r="I57" s="297"/>
      <c r="L57"/>
      <c r="AO57" s="212"/>
      <c r="AP57" s="212"/>
      <c r="AQ57" s="212"/>
      <c r="AR57" s="212"/>
    </row>
    <row r="58" spans="1:44" s="281" customFormat="1">
      <c r="A58" s="296"/>
      <c r="C58" s="297"/>
      <c r="I58" s="297"/>
      <c r="L58"/>
      <c r="AO58" s="212"/>
      <c r="AP58" s="212"/>
      <c r="AQ58" s="212"/>
      <c r="AR58" s="212"/>
    </row>
    <row r="59" spans="1:44" s="281" customFormat="1">
      <c r="A59" s="296"/>
      <c r="C59" s="297"/>
      <c r="I59" s="297"/>
      <c r="L59"/>
      <c r="AO59" s="212"/>
      <c r="AP59" s="212"/>
      <c r="AQ59" s="212"/>
      <c r="AR59" s="212"/>
    </row>
    <row r="60" spans="1:44" s="281" customFormat="1">
      <c r="A60" s="296"/>
      <c r="C60" s="297"/>
      <c r="I60" s="297"/>
      <c r="L60"/>
      <c r="AO60" s="212"/>
      <c r="AP60" s="212"/>
      <c r="AQ60" s="212"/>
      <c r="AR60" s="212"/>
    </row>
    <row r="61" spans="1:44" s="281" customFormat="1">
      <c r="A61" s="296"/>
      <c r="C61" s="297"/>
      <c r="I61" s="297"/>
      <c r="L61"/>
      <c r="AO61" s="212"/>
      <c r="AP61" s="212"/>
      <c r="AQ61" s="212"/>
      <c r="AR61" s="212"/>
    </row>
    <row r="62" spans="1:44" s="281" customFormat="1">
      <c r="A62" s="296"/>
      <c r="C62" s="297"/>
      <c r="I62" s="297"/>
      <c r="L62"/>
      <c r="AO62" s="212"/>
      <c r="AP62" s="212"/>
      <c r="AQ62" s="212"/>
      <c r="AR62" s="212"/>
    </row>
    <row r="63" spans="1:44" s="281" customFormat="1">
      <c r="A63" s="296"/>
      <c r="C63" s="297"/>
      <c r="I63" s="297"/>
      <c r="L63"/>
      <c r="AO63" s="212"/>
      <c r="AP63" s="212"/>
      <c r="AQ63" s="212"/>
      <c r="AR63" s="212"/>
    </row>
    <row r="64" spans="1:44" s="281" customFormat="1">
      <c r="A64" s="296"/>
      <c r="C64" s="297"/>
      <c r="I64" s="297"/>
      <c r="L64"/>
      <c r="AO64" s="212"/>
      <c r="AP64" s="212"/>
      <c r="AQ64" s="212"/>
      <c r="AR64" s="212"/>
    </row>
    <row r="65" spans="1:44" s="281" customFormat="1">
      <c r="A65" s="296"/>
      <c r="C65" s="297"/>
      <c r="I65" s="297"/>
      <c r="L65"/>
      <c r="AO65" s="212"/>
      <c r="AP65" s="212"/>
      <c r="AQ65" s="212"/>
      <c r="AR65" s="212"/>
    </row>
    <row r="66" spans="1:44" s="281" customFormat="1">
      <c r="A66" s="296"/>
      <c r="C66" s="297"/>
      <c r="I66" s="297"/>
      <c r="L66"/>
      <c r="AO66" s="212"/>
      <c r="AP66" s="212"/>
      <c r="AQ66" s="212"/>
      <c r="AR66" s="212"/>
    </row>
    <row r="67" spans="1:44" s="281" customFormat="1">
      <c r="A67" s="296"/>
      <c r="C67" s="297"/>
      <c r="I67" s="297"/>
      <c r="L67"/>
      <c r="AO67" s="212"/>
      <c r="AP67" s="212"/>
      <c r="AQ67" s="212"/>
      <c r="AR67" s="212"/>
    </row>
    <row r="68" spans="1:44" s="281" customFormat="1">
      <c r="A68" s="296"/>
      <c r="C68" s="297"/>
      <c r="I68" s="297"/>
      <c r="L68"/>
      <c r="AO68" s="212"/>
      <c r="AP68" s="212"/>
      <c r="AQ68" s="212"/>
      <c r="AR68" s="212"/>
    </row>
    <row r="69" spans="1:44" s="281" customFormat="1">
      <c r="A69" s="296"/>
      <c r="C69" s="297"/>
      <c r="I69" s="297"/>
      <c r="L69"/>
      <c r="AO69" s="212"/>
      <c r="AP69" s="212"/>
      <c r="AQ69" s="212"/>
      <c r="AR69" s="212"/>
    </row>
    <row r="70" spans="1:44" s="281" customFormat="1">
      <c r="A70" s="296"/>
      <c r="C70" s="297"/>
      <c r="I70" s="297"/>
      <c r="L70"/>
      <c r="AO70" s="212"/>
      <c r="AP70" s="212"/>
      <c r="AQ70" s="212"/>
      <c r="AR70" s="212"/>
    </row>
    <row r="71" spans="1:44" s="281" customFormat="1">
      <c r="A71" s="296"/>
      <c r="C71" s="297"/>
      <c r="I71" s="297"/>
      <c r="L71"/>
      <c r="AO71" s="212"/>
      <c r="AP71" s="212"/>
      <c r="AQ71" s="212"/>
      <c r="AR71" s="212"/>
    </row>
    <row r="72" spans="1:44" s="281" customFormat="1">
      <c r="A72" s="296"/>
      <c r="C72" s="297"/>
      <c r="I72" s="297"/>
      <c r="L72"/>
      <c r="AO72" s="212"/>
      <c r="AP72" s="212"/>
      <c r="AQ72" s="212"/>
      <c r="AR72" s="212"/>
    </row>
    <row r="73" spans="1:44" s="281" customFormat="1">
      <c r="A73" s="296"/>
      <c r="C73" s="297"/>
      <c r="I73" s="297"/>
      <c r="L73"/>
      <c r="AO73" s="212"/>
      <c r="AP73" s="212"/>
      <c r="AQ73" s="212"/>
      <c r="AR73" s="212"/>
    </row>
    <row r="74" spans="1:44" s="281" customFormat="1">
      <c r="A74" s="296"/>
      <c r="C74" s="297"/>
      <c r="I74" s="297"/>
      <c r="L74"/>
      <c r="AO74" s="212"/>
      <c r="AP74" s="212"/>
      <c r="AQ74" s="212"/>
      <c r="AR74" s="212"/>
    </row>
    <row r="75" spans="1:44" s="281" customFormat="1">
      <c r="A75" s="296"/>
      <c r="C75" s="297"/>
      <c r="I75" s="297"/>
      <c r="L75"/>
      <c r="AO75" s="212"/>
      <c r="AP75" s="212"/>
      <c r="AQ75" s="212"/>
      <c r="AR75" s="212"/>
    </row>
    <row r="76" spans="1:44" s="281" customFormat="1">
      <c r="A76" s="296"/>
      <c r="C76" s="297"/>
      <c r="I76" s="297"/>
      <c r="L76"/>
      <c r="AO76" s="212"/>
      <c r="AP76" s="212"/>
      <c r="AQ76" s="212"/>
      <c r="AR76" s="212"/>
    </row>
    <row r="77" spans="1:44" s="281" customFormat="1">
      <c r="A77" s="296"/>
      <c r="C77" s="297"/>
      <c r="I77" s="297"/>
      <c r="L77"/>
      <c r="AO77" s="212"/>
      <c r="AP77" s="212"/>
      <c r="AQ77" s="212"/>
      <c r="AR77" s="212"/>
    </row>
  </sheetData>
  <customSheetViews>
    <customSheetView guid="{E345A537-ABE6-4DCD-97C2-C197481B2A31}" scale="70" showGridLines="0" hiddenColumns="1">
      <selection activeCell="D12" sqref="D12:J12"/>
      <pageMargins left="0" right="0" top="0" bottom="0" header="0" footer="0"/>
      <pageSetup paperSize="9" orientation="portrait" r:id="rId1"/>
    </customSheetView>
  </customSheetViews>
  <mergeCells count="24">
    <mergeCell ref="B1:D1"/>
    <mergeCell ref="B2:D2"/>
    <mergeCell ref="B4:C4"/>
    <mergeCell ref="B11:C11"/>
    <mergeCell ref="D12:J12"/>
    <mergeCell ref="D19:I19"/>
    <mergeCell ref="J19:J20"/>
    <mergeCell ref="K18:AA18"/>
    <mergeCell ref="D13:J13"/>
    <mergeCell ref="B14:C14"/>
    <mergeCell ref="D15:J15"/>
    <mergeCell ref="B18:C18"/>
    <mergeCell ref="B19:B20"/>
    <mergeCell ref="C19:C20"/>
    <mergeCell ref="AB18:AN18"/>
    <mergeCell ref="K19:O19"/>
    <mergeCell ref="AA19:AA20"/>
    <mergeCell ref="AB19:AF19"/>
    <mergeCell ref="AG19:AJ19"/>
    <mergeCell ref="AK19:AM19"/>
    <mergeCell ref="AN19:AN20"/>
    <mergeCell ref="P19:S19"/>
    <mergeCell ref="T19:W19"/>
    <mergeCell ref="X19:Z19"/>
  </mergeCells>
  <conditionalFormatting sqref="J21 N21 S21 W21 AE21 AJ21">
    <cfRule type="containsText" dxfId="1" priority="4" operator="containsText" text="Y">
      <formula>NOT(ISERROR(SEARCH("Y",J21)))</formula>
    </cfRule>
  </conditionalFormatting>
  <conditionalFormatting sqref="O21 AF21">
    <cfRule type="containsText" dxfId="0" priority="5" operator="containsText" text="N">
      <formula>NOT(ISERROR(SEARCH("N",O21)))</formula>
    </cfRule>
  </conditionalFormatting>
  <conditionalFormatting sqref="Z21 AM21">
    <cfRule type="dataBar" priority="171">
      <dataBar>
        <cfvo type="min"/>
        <cfvo type="max"/>
        <color rgb="FF92D050"/>
      </dataBar>
      <extLst>
        <ext xmlns:x14="http://schemas.microsoft.com/office/spreadsheetml/2009/9/main" uri="{B025F937-C7B1-47D3-B67F-A62EFF666E3E}">
          <x14:id>{1D48D486-6427-49E7-9688-12DEA9EFF6B3}</x14:id>
        </ext>
      </extLst>
    </cfRule>
  </conditionalFormatting>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dataBar" id="{1D48D486-6427-49E7-9688-12DEA9EFF6B3}">
            <x14:dataBar minLength="0" maxLength="100" border="1">
              <x14:cfvo type="autoMin"/>
              <x14:cfvo type="autoMax"/>
              <x14:borderColor rgb="FF92D050"/>
              <x14:negativeFillColor rgb="FFFF0000"/>
              <x14:axisColor theme="0"/>
            </x14:dataBar>
          </x14:cfRule>
          <xm:sqref>Z21 AM21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0932C26CB86C4FA791782EC11F994E" ma:contentTypeVersion="17" ma:contentTypeDescription="Create a new document." ma:contentTypeScope="" ma:versionID="7096325f179a35b3f8b22af9c490698a">
  <xsd:schema xmlns:xsd="http://www.w3.org/2001/XMLSchema" xmlns:xs="http://www.w3.org/2001/XMLSchema" xmlns:p="http://schemas.microsoft.com/office/2006/metadata/properties" xmlns:ns2="e5dafe5f-4921-4e90-b291-d7c9f1978744" xmlns:ns3="52985c86-f8c2-4ffb-9ed4-056f10e7bf99" targetNamespace="http://schemas.microsoft.com/office/2006/metadata/properties" ma:root="true" ma:fieldsID="41ef8245938ce8938f0bb99bd5496452" ns2:_="" ns3:_="">
    <xsd:import namespace="e5dafe5f-4921-4e90-b291-d7c9f1978744"/>
    <xsd:import namespace="52985c86-f8c2-4ffb-9ed4-056f10e7bf9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afe5f-4921-4e90-b291-d7c9f1978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f39ea20-3bab-4327-8f6b-3db4142d071e"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985c86-f8c2-4ffb-9ed4-056f10e7bf9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f71b23a-5fce-4da9-9150-57ae8890a66e}" ma:internalName="TaxCatchAll" ma:showField="CatchAllData" ma:web="52985c86-f8c2-4ffb-9ed4-056f10e7bf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5dafe5f-4921-4e90-b291-d7c9f1978744">
      <Terms xmlns="http://schemas.microsoft.com/office/infopath/2007/PartnerControls"/>
    </lcf76f155ced4ddcb4097134ff3c332f>
    <TaxCatchAll xmlns="52985c86-f8c2-4ffb-9ed4-056f10e7bf99" xsi:nil="true"/>
  </documentManagement>
</p:properties>
</file>

<file path=customXml/itemProps1.xml><?xml version="1.0" encoding="utf-8"?>
<ds:datastoreItem xmlns:ds="http://schemas.openxmlformats.org/officeDocument/2006/customXml" ds:itemID="{3E536518-FBEF-4223-B7D8-4EA6CE849B8B}"/>
</file>

<file path=customXml/itemProps2.xml><?xml version="1.0" encoding="utf-8"?>
<ds:datastoreItem xmlns:ds="http://schemas.openxmlformats.org/officeDocument/2006/customXml" ds:itemID="{CED9FD7C-1287-46D7-B799-EAAF74055DF0}"/>
</file>

<file path=customXml/itemProps3.xml><?xml version="1.0" encoding="utf-8"?>
<ds:datastoreItem xmlns:ds="http://schemas.openxmlformats.org/officeDocument/2006/customXml" ds:itemID="{1005906B-0954-441A-B853-348FA8ED002C}"/>
</file>

<file path=docProps/app.xml><?xml version="1.0" encoding="utf-8"?>
<Properties xmlns="http://schemas.openxmlformats.org/officeDocument/2006/extended-properties" xmlns:vt="http://schemas.openxmlformats.org/officeDocument/2006/docPropsVTypes">
  <Application>Microsoft Excel Online</Application>
  <Manager/>
  <Company>Toshiba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rmilagre</dc:creator>
  <cp:keywords/>
  <dc:description/>
  <cp:lastModifiedBy/>
  <cp:revision/>
  <dcterms:created xsi:type="dcterms:W3CDTF">2013-06-25T01:42:25Z</dcterms:created>
  <dcterms:modified xsi:type="dcterms:W3CDTF">2023-12-11T21:29:44Z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0x010100760932C26CB86C4FA791782EC11F994E</vt:lpwstr>
  </property>
  <property fmtid="{D5CDD505-2E9C-101B-9397-08002B2CF9AE}" pid="3" name="Order">
    <vt:r8>27600</vt:r8>
  </property>
  <property fmtid="{D5CDD505-2E9C-101B-9397-08002B2CF9AE}" pid="4" name="MediaServiceImageTags">
    <vt:lpwstr/>
  </property>
</Properties>
</file>